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comments3.xml" ContentType="application/vnd.openxmlformats-officedocument.spreadsheetml.comments+xml"/>
  <Override PartName="/xl/tables/table2.xml" ContentType="application/vnd.openxmlformats-officedocument.spreadsheetml.table+xml"/>
  <Override PartName="/xl/comments4.xml" ContentType="application/vnd.openxmlformats-officedocument.spreadsheetml.comments+xml"/>
  <Override PartName="/xl/comments5.xml" ContentType="application/vnd.openxmlformats-officedocument.spreadsheetml.comments+xml"/>
  <Override PartName="/xl/tables/table3.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showInkAnnotation="0" codeName="ThisWorkbook" defaultThemeVersion="124226"/>
  <mc:AlternateContent xmlns:mc="http://schemas.openxmlformats.org/markup-compatibility/2006">
    <mc:Choice Requires="x15">
      <x15ac:absPath xmlns:x15ac="http://schemas.microsoft.com/office/spreadsheetml/2010/11/ac" url="S:\Victoria Flats - Ventura - Red Tail\3.3 CDLAC\Victoria Flats CDLAC R2 2025\Ready For Review\Reviewed\Uploaded\"/>
    </mc:Choice>
  </mc:AlternateContent>
  <xr:revisionPtr revIDLastSave="0" documentId="13_ncr:1_{4807A07B-6AF6-4403-AB22-879B29D225E5}" xr6:coauthVersionLast="47" xr6:coauthVersionMax="47" xr10:uidLastSave="{00000000-0000-0000-0000-000000000000}"/>
  <bookViews>
    <workbookView xWindow="28680" yWindow="-120" windowWidth="29040" windowHeight="15720" firstSheet="2" activeTab="3" xr2:uid="{C4397005-2EEA-4E76-A3B8-BD00E2F02BD9}"/>
  </bookViews>
  <sheets>
    <sheet name="Instructions-App Completion " sheetId="1" r:id="rId1"/>
    <sheet name="Instructions-Electronic Submit" sheetId="16" r:id="rId2"/>
    <sheet name="Application Checklist" sheetId="19" r:id="rId3"/>
    <sheet name="Application" sheetId="3" r:id="rId4"/>
    <sheet name="Sources and Uses Budget" sheetId="4" r:id="rId5"/>
    <sheet name="Sources and Basis Breakdown" sheetId="13" r:id="rId6"/>
    <sheet name="CalHFA Addendum" sheetId="23" r:id="rId7"/>
    <sheet name="Basis &amp; Credits" sheetId="15" r:id="rId8"/>
    <sheet name="Points System" sheetId="20" r:id="rId9"/>
    <sheet name="Tie Breaker" sheetId="21" r:id="rId10"/>
    <sheet name="Subsidy Contract Calculation" sheetId="8" r:id="rId11"/>
    <sheet name="15 Year Pro Forma" sheetId="7" r:id="rId12"/>
    <sheet name="Post-award Instructions" sheetId="12" r:id="rId13"/>
    <sheet name="Post-award Project Cost Changes" sheetId="11" r:id="rId14"/>
  </sheets>
  <definedNames>
    <definedName name="_xlnm._FilterDatabase" localSheetId="3" hidden="1">Application!$J$957:$S$957</definedName>
    <definedName name="bedrooms" localSheetId="6">Application!$CB$159:$CH$159</definedName>
    <definedName name="bedrooms">Application!$CB$159:$CH$159</definedName>
    <definedName name="HudFmrs" localSheetId="6">Application!$BX$656:$CB$713</definedName>
    <definedName name="HudFmrs">Application!$CJ$160:$CN$217</definedName>
    <definedName name="ListofSources" localSheetId="6">Application!$BN$511:$BN$536</definedName>
    <definedName name="ListofSources">Application!$BN$512:$BN$537</definedName>
    <definedName name="_xlnm.Print_Area" localSheetId="11">'15 Year Pro Forma'!$A$1:$AH$77</definedName>
    <definedName name="_xlnm.Print_Area" localSheetId="3">Application!$A:$AT</definedName>
    <definedName name="_xlnm.Print_Area" localSheetId="2">'Application Checklist'!$A$1:$I$1130</definedName>
    <definedName name="_xlnm.Print_Area" localSheetId="7">'Basis &amp; Credits'!$A$1:$AN$92</definedName>
    <definedName name="_xlnm.Print_Area" localSheetId="0">'Instructions-App Completion '!$A$1:$BP$392</definedName>
    <definedName name="_xlnm.Print_Area" localSheetId="1">'Instructions-Electronic Submit'!$A$1:$J$90</definedName>
    <definedName name="_xlnm.Print_Area" localSheetId="8">'Points System'!$A$1:$AM$823</definedName>
    <definedName name="_xlnm.Print_Area" localSheetId="13">'Post-award Project Cost Changes'!$A$1:$F$107</definedName>
    <definedName name="_xlnm.Print_Area" localSheetId="5">'Sources and Basis Breakdown'!$A$1:$J$111</definedName>
    <definedName name="_xlnm.Print_Area" localSheetId="4">'Sources and Uses Budget'!$A$1:$T$139</definedName>
    <definedName name="_xlnm.Print_Area" localSheetId="9">'Tie Breaker'!$A$1:$I$132</definedName>
    <definedName name="_xlnm.Print_Titles" localSheetId="5">'Sources and Basis Breakdown'!$1:$2</definedName>
    <definedName name="_xlnm.Print_Titles" localSheetId="4">'Sources and Uses Budget'!$1:$2</definedName>
    <definedName name="_xlnm.Print_Titles" localSheetId="9">'Tie Breaker'!$1:$7</definedName>
    <definedName name="TC_Rent" localSheetId="6">Application!$CB$159:$CH$217</definedName>
    <definedName name="TC_Rent">Application!$CB$159:$CH$217</definedName>
    <definedName name="TcacRents" localSheetId="6">Application!$BQ$656:$BV$713</definedName>
    <definedName name="TcacRents">Application!$CC$160:$CH$217</definedName>
    <definedName name="UnitSizes" localSheetId="6">Application!$BA$595:$BA$600</definedName>
    <definedName name="UnitSizes">Application!$AZ$702:$AZ$707</definedName>
    <definedName name="Z_48A1B9AA_9520_4513_968D_1FB22989E0AF_.wvu.Cols" localSheetId="7" hidden="1">'Basis &amp; Credits'!$AO:$IV</definedName>
    <definedName name="Z_48A1B9AA_9520_4513_968D_1FB22989E0AF_.wvu.Cols" localSheetId="8" hidden="1">'Points System'!$AN:$CC</definedName>
    <definedName name="Z_48A1B9AA_9520_4513_968D_1FB22989E0AF_.wvu.Cols" localSheetId="5" hidden="1">'Sources and Basis Breakdown'!$K:$IV</definedName>
    <definedName name="Z_48A1B9AA_9520_4513_968D_1FB22989E0AF_.wvu.PrintArea" localSheetId="7" hidden="1">'Basis &amp; Credits'!$A$1:$AN$83</definedName>
    <definedName name="Z_48A1B9AA_9520_4513_968D_1FB22989E0AF_.wvu.PrintArea" localSheetId="8" hidden="1">'Points System'!$A$1:$AM$823</definedName>
    <definedName name="Z_48A1B9AA_9520_4513_968D_1FB22989E0AF_.wvu.PrintArea" localSheetId="5" hidden="1">'Sources and Basis Breakdown'!$A$1:$J$143</definedName>
    <definedName name="Z_48A1B9AA_9520_4513_968D_1FB22989E0AF_.wvu.PrintTitles" localSheetId="5" hidden="1">'Sources and Basis Breakdown'!$1:$2</definedName>
    <definedName name="Z_48A1B9AA_9520_4513_968D_1FB22989E0AF_.wvu.Rows" localSheetId="7" hidden="1">'Basis &amp; Credits'!$104:$65544,'Basis &amp; Credits'!$85:$103</definedName>
    <definedName name="Z_48A1B9AA_9520_4513_968D_1FB22989E0AF_.wvu.Rows" localSheetId="8" hidden="1">'Points System'!$824:$63551,'Points System'!#REF!</definedName>
    <definedName name="Z_ACB87C9A_02C3_4C83_BBE4_E2C44A4D81CD_.wvu.Cols" localSheetId="3" hidden="1">Application!$AZ:$JI</definedName>
    <definedName name="Z_ACB87C9A_02C3_4C83_BBE4_E2C44A4D81CD_.wvu.Cols" localSheetId="2" hidden="1">'Application Checklist'!$H:$IR</definedName>
    <definedName name="Z_ACB87C9A_02C3_4C83_BBE4_E2C44A4D81CD_.wvu.Cols" localSheetId="0" hidden="1">'Instructions-App Completion '!$AM:$IV</definedName>
    <definedName name="Z_ACB87C9A_02C3_4C83_BBE4_E2C44A4D81CD_.wvu.Cols" localSheetId="1" hidden="1">'Instructions-Electronic Submit'!$K:$IV</definedName>
    <definedName name="Z_ACB87C9A_02C3_4C83_BBE4_E2C44A4D81CD_.wvu.Cols" localSheetId="4" hidden="1">'Sources and Uses Budget'!$V:$IV</definedName>
    <definedName name="Z_ACB87C9A_02C3_4C83_BBE4_E2C44A4D81CD_.wvu.FilterData" localSheetId="3" hidden="1">Application!$842:$965</definedName>
    <definedName name="Z_ACB87C9A_02C3_4C83_BBE4_E2C44A4D81CD_.wvu.PrintArea" localSheetId="11" hidden="1">'15 Year Pro Forma'!$A$1:$AH$77</definedName>
    <definedName name="Z_ACB87C9A_02C3_4C83_BBE4_E2C44A4D81CD_.wvu.PrintArea" localSheetId="3" hidden="1">Application!$A$1:$AL$1128</definedName>
    <definedName name="Z_ACB87C9A_02C3_4C83_BBE4_E2C44A4D81CD_.wvu.PrintArea" localSheetId="2" hidden="1">'Application Checklist'!$A$1:$G$825</definedName>
    <definedName name="Z_ACB87C9A_02C3_4C83_BBE4_E2C44A4D81CD_.wvu.PrintArea" localSheetId="0" hidden="1">'Instructions-App Completion '!$A$1:$AL$392</definedName>
    <definedName name="Z_ACB87C9A_02C3_4C83_BBE4_E2C44A4D81CD_.wvu.PrintArea" localSheetId="13" hidden="1">'Post-award Project Cost Changes'!$A$1:$F$107</definedName>
    <definedName name="Z_ACB87C9A_02C3_4C83_BBE4_E2C44A4D81CD_.wvu.PrintArea" localSheetId="4" hidden="1">'Sources and Uses Budget'!$A$1:$T$140</definedName>
    <definedName name="Z_ACB87C9A_02C3_4C83_BBE4_E2C44A4D81CD_.wvu.PrintTitles" localSheetId="4" hidden="1">'Sources and Uses Budget'!$1:$2</definedName>
    <definedName name="Z_ACB87C9A_02C3_4C83_BBE4_E2C44A4D81CD_.wvu.Rows" localSheetId="2" hidden="1">'Application Checklist'!$1380:$65425,'Application Checklist'!$826:$1174,'Application Checklist'!$1379:$1379</definedName>
    <definedName name="Z_ACB87C9A_02C3_4C83_BBE4_E2C44A4D81CD_.wvu.Rows" localSheetId="0" hidden="1">'Instructions-App Completion '!$498:$65575,'Instructions-App Completion '!$395:$454</definedName>
    <definedName name="Z_ACB87C9A_02C3_4C83_BBE4_E2C44A4D81CD_.wvu.Rows" localSheetId="13" hidden="1">'Post-award Project Cost Changes'!$109:$19913</definedName>
    <definedName name="Z_ACB87C9A_02C3_4C83_BBE4_E2C44A4D81CD_.wvu.Rows" localSheetId="4" hidden="1">'Sources and Uses Budget'!$141:$65522,'Sources and Uses Budget'!#REF!</definedName>
  </definedNames>
  <calcPr calcId="191029"/>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101" i="23" l="1"/>
  <c r="V101" i="23"/>
  <c r="O101" i="23"/>
  <c r="I101" i="23"/>
  <c r="B61" i="23"/>
  <c r="AD201" i="20" l="1"/>
  <c r="AD200" i="20"/>
  <c r="AD199" i="20"/>
  <c r="S45" i="4" l="1"/>
  <c r="S46" i="4"/>
  <c r="C45" i="4"/>
  <c r="C46" i="4"/>
  <c r="W859" i="3"/>
  <c r="W857" i="3" s="1"/>
  <c r="AM556" i="3"/>
  <c r="C41" i="4"/>
  <c r="E41" i="4" s="1"/>
  <c r="AA918" i="3"/>
  <c r="W854" i="3"/>
  <c r="W866" i="3"/>
  <c r="E93" i="4" l="1"/>
  <c r="E92" i="4"/>
  <c r="E91" i="4"/>
  <c r="E90" i="4"/>
  <c r="E89" i="4"/>
  <c r="E88" i="4"/>
  <c r="E86" i="4"/>
  <c r="E85" i="4"/>
  <c r="E83" i="4"/>
  <c r="E80" i="4"/>
  <c r="E79" i="4"/>
  <c r="E75" i="4"/>
  <c r="E66" i="4"/>
  <c r="E65" i="4"/>
  <c r="E56" i="4"/>
  <c r="E50" i="4"/>
  <c r="E49" i="4"/>
  <c r="E48" i="4"/>
  <c r="E46" i="4"/>
  <c r="E45" i="4"/>
  <c r="E43" i="4"/>
  <c r="E40" i="4"/>
  <c r="E36" i="4"/>
  <c r="E35" i="4"/>
  <c r="E31" i="4"/>
  <c r="E32" i="4"/>
  <c r="E33" i="4"/>
  <c r="S90" i="4"/>
  <c r="C30" i="4"/>
  <c r="S30" i="4" s="1"/>
  <c r="S85" i="4"/>
  <c r="S86" i="4"/>
  <c r="E13" i="4"/>
  <c r="E4" i="4"/>
  <c r="AA948" i="3" l="1"/>
  <c r="AA934" i="3"/>
  <c r="AA919" i="3"/>
  <c r="S89" i="4" l="1"/>
  <c r="S35" i="4"/>
  <c r="S36" i="4"/>
  <c r="S66" i="4"/>
  <c r="S99" i="4"/>
  <c r="S79" i="4"/>
  <c r="S48" i="4"/>
  <c r="S31" i="4"/>
  <c r="S33" i="4"/>
  <c r="S32" i="4"/>
  <c r="S29" i="4"/>
  <c r="S43" i="4"/>
  <c r="S40" i="4"/>
  <c r="AC886" i="3"/>
  <c r="S41" i="4" l="1"/>
  <c r="T627" i="3" l="1"/>
  <c r="AF627" i="3" s="1"/>
  <c r="Q627" i="3"/>
  <c r="BE103" i="3" l="1"/>
  <c r="AC216" i="23"/>
  <c r="Y216" i="23"/>
  <c r="U216" i="23"/>
  <c r="BQ102" i="23"/>
  <c r="BQ101" i="23"/>
  <c r="N11" i="23"/>
  <c r="W879" i="3"/>
  <c r="W855" i="3"/>
  <c r="W847" i="3"/>
  <c r="W862" i="3"/>
  <c r="W872" i="3"/>
  <c r="L44" i="21"/>
  <c r="M44" i="21"/>
  <c r="R44" i="21" s="1" a="1"/>
  <c r="R44" i="21" s="1"/>
  <c r="N44" i="21"/>
  <c r="L45" i="21"/>
  <c r="M45" i="21"/>
  <c r="O45" i="21" s="1"/>
  <c r="N45" i="21"/>
  <c r="L46" i="21"/>
  <c r="M46" i="21"/>
  <c r="O46" i="21" s="1"/>
  <c r="N46" i="21"/>
  <c r="L47" i="21"/>
  <c r="M47" i="21"/>
  <c r="O47" i="21" s="1"/>
  <c r="N47" i="21"/>
  <c r="L48" i="21"/>
  <c r="M48" i="21"/>
  <c r="O48" i="21" s="1"/>
  <c r="N48" i="21"/>
  <c r="L49" i="21"/>
  <c r="M49" i="21"/>
  <c r="S49" i="21" s="1"/>
  <c r="N49" i="21"/>
  <c r="L50" i="21"/>
  <c r="M50" i="21"/>
  <c r="T50" i="21" s="1"/>
  <c r="N50" i="21"/>
  <c r="L51" i="21"/>
  <c r="M51" i="21"/>
  <c r="S51" i="21" s="1"/>
  <c r="N51" i="21"/>
  <c r="L52" i="21"/>
  <c r="M52" i="21"/>
  <c r="R52" i="21" s="1" a="1"/>
  <c r="R52" i="21" s="1"/>
  <c r="N52" i="21"/>
  <c r="L53" i="21"/>
  <c r="M53" i="21"/>
  <c r="P53" i="21" s="1" a="1"/>
  <c r="P53" i="21" s="1"/>
  <c r="N53" i="21"/>
  <c r="L54" i="21"/>
  <c r="M54" i="21"/>
  <c r="O54" i="21" s="1"/>
  <c r="N54" i="21"/>
  <c r="I9" i="21"/>
  <c r="AY1014" i="3"/>
  <c r="AY1015" i="3"/>
  <c r="AY1016" i="3"/>
  <c r="AY1017" i="3"/>
  <c r="AY1018" i="3"/>
  <c r="AY1019" i="3"/>
  <c r="AY1020" i="3"/>
  <c r="AY1021" i="3"/>
  <c r="AY1022" i="3"/>
  <c r="AY1023" i="3"/>
  <c r="AY1013" i="3"/>
  <c r="AZ719" i="3"/>
  <c r="AZ720" i="3"/>
  <c r="AZ721" i="3"/>
  <c r="AZ722" i="3"/>
  <c r="AZ723" i="3"/>
  <c r="AZ724" i="3"/>
  <c r="AZ725" i="3"/>
  <c r="AZ726" i="3"/>
  <c r="AZ727" i="3"/>
  <c r="AZ728" i="3"/>
  <c r="AZ729" i="3"/>
  <c r="AZ730" i="3"/>
  <c r="AZ731" i="3"/>
  <c r="AZ732" i="3"/>
  <c r="AZ733" i="3"/>
  <c r="AZ734" i="3"/>
  <c r="AZ735" i="3"/>
  <c r="AZ736" i="3"/>
  <c r="AZ737" i="3"/>
  <c r="AZ738" i="3"/>
  <c r="AZ739" i="3"/>
  <c r="AZ740" i="3"/>
  <c r="AZ741" i="3"/>
  <c r="AZ742" i="3"/>
  <c r="AZ743" i="3"/>
  <c r="AZ744" i="3"/>
  <c r="AZ745" i="3"/>
  <c r="AZ746" i="3"/>
  <c r="AZ747" i="3"/>
  <c r="AZ748" i="3"/>
  <c r="AZ749" i="3"/>
  <c r="AZ750" i="3"/>
  <c r="AZ751" i="3"/>
  <c r="AZ752" i="3"/>
  <c r="AZ718" i="3"/>
  <c r="G70" i="21"/>
  <c r="G76" i="21" s="1"/>
  <c r="P52" i="21" l="1" a="1"/>
  <c r="P52" i="21" s="1"/>
  <c r="S52" i="21"/>
  <c r="U46" i="21"/>
  <c r="O49" i="21"/>
  <c r="O51" i="21"/>
  <c r="R49" i="21" a="1"/>
  <c r="R49" i="21" s="1"/>
  <c r="T46" i="21"/>
  <c r="P49" i="21" a="1"/>
  <c r="P49" i="21" s="1"/>
  <c r="S46" i="21"/>
  <c r="U45" i="21"/>
  <c r="T48" i="21"/>
  <c r="T45" i="21"/>
  <c r="R48" i="21" a="1"/>
  <c r="R48" i="21" s="1"/>
  <c r="S45" i="21"/>
  <c r="P51" i="21" a="1"/>
  <c r="P51" i="21" s="1"/>
  <c r="P48" i="21" a="1"/>
  <c r="P48" i="21" s="1"/>
  <c r="S47" i="21"/>
  <c r="R53" i="21" a="1"/>
  <c r="R53" i="21" s="1"/>
  <c r="R47" i="21" a="1"/>
  <c r="R47" i="21" s="1"/>
  <c r="U48" i="21"/>
  <c r="S48" i="21"/>
  <c r="R51" i="21" a="1"/>
  <c r="R51" i="21" s="1"/>
  <c r="U53" i="21"/>
  <c r="T53" i="21"/>
  <c r="U50" i="21"/>
  <c r="S50" i="21"/>
  <c r="P50" i="21" a="1"/>
  <c r="P50" i="21" s="1"/>
  <c r="O50" i="21"/>
  <c r="U49" i="21"/>
  <c r="U51" i="21"/>
  <c r="U47" i="21"/>
  <c r="T51" i="21"/>
  <c r="T49" i="21"/>
  <c r="T47" i="21"/>
  <c r="T44" i="21"/>
  <c r="R46" i="21" a="1"/>
  <c r="R46" i="21" s="1"/>
  <c r="P47" i="21" a="1"/>
  <c r="P47" i="21" s="1"/>
  <c r="O53" i="21"/>
  <c r="U44" i="21"/>
  <c r="U54" i="21"/>
  <c r="O52" i="21"/>
  <c r="R50" i="21" a="1"/>
  <c r="R50" i="21" s="1"/>
  <c r="P44" i="21" a="1"/>
  <c r="P44" i="21" s="1"/>
  <c r="T54" i="21"/>
  <c r="O44" i="21"/>
  <c r="S54" i="21"/>
  <c r="R54" i="21" a="1"/>
  <c r="R54" i="21" s="1"/>
  <c r="S53" i="21"/>
  <c r="U52" i="21"/>
  <c r="P54" i="21" a="1"/>
  <c r="P54" i="21" s="1"/>
  <c r="T52" i="21"/>
  <c r="P46" i="21" a="1"/>
  <c r="P46" i="21" s="1"/>
  <c r="R45" i="21" a="1"/>
  <c r="R45" i="21" s="1"/>
  <c r="S44" i="21"/>
  <c r="P45" i="21" a="1"/>
  <c r="P45" i="21" s="1"/>
  <c r="AD67" i="15" a="1"/>
  <c r="AD67" i="15" s="1"/>
  <c r="Y67" i="15" a="1"/>
  <c r="Y67" i="15" s="1"/>
  <c r="BE100" i="3" l="1"/>
  <c r="BE99" i="3"/>
  <c r="BE98" i="3"/>
  <c r="BE97" i="3"/>
  <c r="BE96" i="3"/>
  <c r="BE95" i="3"/>
  <c r="BE94" i="3"/>
  <c r="BE93" i="3"/>
  <c r="BE92" i="3"/>
  <c r="BE91" i="3"/>
  <c r="BE90" i="3"/>
  <c r="BE89" i="3"/>
  <c r="BE88" i="3"/>
  <c r="BE87" i="3"/>
  <c r="BE86" i="3"/>
  <c r="BE85" i="3"/>
  <c r="BE84" i="3"/>
  <c r="BE67" i="3"/>
  <c r="BE66" i="3"/>
  <c r="BE64" i="3"/>
  <c r="BE61" i="3"/>
  <c r="BE60" i="3"/>
  <c r="BE59" i="3"/>
  <c r="BE58" i="3"/>
  <c r="BE57" i="3"/>
  <c r="BE56" i="3"/>
  <c r="BE55" i="3"/>
  <c r="BE54" i="3"/>
  <c r="BE53" i="3"/>
  <c r="BE52" i="3"/>
  <c r="BE51" i="3"/>
  <c r="BE50" i="3"/>
  <c r="BE49" i="3"/>
  <c r="BE48" i="3"/>
  <c r="BE47" i="3"/>
  <c r="BE46" i="3"/>
  <c r="BE45" i="3"/>
  <c r="BE41" i="3"/>
  <c r="BE40" i="3"/>
  <c r="BE39" i="3"/>
  <c r="BE38" i="3"/>
  <c r="BE37" i="3"/>
  <c r="BE36" i="3"/>
  <c r="BE35" i="3"/>
  <c r="BE34" i="3"/>
  <c r="BE33" i="3"/>
  <c r="BE32" i="3"/>
  <c r="BE31" i="3"/>
  <c r="BE30" i="3"/>
  <c r="BE29" i="3"/>
  <c r="BE28" i="3"/>
  <c r="BE27" i="3"/>
  <c r="BE26" i="3"/>
  <c r="BE25" i="3"/>
  <c r="BE21" i="3"/>
  <c r="BE17" i="3"/>
  <c r="BE16" i="3"/>
  <c r="BE102" i="3"/>
  <c r="BE65" i="3"/>
  <c r="BE5" i="3"/>
  <c r="BE6" i="3" s="1"/>
  <c r="BE3" i="3"/>
  <c r="BR98" i="23" l="1"/>
  <c r="BQ98" i="23"/>
  <c r="BR97" i="23"/>
  <c r="BQ97" i="23"/>
  <c r="BR96" i="23"/>
  <c r="BQ96" i="23"/>
  <c r="AN28" i="23"/>
  <c r="AH28" i="23"/>
  <c r="AB28" i="23"/>
  <c r="V28" i="23"/>
  <c r="P28" i="23"/>
  <c r="S15" i="23"/>
  <c r="AO13" i="23"/>
  <c r="BE18" i="3"/>
  <c r="N10" i="23"/>
  <c r="AB8" i="23"/>
  <c r="L6" i="23"/>
  <c r="L4" i="23"/>
  <c r="V21" i="23" a="1"/>
  <c r="V21" i="23" s="1"/>
  <c r="AN19" i="23" a="1"/>
  <c r="AN19" i="23" s="1"/>
  <c r="AB20" i="23" a="1"/>
  <c r="AB20" i="23" s="1"/>
  <c r="P21" i="23" a="1"/>
  <c r="P21" i="23" s="1"/>
  <c r="V20" i="23" a="1"/>
  <c r="V20" i="23" s="1"/>
  <c r="P20" i="23" a="1"/>
  <c r="P20" i="23" s="1"/>
  <c r="P19" i="23" a="1"/>
  <c r="P19" i="23" s="1"/>
  <c r="AH19" i="23" a="1"/>
  <c r="AH19" i="23" s="1"/>
  <c r="AB19" i="23" a="1"/>
  <c r="AB19" i="23" s="1"/>
  <c r="V19" i="23" a="1"/>
  <c r="V19" i="23" s="1"/>
  <c r="AB24" i="23" a="1"/>
  <c r="AB24" i="23" s="1"/>
  <c r="AN24" i="23" a="1"/>
  <c r="AN24" i="23" s="1"/>
  <c r="AH24" i="23" a="1"/>
  <c r="AH24" i="23" s="1"/>
  <c r="AB23" i="23" a="1"/>
  <c r="AB23" i="23" s="1"/>
  <c r="AN23" i="23" a="1"/>
  <c r="AN23" i="23" s="1"/>
  <c r="AH23" i="23" a="1"/>
  <c r="AH23" i="23" s="1"/>
  <c r="V24" i="23" a="1"/>
  <c r="V24" i="23" s="1"/>
  <c r="P24" i="23" a="1"/>
  <c r="P24" i="23" s="1"/>
  <c r="V23" i="23" a="1"/>
  <c r="V23" i="23" s="1"/>
  <c r="AN22" i="23" a="1"/>
  <c r="AN22" i="23" s="1"/>
  <c r="AB22" i="23" a="1"/>
  <c r="AB22" i="23" s="1"/>
  <c r="V22" i="23" a="1"/>
  <c r="V22" i="23" s="1"/>
  <c r="AH21" i="23" a="1"/>
  <c r="AH21" i="23" s="1"/>
  <c r="P23" i="23" a="1"/>
  <c r="P23" i="23" s="1"/>
  <c r="AN21" i="23" a="1"/>
  <c r="AN21" i="23" s="1"/>
  <c r="P22" i="23" a="1"/>
  <c r="P22" i="23" s="1"/>
  <c r="AH22" i="23" a="1"/>
  <c r="AH22" i="23" s="1"/>
  <c r="AB21" i="23" a="1"/>
  <c r="AB21" i="23" s="1"/>
  <c r="AN20" i="23" a="1"/>
  <c r="AN20" i="23" s="1"/>
  <c r="AH20" i="23" a="1"/>
  <c r="AH20" i="23" s="1"/>
  <c r="O203" i="23"/>
  <c r="O75" i="23"/>
  <c r="B64" i="23"/>
  <c r="B63" i="23"/>
  <c r="B62" i="23"/>
  <c r="B60" i="23"/>
  <c r="Z57" i="23"/>
  <c r="R57" i="23"/>
  <c r="AS47" i="23"/>
  <c r="AS46" i="23"/>
  <c r="AS45" i="23"/>
  <c r="AS44" i="23"/>
  <c r="AS43" i="23"/>
  <c r="AS42" i="23"/>
  <c r="AS41" i="23"/>
  <c r="AS40" i="23"/>
  <c r="AS39" i="23"/>
  <c r="AS38" i="23"/>
  <c r="AS37" i="23"/>
  <c r="AS36" i="23"/>
  <c r="BA1041" i="3"/>
  <c r="BA1040" i="3"/>
  <c r="BA1046" i="3" s="1"/>
  <c r="CG718" i="3"/>
  <c r="CI718" i="3" s="1"/>
  <c r="BA1038" i="3"/>
  <c r="AZ1048" i="3"/>
  <c r="AZ1047" i="3"/>
  <c r="BA1052" i="3"/>
  <c r="BE7" i="3" l="1"/>
  <c r="J28" i="23"/>
  <c r="J23" i="23"/>
  <c r="O105" i="23"/>
  <c r="AN29" i="23"/>
  <c r="J20" i="23"/>
  <c r="AB29" i="23"/>
  <c r="J21" i="23"/>
  <c r="AH29" i="23"/>
  <c r="J22" i="23"/>
  <c r="J19" i="23"/>
  <c r="P29" i="23"/>
  <c r="V29" i="23"/>
  <c r="J24" i="23"/>
  <c r="R93" i="23"/>
  <c r="R80" i="23"/>
  <c r="BE8" i="3" l="1"/>
  <c r="BE9" i="3" s="1"/>
  <c r="J29" i="23"/>
  <c r="AT24" i="23" s="1"/>
  <c r="BH247" i="3"/>
  <c r="T212" i="3"/>
  <c r="I14" i="21"/>
  <c r="G137" i="21"/>
  <c r="G86" i="21"/>
  <c r="B82" i="21"/>
  <c r="B67" i="21"/>
  <c r="B92" i="21"/>
  <c r="B58" i="21"/>
  <c r="B49" i="21"/>
  <c r="BA1042" i="3" l="1"/>
  <c r="BD1051" i="3" s="1" a="1"/>
  <c r="BD1051" i="3" s="1"/>
  <c r="C5" i="7"/>
  <c r="BE10" i="3"/>
  <c r="BE11" i="3" s="1"/>
  <c r="AT19" i="23"/>
  <c r="AT21" i="23"/>
  <c r="AT26" i="23"/>
  <c r="AT29" i="23"/>
  <c r="AT25" i="23"/>
  <c r="AY45" i="23"/>
  <c r="AY41" i="23"/>
  <c r="AY37" i="23"/>
  <c r="AT27" i="23"/>
  <c r="AY46" i="23"/>
  <c r="AT28" i="23"/>
  <c r="AY42" i="23"/>
  <c r="AY43" i="23"/>
  <c r="AY39" i="23"/>
  <c r="AY44" i="23"/>
  <c r="AY40" i="23"/>
  <c r="AY47" i="23"/>
  <c r="AY36" i="23"/>
  <c r="AT23" i="23"/>
  <c r="AT20" i="23"/>
  <c r="AY38" i="23"/>
  <c r="AT22" i="23"/>
  <c r="G37" i="21"/>
  <c r="P18" i="21"/>
  <c r="BE12" i="3" l="1"/>
  <c r="BE13" i="3" s="1"/>
  <c r="BE14" i="3" s="1"/>
  <c r="BE15" i="3" s="1"/>
  <c r="C39" i="21"/>
  <c r="G136" i="21"/>
  <c r="I17" i="21" s="1"/>
  <c r="AO22" i="20"/>
  <c r="AO17" i="20"/>
  <c r="AO13" i="20"/>
  <c r="AO25" i="20"/>
  <c r="AG444" i="3" l="1"/>
  <c r="AG441" i="3"/>
  <c r="BN150" i="3" l="1"/>
  <c r="C178" i="20" l="1"/>
  <c r="U374" i="20"/>
  <c r="AJ711" i="20"/>
  <c r="L100" i="21"/>
  <c r="X752" i="3" l="1"/>
  <c r="AH752" i="3"/>
  <c r="BF751" i="3"/>
  <c r="BS751" i="3"/>
  <c r="BS752" i="3"/>
  <c r="AJ1020" i="3"/>
  <c r="BF740" i="3" l="1"/>
  <c r="AH751" i="3"/>
  <c r="AH742" i="3"/>
  <c r="AY1027" i="3"/>
  <c r="G753" i="3"/>
  <c r="C757" i="3" l="1"/>
  <c r="AX690" i="20"/>
  <c r="AX689" i="20"/>
  <c r="AJ725" i="20"/>
  <c r="AO597" i="20"/>
  <c r="AP583" i="20"/>
  <c r="BS742" i="3" l="1"/>
  <c r="BS743" i="3"/>
  <c r="BS744" i="3"/>
  <c r="BS745" i="3"/>
  <c r="BS746" i="3"/>
  <c r="BS747" i="3"/>
  <c r="BS748" i="3"/>
  <c r="BS749" i="3"/>
  <c r="BS750" i="3"/>
  <c r="BF742" i="3"/>
  <c r="BF743" i="3"/>
  <c r="BF744" i="3"/>
  <c r="BF745" i="3"/>
  <c r="BF746" i="3"/>
  <c r="BF747" i="3"/>
  <c r="BF748" i="3"/>
  <c r="BF749" i="3"/>
  <c r="BF750" i="3"/>
  <c r="BF741" i="3"/>
  <c r="BF752"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6" i="8"/>
  <c r="I6" i="8"/>
  <c r="J5" i="8"/>
  <c r="I5" i="8"/>
  <c r="I4" i="8"/>
  <c r="J4" i="8" s="1"/>
  <c r="AH750" i="3"/>
  <c r="AH749" i="3"/>
  <c r="AH748" i="3"/>
  <c r="AH747" i="3"/>
  <c r="AH746" i="3"/>
  <c r="AH745" i="3"/>
  <c r="AH744" i="3"/>
  <c r="AH743" i="3"/>
  <c r="AH741" i="3"/>
  <c r="AH740" i="3"/>
  <c r="AH739" i="3"/>
  <c r="AH738" i="3"/>
  <c r="DU751" i="3"/>
  <c r="DZ751" i="3"/>
  <c r="EE751" i="3"/>
  <c r="EJ751" i="3"/>
  <c r="EO751" i="3"/>
  <c r="ET751" i="3"/>
  <c r="DU741" i="3"/>
  <c r="DZ741" i="3"/>
  <c r="EE741" i="3"/>
  <c r="EJ741" i="3"/>
  <c r="EO741" i="3"/>
  <c r="ET741" i="3"/>
  <c r="DU742" i="3"/>
  <c r="DZ742" i="3"/>
  <c r="EE742" i="3"/>
  <c r="EJ742" i="3"/>
  <c r="EO742" i="3"/>
  <c r="ET742" i="3"/>
  <c r="DU743" i="3"/>
  <c r="DZ743" i="3"/>
  <c r="EE743" i="3"/>
  <c r="EJ743" i="3"/>
  <c r="EO743" i="3"/>
  <c r="ET743" i="3"/>
  <c r="DU744" i="3"/>
  <c r="DZ744" i="3"/>
  <c r="EE744" i="3"/>
  <c r="EJ744" i="3"/>
  <c r="EO744" i="3"/>
  <c r="ET744" i="3"/>
  <c r="DU745" i="3"/>
  <c r="DZ745" i="3"/>
  <c r="EE745" i="3"/>
  <c r="EJ745" i="3"/>
  <c r="EO745" i="3"/>
  <c r="ET745" i="3"/>
  <c r="DU746" i="3"/>
  <c r="DZ746" i="3"/>
  <c r="EE746" i="3"/>
  <c r="EJ746" i="3"/>
  <c r="EO746" i="3"/>
  <c r="ET746" i="3"/>
  <c r="DU747" i="3"/>
  <c r="DZ747" i="3"/>
  <c r="EE747" i="3"/>
  <c r="EJ747" i="3"/>
  <c r="EO747" i="3"/>
  <c r="ET747" i="3"/>
  <c r="DU748" i="3"/>
  <c r="DZ748" i="3"/>
  <c r="EE748" i="3"/>
  <c r="EJ748" i="3"/>
  <c r="EO748" i="3"/>
  <c r="ET748" i="3"/>
  <c r="DU749" i="3"/>
  <c r="DZ749" i="3"/>
  <c r="EE749" i="3"/>
  <c r="EJ749" i="3"/>
  <c r="EO749" i="3"/>
  <c r="ET749" i="3"/>
  <c r="DU750" i="3"/>
  <c r="DZ750" i="3"/>
  <c r="EE750" i="3"/>
  <c r="EJ750" i="3"/>
  <c r="EO750" i="3"/>
  <c r="ET750" i="3"/>
  <c r="CP751" i="3"/>
  <c r="EZ751" i="3" s="1"/>
  <c r="CU751" i="3"/>
  <c r="FE751" i="3" s="1"/>
  <c r="CZ751" i="3"/>
  <c r="FJ751" i="3" s="1"/>
  <c r="DE751" i="3"/>
  <c r="FO751" i="3" s="1"/>
  <c r="DJ751" i="3"/>
  <c r="FT751" i="3" s="1"/>
  <c r="DO751" i="3"/>
  <c r="FY751" i="3" s="1"/>
  <c r="CP741" i="3"/>
  <c r="EZ741" i="3" s="1"/>
  <c r="CU741" i="3"/>
  <c r="FE741" i="3" s="1"/>
  <c r="CZ741" i="3"/>
  <c r="FJ741" i="3" s="1"/>
  <c r="DE741" i="3"/>
  <c r="FO741" i="3" s="1"/>
  <c r="DJ741" i="3"/>
  <c r="FT741" i="3" s="1"/>
  <c r="DO741" i="3"/>
  <c r="FY741" i="3" s="1"/>
  <c r="CP742" i="3"/>
  <c r="EZ742" i="3" s="1"/>
  <c r="CU742" i="3"/>
  <c r="FE742" i="3" s="1"/>
  <c r="CZ742" i="3"/>
  <c r="FJ742" i="3" s="1"/>
  <c r="DE742" i="3"/>
  <c r="FO742" i="3" s="1"/>
  <c r="DJ742" i="3"/>
  <c r="FT742" i="3" s="1"/>
  <c r="DO742" i="3"/>
  <c r="FY742" i="3" s="1"/>
  <c r="CP743" i="3"/>
  <c r="EZ743" i="3" s="1"/>
  <c r="CU743" i="3"/>
  <c r="FE743" i="3" s="1"/>
  <c r="CZ743" i="3"/>
  <c r="FJ743" i="3" s="1"/>
  <c r="DE743" i="3"/>
  <c r="FO743" i="3" s="1"/>
  <c r="DJ743" i="3"/>
  <c r="FT743" i="3" s="1"/>
  <c r="DO743" i="3"/>
  <c r="FY743" i="3" s="1"/>
  <c r="CP744" i="3"/>
  <c r="EZ744" i="3" s="1"/>
  <c r="CU744" i="3"/>
  <c r="FE744" i="3" s="1"/>
  <c r="CZ744" i="3"/>
  <c r="FJ744" i="3" s="1"/>
  <c r="DE744" i="3"/>
  <c r="FO744" i="3" s="1"/>
  <c r="DJ744" i="3"/>
  <c r="FT744" i="3" s="1"/>
  <c r="DO744" i="3"/>
  <c r="FY744" i="3" s="1"/>
  <c r="CP745" i="3"/>
  <c r="EZ745" i="3" s="1"/>
  <c r="CU745" i="3"/>
  <c r="FE745" i="3" s="1"/>
  <c r="CZ745" i="3"/>
  <c r="FJ745" i="3" s="1"/>
  <c r="DE745" i="3"/>
  <c r="FO745" i="3" s="1"/>
  <c r="DJ745" i="3"/>
  <c r="FT745" i="3" s="1"/>
  <c r="DO745" i="3"/>
  <c r="FY745" i="3" s="1"/>
  <c r="CP746" i="3"/>
  <c r="EZ746" i="3" s="1"/>
  <c r="CU746" i="3"/>
  <c r="FE746" i="3" s="1"/>
  <c r="CZ746" i="3"/>
  <c r="FJ746" i="3" s="1"/>
  <c r="DE746" i="3"/>
  <c r="FO746" i="3" s="1"/>
  <c r="DJ746" i="3"/>
  <c r="FT746" i="3" s="1"/>
  <c r="DO746" i="3"/>
  <c r="FY746" i="3" s="1"/>
  <c r="CP747" i="3"/>
  <c r="EZ747" i="3" s="1"/>
  <c r="CU747" i="3"/>
  <c r="FE747" i="3" s="1"/>
  <c r="CZ747" i="3"/>
  <c r="FJ747" i="3" s="1"/>
  <c r="DE747" i="3"/>
  <c r="FO747" i="3" s="1"/>
  <c r="DJ747" i="3"/>
  <c r="FT747" i="3" s="1"/>
  <c r="DO747" i="3"/>
  <c r="FY747" i="3" s="1"/>
  <c r="CP748" i="3"/>
  <c r="EZ748" i="3" s="1"/>
  <c r="CU748" i="3"/>
  <c r="FE748" i="3" s="1"/>
  <c r="CZ748" i="3"/>
  <c r="FJ748" i="3" s="1"/>
  <c r="DE748" i="3"/>
  <c r="FO748" i="3" s="1"/>
  <c r="DJ748" i="3"/>
  <c r="FT748" i="3" s="1"/>
  <c r="DO748" i="3"/>
  <c r="FY748" i="3" s="1"/>
  <c r="CP749" i="3"/>
  <c r="EZ749" i="3" s="1"/>
  <c r="CU749" i="3"/>
  <c r="FE749" i="3" s="1"/>
  <c r="CZ749" i="3"/>
  <c r="FJ749" i="3" s="1"/>
  <c r="DE749" i="3"/>
  <c r="FO749" i="3" s="1"/>
  <c r="DJ749" i="3"/>
  <c r="FT749" i="3" s="1"/>
  <c r="DO749" i="3"/>
  <c r="FY749" i="3" s="1"/>
  <c r="CP750" i="3"/>
  <c r="EZ750" i="3" s="1"/>
  <c r="CU750" i="3"/>
  <c r="FE750" i="3" s="1"/>
  <c r="CZ750" i="3"/>
  <c r="FJ750" i="3" s="1"/>
  <c r="DE750" i="3"/>
  <c r="FO750" i="3" s="1"/>
  <c r="DJ750" i="3"/>
  <c r="FT750" i="3" s="1"/>
  <c r="DO750" i="3"/>
  <c r="FY750" i="3" s="1"/>
  <c r="CG751" i="3"/>
  <c r="CI751" i="3" s="1"/>
  <c r="CK751" i="3"/>
  <c r="CM751" i="3" s="1"/>
  <c r="CG741" i="3"/>
  <c r="CI741" i="3" s="1"/>
  <c r="CK741" i="3"/>
  <c r="CM741" i="3" s="1"/>
  <c r="CG742" i="3"/>
  <c r="CI742" i="3" s="1"/>
  <c r="CK742" i="3"/>
  <c r="CM742" i="3" s="1"/>
  <c r="CG743" i="3"/>
  <c r="CI743" i="3" s="1"/>
  <c r="CK743" i="3"/>
  <c r="CM743" i="3" s="1"/>
  <c r="CG744" i="3"/>
  <c r="CI744" i="3" s="1"/>
  <c r="CK744" i="3"/>
  <c r="CM744" i="3" s="1"/>
  <c r="CG745" i="3"/>
  <c r="CI745" i="3" s="1"/>
  <c r="CK745" i="3"/>
  <c r="CM745" i="3" s="1"/>
  <c r="CG746" i="3"/>
  <c r="CI746" i="3" s="1"/>
  <c r="CK746" i="3"/>
  <c r="CM746" i="3" s="1"/>
  <c r="CG747" i="3"/>
  <c r="CI747" i="3" s="1"/>
  <c r="CK747" i="3"/>
  <c r="CM747" i="3" s="1"/>
  <c r="CG748" i="3"/>
  <c r="CI748" i="3" s="1"/>
  <c r="CK748" i="3"/>
  <c r="CM748" i="3" s="1"/>
  <c r="CG749" i="3"/>
  <c r="CI749" i="3" s="1"/>
  <c r="CK749" i="3"/>
  <c r="CM749" i="3" s="1"/>
  <c r="CG750" i="3"/>
  <c r="CI750" i="3" s="1"/>
  <c r="CK750" i="3"/>
  <c r="CM750" i="3" s="1"/>
  <c r="X742" i="3" l="1"/>
  <c r="X743" i="3"/>
  <c r="X744" i="3"/>
  <c r="X745" i="3"/>
  <c r="X746" i="3"/>
  <c r="X747" i="3"/>
  <c r="X748" i="3"/>
  <c r="X749" i="3"/>
  <c r="X750" i="3"/>
  <c r="X751" i="3"/>
  <c r="AJ180" i="20" l="1"/>
  <c r="AJ166" i="20"/>
  <c r="AP293" i="20"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4" i="3"/>
  <c r="AF1026" i="3"/>
  <c r="AF1021" i="3"/>
  <c r="E40" i="7"/>
  <c r="A40" i="7"/>
  <c r="E33" i="7"/>
  <c r="E32" i="7"/>
  <c r="E31" i="7"/>
  <c r="E30" i="7"/>
  <c r="E29" i="7"/>
  <c r="E28" i="7"/>
  <c r="E27" i="7"/>
  <c r="E26" i="7"/>
  <c r="E15" i="7"/>
  <c r="G15" i="7" s="1"/>
  <c r="E16" i="7"/>
  <c r="G16" i="7" s="1"/>
  <c r="I16" i="7" s="1"/>
  <c r="K16" i="7" s="1"/>
  <c r="M16" i="7" s="1"/>
  <c r="O16" i="7" s="1"/>
  <c r="Q16" i="7" s="1"/>
  <c r="S16" i="7" s="1"/>
  <c r="U16" i="7" s="1"/>
  <c r="W16" i="7" s="1"/>
  <c r="Y16" i="7" s="1"/>
  <c r="AA16" i="7" s="1"/>
  <c r="AC16" i="7" s="1"/>
  <c r="AE16" i="7" s="1"/>
  <c r="AG16" i="7" s="1"/>
  <c r="E17" i="7"/>
  <c r="G17" i="7" s="1"/>
  <c r="I17" i="7" s="1"/>
  <c r="K17" i="7" s="1"/>
  <c r="M17" i="7" s="1"/>
  <c r="O17" i="7" s="1"/>
  <c r="Q17" i="7" s="1"/>
  <c r="S17" i="7" s="1"/>
  <c r="U17" i="7" s="1"/>
  <c r="W17" i="7" s="1"/>
  <c r="Y17" i="7" s="1"/>
  <c r="AA17" i="7" s="1"/>
  <c r="AC17" i="7" s="1"/>
  <c r="AE17" i="7" s="1"/>
  <c r="AG17" i="7" s="1"/>
  <c r="E18" i="7"/>
  <c r="G18" i="7" s="1"/>
  <c r="I18" i="7" s="1"/>
  <c r="K18" i="7" s="1"/>
  <c r="M18" i="7" s="1"/>
  <c r="O18" i="7" s="1"/>
  <c r="Q18" i="7" s="1"/>
  <c r="S18" i="7" s="1"/>
  <c r="U18" i="7" s="1"/>
  <c r="W18" i="7" s="1"/>
  <c r="Y18" i="7" s="1"/>
  <c r="AA18" i="7" s="1"/>
  <c r="AC18" i="7" s="1"/>
  <c r="AE18" i="7" s="1"/>
  <c r="AG18" i="7" s="1"/>
  <c r="E19" i="7"/>
  <c r="E21" i="7"/>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DG122" i="3"/>
  <c r="R989" i="3" s="1"/>
  <c r="CP718" i="3"/>
  <c r="CP719" i="3"/>
  <c r="EZ719" i="3" s="1"/>
  <c r="CP720" i="3"/>
  <c r="EZ720" i="3" s="1"/>
  <c r="CP721" i="3"/>
  <c r="EZ721" i="3" s="1"/>
  <c r="CP722" i="3"/>
  <c r="EZ722" i="3" s="1"/>
  <c r="CP723" i="3"/>
  <c r="EZ723" i="3" s="1"/>
  <c r="CP724" i="3"/>
  <c r="EZ724" i="3" s="1"/>
  <c r="CP725" i="3"/>
  <c r="EZ725" i="3" s="1"/>
  <c r="CP726" i="3"/>
  <c r="EZ726" i="3" s="1"/>
  <c r="CP727" i="3"/>
  <c r="EZ727" i="3" s="1"/>
  <c r="CP728" i="3"/>
  <c r="EZ728" i="3" s="1"/>
  <c r="CP729" i="3"/>
  <c r="EZ729" i="3" s="1"/>
  <c r="CP730" i="3"/>
  <c r="EZ730" i="3" s="1"/>
  <c r="CP731" i="3"/>
  <c r="EZ731" i="3" s="1"/>
  <c r="CP732" i="3"/>
  <c r="EZ732" i="3" s="1"/>
  <c r="CP733" i="3"/>
  <c r="EZ733" i="3" s="1"/>
  <c r="CP734" i="3"/>
  <c r="EZ734" i="3" s="1"/>
  <c r="CP735" i="3"/>
  <c r="EZ735" i="3" s="1"/>
  <c r="CP736" i="3"/>
  <c r="EZ736" i="3" s="1"/>
  <c r="CP737" i="3"/>
  <c r="EZ737" i="3" s="1"/>
  <c r="CP738" i="3"/>
  <c r="EZ738" i="3" s="1"/>
  <c r="CP739" i="3"/>
  <c r="EZ739" i="3" s="1"/>
  <c r="CP740" i="3"/>
  <c r="EZ740" i="3" s="1"/>
  <c r="CP752" i="3"/>
  <c r="EZ752" i="3" s="1"/>
  <c r="CP773" i="3"/>
  <c r="CP774" i="3"/>
  <c r="CP775" i="3"/>
  <c r="CP776" i="3"/>
  <c r="CP787" i="3"/>
  <c r="DU787" i="3" s="1"/>
  <c r="CP788" i="3"/>
  <c r="DU788" i="3" s="1"/>
  <c r="CP789" i="3"/>
  <c r="DU789" i="3" s="1"/>
  <c r="CP790" i="3"/>
  <c r="CP791" i="3"/>
  <c r="DU791" i="3" s="1"/>
  <c r="CP792" i="3"/>
  <c r="DU792" i="3" s="1"/>
  <c r="CP793" i="3"/>
  <c r="DU793" i="3" s="1"/>
  <c r="CP794" i="3"/>
  <c r="DU794" i="3" s="1"/>
  <c r="CP795" i="3"/>
  <c r="DU795" i="3" s="1"/>
  <c r="CP796" i="3"/>
  <c r="DU796" i="3" s="1"/>
  <c r="CU718" i="3"/>
  <c r="CU719" i="3"/>
  <c r="FE719" i="3" s="1"/>
  <c r="CU720" i="3"/>
  <c r="FE720" i="3" s="1"/>
  <c r="CU721" i="3"/>
  <c r="FE721" i="3" s="1"/>
  <c r="CU722" i="3"/>
  <c r="FE722" i="3" s="1"/>
  <c r="CU723" i="3"/>
  <c r="FE723" i="3" s="1"/>
  <c r="CU724" i="3"/>
  <c r="FE724" i="3" s="1"/>
  <c r="CU725" i="3"/>
  <c r="FE725" i="3" s="1"/>
  <c r="CU726" i="3"/>
  <c r="FE726" i="3" s="1"/>
  <c r="CU727" i="3"/>
  <c r="FE727" i="3" s="1"/>
  <c r="CU728" i="3"/>
  <c r="FE728" i="3" s="1"/>
  <c r="CU729" i="3"/>
  <c r="FE729" i="3" s="1"/>
  <c r="CU730" i="3"/>
  <c r="FE730" i="3" s="1"/>
  <c r="CU731" i="3"/>
  <c r="FE731" i="3" s="1"/>
  <c r="CU732" i="3"/>
  <c r="FE732" i="3" s="1"/>
  <c r="CU733" i="3"/>
  <c r="FE733" i="3" s="1"/>
  <c r="CU734" i="3"/>
  <c r="FE734" i="3" s="1"/>
  <c r="CU735" i="3"/>
  <c r="FE735" i="3" s="1"/>
  <c r="CU736" i="3"/>
  <c r="FE736" i="3" s="1"/>
  <c r="CU737" i="3"/>
  <c r="FE737" i="3" s="1"/>
  <c r="CU738" i="3"/>
  <c r="FE738" i="3" s="1"/>
  <c r="CU739" i="3"/>
  <c r="FE739" i="3" s="1"/>
  <c r="CU740" i="3"/>
  <c r="FE740" i="3" s="1"/>
  <c r="CU752" i="3"/>
  <c r="FE752" i="3" s="1"/>
  <c r="CU773" i="3"/>
  <c r="CU774" i="3"/>
  <c r="CU775" i="3"/>
  <c r="CU776" i="3"/>
  <c r="CU787" i="3"/>
  <c r="DZ787" i="3" s="1"/>
  <c r="CU788" i="3"/>
  <c r="DZ788" i="3" s="1"/>
  <c r="CU789" i="3"/>
  <c r="DZ789" i="3" s="1"/>
  <c r="CU790" i="3"/>
  <c r="DZ790" i="3" s="1"/>
  <c r="CU791" i="3"/>
  <c r="DZ791" i="3" s="1"/>
  <c r="CU792" i="3"/>
  <c r="DZ792" i="3" s="1"/>
  <c r="CU793" i="3"/>
  <c r="DZ793" i="3" s="1"/>
  <c r="CU794" i="3"/>
  <c r="DZ794" i="3" s="1"/>
  <c r="CU795" i="3"/>
  <c r="DZ795" i="3" s="1"/>
  <c r="CU796" i="3"/>
  <c r="DZ796" i="3" s="1"/>
  <c r="CZ718" i="3"/>
  <c r="FJ718" i="3" s="1"/>
  <c r="CZ719" i="3"/>
  <c r="FJ719" i="3" s="1"/>
  <c r="CZ720" i="3"/>
  <c r="FJ720" i="3" s="1"/>
  <c r="CZ721" i="3"/>
  <c r="FJ721" i="3" s="1"/>
  <c r="CZ722" i="3"/>
  <c r="FJ722" i="3" s="1"/>
  <c r="CZ723" i="3"/>
  <c r="FJ723" i="3" s="1"/>
  <c r="CZ724" i="3"/>
  <c r="FJ724" i="3" s="1"/>
  <c r="CZ725" i="3"/>
  <c r="FJ725" i="3" s="1"/>
  <c r="CZ726" i="3"/>
  <c r="FJ726" i="3" s="1"/>
  <c r="CZ727" i="3"/>
  <c r="FJ727" i="3" s="1"/>
  <c r="CZ728" i="3"/>
  <c r="FJ728" i="3" s="1"/>
  <c r="CZ729" i="3"/>
  <c r="FJ729" i="3" s="1"/>
  <c r="CZ730" i="3"/>
  <c r="FJ730" i="3" s="1"/>
  <c r="CZ731" i="3"/>
  <c r="FJ731" i="3" s="1"/>
  <c r="CZ732" i="3"/>
  <c r="FJ732" i="3" s="1"/>
  <c r="CZ733" i="3"/>
  <c r="FJ733" i="3" s="1"/>
  <c r="CZ734" i="3"/>
  <c r="FJ734" i="3" s="1"/>
  <c r="CZ735" i="3"/>
  <c r="FJ735" i="3" s="1"/>
  <c r="CZ736" i="3"/>
  <c r="FJ736" i="3" s="1"/>
  <c r="CZ737" i="3"/>
  <c r="FJ737" i="3" s="1"/>
  <c r="CZ738" i="3"/>
  <c r="FJ738" i="3" s="1"/>
  <c r="CZ739" i="3"/>
  <c r="FJ739" i="3" s="1"/>
  <c r="CZ740" i="3"/>
  <c r="FJ740" i="3" s="1"/>
  <c r="CZ752" i="3"/>
  <c r="FJ752" i="3" s="1"/>
  <c r="CZ773" i="3"/>
  <c r="CZ774" i="3"/>
  <c r="CZ775" i="3"/>
  <c r="CZ776" i="3"/>
  <c r="CZ787" i="3"/>
  <c r="EE787" i="3" s="1"/>
  <c r="CZ788" i="3"/>
  <c r="EE788" i="3" s="1"/>
  <c r="CZ789" i="3"/>
  <c r="EE789" i="3" s="1"/>
  <c r="CZ790" i="3"/>
  <c r="EE790" i="3" s="1"/>
  <c r="CZ791" i="3"/>
  <c r="EE791" i="3" s="1"/>
  <c r="CZ792" i="3"/>
  <c r="EE792" i="3" s="1"/>
  <c r="CZ793" i="3"/>
  <c r="EE793" i="3" s="1"/>
  <c r="CZ794" i="3"/>
  <c r="CZ795" i="3"/>
  <c r="EE795" i="3" s="1"/>
  <c r="CZ796" i="3"/>
  <c r="EE796" i="3" s="1"/>
  <c r="DE718" i="3"/>
  <c r="FO718" i="3" s="1"/>
  <c r="DE719" i="3"/>
  <c r="FO719" i="3" s="1"/>
  <c r="DE720" i="3"/>
  <c r="FO720" i="3" s="1"/>
  <c r="DE721" i="3"/>
  <c r="FO721" i="3" s="1"/>
  <c r="DE722" i="3"/>
  <c r="FO722" i="3" s="1"/>
  <c r="DE723" i="3"/>
  <c r="FO723" i="3" s="1"/>
  <c r="DE724" i="3"/>
  <c r="FO724" i="3" s="1"/>
  <c r="DE725" i="3"/>
  <c r="FO725" i="3" s="1"/>
  <c r="DE726" i="3"/>
  <c r="FO726" i="3" s="1"/>
  <c r="DE727" i="3"/>
  <c r="FO727" i="3" s="1"/>
  <c r="DE728" i="3"/>
  <c r="FO728" i="3" s="1"/>
  <c r="DE729" i="3"/>
  <c r="FO729" i="3" s="1"/>
  <c r="DE730" i="3"/>
  <c r="FO730" i="3" s="1"/>
  <c r="DE731" i="3"/>
  <c r="FO731" i="3" s="1"/>
  <c r="DE732" i="3"/>
  <c r="FO732" i="3" s="1"/>
  <c r="DE733" i="3"/>
  <c r="FO733" i="3" s="1"/>
  <c r="DE734" i="3"/>
  <c r="FO734" i="3" s="1"/>
  <c r="DE735" i="3"/>
  <c r="FO735" i="3" s="1"/>
  <c r="DE736" i="3"/>
  <c r="FO736" i="3" s="1"/>
  <c r="DE737" i="3"/>
  <c r="FO737" i="3" s="1"/>
  <c r="DE738" i="3"/>
  <c r="FO738" i="3" s="1"/>
  <c r="DE739" i="3"/>
  <c r="FO739" i="3" s="1"/>
  <c r="DE740" i="3"/>
  <c r="FO740" i="3" s="1"/>
  <c r="DE752" i="3"/>
  <c r="FO752" i="3" s="1"/>
  <c r="DE773" i="3"/>
  <c r="DE774" i="3"/>
  <c r="DE775" i="3"/>
  <c r="DE776" i="3"/>
  <c r="DE787" i="3"/>
  <c r="EJ787" i="3" s="1"/>
  <c r="DE788" i="3"/>
  <c r="EJ788" i="3" s="1"/>
  <c r="DE789" i="3"/>
  <c r="EJ789" i="3" s="1"/>
  <c r="DE790" i="3"/>
  <c r="EJ790" i="3" s="1"/>
  <c r="DE791" i="3"/>
  <c r="EJ791" i="3" s="1"/>
  <c r="DE792" i="3"/>
  <c r="EJ792" i="3" s="1"/>
  <c r="DE793" i="3"/>
  <c r="EJ793" i="3" s="1"/>
  <c r="DE794" i="3"/>
  <c r="EJ794" i="3" s="1"/>
  <c r="DE795" i="3"/>
  <c r="EJ795" i="3" s="1"/>
  <c r="DE796" i="3"/>
  <c r="EJ796" i="3" s="1"/>
  <c r="DO787" i="3"/>
  <c r="ET787" i="3" s="1"/>
  <c r="DO788" i="3"/>
  <c r="ET788" i="3" s="1"/>
  <c r="DO789" i="3"/>
  <c r="ET789" i="3" s="1"/>
  <c r="DO790" i="3"/>
  <c r="ET790" i="3" s="1"/>
  <c r="DO791" i="3"/>
  <c r="ET791" i="3" s="1"/>
  <c r="DO792" i="3"/>
  <c r="ET792" i="3" s="1"/>
  <c r="DO793" i="3"/>
  <c r="ET793" i="3" s="1"/>
  <c r="DO794" i="3"/>
  <c r="ET794" i="3" s="1"/>
  <c r="DO795" i="3"/>
  <c r="ET795" i="3" s="1"/>
  <c r="DO796" i="3"/>
  <c r="ET796" i="3" s="1"/>
  <c r="DO773" i="3"/>
  <c r="DO774" i="3"/>
  <c r="DO775" i="3"/>
  <c r="DO776" i="3"/>
  <c r="DO718" i="3"/>
  <c r="FY718" i="3" s="1"/>
  <c r="DO719" i="3"/>
  <c r="FY719" i="3" s="1"/>
  <c r="DO720" i="3"/>
  <c r="FY720" i="3" s="1"/>
  <c r="DO721" i="3"/>
  <c r="FY721" i="3" s="1"/>
  <c r="DO722" i="3"/>
  <c r="FY722" i="3" s="1"/>
  <c r="DO723" i="3"/>
  <c r="FY723" i="3" s="1"/>
  <c r="DO724" i="3"/>
  <c r="FY724" i="3" s="1"/>
  <c r="DO725" i="3"/>
  <c r="FY725" i="3" s="1"/>
  <c r="DO726" i="3"/>
  <c r="FY726" i="3" s="1"/>
  <c r="DO727" i="3"/>
  <c r="FY727" i="3" s="1"/>
  <c r="DO728" i="3"/>
  <c r="FY728" i="3" s="1"/>
  <c r="DO729" i="3"/>
  <c r="FY729" i="3" s="1"/>
  <c r="DO730" i="3"/>
  <c r="FY730" i="3" s="1"/>
  <c r="DO731" i="3"/>
  <c r="FY731" i="3" s="1"/>
  <c r="DO732" i="3"/>
  <c r="FY732" i="3" s="1"/>
  <c r="DO733" i="3"/>
  <c r="FY733" i="3" s="1"/>
  <c r="DO734" i="3"/>
  <c r="FY734" i="3" s="1"/>
  <c r="DO735" i="3"/>
  <c r="FY735" i="3" s="1"/>
  <c r="DO736" i="3"/>
  <c r="FY736" i="3" s="1"/>
  <c r="DO737" i="3"/>
  <c r="FY737" i="3" s="1"/>
  <c r="DO738" i="3"/>
  <c r="FY738" i="3" s="1"/>
  <c r="DO739" i="3"/>
  <c r="FY739" i="3" s="1"/>
  <c r="DO740" i="3"/>
  <c r="FY740" i="3" s="1"/>
  <c r="DO752" i="3"/>
  <c r="FY752" i="3" s="1"/>
  <c r="DJ718" i="3"/>
  <c r="FT718" i="3" s="1"/>
  <c r="DJ719" i="3"/>
  <c r="FT719" i="3" s="1"/>
  <c r="DJ720" i="3"/>
  <c r="FT720" i="3" s="1"/>
  <c r="DJ721" i="3"/>
  <c r="FT721" i="3" s="1"/>
  <c r="DJ722" i="3"/>
  <c r="FT722" i="3" s="1"/>
  <c r="DJ723" i="3"/>
  <c r="FT723" i="3" s="1"/>
  <c r="DJ724" i="3"/>
  <c r="FT724" i="3" s="1"/>
  <c r="DJ725" i="3"/>
  <c r="FT725" i="3" s="1"/>
  <c r="DJ726" i="3"/>
  <c r="FT726" i="3" s="1"/>
  <c r="DJ727" i="3"/>
  <c r="FT727" i="3" s="1"/>
  <c r="DJ728" i="3"/>
  <c r="FT728" i="3" s="1"/>
  <c r="DJ729" i="3"/>
  <c r="FT729" i="3" s="1"/>
  <c r="DJ730" i="3"/>
  <c r="FT730" i="3" s="1"/>
  <c r="DJ731" i="3"/>
  <c r="FT731" i="3" s="1"/>
  <c r="DJ732" i="3"/>
  <c r="FT732" i="3" s="1"/>
  <c r="DJ733" i="3"/>
  <c r="FT733" i="3" s="1"/>
  <c r="DJ734" i="3"/>
  <c r="FT734" i="3" s="1"/>
  <c r="DJ735" i="3"/>
  <c r="FT735" i="3" s="1"/>
  <c r="DJ736" i="3"/>
  <c r="FT736" i="3" s="1"/>
  <c r="DJ737" i="3"/>
  <c r="FT737" i="3" s="1"/>
  <c r="DJ738" i="3"/>
  <c r="FT738" i="3" s="1"/>
  <c r="DJ739" i="3"/>
  <c r="FT739" i="3" s="1"/>
  <c r="DJ740" i="3"/>
  <c r="FT740" i="3" s="1"/>
  <c r="DJ752" i="3"/>
  <c r="FT752" i="3" s="1"/>
  <c r="DJ773" i="3"/>
  <c r="DJ774" i="3"/>
  <c r="DJ775" i="3"/>
  <c r="DJ776" i="3"/>
  <c r="DJ787" i="3"/>
  <c r="DJ788" i="3"/>
  <c r="EO788" i="3" s="1"/>
  <c r="DJ789" i="3"/>
  <c r="EO789" i="3" s="1"/>
  <c r="DJ790" i="3"/>
  <c r="EO790" i="3" s="1"/>
  <c r="DJ791" i="3"/>
  <c r="EO791" i="3" s="1"/>
  <c r="DJ792" i="3"/>
  <c r="EO792" i="3" s="1"/>
  <c r="DJ793" i="3"/>
  <c r="EO793" i="3" s="1"/>
  <c r="DJ794" i="3"/>
  <c r="EO794" i="3" s="1"/>
  <c r="DJ795" i="3"/>
  <c r="EO795" i="3" s="1"/>
  <c r="DJ796" i="3"/>
  <c r="EO796" i="3" s="1"/>
  <c r="AJ1001" i="3"/>
  <c r="AJ1007" i="3"/>
  <c r="AJ1011" i="3"/>
  <c r="AJ1013" i="3"/>
  <c r="AJ1032" i="3"/>
  <c r="AJ1041" i="3"/>
  <c r="CG719" i="3"/>
  <c r="CI719" i="3" s="1"/>
  <c r="CG720" i="3"/>
  <c r="CI720" i="3" s="1"/>
  <c r="CG721" i="3"/>
  <c r="CI721" i="3" s="1"/>
  <c r="CG722" i="3"/>
  <c r="CI722" i="3" s="1"/>
  <c r="CG723" i="3"/>
  <c r="CI723" i="3" s="1"/>
  <c r="CG724" i="3"/>
  <c r="CI724" i="3" s="1"/>
  <c r="CG725" i="3"/>
  <c r="CI725" i="3" s="1"/>
  <c r="CG726" i="3"/>
  <c r="CI726" i="3" s="1"/>
  <c r="CG727" i="3"/>
  <c r="CI727" i="3" s="1"/>
  <c r="CG728" i="3"/>
  <c r="CI728" i="3" s="1"/>
  <c r="CG729" i="3"/>
  <c r="CI729" i="3" s="1"/>
  <c r="CG730" i="3"/>
  <c r="CI730" i="3" s="1"/>
  <c r="CG731" i="3"/>
  <c r="CI731" i="3" s="1"/>
  <c r="CG732" i="3"/>
  <c r="CI732" i="3" s="1"/>
  <c r="CG733" i="3"/>
  <c r="CI733" i="3" s="1"/>
  <c r="CG734" i="3"/>
  <c r="CI734" i="3" s="1"/>
  <c r="CG735" i="3"/>
  <c r="CI735" i="3" s="1"/>
  <c r="CG736" i="3"/>
  <c r="CI736" i="3" s="1"/>
  <c r="CG737" i="3"/>
  <c r="CI737" i="3" s="1"/>
  <c r="CG738" i="3"/>
  <c r="CI738" i="3" s="1"/>
  <c r="CG739" i="3"/>
  <c r="CI739" i="3" s="1"/>
  <c r="CG740" i="3"/>
  <c r="CI740" i="3" s="1"/>
  <c r="CG752" i="3"/>
  <c r="CI752" i="3" s="1"/>
  <c r="CK718" i="3"/>
  <c r="CM718" i="3" s="1"/>
  <c r="CK719" i="3"/>
  <c r="CM719" i="3" s="1"/>
  <c r="CK720" i="3"/>
  <c r="CM720" i="3" s="1"/>
  <c r="CK721" i="3"/>
  <c r="CM721" i="3" s="1"/>
  <c r="CK722" i="3"/>
  <c r="CM722" i="3" s="1"/>
  <c r="CK723" i="3"/>
  <c r="CM723" i="3" s="1"/>
  <c r="CK724" i="3"/>
  <c r="CM724" i="3" s="1"/>
  <c r="CK725" i="3"/>
  <c r="CM725" i="3" s="1"/>
  <c r="CK726" i="3"/>
  <c r="CM726" i="3" s="1"/>
  <c r="CK727" i="3"/>
  <c r="CM727" i="3" s="1"/>
  <c r="CK728" i="3"/>
  <c r="CM728" i="3" s="1"/>
  <c r="CK729" i="3"/>
  <c r="CM729" i="3" s="1"/>
  <c r="CK730" i="3"/>
  <c r="CM730" i="3" s="1"/>
  <c r="CK731" i="3"/>
  <c r="CM731" i="3" s="1"/>
  <c r="CK732" i="3"/>
  <c r="CM732" i="3" s="1"/>
  <c r="CK733" i="3"/>
  <c r="CM733" i="3" s="1"/>
  <c r="CK734" i="3"/>
  <c r="CM734" i="3" s="1"/>
  <c r="CK735" i="3"/>
  <c r="CM735" i="3" s="1"/>
  <c r="CK736" i="3"/>
  <c r="CM736" i="3" s="1"/>
  <c r="CK737" i="3"/>
  <c r="CM737" i="3" s="1"/>
  <c r="CK738" i="3"/>
  <c r="CM738" i="3" s="1"/>
  <c r="CK739" i="3"/>
  <c r="CM739" i="3" s="1"/>
  <c r="CK740" i="3"/>
  <c r="CM740" i="3" s="1"/>
  <c r="CK752" i="3"/>
  <c r="CM752" i="3" s="1"/>
  <c r="AO639" i="3"/>
  <c r="AD64" i="15"/>
  <c r="W700" i="3"/>
  <c r="BE69" i="3" s="1"/>
  <c r="BG226" i="3"/>
  <c r="BG227" i="3"/>
  <c r="BG228" i="3"/>
  <c r="BG229" i="3"/>
  <c r="BG230" i="3"/>
  <c r="BG232" i="3"/>
  <c r="BG233" i="3"/>
  <c r="BG234" i="3"/>
  <c r="BG236" i="3"/>
  <c r="BG237" i="3"/>
  <c r="BG238" i="3"/>
  <c r="BG239" i="3"/>
  <c r="BG240" i="3"/>
  <c r="BG241" i="3"/>
  <c r="M232" i="3"/>
  <c r="AG450" i="3"/>
  <c r="BE24" i="3" s="1"/>
  <c r="O797" i="3"/>
  <c r="O777" i="3"/>
  <c r="AP95" i="20"/>
  <c r="BF718" i="3"/>
  <c r="BF719" i="3"/>
  <c r="BF720" i="3"/>
  <c r="BF721" i="3"/>
  <c r="BF722" i="3"/>
  <c r="BF723" i="3"/>
  <c r="BF724" i="3"/>
  <c r="BF725" i="3"/>
  <c r="BF726" i="3"/>
  <c r="BF727" i="3"/>
  <c r="BF728" i="3"/>
  <c r="BF729" i="3"/>
  <c r="BF730" i="3"/>
  <c r="BF731" i="3"/>
  <c r="BF732" i="3"/>
  <c r="BF733" i="3"/>
  <c r="BF734" i="3"/>
  <c r="BF735" i="3"/>
  <c r="BF736" i="3"/>
  <c r="BF737" i="3"/>
  <c r="BF738" i="3"/>
  <c r="BF739" i="3"/>
  <c r="AJ652" i="20"/>
  <c r="AJ792" i="20"/>
  <c r="AP294" i="20"/>
  <c r="AP295" i="20" s="1"/>
  <c r="AK338" i="20" s="1"/>
  <c r="AO31" i="20"/>
  <c r="AO32" i="20" s="1"/>
  <c r="AO26" i="20"/>
  <c r="AO21" i="20"/>
  <c r="AO20" i="20"/>
  <c r="AO16" i="20"/>
  <c r="AO15" i="20"/>
  <c r="AO14" i="20"/>
  <c r="G131" i="21"/>
  <c r="G128" i="21"/>
  <c r="E130" i="21" s="1"/>
  <c r="S26" i="4"/>
  <c r="E26" i="13" s="1"/>
  <c r="C26" i="4"/>
  <c r="B26" i="13" s="1"/>
  <c r="G72" i="21"/>
  <c r="G78" i="21" s="1"/>
  <c r="G109" i="21"/>
  <c r="M20" i="21"/>
  <c r="M21" i="21"/>
  <c r="M22" i="21"/>
  <c r="M23" i="21"/>
  <c r="M24" i="21"/>
  <c r="M25" i="21"/>
  <c r="M26" i="21"/>
  <c r="M27" i="21"/>
  <c r="M28" i="21"/>
  <c r="M29" i="21"/>
  <c r="M30" i="21"/>
  <c r="M31" i="21"/>
  <c r="M32" i="21"/>
  <c r="M33" i="21"/>
  <c r="M34" i="21"/>
  <c r="M35" i="21"/>
  <c r="M36" i="21"/>
  <c r="M37" i="21"/>
  <c r="M38" i="21"/>
  <c r="M39" i="21"/>
  <c r="M40" i="21"/>
  <c r="O40" i="21" s="1"/>
  <c r="M41" i="21"/>
  <c r="O41" i="21" s="1"/>
  <c r="M42" i="21"/>
  <c r="O42" i="21" s="1"/>
  <c r="M43" i="21"/>
  <c r="O43" i="21" s="1"/>
  <c r="L97" i="21"/>
  <c r="L98" i="21"/>
  <c r="L99" i="21"/>
  <c r="L101" i="21"/>
  <c r="L102" i="21"/>
  <c r="L103" i="21"/>
  <c r="L104" i="21"/>
  <c r="L20" i="21"/>
  <c r="L21" i="21"/>
  <c r="L22" i="21"/>
  <c r="L23" i="21"/>
  <c r="L24" i="21"/>
  <c r="L25" i="21"/>
  <c r="L26" i="21"/>
  <c r="L27" i="21"/>
  <c r="L28" i="21"/>
  <c r="L29" i="21"/>
  <c r="L30" i="21"/>
  <c r="L31" i="21"/>
  <c r="L32" i="21"/>
  <c r="L33" i="21"/>
  <c r="L34" i="21"/>
  <c r="L35" i="21"/>
  <c r="L36" i="21"/>
  <c r="L37" i="21"/>
  <c r="L38" i="21"/>
  <c r="L39" i="21"/>
  <c r="L40" i="21"/>
  <c r="L41" i="21"/>
  <c r="L42" i="21"/>
  <c r="L43" i="21"/>
  <c r="G46" i="21"/>
  <c r="D27" i="21"/>
  <c r="D28" i="21"/>
  <c r="N20" i="21"/>
  <c r="N21" i="21"/>
  <c r="N22" i="21"/>
  <c r="N23" i="21"/>
  <c r="N24" i="21"/>
  <c r="N25" i="21"/>
  <c r="N26" i="21"/>
  <c r="N27" i="21"/>
  <c r="N28" i="21"/>
  <c r="N29" i="21"/>
  <c r="N30" i="21"/>
  <c r="N31" i="21"/>
  <c r="N32" i="21"/>
  <c r="N33" i="21"/>
  <c r="N34" i="21"/>
  <c r="N35" i="21"/>
  <c r="N36" i="21"/>
  <c r="N37" i="21"/>
  <c r="N38" i="21"/>
  <c r="N39" i="21"/>
  <c r="N40" i="21"/>
  <c r="N41" i="21"/>
  <c r="N42" i="21"/>
  <c r="N43" i="21"/>
  <c r="B4" i="8"/>
  <c r="G4" i="8" s="1"/>
  <c r="B5" i="8"/>
  <c r="G5" i="8" s="1"/>
  <c r="B6" i="8"/>
  <c r="G6" i="8" s="1"/>
  <c r="B10" i="8"/>
  <c r="G10" i="8" s="1"/>
  <c r="E88" i="21"/>
  <c r="E79" i="21"/>
  <c r="B35" i="21"/>
  <c r="B20" i="21"/>
  <c r="B7" i="8"/>
  <c r="G7" i="8" s="1"/>
  <c r="AK285" i="20"/>
  <c r="T814" i="20" s="1"/>
  <c r="AF814" i="20" s="1"/>
  <c r="BE78" i="3" s="1"/>
  <c r="B24" i="4"/>
  <c r="R36" i="4"/>
  <c r="B66" i="4"/>
  <c r="B67" i="4"/>
  <c r="B68" i="4"/>
  <c r="B69" i="4"/>
  <c r="R66" i="4"/>
  <c r="R67" i="4"/>
  <c r="R68" i="4"/>
  <c r="A104" i="11"/>
  <c r="C101" i="11"/>
  <c r="C102" i="11"/>
  <c r="C103" i="11"/>
  <c r="C104" i="11"/>
  <c r="B101" i="11"/>
  <c r="B102" i="11"/>
  <c r="B103" i="11"/>
  <c r="B104" i="11"/>
  <c r="C85" i="11"/>
  <c r="C86" i="11"/>
  <c r="C87" i="11"/>
  <c r="C88" i="11"/>
  <c r="C89" i="11"/>
  <c r="C90" i="11"/>
  <c r="C91" i="11"/>
  <c r="C92" i="11"/>
  <c r="C93" i="11"/>
  <c r="C94" i="11"/>
  <c r="C95" i="11"/>
  <c r="C96" i="11"/>
  <c r="B85" i="11"/>
  <c r="B86" i="11"/>
  <c r="B87" i="11"/>
  <c r="B88" i="11"/>
  <c r="B89" i="11"/>
  <c r="B90" i="11"/>
  <c r="B91" i="11"/>
  <c r="B92" i="11"/>
  <c r="B93" i="11"/>
  <c r="B94" i="11"/>
  <c r="B95" i="11"/>
  <c r="B96" i="11"/>
  <c r="A70" i="11"/>
  <c r="C67" i="11"/>
  <c r="C68" i="11"/>
  <c r="C69" i="11"/>
  <c r="C70" i="11"/>
  <c r="B67" i="11"/>
  <c r="B68" i="11"/>
  <c r="B69" i="11"/>
  <c r="B70" i="11"/>
  <c r="A62" i="11"/>
  <c r="A54" i="11"/>
  <c r="A38" i="11"/>
  <c r="A26" i="11"/>
  <c r="C31" i="11"/>
  <c r="C32" i="11"/>
  <c r="C33" i="11"/>
  <c r="C34" i="11"/>
  <c r="C35" i="11"/>
  <c r="C36" i="11"/>
  <c r="C37" i="11"/>
  <c r="C38" i="11"/>
  <c r="B31" i="11"/>
  <c r="B32" i="11"/>
  <c r="B33" i="11"/>
  <c r="B34" i="11"/>
  <c r="B35" i="11"/>
  <c r="B36" i="11"/>
  <c r="B37" i="11"/>
  <c r="B38" i="11"/>
  <c r="C24" i="11"/>
  <c r="C25" i="11"/>
  <c r="C26" i="11"/>
  <c r="B25" i="11"/>
  <c r="B26" i="11"/>
  <c r="D70" i="4"/>
  <c r="C70" i="4"/>
  <c r="B70" i="13" s="1"/>
  <c r="C54" i="11"/>
  <c r="B54" i="11"/>
  <c r="AV121" i="20" a="1"/>
  <c r="AV121" i="20" s="1"/>
  <c r="AV120" i="20" a="1"/>
  <c r="AV120" i="20" s="1"/>
  <c r="AV119" i="20" a="1"/>
  <c r="AV119" i="20" s="1"/>
  <c r="AV118" i="20" a="1"/>
  <c r="AV118" i="20" s="1"/>
  <c r="AV117" i="20" a="1"/>
  <c r="AV117" i="20" s="1"/>
  <c r="AV116" i="20" a="1"/>
  <c r="AV116" i="20" s="1"/>
  <c r="AU121" i="20"/>
  <c r="AU120" i="20"/>
  <c r="AU119" i="20"/>
  <c r="AU118" i="20"/>
  <c r="AU117" i="20"/>
  <c r="AU116"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104" i="13" s="1"/>
  <c r="B99" i="4"/>
  <c r="G68" i="7"/>
  <c r="I68" i="7" s="1"/>
  <c r="K68" i="7" s="1"/>
  <c r="M68" i="7" s="1"/>
  <c r="O68" i="7" s="1"/>
  <c r="Q68" i="7" s="1"/>
  <c r="S68" i="7" s="1"/>
  <c r="U68" i="7" s="1"/>
  <c r="W68" i="7" s="1"/>
  <c r="Y68" i="7" s="1"/>
  <c r="AA68" i="7" s="1"/>
  <c r="AC68" i="7" s="1"/>
  <c r="AE68" i="7" s="1"/>
  <c r="AG68" i="7" s="1"/>
  <c r="G69" i="7"/>
  <c r="I69" i="7" s="1"/>
  <c r="K69" i="7" s="1"/>
  <c r="M69" i="7" s="1"/>
  <c r="O69" i="7" s="1"/>
  <c r="Q69" i="7" s="1"/>
  <c r="S69" i="7" s="1"/>
  <c r="U69" i="7" s="1"/>
  <c r="W69" i="7" s="1"/>
  <c r="Y69" i="7" s="1"/>
  <c r="AA69" i="7" s="1"/>
  <c r="AC69" i="7" s="1"/>
  <c r="AE69" i="7" s="1"/>
  <c r="AG69" i="7" s="1"/>
  <c r="G54" i="7"/>
  <c r="I54" i="7" s="1"/>
  <c r="K54" i="7" s="1"/>
  <c r="M54" i="7" s="1"/>
  <c r="O54" i="7" s="1"/>
  <c r="Q54" i="7" s="1"/>
  <c r="S54" i="7" s="1"/>
  <c r="U54" i="7" s="1"/>
  <c r="W54" i="7" s="1"/>
  <c r="Y54" i="7" s="1"/>
  <c r="AA54" i="7" s="1"/>
  <c r="AC54" i="7" s="1"/>
  <c r="AE54" i="7" s="1"/>
  <c r="AG54" i="7" s="1"/>
  <c r="G55" i="7"/>
  <c r="I55" i="7" s="1"/>
  <c r="K55" i="7" s="1"/>
  <c r="M55" i="7" s="1"/>
  <c r="O55" i="7" s="1"/>
  <c r="Q55" i="7" s="1"/>
  <c r="S55" i="7" s="1"/>
  <c r="U55" i="7" s="1"/>
  <c r="W55" i="7" s="1"/>
  <c r="Y55" i="7" s="1"/>
  <c r="AA55" i="7" s="1"/>
  <c r="AC55" i="7" s="1"/>
  <c r="AE55" i="7" s="1"/>
  <c r="AG55" i="7" s="1"/>
  <c r="G56" i="7"/>
  <c r="I56" i="7" s="1"/>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G53" i="7"/>
  <c r="I53" i="7" s="1"/>
  <c r="K53" i="7" s="1"/>
  <c r="A61" i="15"/>
  <c r="BA479" i="3"/>
  <c r="BA470" i="3"/>
  <c r="G24" i="7"/>
  <c r="I24" i="7" s="1"/>
  <c r="K24" i="7" s="1"/>
  <c r="M24" i="7" s="1"/>
  <c r="O24" i="7" s="1"/>
  <c r="Q24" i="7" s="1"/>
  <c r="S24" i="7" s="1"/>
  <c r="U24" i="7" s="1"/>
  <c r="W24" i="7" s="1"/>
  <c r="Y24" i="7" s="1"/>
  <c r="AA24" i="7" s="1"/>
  <c r="AC24" i="7" s="1"/>
  <c r="AE24" i="7" s="1"/>
  <c r="AG24" i="7" s="1"/>
  <c r="B100" i="4"/>
  <c r="R100" i="4"/>
  <c r="AQ113" i="20"/>
  <c r="AQ114" i="20"/>
  <c r="AQ115" i="20"/>
  <c r="AQ116" i="20"/>
  <c r="AQ117" i="20"/>
  <c r="AQ118" i="20"/>
  <c r="AQ119" i="20"/>
  <c r="AQ120" i="20"/>
  <c r="AQ121" i="20"/>
  <c r="AQ122" i="20"/>
  <c r="AQ123" i="20"/>
  <c r="AQ124" i="20"/>
  <c r="AQ125" i="20"/>
  <c r="AQ126" i="20"/>
  <c r="AQ127" i="20"/>
  <c r="AQ128" i="20"/>
  <c r="AQ129" i="20"/>
  <c r="AQ130" i="20"/>
  <c r="AQ131" i="20"/>
  <c r="AQ132" i="20"/>
  <c r="AQ133" i="20"/>
  <c r="AQ134" i="20"/>
  <c r="AQ135" i="20"/>
  <c r="AQ136" i="20"/>
  <c r="AQ112" i="20"/>
  <c r="AO130" i="20"/>
  <c r="AO131" i="20"/>
  <c r="AO132" i="20"/>
  <c r="AO133" i="20"/>
  <c r="AO134" i="20"/>
  <c r="AO135" i="20"/>
  <c r="AO136" i="20"/>
  <c r="AO113" i="20"/>
  <c r="AO114" i="20"/>
  <c r="AO115" i="20"/>
  <c r="AO116" i="20"/>
  <c r="AO117" i="20"/>
  <c r="AO118" i="20"/>
  <c r="AO119" i="20"/>
  <c r="AO120" i="20"/>
  <c r="AO121" i="20"/>
  <c r="AO122" i="20"/>
  <c r="AO123" i="20"/>
  <c r="AO124" i="20"/>
  <c r="AO125" i="20"/>
  <c r="AO126" i="20"/>
  <c r="AO127" i="20"/>
  <c r="AO128" i="20"/>
  <c r="AO129" i="20"/>
  <c r="AO112" i="20"/>
  <c r="BS719" i="3"/>
  <c r="BS720" i="3"/>
  <c r="BS721" i="3"/>
  <c r="BS722" i="3"/>
  <c r="BS723" i="3"/>
  <c r="BS724" i="3"/>
  <c r="BS725" i="3"/>
  <c r="BS726" i="3"/>
  <c r="BS727" i="3"/>
  <c r="BS728" i="3"/>
  <c r="BS729" i="3"/>
  <c r="BS730" i="3"/>
  <c r="BS731" i="3"/>
  <c r="BS732" i="3"/>
  <c r="BS733" i="3"/>
  <c r="BS734" i="3"/>
  <c r="BS735" i="3"/>
  <c r="BS736" i="3"/>
  <c r="BS737" i="3"/>
  <c r="BS738" i="3"/>
  <c r="BS739" i="3"/>
  <c r="BS740" i="3"/>
  <c r="BS741" i="3"/>
  <c r="BS718" i="3"/>
  <c r="X729" i="3"/>
  <c r="AH729" i="3" s="1"/>
  <c r="X726" i="3"/>
  <c r="AH726" i="3" s="1"/>
  <c r="X727" i="3"/>
  <c r="AH727" i="3" s="1"/>
  <c r="X725" i="3"/>
  <c r="AH725" i="3" s="1"/>
  <c r="X728" i="3"/>
  <c r="AH728" i="3" s="1"/>
  <c r="AB245" i="20"/>
  <c r="AB247" i="20" s="1"/>
  <c r="AB233" i="20"/>
  <c r="AB232" i="20"/>
  <c r="AB231" i="20"/>
  <c r="AB230" i="20"/>
  <c r="AB229" i="20"/>
  <c r="AB228" i="20"/>
  <c r="AB227" i="20"/>
  <c r="AB226" i="20"/>
  <c r="AB225" i="20"/>
  <c r="AB224" i="20"/>
  <c r="AF820" i="20"/>
  <c r="AG523" i="20"/>
  <c r="AG519" i="20"/>
  <c r="AG515" i="20"/>
  <c r="AG512" i="20"/>
  <c r="AG508" i="20"/>
  <c r="AG503" i="20"/>
  <c r="AG498" i="20"/>
  <c r="AG496" i="20"/>
  <c r="AG492" i="20"/>
  <c r="AG487" i="20"/>
  <c r="AG485" i="20"/>
  <c r="AG480" i="20"/>
  <c r="AP373" i="20"/>
  <c r="AP372" i="20"/>
  <c r="AP371" i="20"/>
  <c r="AP370" i="20"/>
  <c r="AP369" i="20"/>
  <c r="AP368" i="20"/>
  <c r="AP365" i="20"/>
  <c r="AP364" i="20"/>
  <c r="AP363" i="20"/>
  <c r="AP362" i="20"/>
  <c r="AP361" i="20"/>
  <c r="AP360" i="20"/>
  <c r="AP359" i="20"/>
  <c r="AP358" i="20"/>
  <c r="AP357" i="20"/>
  <c r="AJ781" i="20"/>
  <c r="AJ765" i="20"/>
  <c r="AJ753" i="20"/>
  <c r="AJ737" i="20"/>
  <c r="AJ687" i="20"/>
  <c r="AJ640" i="20"/>
  <c r="T810" i="20"/>
  <c r="T809" i="20"/>
  <c r="AO70" i="20"/>
  <c r="AO69" i="20"/>
  <c r="AO68" i="20"/>
  <c r="A3" i="15"/>
  <c r="T11" i="4"/>
  <c r="H11" i="13" s="1"/>
  <c r="R10" i="4"/>
  <c r="R91" i="4"/>
  <c r="R84" i="4"/>
  <c r="B59" i="4"/>
  <c r="C80" i="11"/>
  <c r="C81" i="11"/>
  <c r="B80" i="11"/>
  <c r="B81" i="11"/>
  <c r="I96" i="13"/>
  <c r="J96" i="13"/>
  <c r="J81" i="13"/>
  <c r="I81" i="13"/>
  <c r="G81" i="13"/>
  <c r="F81" i="13"/>
  <c r="D81" i="13"/>
  <c r="C81" i="13"/>
  <c r="H80" i="13"/>
  <c r="E80" i="13"/>
  <c r="B80" i="13"/>
  <c r="R80" i="4"/>
  <c r="R79" i="4"/>
  <c r="S70" i="4"/>
  <c r="E70" i="13" s="1"/>
  <c r="D81" i="4"/>
  <c r="E81" i="4"/>
  <c r="F81" i="4"/>
  <c r="G81" i="4"/>
  <c r="H81" i="4"/>
  <c r="I81" i="4"/>
  <c r="J81" i="4"/>
  <c r="K81" i="4"/>
  <c r="L81" i="4"/>
  <c r="M81" i="4"/>
  <c r="N81" i="4"/>
  <c r="O81" i="4"/>
  <c r="P81" i="4"/>
  <c r="Q81" i="4"/>
  <c r="S81" i="4"/>
  <c r="E81" i="13" s="1"/>
  <c r="T81" i="4"/>
  <c r="H81" i="13" s="1"/>
  <c r="C81" i="4"/>
  <c r="B81" i="13"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s="1"/>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9" i="13"/>
  <c r="E95" i="13"/>
  <c r="E94" i="13"/>
  <c r="E93" i="13"/>
  <c r="E92" i="13"/>
  <c r="E91" i="13"/>
  <c r="E90" i="13"/>
  <c r="E89" i="13"/>
  <c r="E87" i="13"/>
  <c r="E86" i="13"/>
  <c r="E85" i="13"/>
  <c r="E84" i="13"/>
  <c r="E79" i="13"/>
  <c r="E65" i="13"/>
  <c r="E53" i="13"/>
  <c r="E52" i="13"/>
  <c r="E51" i="13"/>
  <c r="E50" i="13"/>
  <c r="E49" i="13"/>
  <c r="E48" i="13"/>
  <c r="E47" i="13"/>
  <c r="E46" i="13"/>
  <c r="E45" i="13"/>
  <c r="E43" i="13"/>
  <c r="E41" i="13"/>
  <c r="E40" i="13"/>
  <c r="E37" i="13"/>
  <c r="E35" i="13"/>
  <c r="E34" i="13"/>
  <c r="E33" i="13"/>
  <c r="E32" i="13"/>
  <c r="E31" i="13"/>
  <c r="E30" i="13"/>
  <c r="E29" i="13"/>
  <c r="E27" i="13"/>
  <c r="E25" i="13"/>
  <c r="E23" i="13"/>
  <c r="E22" i="13"/>
  <c r="E21" i="13"/>
  <c r="E20" i="13"/>
  <c r="E19" i="13"/>
  <c r="E18" i="13"/>
  <c r="E17" i="13"/>
  <c r="E15" i="13"/>
  <c r="E14" i="13"/>
  <c r="E13" i="13"/>
  <c r="E10" i="13"/>
  <c r="B99" i="13"/>
  <c r="B95" i="13"/>
  <c r="B94" i="13"/>
  <c r="B93" i="13"/>
  <c r="B92" i="13"/>
  <c r="B91" i="13"/>
  <c r="B90" i="13"/>
  <c r="B89" i="13"/>
  <c r="B88" i="13"/>
  <c r="B87" i="13"/>
  <c r="B86" i="13"/>
  <c r="B85" i="13"/>
  <c r="B84" i="13"/>
  <c r="B83" i="13"/>
  <c r="B79" i="13"/>
  <c r="B76" i="13"/>
  <c r="B75" i="13"/>
  <c r="B74" i="13"/>
  <c r="B73" i="13"/>
  <c r="B72" i="13"/>
  <c r="B65" i="13"/>
  <c r="B61" i="13"/>
  <c r="B60" i="13"/>
  <c r="B59" i="13"/>
  <c r="B58" i="13"/>
  <c r="B57" i="13"/>
  <c r="B56" i="13"/>
  <c r="B53" i="13"/>
  <c r="B52" i="13"/>
  <c r="B51" i="13"/>
  <c r="B50" i="13"/>
  <c r="B49" i="13"/>
  <c r="B48" i="13"/>
  <c r="B47" i="13"/>
  <c r="B46" i="13"/>
  <c r="B45" i="13"/>
  <c r="B43" i="13"/>
  <c r="C42" i="4"/>
  <c r="B42" i="13" s="1"/>
  <c r="B41" i="13"/>
  <c r="B40" i="13"/>
  <c r="B37" i="13"/>
  <c r="B35" i="13"/>
  <c r="B34" i="13"/>
  <c r="B33" i="13"/>
  <c r="B32" i="13"/>
  <c r="B31" i="13"/>
  <c r="B30" i="13"/>
  <c r="B29" i="13"/>
  <c r="B27" i="13"/>
  <c r="B25" i="13"/>
  <c r="B23" i="13"/>
  <c r="B22" i="13"/>
  <c r="B21" i="13"/>
  <c r="B20" i="13"/>
  <c r="B19" i="13"/>
  <c r="B18" i="13"/>
  <c r="B17" i="13"/>
  <c r="B5" i="13"/>
  <c r="B6" i="13"/>
  <c r="B7" i="13"/>
  <c r="C8" i="4"/>
  <c r="B8" i="13"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s="1"/>
  <c r="R103" i="4"/>
  <c r="R102" i="4"/>
  <c r="R101" i="4"/>
  <c r="R95" i="4"/>
  <c r="R94" i="4"/>
  <c r="R93" i="4"/>
  <c r="R92" i="4"/>
  <c r="R90" i="4"/>
  <c r="R89" i="4"/>
  <c r="R88" i="4"/>
  <c r="R87" i="4"/>
  <c r="R86" i="4"/>
  <c r="R85" i="4"/>
  <c r="R83" i="4"/>
  <c r="R76" i="4"/>
  <c r="R75" i="4"/>
  <c r="R72" i="4"/>
  <c r="R73" i="4"/>
  <c r="R74" i="4"/>
  <c r="R69" i="4"/>
  <c r="R65" i="4"/>
  <c r="R61" i="4"/>
  <c r="R60" i="4"/>
  <c r="R59" i="4"/>
  <c r="R58" i="4"/>
  <c r="R57" i="4"/>
  <c r="R56" i="4"/>
  <c r="R53" i="4"/>
  <c r="R52" i="4"/>
  <c r="R51" i="4"/>
  <c r="R50" i="4"/>
  <c r="R49" i="4"/>
  <c r="R48" i="4"/>
  <c r="R47" i="4"/>
  <c r="R46" i="4"/>
  <c r="R45" i="4"/>
  <c r="R43" i="4"/>
  <c r="R41" i="4"/>
  <c r="R40" i="4"/>
  <c r="R37" i="4"/>
  <c r="R35" i="4"/>
  <c r="R34" i="4"/>
  <c r="R33" i="4"/>
  <c r="R32" i="4"/>
  <c r="R31" i="4"/>
  <c r="R27" i="4"/>
  <c r="R25" i="4"/>
  <c r="R23" i="4"/>
  <c r="R22" i="4"/>
  <c r="R21" i="4"/>
  <c r="R20" i="4"/>
  <c r="R19" i="4"/>
  <c r="R18" i="4"/>
  <c r="R17" i="4"/>
  <c r="R15" i="4"/>
  <c r="R14" i="4"/>
  <c r="R13" i="4"/>
  <c r="R9" i="4"/>
  <c r="R7" i="4"/>
  <c r="R6" i="4"/>
  <c r="R5" i="4"/>
  <c r="R4" i="4"/>
  <c r="B5" i="11"/>
  <c r="C5" i="11"/>
  <c r="B6" i="11"/>
  <c r="C6" i="11"/>
  <c r="B7" i="11"/>
  <c r="C7" i="11"/>
  <c r="C8" i="11"/>
  <c r="B8" i="11"/>
  <c r="B10" i="11"/>
  <c r="B11" i="11"/>
  <c r="C10" i="11"/>
  <c r="C11" i="11"/>
  <c r="B14" i="11"/>
  <c r="C14" i="11"/>
  <c r="B15" i="11"/>
  <c r="C15" i="11"/>
  <c r="B16" i="11"/>
  <c r="C16" i="11"/>
  <c r="B18" i="11"/>
  <c r="C18" i="11"/>
  <c r="B19" i="11"/>
  <c r="C19" i="11"/>
  <c r="B20" i="11"/>
  <c r="C20" i="11"/>
  <c r="B21" i="11"/>
  <c r="C21" i="11"/>
  <c r="B22" i="11"/>
  <c r="C22" i="11"/>
  <c r="B23" i="11"/>
  <c r="C23" i="11"/>
  <c r="B24" i="11"/>
  <c r="B28" i="11"/>
  <c r="C28" i="11"/>
  <c r="B30" i="11"/>
  <c r="C30" i="11"/>
  <c r="B41" i="11"/>
  <c r="C41" i="11"/>
  <c r="C42" i="11"/>
  <c r="B42" i="11"/>
  <c r="B44" i="11"/>
  <c r="C44" i="11"/>
  <c r="B46" i="11"/>
  <c r="C46" i="11"/>
  <c r="B47" i="11"/>
  <c r="C47" i="11"/>
  <c r="B48" i="11"/>
  <c r="B49" i="11"/>
  <c r="B50" i="11"/>
  <c r="B51" i="11"/>
  <c r="B52" i="11"/>
  <c r="B53" i="11"/>
  <c r="C48" i="11"/>
  <c r="C49" i="11"/>
  <c r="C50" i="11"/>
  <c r="C51" i="11"/>
  <c r="C52" i="11"/>
  <c r="C53" i="11"/>
  <c r="B57" i="11"/>
  <c r="C57" i="11"/>
  <c r="B58" i="11"/>
  <c r="C58" i="11"/>
  <c r="B59" i="11"/>
  <c r="C59" i="11"/>
  <c r="B60" i="11"/>
  <c r="C60" i="11"/>
  <c r="B61" i="11"/>
  <c r="C61" i="11"/>
  <c r="B62" i="11"/>
  <c r="C62" i="11"/>
  <c r="B66" i="11"/>
  <c r="C66" i="11"/>
  <c r="B73" i="11"/>
  <c r="C73" i="11"/>
  <c r="B74" i="11"/>
  <c r="C74" i="11"/>
  <c r="B75" i="11"/>
  <c r="C75" i="11"/>
  <c r="B76" i="11"/>
  <c r="C76" i="11"/>
  <c r="B77" i="11"/>
  <c r="C77" i="11"/>
  <c r="B84" i="11"/>
  <c r="C84" i="11"/>
  <c r="B100" i="11"/>
  <c r="C100" i="11"/>
  <c r="A4" i="8"/>
  <c r="D4" i="8"/>
  <c r="A5" i="8"/>
  <c r="D5" i="8"/>
  <c r="A6" i="8"/>
  <c r="D6" i="8"/>
  <c r="A7" i="8"/>
  <c r="D7" i="8"/>
  <c r="I7" i="8" s="1"/>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T26" i="4"/>
  <c r="H26" i="13" s="1"/>
  <c r="T38" i="4"/>
  <c r="H38" i="13" s="1"/>
  <c r="T42" i="4"/>
  <c r="H42" i="13" s="1"/>
  <c r="T54" i="4"/>
  <c r="H54" i="13" s="1"/>
  <c r="T70" i="4"/>
  <c r="H70" i="13" s="1"/>
  <c r="T96" i="4"/>
  <c r="H96" i="13" s="1"/>
  <c r="C11" i="4"/>
  <c r="B11" i="13" s="1"/>
  <c r="C38" i="4"/>
  <c r="B38" i="13" s="1"/>
  <c r="C54" i="4"/>
  <c r="C62" i="4"/>
  <c r="B62" i="13" s="1"/>
  <c r="C77" i="4"/>
  <c r="B77" i="13" s="1"/>
  <c r="C96" i="4"/>
  <c r="B96" i="13" s="1"/>
  <c r="D8" i="4"/>
  <c r="D11" i="4"/>
  <c r="D26" i="4"/>
  <c r="D42" i="4"/>
  <c r="D54" i="4"/>
  <c r="D62" i="4"/>
  <c r="D77" i="4"/>
  <c r="D96" i="4"/>
  <c r="D104" i="4"/>
  <c r="S38" i="4"/>
  <c r="E38" i="13" s="1"/>
  <c r="S42" i="4"/>
  <c r="E42" i="13" s="1"/>
  <c r="S54" i="4"/>
  <c r="E54" i="13" s="1"/>
  <c r="S96" i="4"/>
  <c r="E96" i="13" s="1"/>
  <c r="S104" i="4"/>
  <c r="F2" i="4"/>
  <c r="G2" i="4"/>
  <c r="H2" i="4"/>
  <c r="I2" i="4"/>
  <c r="J2" i="4"/>
  <c r="K2" i="4"/>
  <c r="L2" i="4"/>
  <c r="M2" i="4"/>
  <c r="N2" i="4"/>
  <c r="O2" i="4"/>
  <c r="P2" i="4"/>
  <c r="Q2" i="4"/>
  <c r="B4" i="4"/>
  <c r="BE23" i="3" s="1"/>
  <c r="B5" i="4"/>
  <c r="B6" i="4"/>
  <c r="B7" i="4"/>
  <c r="E8" i="4"/>
  <c r="F8" i="4"/>
  <c r="G8" i="4"/>
  <c r="G11" i="4"/>
  <c r="H8" i="4"/>
  <c r="H11" i="4"/>
  <c r="I8" i="4"/>
  <c r="I11" i="4"/>
  <c r="J8" i="4"/>
  <c r="J11" i="4"/>
  <c r="J26" i="4"/>
  <c r="J38" i="4"/>
  <c r="J42" i="4"/>
  <c r="J54" i="4"/>
  <c r="J62" i="4"/>
  <c r="J70" i="4"/>
  <c r="J77" i="4"/>
  <c r="J96" i="4"/>
  <c r="K8" i="4"/>
  <c r="K11" i="4"/>
  <c r="L8" i="4"/>
  <c r="L11" i="4"/>
  <c r="M8" i="4"/>
  <c r="M11" i="4"/>
  <c r="N8" i="4"/>
  <c r="O8" i="4"/>
  <c r="Q8" i="4"/>
  <c r="Q11" i="4"/>
  <c r="B9" i="4"/>
  <c r="B10" i="4"/>
  <c r="E11" i="4"/>
  <c r="F11" i="4"/>
  <c r="F26" i="4"/>
  <c r="F42" i="4"/>
  <c r="F54" i="4"/>
  <c r="F62" i="4"/>
  <c r="N11" i="4"/>
  <c r="O11" i="4"/>
  <c r="B13" i="4"/>
  <c r="B14" i="4"/>
  <c r="B15" i="4"/>
  <c r="AD210" i="20" s="1"/>
  <c r="B17" i="4"/>
  <c r="B18" i="4"/>
  <c r="B19" i="4"/>
  <c r="B20" i="4"/>
  <c r="B21" i="4"/>
  <c r="B22" i="4"/>
  <c r="B23" i="4"/>
  <c r="B25" i="4"/>
  <c r="E26" i="4"/>
  <c r="G26" i="4"/>
  <c r="H26" i="4"/>
  <c r="I26"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34" i="4"/>
  <c r="B37"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AJ1025" i="3" s="1"/>
  <c r="B86" i="4"/>
  <c r="B87" i="4"/>
  <c r="B88" i="4"/>
  <c r="B89" i="4"/>
  <c r="B90" i="4"/>
  <c r="B91" i="4"/>
  <c r="B92" i="4"/>
  <c r="B93" i="4"/>
  <c r="B94" i="4"/>
  <c r="B95" i="4"/>
  <c r="E96" i="4"/>
  <c r="F96" i="4"/>
  <c r="G96" i="4"/>
  <c r="H96" i="4"/>
  <c r="I96" i="4"/>
  <c r="K96" i="4"/>
  <c r="L96" i="4"/>
  <c r="Q96" i="4"/>
  <c r="B101" i="4"/>
  <c r="B102" i="4"/>
  <c r="B103" i="4"/>
  <c r="F104" i="4"/>
  <c r="G104" i="4"/>
  <c r="H104" i="4"/>
  <c r="I104" i="4"/>
  <c r="K104" i="4"/>
  <c r="L104" i="4"/>
  <c r="Q104" i="4"/>
  <c r="E108" i="4"/>
  <c r="F108" i="4"/>
  <c r="F29" i="4" s="1"/>
  <c r="E29" i="4" s="1"/>
  <c r="R29" i="4" s="1"/>
  <c r="G108" i="4"/>
  <c r="G30" i="4" s="1"/>
  <c r="H108" i="4"/>
  <c r="H30" i="4" s="1"/>
  <c r="H38" i="4" s="1"/>
  <c r="I108" i="4"/>
  <c r="I30" i="4" s="1"/>
  <c r="I38" i="4" s="1"/>
  <c r="J108" i="4"/>
  <c r="K108" i="4"/>
  <c r="L108" i="4"/>
  <c r="M108" i="4"/>
  <c r="N108" i="4"/>
  <c r="O108" i="4"/>
  <c r="P108" i="4"/>
  <c r="Q108" i="4"/>
  <c r="B131" i="4"/>
  <c r="I184" i="3"/>
  <c r="W418" i="3"/>
  <c r="AF418" i="3" s="1"/>
  <c r="AP582"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DU718" i="3"/>
  <c r="DZ718" i="3"/>
  <c r="EE718" i="3"/>
  <c r="EJ718" i="3"/>
  <c r="EO718" i="3"/>
  <c r="ET718" i="3"/>
  <c r="DU719" i="3"/>
  <c r="DZ719" i="3"/>
  <c r="EE719" i="3"/>
  <c r="EJ719" i="3"/>
  <c r="EO719" i="3"/>
  <c r="ET719" i="3"/>
  <c r="DU720" i="3"/>
  <c r="DZ720" i="3"/>
  <c r="EE720" i="3"/>
  <c r="EJ720" i="3"/>
  <c r="EO720" i="3"/>
  <c r="ET720" i="3"/>
  <c r="DU721" i="3"/>
  <c r="DZ721" i="3"/>
  <c r="EE721" i="3"/>
  <c r="EJ721" i="3"/>
  <c r="EO721" i="3"/>
  <c r="ET721" i="3"/>
  <c r="DU722" i="3"/>
  <c r="DZ722" i="3"/>
  <c r="EE722" i="3"/>
  <c r="EJ722" i="3"/>
  <c r="EO722" i="3"/>
  <c r="ET722" i="3"/>
  <c r="DU723" i="3"/>
  <c r="DZ723" i="3"/>
  <c r="EE723" i="3"/>
  <c r="EJ723" i="3"/>
  <c r="EO723" i="3"/>
  <c r="ET723" i="3"/>
  <c r="G609" i="3"/>
  <c r="Z609" i="3"/>
  <c r="DU724" i="3"/>
  <c r="DZ724" i="3"/>
  <c r="EE724" i="3"/>
  <c r="EJ724" i="3"/>
  <c r="EO724" i="3"/>
  <c r="ET724" i="3"/>
  <c r="DU725" i="3"/>
  <c r="DZ725" i="3"/>
  <c r="EE725" i="3"/>
  <c r="EJ725" i="3"/>
  <c r="EO725" i="3"/>
  <c r="ET725" i="3"/>
  <c r="DU726" i="3"/>
  <c r="DZ726" i="3"/>
  <c r="EE726" i="3"/>
  <c r="EJ726" i="3"/>
  <c r="EO726" i="3"/>
  <c r="ET726" i="3"/>
  <c r="DU727" i="3"/>
  <c r="DZ727" i="3"/>
  <c r="EE727" i="3"/>
  <c r="EJ727" i="3"/>
  <c r="EO727" i="3"/>
  <c r="ET727" i="3"/>
  <c r="DU728" i="3"/>
  <c r="DZ728" i="3"/>
  <c r="EE728" i="3"/>
  <c r="EJ728" i="3"/>
  <c r="EO728" i="3"/>
  <c r="ET728" i="3"/>
  <c r="DU729" i="3"/>
  <c r="DZ729" i="3"/>
  <c r="EE729" i="3"/>
  <c r="EJ729" i="3"/>
  <c r="EO729" i="3"/>
  <c r="ET729" i="3"/>
  <c r="DU730" i="3"/>
  <c r="DZ730" i="3"/>
  <c r="EE730" i="3"/>
  <c r="EJ730" i="3"/>
  <c r="EO730" i="3"/>
  <c r="ET730" i="3"/>
  <c r="DU731" i="3"/>
  <c r="DZ731" i="3"/>
  <c r="EE731" i="3"/>
  <c r="EJ731" i="3"/>
  <c r="EO731" i="3"/>
  <c r="ET731" i="3"/>
  <c r="DU732" i="3"/>
  <c r="DZ732" i="3"/>
  <c r="EE732" i="3"/>
  <c r="EJ732" i="3"/>
  <c r="EO732" i="3"/>
  <c r="ET732" i="3"/>
  <c r="DU733" i="3"/>
  <c r="DZ733" i="3"/>
  <c r="EE733" i="3"/>
  <c r="EJ733" i="3"/>
  <c r="EO733" i="3"/>
  <c r="ET733" i="3"/>
  <c r="DU734" i="3"/>
  <c r="DZ734" i="3"/>
  <c r="EE734" i="3"/>
  <c r="EJ734" i="3"/>
  <c r="EO734" i="3"/>
  <c r="ET734" i="3"/>
  <c r="DU735" i="3"/>
  <c r="DZ735" i="3"/>
  <c r="EE735" i="3"/>
  <c r="EJ735" i="3"/>
  <c r="EO735" i="3"/>
  <c r="ET735" i="3"/>
  <c r="DU736" i="3"/>
  <c r="DZ736" i="3"/>
  <c r="EE736" i="3"/>
  <c r="EJ736" i="3"/>
  <c r="EO736" i="3"/>
  <c r="ET736" i="3"/>
  <c r="DU737" i="3"/>
  <c r="DZ737" i="3"/>
  <c r="EE737" i="3"/>
  <c r="EJ737" i="3"/>
  <c r="EO737" i="3"/>
  <c r="ET737" i="3"/>
  <c r="DU738" i="3"/>
  <c r="DZ738" i="3"/>
  <c r="EE738" i="3"/>
  <c r="EJ738" i="3"/>
  <c r="EO738" i="3"/>
  <c r="ET738" i="3"/>
  <c r="DU739" i="3"/>
  <c r="DZ739" i="3"/>
  <c r="EE739" i="3"/>
  <c r="EJ739" i="3"/>
  <c r="EO739" i="3"/>
  <c r="ET739" i="3"/>
  <c r="DU740" i="3"/>
  <c r="DZ740" i="3"/>
  <c r="EE740" i="3"/>
  <c r="EJ740" i="3"/>
  <c r="EO740" i="3"/>
  <c r="ET740" i="3"/>
  <c r="DU752" i="3"/>
  <c r="DZ752" i="3"/>
  <c r="EE752" i="3"/>
  <c r="EJ752" i="3"/>
  <c r="EO752" i="3"/>
  <c r="ET752" i="3"/>
  <c r="G643" i="3"/>
  <c r="Z643" i="3"/>
  <c r="G651" i="3"/>
  <c r="Z651" i="3"/>
  <c r="G659" i="3"/>
  <c r="Z659" i="3"/>
  <c r="G667" i="3"/>
  <c r="Z667" i="3"/>
  <c r="G675" i="3"/>
  <c r="Z675" i="3"/>
  <c r="G683" i="3"/>
  <c r="Z683" i="3"/>
  <c r="X718" i="3"/>
  <c r="AH718" i="3" s="1"/>
  <c r="X719" i="3"/>
  <c r="AH719" i="3" s="1"/>
  <c r="X720" i="3"/>
  <c r="X721" i="3"/>
  <c r="X722" i="3"/>
  <c r="AH722" i="3" s="1"/>
  <c r="X723" i="3"/>
  <c r="AH723" i="3" s="1"/>
  <c r="X724" i="3"/>
  <c r="AH724" i="3" s="1"/>
  <c r="X730" i="3"/>
  <c r="AH730" i="3" s="1"/>
  <c r="X731" i="3"/>
  <c r="AH731" i="3" s="1"/>
  <c r="X732" i="3"/>
  <c r="AH732" i="3" s="1"/>
  <c r="X733" i="3"/>
  <c r="AH733" i="3" s="1"/>
  <c r="X734" i="3"/>
  <c r="AH734" i="3" s="1"/>
  <c r="X735" i="3"/>
  <c r="AH735" i="3" s="1"/>
  <c r="X736" i="3"/>
  <c r="AH736" i="3" s="1"/>
  <c r="X737" i="3"/>
  <c r="AH737" i="3" s="1"/>
  <c r="X738" i="3"/>
  <c r="X739" i="3"/>
  <c r="X740" i="3"/>
  <c r="X741" i="3"/>
  <c r="M832" i="3"/>
  <c r="Q832" i="3"/>
  <c r="U832" i="3"/>
  <c r="Y832" i="3"/>
  <c r="AC832" i="3"/>
  <c r="AG832" i="3"/>
  <c r="Z902" i="3"/>
  <c r="J99" i="4" l="1"/>
  <c r="E99" i="4" s="1"/>
  <c r="E104" i="4" s="1"/>
  <c r="AU191" i="23"/>
  <c r="AU190" i="23"/>
  <c r="AU192" i="23" s="1"/>
  <c r="R99" i="4"/>
  <c r="J104" i="4"/>
  <c r="B26" i="4"/>
  <c r="D36" i="11"/>
  <c r="D35" i="11"/>
  <c r="D94" i="11"/>
  <c r="D86" i="11"/>
  <c r="D87" i="11"/>
  <c r="D103" i="11"/>
  <c r="D34" i="11"/>
  <c r="D6" i="11"/>
  <c r="D25" i="11"/>
  <c r="D91" i="11"/>
  <c r="D54" i="11"/>
  <c r="D90" i="11"/>
  <c r="D70" i="11"/>
  <c r="D93" i="11"/>
  <c r="D85" i="11"/>
  <c r="D89" i="11"/>
  <c r="D101" i="11"/>
  <c r="D32" i="11"/>
  <c r="D33" i="11"/>
  <c r="D92" i="11"/>
  <c r="D96" i="11"/>
  <c r="D88" i="11"/>
  <c r="D104" i="11"/>
  <c r="C82" i="11"/>
  <c r="B8" i="4"/>
  <c r="N189" i="23" s="1"/>
  <c r="G144" i="21"/>
  <c r="G143" i="21"/>
  <c r="D95" i="11"/>
  <c r="C105" i="11"/>
  <c r="C12" i="4"/>
  <c r="B12" i="13" s="1"/>
  <c r="D75" i="11"/>
  <c r="D62" i="11"/>
  <c r="D58" i="11"/>
  <c r="D47" i="11"/>
  <c r="L12" i="4"/>
  <c r="D38" i="11"/>
  <c r="B42" i="4"/>
  <c r="B104" i="4"/>
  <c r="H12" i="4"/>
  <c r="D51" i="11"/>
  <c r="D49" i="11"/>
  <c r="B78" i="11"/>
  <c r="D48" i="11"/>
  <c r="D20" i="11"/>
  <c r="D15" i="11"/>
  <c r="D8" i="11"/>
  <c r="D100" i="11"/>
  <c r="D41" i="11"/>
  <c r="D12" i="13"/>
  <c r="D74" i="11"/>
  <c r="C12" i="13"/>
  <c r="D77" i="11"/>
  <c r="D73" i="11"/>
  <c r="D53" i="11"/>
  <c r="D50" i="11"/>
  <c r="D21" i="11"/>
  <c r="D16" i="11"/>
  <c r="B12" i="11"/>
  <c r="D5" i="11"/>
  <c r="D76" i="11"/>
  <c r="D66" i="11"/>
  <c r="D59" i="11"/>
  <c r="D42" i="11"/>
  <c r="D28" i="11"/>
  <c r="N63" i="4"/>
  <c r="N97" i="4" s="1"/>
  <c r="N105" i="4" s="1"/>
  <c r="E12" i="4"/>
  <c r="D12" i="4"/>
  <c r="C43" i="11"/>
  <c r="F12" i="4"/>
  <c r="D11" i="11"/>
  <c r="C63" i="11"/>
  <c r="B55" i="11"/>
  <c r="F63" i="13"/>
  <c r="F97" i="13" s="1"/>
  <c r="F105" i="13" s="1"/>
  <c r="F107" i="13" s="1"/>
  <c r="D24" i="11"/>
  <c r="B39" i="11"/>
  <c r="B71" i="11"/>
  <c r="B105" i="11"/>
  <c r="O12" i="4"/>
  <c r="D10" i="11"/>
  <c r="B43" i="11"/>
  <c r="BA1058" i="3"/>
  <c r="Q12" i="4"/>
  <c r="K12" i="4"/>
  <c r="D61" i="11"/>
  <c r="D57" i="11"/>
  <c r="B9" i="11"/>
  <c r="J12" i="4"/>
  <c r="B54" i="4"/>
  <c r="D30" i="11"/>
  <c r="D22" i="11"/>
  <c r="R77" i="4"/>
  <c r="D80" i="11"/>
  <c r="D31" i="11"/>
  <c r="B62" i="4"/>
  <c r="O63" i="4"/>
  <c r="O97" i="4" s="1"/>
  <c r="O105" i="4" s="1"/>
  <c r="M63" i="4"/>
  <c r="M97" i="4" s="1"/>
  <c r="M105" i="4" s="1"/>
  <c r="N12" i="4"/>
  <c r="I12" i="4"/>
  <c r="B70" i="4"/>
  <c r="D102" i="11"/>
  <c r="P63" i="4"/>
  <c r="P97" i="4" s="1"/>
  <c r="P105" i="4" s="1"/>
  <c r="I63" i="13"/>
  <c r="I97" i="13" s="1"/>
  <c r="I105" i="13" s="1"/>
  <c r="I107" i="13" s="1"/>
  <c r="C63" i="13"/>
  <c r="C97" i="13" s="1"/>
  <c r="C105" i="13" s="1"/>
  <c r="C71" i="11"/>
  <c r="R70" i="4"/>
  <c r="B81" i="4"/>
  <c r="R11" i="4"/>
  <c r="G58" i="7"/>
  <c r="I63" i="4"/>
  <c r="I97" i="4" s="1"/>
  <c r="I105" i="4" s="1"/>
  <c r="L63" i="4"/>
  <c r="L97" i="4" s="1"/>
  <c r="L105" i="4" s="1"/>
  <c r="D52" i="11"/>
  <c r="D44" i="11"/>
  <c r="D18" i="11"/>
  <c r="C12" i="11"/>
  <c r="J63" i="4"/>
  <c r="J97" i="4" s="1"/>
  <c r="Q63" i="4"/>
  <c r="Q97" i="4" s="1"/>
  <c r="Q105" i="4" s="1"/>
  <c r="B11" i="4"/>
  <c r="C39" i="11"/>
  <c r="C97" i="11"/>
  <c r="J63" i="13"/>
  <c r="J97" i="13" s="1"/>
  <c r="J105" i="13" s="1"/>
  <c r="J107" i="13" s="1"/>
  <c r="D81" i="11"/>
  <c r="R104" i="4"/>
  <c r="B77" i="4"/>
  <c r="C78" i="11"/>
  <c r="D60" i="11"/>
  <c r="M12" i="4"/>
  <c r="R26" i="4"/>
  <c r="R42" i="4"/>
  <c r="R54" i="4"/>
  <c r="R62" i="4"/>
  <c r="D63" i="13"/>
  <c r="D97" i="13" s="1"/>
  <c r="D105" i="13" s="1"/>
  <c r="B97" i="11"/>
  <c r="C55" i="11"/>
  <c r="D23" i="11"/>
  <c r="D19" i="11"/>
  <c r="D14" i="11"/>
  <c r="D7" i="11"/>
  <c r="R8" i="4"/>
  <c r="R96" i="4"/>
  <c r="G63" i="13"/>
  <c r="G97" i="13" s="1"/>
  <c r="G105" i="13" s="1"/>
  <c r="G107" i="13" s="1"/>
  <c r="R81" i="4"/>
  <c r="M53" i="7"/>
  <c r="K58" i="7"/>
  <c r="N188" i="23"/>
  <c r="C27" i="11"/>
  <c r="AB48" i="15"/>
  <c r="D46" i="11"/>
  <c r="B82" i="11"/>
  <c r="H63" i="4"/>
  <c r="H97" i="4" s="1"/>
  <c r="H105" i="4" s="1"/>
  <c r="I58" i="7"/>
  <c r="C9" i="11"/>
  <c r="B63" i="11"/>
  <c r="T63" i="4"/>
  <c r="B96" i="4"/>
  <c r="D84" i="11"/>
  <c r="B54" i="13"/>
  <c r="K63" i="4"/>
  <c r="K97" i="4" s="1"/>
  <c r="K105" i="4" s="1"/>
  <c r="S63" i="4"/>
  <c r="E104" i="13"/>
  <c r="CI753" i="3"/>
  <c r="X1048" i="3" s="1"/>
  <c r="BG243" i="3"/>
  <c r="BO245" i="3" s="1"/>
  <c r="T267" i="3" s="1"/>
  <c r="AH721" i="3"/>
  <c r="J7" i="8"/>
  <c r="J40" i="8" s="1"/>
  <c r="Z809" i="3" s="1"/>
  <c r="S43" i="21"/>
  <c r="S42" i="21"/>
  <c r="U20" i="21"/>
  <c r="S41" i="21"/>
  <c r="U33" i="21"/>
  <c r="S40" i="21"/>
  <c r="U32" i="21"/>
  <c r="U24" i="21"/>
  <c r="U28" i="21"/>
  <c r="AH720" i="3"/>
  <c r="T22" i="21"/>
  <c r="U22" i="21"/>
  <c r="U37" i="21"/>
  <c r="U29" i="21"/>
  <c r="T21" i="21"/>
  <c r="U21" i="21"/>
  <c r="U36" i="21"/>
  <c r="T43" i="21"/>
  <c r="U43" i="21"/>
  <c r="T35" i="21"/>
  <c r="U35" i="21"/>
  <c r="T27" i="21"/>
  <c r="U27" i="21"/>
  <c r="U38" i="21"/>
  <c r="R42" i="21" a="1"/>
  <c r="R42" i="21" s="1"/>
  <c r="U42" i="21"/>
  <c r="T34" i="21"/>
  <c r="U34" i="21"/>
  <c r="U26" i="21"/>
  <c r="R41" i="21" a="1"/>
  <c r="R41" i="21" s="1"/>
  <c r="U41" i="21"/>
  <c r="T25" i="21"/>
  <c r="U25" i="21"/>
  <c r="R30" i="21" a="1"/>
  <c r="R30" i="21" s="1"/>
  <c r="U30" i="21"/>
  <c r="T40" i="21"/>
  <c r="U40" i="21"/>
  <c r="T39" i="21"/>
  <c r="U39" i="21"/>
  <c r="T31" i="21"/>
  <c r="U31" i="21"/>
  <c r="T23" i="21"/>
  <c r="U23" i="21"/>
  <c r="AO23" i="20"/>
  <c r="AY1024" i="3"/>
  <c r="AF1017" i="3" s="1"/>
  <c r="C9" i="7"/>
  <c r="E9" i="7" s="1"/>
  <c r="C7" i="7"/>
  <c r="G12" i="4"/>
  <c r="AF1014" i="3"/>
  <c r="G99" i="21"/>
  <c r="C63" i="4"/>
  <c r="B63" i="13" s="1"/>
  <c r="AA29" i="7"/>
  <c r="O29" i="7"/>
  <c r="AY1003" i="3"/>
  <c r="I1048"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Y607" i="20"/>
  <c r="AP587" i="20"/>
  <c r="BS753" i="3"/>
  <c r="BT751" i="3" s="1"/>
  <c r="BU751" i="3" s="1"/>
  <c r="AJ1036" i="3"/>
  <c r="I15" i="21" s="1"/>
  <c r="AB234" i="20"/>
  <c r="AB250" i="20" s="1"/>
  <c r="AB252" i="20" s="1"/>
  <c r="AB254" i="20" s="1"/>
  <c r="AB260" i="20" s="1"/>
  <c r="AD209" i="20" s="1"/>
  <c r="AD211" i="20" s="1"/>
  <c r="AO71" i="20"/>
  <c r="AP375" i="20"/>
  <c r="AQ375" i="20" s="1"/>
  <c r="AK535" i="20"/>
  <c r="T813" i="20" s="1"/>
  <c r="AF813" i="20" s="1"/>
  <c r="BF753" i="3"/>
  <c r="CU753" i="3"/>
  <c r="EC648" i="3" s="1"/>
  <c r="FE718" i="3"/>
  <c r="FE753" i="3" s="1"/>
  <c r="Y7" i="15"/>
  <c r="AI7" i="15"/>
  <c r="EZ718" i="3"/>
  <c r="CP753" i="3"/>
  <c r="DX669" i="3" s="1"/>
  <c r="DU753" i="3"/>
  <c r="AG29" i="7"/>
  <c r="AC28" i="7"/>
  <c r="AO641" i="3"/>
  <c r="K29" i="7"/>
  <c r="S29" i="7"/>
  <c r="AG28" i="7"/>
  <c r="Y28" i="7"/>
  <c r="U28" i="7"/>
  <c r="S28" i="7"/>
  <c r="Q28" i="7"/>
  <c r="W28" i="7"/>
  <c r="I28" i="7"/>
  <c r="O28" i="7"/>
  <c r="AA28" i="7"/>
  <c r="G28" i="7"/>
  <c r="M28" i="7"/>
  <c r="K28" i="7"/>
  <c r="AG40" i="7"/>
  <c r="AG43" i="7" s="1"/>
  <c r="S40" i="7"/>
  <c r="S43" i="7" s="1"/>
  <c r="AK183" i="20"/>
  <c r="AP366" i="20"/>
  <c r="AQ366" i="20" s="1"/>
  <c r="T816" i="20"/>
  <c r="AO18" i="20"/>
  <c r="T808" i="20"/>
  <c r="AF808" i="20" s="1"/>
  <c r="BE75" i="3" s="1"/>
  <c r="R21" i="21" a="1"/>
  <c r="R21" i="21" s="1"/>
  <c r="G32" i="7"/>
  <c r="I32" i="7" s="1"/>
  <c r="K32" i="7" s="1"/>
  <c r="M32" i="7" s="1"/>
  <c r="O32" i="7" s="1"/>
  <c r="Q32" i="7" s="1"/>
  <c r="S32" i="7" s="1"/>
  <c r="U32" i="7" s="1"/>
  <c r="W32" i="7" s="1"/>
  <c r="Y32" i="7" s="1"/>
  <c r="AA32" i="7" s="1"/>
  <c r="AC32" i="7" s="1"/>
  <c r="AE32" i="7" s="1"/>
  <c r="AG32" i="7" s="1"/>
  <c r="AC40" i="7"/>
  <c r="AC43" i="7" s="1"/>
  <c r="I40" i="7"/>
  <c r="I43" i="7" s="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R28" i="21" a="1"/>
  <c r="R28" i="21" s="1"/>
  <c r="AG445" i="3"/>
  <c r="AD27" i="15" s="1"/>
  <c r="ET753" i="3"/>
  <c r="T24" i="21"/>
  <c r="B27" i="11"/>
  <c r="D26" i="11"/>
  <c r="T30" i="21"/>
  <c r="T7" i="15"/>
  <c r="E43" i="7"/>
  <c r="AC29" i="7"/>
  <c r="M29" i="7"/>
  <c r="Q40" i="7"/>
  <c r="Q43" i="7" s="1"/>
  <c r="U40" i="7"/>
  <c r="U43" i="7" s="1"/>
  <c r="G29" i="7"/>
  <c r="Q29" i="7"/>
  <c r="AA40" i="7"/>
  <c r="AA43" i="7" s="1"/>
  <c r="Y40" i="7"/>
  <c r="Y43" i="7" s="1"/>
  <c r="M40" i="7"/>
  <c r="M43" i="7" s="1"/>
  <c r="AE29" i="7"/>
  <c r="T28" i="21"/>
  <c r="AE40" i="7"/>
  <c r="AE43" i="7" s="1"/>
  <c r="W40" i="7"/>
  <c r="W43" i="7" s="1"/>
  <c r="W29" i="7"/>
  <c r="P40" i="21" a="1"/>
  <c r="P40" i="21" s="1"/>
  <c r="O40" i="7"/>
  <c r="O43" i="7" s="1"/>
  <c r="U29" i="7"/>
  <c r="R25" i="21" a="1"/>
  <c r="R25" i="21" s="1"/>
  <c r="T36" i="21"/>
  <c r="T42" i="21"/>
  <c r="AD68" i="15"/>
  <c r="CU777" i="3"/>
  <c r="CY778" i="3" s="1"/>
  <c r="EJ753" i="3"/>
  <c r="T33" i="21"/>
  <c r="DO777" i="3"/>
  <c r="DS778" i="3" s="1"/>
  <c r="CZ777" i="3"/>
  <c r="DD778" i="3" s="1"/>
  <c r="EE753" i="3"/>
  <c r="DE777" i="3"/>
  <c r="DI778" i="3" s="1"/>
  <c r="R39" i="21" a="1"/>
  <c r="R39" i="21" s="1"/>
  <c r="EO753" i="3"/>
  <c r="R27" i="21" a="1"/>
  <c r="R27" i="21" s="1"/>
  <c r="DJ777" i="3"/>
  <c r="DN778" i="3" s="1"/>
  <c r="DO797" i="3"/>
  <c r="DS798" i="3" s="1"/>
  <c r="AC797" i="3"/>
  <c r="G8" i="7"/>
  <c r="DZ797" i="3"/>
  <c r="R35" i="21" a="1"/>
  <c r="R35" i="21" s="1"/>
  <c r="R43" i="21" a="1"/>
  <c r="R43" i="21" s="1"/>
  <c r="R31" i="21" a="1"/>
  <c r="R31" i="21" s="1"/>
  <c r="R988" i="3"/>
  <c r="R987" i="3"/>
  <c r="R986" i="3"/>
  <c r="AC777" i="3"/>
  <c r="T41" i="21"/>
  <c r="E105" i="20"/>
  <c r="R23" i="21" a="1"/>
  <c r="R23" i="21" s="1"/>
  <c r="E104" i="20"/>
  <c r="R40" i="21" a="1"/>
  <c r="R40" i="21" s="1"/>
  <c r="AC883" i="3"/>
  <c r="P41" i="21" a="1"/>
  <c r="P41" i="21" s="1"/>
  <c r="R29" i="21" a="1"/>
  <c r="R29" i="21" s="1"/>
  <c r="DZ753" i="3"/>
  <c r="R34" i="21" a="1"/>
  <c r="R34" i="21" s="1"/>
  <c r="CP777" i="3"/>
  <c r="CT778" i="3" s="1"/>
  <c r="R990" i="3"/>
  <c r="FT753" i="3"/>
  <c r="CZ797" i="3"/>
  <c r="DD798" i="3" s="1"/>
  <c r="EE794" i="3"/>
  <c r="EE797" i="3" s="1"/>
  <c r="R32" i="21" a="1"/>
  <c r="R32" i="21" s="1"/>
  <c r="T32" i="21"/>
  <c r="T26" i="21"/>
  <c r="R26" i="21" a="1"/>
  <c r="R26" i="21" s="1"/>
  <c r="CM753" i="3"/>
  <c r="X1052" i="3" s="1"/>
  <c r="DJ753" i="3"/>
  <c r="AX692" i="20" s="1"/>
  <c r="CU797" i="3"/>
  <c r="CY798" i="3" s="1"/>
  <c r="M18" i="21"/>
  <c r="R37" i="21" a="1"/>
  <c r="R37" i="21" s="1"/>
  <c r="T37" i="21"/>
  <c r="DO753" i="3"/>
  <c r="AX693" i="20" s="1"/>
  <c r="DE753" i="3"/>
  <c r="AX691" i="20" s="1"/>
  <c r="ET797" i="3"/>
  <c r="DJ797" i="3"/>
  <c r="DN798" i="3" s="1"/>
  <c r="EO787" i="3"/>
  <c r="EO797" i="3" s="1"/>
  <c r="EJ797" i="3"/>
  <c r="AC884" i="3"/>
  <c r="DE797" i="3"/>
  <c r="DI798" i="3" s="1"/>
  <c r="CZ753" i="3"/>
  <c r="FJ753" i="3"/>
  <c r="DU790" i="3"/>
  <c r="DU797" i="3" s="1"/>
  <c r="CP797" i="3"/>
  <c r="AV122" i="20"/>
  <c r="AW121" i="20" s="1"/>
  <c r="R36" i="21" a="1"/>
  <c r="R36" i="21" s="1"/>
  <c r="R22" i="21" a="1"/>
  <c r="R22" i="21" s="1"/>
  <c r="T38" i="21"/>
  <c r="T29" i="21"/>
  <c r="T20" i="21"/>
  <c r="R38" i="21" a="1"/>
  <c r="R38" i="21" s="1"/>
  <c r="R20" i="21" a="1"/>
  <c r="R20" i="21" s="1"/>
  <c r="P42" i="21" a="1"/>
  <c r="P42" i="21" s="1"/>
  <c r="G19" i="7"/>
  <c r="I19" i="7" s="1"/>
  <c r="K19" i="7" s="1"/>
  <c r="M19" i="7" s="1"/>
  <c r="O19" i="7" s="1"/>
  <c r="Q19" i="7" s="1"/>
  <c r="S19" i="7" s="1"/>
  <c r="U19" i="7" s="1"/>
  <c r="W19" i="7" s="1"/>
  <c r="Y19" i="7" s="1"/>
  <c r="AA19" i="7" s="1"/>
  <c r="AC19" i="7" s="1"/>
  <c r="AE19" i="7" s="1"/>
  <c r="AG19" i="7" s="1"/>
  <c r="R33" i="21" a="1"/>
  <c r="R33" i="21" s="1"/>
  <c r="R24" i="21" a="1"/>
  <c r="R24" i="21" s="1"/>
  <c r="E27" i="21"/>
  <c r="G60" i="21"/>
  <c r="E26" i="21"/>
  <c r="E24" i="21"/>
  <c r="F24" i="21" s="1"/>
  <c r="G40" i="8"/>
  <c r="I15" i="7"/>
  <c r="E28" i="21"/>
  <c r="E25" i="21"/>
  <c r="F25" i="21" s="1"/>
  <c r="G25" i="21" s="1"/>
  <c r="J105" i="4" l="1"/>
  <c r="AJ621" i="20"/>
  <c r="AK794" i="20" s="1"/>
  <c r="T819" i="20" s="1"/>
  <c r="AF819" i="20" s="1"/>
  <c r="BE82" i="3" s="1"/>
  <c r="G94" i="21"/>
  <c r="D105" i="11"/>
  <c r="D43" i="11"/>
  <c r="D71" i="11"/>
  <c r="B12" i="4"/>
  <c r="N195" i="23"/>
  <c r="D55" i="11"/>
  <c r="D82" i="11"/>
  <c r="D39" i="11"/>
  <c r="D78" i="11"/>
  <c r="R12" i="4"/>
  <c r="D12" i="11"/>
  <c r="D63" i="11"/>
  <c r="B13" i="11"/>
  <c r="C64" i="11"/>
  <c r="C98" i="11" s="1"/>
  <c r="B64" i="11"/>
  <c r="B98" i="11" s="1"/>
  <c r="B106" i="11" s="1"/>
  <c r="D27" i="11"/>
  <c r="D97" i="11"/>
  <c r="T97" i="4"/>
  <c r="H63" i="13"/>
  <c r="AO39" i="20"/>
  <c r="AK62" i="20" s="1"/>
  <c r="T804" i="20" s="1"/>
  <c r="AF804" i="20" s="1"/>
  <c r="BE71" i="3" s="1"/>
  <c r="E63" i="13"/>
  <c r="S97" i="4"/>
  <c r="D9" i="11"/>
  <c r="C13" i="11"/>
  <c r="O53" i="7"/>
  <c r="M58" i="7"/>
  <c r="BA1039" i="3"/>
  <c r="BA1048" i="3" s="1" a="1"/>
  <c r="BA1048" i="3" s="1"/>
  <c r="AO42" i="20"/>
  <c r="AS360" i="20"/>
  <c r="G9" i="7"/>
  <c r="C97" i="4"/>
  <c r="C105" i="4" s="1"/>
  <c r="AC455" i="3" s="1"/>
  <c r="G130" i="21"/>
  <c r="G132" i="21" s="1"/>
  <c r="I16" i="21" s="1"/>
  <c r="AY1005" i="3"/>
  <c r="DX635" i="3"/>
  <c r="BG752" i="3"/>
  <c r="BH752" i="3" s="1"/>
  <c r="BG751" i="3"/>
  <c r="BH751" i="3" s="1"/>
  <c r="BT719" i="3"/>
  <c r="BU719" i="3" s="1"/>
  <c r="BT727" i="3"/>
  <c r="BU727" i="3" s="1"/>
  <c r="BT735" i="3"/>
  <c r="BU735" i="3" s="1"/>
  <c r="BT743" i="3"/>
  <c r="BU743" i="3" s="1"/>
  <c r="BT752" i="3"/>
  <c r="BU752" i="3" s="1"/>
  <c r="BT720" i="3"/>
  <c r="BU720" i="3" s="1"/>
  <c r="BT728" i="3"/>
  <c r="BU728" i="3" s="1"/>
  <c r="BT736" i="3"/>
  <c r="BU736" i="3" s="1"/>
  <c r="BT744" i="3"/>
  <c r="BU744" i="3" s="1"/>
  <c r="BT718" i="3"/>
  <c r="BU718" i="3" s="1"/>
  <c r="BT721" i="3"/>
  <c r="BU721" i="3" s="1"/>
  <c r="BT729" i="3"/>
  <c r="BU729" i="3" s="1"/>
  <c r="BT737" i="3"/>
  <c r="BU737" i="3" s="1"/>
  <c r="BT745" i="3"/>
  <c r="BU745" i="3" s="1"/>
  <c r="BT731" i="3"/>
  <c r="BU731" i="3" s="1"/>
  <c r="BT739" i="3"/>
  <c r="BU739" i="3" s="1"/>
  <c r="BT748" i="3"/>
  <c r="BU748" i="3" s="1"/>
  <c r="BT734" i="3"/>
  <c r="BU734" i="3" s="1"/>
  <c r="BT750" i="3"/>
  <c r="BU750" i="3" s="1"/>
  <c r="BT722" i="3"/>
  <c r="BU722" i="3" s="1"/>
  <c r="BT730" i="3"/>
  <c r="BU730" i="3" s="1"/>
  <c r="BT738" i="3"/>
  <c r="BU738" i="3" s="1"/>
  <c r="BT746" i="3"/>
  <c r="BU746" i="3" s="1"/>
  <c r="BT723" i="3"/>
  <c r="BU723" i="3" s="1"/>
  <c r="BT747" i="3"/>
  <c r="BU747" i="3" s="1"/>
  <c r="BT724" i="3"/>
  <c r="BU724" i="3" s="1"/>
  <c r="BT732" i="3"/>
  <c r="BU732" i="3" s="1"/>
  <c r="BT740" i="3"/>
  <c r="BU740" i="3" s="1"/>
  <c r="BT726" i="3"/>
  <c r="BU726" i="3" s="1"/>
  <c r="BT742" i="3"/>
  <c r="BU742" i="3" s="1"/>
  <c r="BT725" i="3"/>
  <c r="BU725" i="3" s="1"/>
  <c r="BT733" i="3"/>
  <c r="BU733" i="3" s="1"/>
  <c r="BT741" i="3"/>
  <c r="BU741" i="3" s="1"/>
  <c r="BT749" i="3"/>
  <c r="BU749" i="3" s="1"/>
  <c r="BG724" i="3"/>
  <c r="BH724" i="3" s="1"/>
  <c r="BG725" i="3"/>
  <c r="BH725" i="3" s="1"/>
  <c r="BG733" i="3"/>
  <c r="BH733" i="3" s="1"/>
  <c r="BG741" i="3"/>
  <c r="BH741" i="3" s="1"/>
  <c r="BG749" i="3"/>
  <c r="BH749" i="3" s="1"/>
  <c r="BG726" i="3"/>
  <c r="BH726" i="3" s="1"/>
  <c r="BG734" i="3"/>
  <c r="BH734" i="3" s="1"/>
  <c r="BG742" i="3"/>
  <c r="BH742" i="3" s="1"/>
  <c r="BG750" i="3"/>
  <c r="BH750" i="3" s="1"/>
  <c r="BG722" i="3"/>
  <c r="BH722" i="3" s="1"/>
  <c r="BG738" i="3"/>
  <c r="BH738" i="3" s="1"/>
  <c r="BG719" i="3"/>
  <c r="BH719" i="3" s="1"/>
  <c r="BG727" i="3"/>
  <c r="BH727" i="3" s="1"/>
  <c r="BG735" i="3"/>
  <c r="BH735" i="3" s="1"/>
  <c r="BG743" i="3"/>
  <c r="BH743" i="3" s="1"/>
  <c r="BG721" i="3"/>
  <c r="BH721" i="3" s="1"/>
  <c r="BG737" i="3"/>
  <c r="BH737" i="3" s="1"/>
  <c r="BG746" i="3"/>
  <c r="BH746" i="3" s="1"/>
  <c r="BG740" i="3"/>
  <c r="BH740" i="3" s="1"/>
  <c r="BG720" i="3"/>
  <c r="BH720" i="3" s="1"/>
  <c r="BG728" i="3"/>
  <c r="BH728" i="3" s="1"/>
  <c r="BG736" i="3"/>
  <c r="BH736" i="3" s="1"/>
  <c r="BG744" i="3"/>
  <c r="BH744" i="3" s="1"/>
  <c r="BG718" i="3"/>
  <c r="BG729" i="3"/>
  <c r="BH729" i="3" s="1"/>
  <c r="BG745" i="3"/>
  <c r="BH745" i="3" s="1"/>
  <c r="BG730" i="3"/>
  <c r="BH730" i="3" s="1"/>
  <c r="BG732" i="3"/>
  <c r="BH732" i="3" s="1"/>
  <c r="BG748" i="3"/>
  <c r="BH748" i="3" s="1"/>
  <c r="BG723" i="3"/>
  <c r="BH723" i="3" s="1"/>
  <c r="BG731" i="3"/>
  <c r="BH731" i="3" s="1"/>
  <c r="BG739" i="3"/>
  <c r="BH739" i="3" s="1"/>
  <c r="BG747" i="3"/>
  <c r="BH747" i="3" s="1"/>
  <c r="E22" i="7"/>
  <c r="AX694" i="20"/>
  <c r="AY695" i="20" s="1"/>
  <c r="AS362" i="20"/>
  <c r="AS358" i="20" s="1"/>
  <c r="AK469" i="20" s="1"/>
  <c r="T817" i="20" s="1"/>
  <c r="AF817" i="20" s="1"/>
  <c r="BE80" i="3" s="1"/>
  <c r="DX661" i="3"/>
  <c r="CT755" i="3"/>
  <c r="CP802" i="3"/>
  <c r="AB986"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CY755" i="3"/>
  <c r="EC661" i="3"/>
  <c r="EC665" i="3"/>
  <c r="EC659" i="3"/>
  <c r="EC662" i="3"/>
  <c r="EC663" i="3"/>
  <c r="EC660" i="3"/>
  <c r="EC664" i="3"/>
  <c r="EC667" i="3"/>
  <c r="EC658" i="3"/>
  <c r="DX668" i="3"/>
  <c r="DX639" i="3"/>
  <c r="DX636" i="3"/>
  <c r="DX653" i="3"/>
  <c r="DX657" i="3"/>
  <c r="EC639" i="3"/>
  <c r="AC885" i="3"/>
  <c r="EC652" i="3"/>
  <c r="I1052" i="3"/>
  <c r="AY1006" i="3" s="1"/>
  <c r="T815" i="20"/>
  <c r="AF815" i="20" s="1"/>
  <c r="BE79" i="3" s="1"/>
  <c r="Y27" i="15"/>
  <c r="AI27" i="15"/>
  <c r="T27" i="15"/>
  <c r="Y800" i="3"/>
  <c r="G22" i="7"/>
  <c r="G35" i="7" s="1"/>
  <c r="EC645" i="3"/>
  <c r="EC647" i="3"/>
  <c r="EC637" i="3"/>
  <c r="EC653" i="3"/>
  <c r="EC649" i="3"/>
  <c r="DX646" i="3"/>
  <c r="EC638" i="3"/>
  <c r="EC650" i="3"/>
  <c r="DU778" i="3"/>
  <c r="EC657" i="3"/>
  <c r="EC656" i="3"/>
  <c r="EC643" i="3"/>
  <c r="EC668" i="3"/>
  <c r="EC669" i="3"/>
  <c r="EC646" i="3"/>
  <c r="EC635" i="3"/>
  <c r="EC636" i="3"/>
  <c r="EC651" i="3"/>
  <c r="EC640" i="3"/>
  <c r="EC644" i="3"/>
  <c r="EC655" i="3"/>
  <c r="AW118" i="20"/>
  <c r="AW116" i="20"/>
  <c r="EM636" i="3"/>
  <c r="EC654" i="3"/>
  <c r="EC641" i="3"/>
  <c r="I8" i="7"/>
  <c r="I9" i="7" s="1"/>
  <c r="T18" i="21"/>
  <c r="G51" i="21" s="1"/>
  <c r="Y801" i="3"/>
  <c r="E4" i="7" s="1"/>
  <c r="DU777" i="3"/>
  <c r="EC642" i="3"/>
  <c r="AW117" i="20"/>
  <c r="AW120" i="20"/>
  <c r="EH641" i="3"/>
  <c r="AG1045" i="3"/>
  <c r="DS755" i="3"/>
  <c r="EW652" i="3"/>
  <c r="EW647" i="3"/>
  <c r="EW644" i="3"/>
  <c r="EW656" i="3"/>
  <c r="EW650" i="3"/>
  <c r="EW654" i="3"/>
  <c r="EW655" i="3"/>
  <c r="EW657" i="3"/>
  <c r="EW653" i="3"/>
  <c r="EW639" i="3"/>
  <c r="EW648" i="3"/>
  <c r="DO802" i="3"/>
  <c r="EW646" i="3"/>
  <c r="EW645" i="3"/>
  <c r="EW642" i="3"/>
  <c r="EW668" i="3"/>
  <c r="EW649" i="3"/>
  <c r="EW635" i="3"/>
  <c r="EW640" i="3"/>
  <c r="EW641" i="3"/>
  <c r="EW638" i="3"/>
  <c r="EW636" i="3"/>
  <c r="EW669" i="3"/>
  <c r="FY753" i="3"/>
  <c r="EW637" i="3"/>
  <c r="DN755" i="3"/>
  <c r="DJ802"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9" i="3"/>
  <c r="ER642" i="3"/>
  <c r="CZ802" i="3"/>
  <c r="AB988" i="3" s="1"/>
  <c r="AJ988" i="3" s="1"/>
  <c r="EH643" i="3"/>
  <c r="EH654" i="3"/>
  <c r="EH639" i="3"/>
  <c r="EH651" i="3"/>
  <c r="EH635" i="3"/>
  <c r="EH647" i="3"/>
  <c r="EH645" i="3"/>
  <c r="EH649" i="3"/>
  <c r="EH650" i="3"/>
  <c r="EH669" i="3"/>
  <c r="EH638" i="3"/>
  <c r="EH652" i="3"/>
  <c r="EH648" i="3"/>
  <c r="EH636" i="3"/>
  <c r="DD755" i="3"/>
  <c r="EH642" i="3"/>
  <c r="EH640" i="3"/>
  <c r="EH655" i="3"/>
  <c r="EH644" i="3"/>
  <c r="EH657" i="3"/>
  <c r="EH646" i="3"/>
  <c r="EH656" i="3"/>
  <c r="EH668" i="3"/>
  <c r="G42" i="21" a="1"/>
  <c r="G42" i="21" s="1"/>
  <c r="G43" i="21" s="1"/>
  <c r="O20" i="21" s="1"/>
  <c r="DX649" i="3"/>
  <c r="DX640" i="3"/>
  <c r="DX642" i="3"/>
  <c r="DX641" i="3"/>
  <c r="DX656" i="3"/>
  <c r="DX652" i="3"/>
  <c r="DX647" i="3"/>
  <c r="DX655" i="3"/>
  <c r="DX644" i="3"/>
  <c r="DX654" i="3"/>
  <c r="DX648" i="3"/>
  <c r="DO754" i="3"/>
  <c r="DX651" i="3"/>
  <c r="DX638" i="3"/>
  <c r="DX650" i="3"/>
  <c r="DX643" i="3"/>
  <c r="EH653" i="3"/>
  <c r="EW651" i="3"/>
  <c r="DX637" i="3"/>
  <c r="EZ753" i="3"/>
  <c r="ER650" i="3"/>
  <c r="AW119" i="20"/>
  <c r="DX645" i="3"/>
  <c r="CU802" i="3"/>
  <c r="AB987" i="3" s="1"/>
  <c r="AJ987" i="3" s="1"/>
  <c r="ER668" i="3"/>
  <c r="CT798" i="3"/>
  <c r="DU800" i="3" s="1"/>
  <c r="DU799" i="3"/>
  <c r="DE802" i="3"/>
  <c r="AB989" i="3" s="1"/>
  <c r="AJ989" i="3" s="1"/>
  <c r="EM650" i="3"/>
  <c r="EM646" i="3"/>
  <c r="EM653" i="3"/>
  <c r="EM641" i="3"/>
  <c r="EM654" i="3"/>
  <c r="DI755" i="3"/>
  <c r="EM669" i="3"/>
  <c r="EM637" i="3"/>
  <c r="EM657" i="3"/>
  <c r="EM655" i="3"/>
  <c r="EM668" i="3"/>
  <c r="EM640" i="3"/>
  <c r="EM645" i="3"/>
  <c r="EM647" i="3"/>
  <c r="EM639" i="3"/>
  <c r="EM649" i="3"/>
  <c r="EM642" i="3"/>
  <c r="EM656" i="3"/>
  <c r="EM644" i="3"/>
  <c r="EM638" i="3"/>
  <c r="EM648" i="3"/>
  <c r="EH637" i="3"/>
  <c r="ET799" i="3"/>
  <c r="FO753" i="3"/>
  <c r="EM635" i="3"/>
  <c r="EM643" i="3"/>
  <c r="E6" i="7"/>
  <c r="K15" i="7"/>
  <c r="I22" i="7"/>
  <c r="I35" i="7" s="1"/>
  <c r="E29" i="21"/>
  <c r="G24" i="21"/>
  <c r="O39" i="21" l="1"/>
  <c r="P39" i="21" s="1" a="1"/>
  <c r="P39" i="21" s="1"/>
  <c r="S39" i="21" s="1"/>
  <c r="O38" i="21"/>
  <c r="P38" i="21" s="1" a="1"/>
  <c r="P38" i="21" s="1"/>
  <c r="S38" i="21" s="1"/>
  <c r="O37" i="21"/>
  <c r="P37" i="21" s="1" a="1"/>
  <c r="P37" i="21" s="1"/>
  <c r="S37" i="21" s="1"/>
  <c r="O36" i="21"/>
  <c r="P36" i="21" s="1" a="1"/>
  <c r="P36" i="21" s="1"/>
  <c r="S36" i="21" s="1"/>
  <c r="O35" i="21"/>
  <c r="P35" i="21" s="1" a="1"/>
  <c r="P35" i="21" s="1"/>
  <c r="S35" i="21" s="1"/>
  <c r="O34" i="21"/>
  <c r="P34" i="21" s="1" a="1"/>
  <c r="P34" i="21" s="1"/>
  <c r="S34" i="21" s="1"/>
  <c r="O33" i="21"/>
  <c r="P33" i="21" s="1" a="1"/>
  <c r="P33" i="21" s="1"/>
  <c r="S33" i="21" s="1"/>
  <c r="O32" i="21"/>
  <c r="P32" i="21" s="1" a="1"/>
  <c r="P32" i="21" s="1"/>
  <c r="S32" i="21" s="1"/>
  <c r="O31" i="21"/>
  <c r="P31" i="21" s="1" a="1"/>
  <c r="P31" i="21" s="1"/>
  <c r="S31" i="21" s="1"/>
  <c r="O30" i="21"/>
  <c r="P30" i="21" s="1" a="1"/>
  <c r="P30" i="21" s="1"/>
  <c r="S30" i="21" s="1"/>
  <c r="O29" i="21"/>
  <c r="P29" i="21" s="1" a="1"/>
  <c r="P29" i="21" s="1"/>
  <c r="S29" i="21" s="1"/>
  <c r="O28" i="21"/>
  <c r="P28" i="21" s="1" a="1"/>
  <c r="P28" i="21" s="1"/>
  <c r="S28" i="21" s="1"/>
  <c r="O27" i="21"/>
  <c r="P27" i="21" s="1" a="1"/>
  <c r="P27" i="21" s="1"/>
  <c r="S27" i="21" s="1"/>
  <c r="O26" i="21"/>
  <c r="P26" i="21" s="1" a="1"/>
  <c r="P26" i="21" s="1"/>
  <c r="S26" i="21" s="1"/>
  <c r="O25" i="21"/>
  <c r="P25" i="21" s="1" a="1"/>
  <c r="P25" i="21" s="1"/>
  <c r="S25" i="21" s="1"/>
  <c r="O24" i="21"/>
  <c r="P24" i="21" s="1" a="1"/>
  <c r="P24" i="21" s="1"/>
  <c r="S24" i="21" s="1"/>
  <c r="O23" i="21"/>
  <c r="P23" i="21" s="1" a="1"/>
  <c r="P23" i="21" s="1"/>
  <c r="S23" i="21" s="1"/>
  <c r="O22" i="21"/>
  <c r="P22" i="21" s="1" a="1"/>
  <c r="P22" i="21" s="1"/>
  <c r="S22" i="21" s="1"/>
  <c r="O21" i="21"/>
  <c r="P21" i="21" s="1" a="1"/>
  <c r="P21" i="21" s="1"/>
  <c r="S21" i="21" s="1"/>
  <c r="D64" i="11"/>
  <c r="BE101" i="3"/>
  <c r="AK84" i="20"/>
  <c r="D13" i="11"/>
  <c r="B97" i="13"/>
  <c r="AZ1046" i="3"/>
  <c r="S105" i="4"/>
  <c r="AE699" i="3" s="1"/>
  <c r="E97" i="13"/>
  <c r="B105" i="13"/>
  <c r="AG269" i="20"/>
  <c r="O58" i="7"/>
  <c r="Q53" i="7"/>
  <c r="T105" i="4"/>
  <c r="H97" i="13"/>
  <c r="P20" i="21" a="1"/>
  <c r="P20" i="21" s="1"/>
  <c r="S20" i="21" s="1"/>
  <c r="DU755" i="3"/>
  <c r="O756" i="3" s="1"/>
  <c r="BG753" i="3"/>
  <c r="BU753" i="3"/>
  <c r="AH753" i="3" s="1"/>
  <c r="BE43" i="3" s="1"/>
  <c r="E35" i="7"/>
  <c r="BT753" i="3"/>
  <c r="AX695" i="20"/>
  <c r="AO695" i="20" s="1"/>
  <c r="BH718" i="3"/>
  <c r="DX670" i="3"/>
  <c r="E130" i="20" s="1"/>
  <c r="E133" i="20" s="1"/>
  <c r="E136" i="20" s="1"/>
  <c r="AW122" i="20"/>
  <c r="AK191" i="20"/>
  <c r="T811" i="20" s="1"/>
  <c r="AF811" i="20" s="1"/>
  <c r="BE76" i="3" s="1"/>
  <c r="T805" i="20"/>
  <c r="AF805" i="20" s="1"/>
  <c r="BE72" i="3" s="1"/>
  <c r="K8" i="7"/>
  <c r="M8" i="7" s="1"/>
  <c r="D98" i="11"/>
  <c r="C106" i="11"/>
  <c r="D106" i="11" s="1"/>
  <c r="G4" i="7"/>
  <c r="G5" i="7" s="1"/>
  <c r="EC670" i="3"/>
  <c r="J130" i="20" s="1"/>
  <c r="J133" i="20" s="1"/>
  <c r="J136" i="20" s="1"/>
  <c r="Z818" i="3"/>
  <c r="E5" i="7"/>
  <c r="EW670" i="3"/>
  <c r="AD130" i="20" s="1"/>
  <c r="AD133" i="20" s="1"/>
  <c r="AD136" i="20" s="1"/>
  <c r="EH670" i="3"/>
  <c r="O130" i="20" s="1"/>
  <c r="O133" i="20" s="1"/>
  <c r="O136" i="20" s="1"/>
  <c r="ER670" i="3"/>
  <c r="Y130" i="20" s="1"/>
  <c r="Y133" i="20" s="1"/>
  <c r="Y136" i="20" s="1"/>
  <c r="EM670" i="3"/>
  <c r="T130" i="20" s="1"/>
  <c r="T133" i="20" s="1"/>
  <c r="T136" i="20" s="1"/>
  <c r="AJ986" i="3"/>
  <c r="AB990" i="3"/>
  <c r="AJ990" i="3" s="1"/>
  <c r="G6" i="7"/>
  <c r="E7" i="7"/>
  <c r="M15" i="7"/>
  <c r="K22" i="7"/>
  <c r="K35" i="7" s="1"/>
  <c r="F27" i="21"/>
  <c r="G61" i="21"/>
  <c r="G63" i="21" s="1"/>
  <c r="G65" i="21" s="1"/>
  <c r="E13" i="21" s="1"/>
  <c r="F28" i="21"/>
  <c r="G28" i="21" s="1"/>
  <c r="G52" i="21"/>
  <c r="G54" i="21" s="1"/>
  <c r="G56" i="21" s="1"/>
  <c r="E12" i="21" s="1"/>
  <c r="S107" i="4" l="1"/>
  <c r="E105" i="13"/>
  <c r="H105" i="13"/>
  <c r="T107" i="4"/>
  <c r="H107" i="13" s="1"/>
  <c r="Q58" i="7"/>
  <c r="S53" i="7"/>
  <c r="G45" i="21"/>
  <c r="G47" i="21" s="1"/>
  <c r="E10" i="21" s="1"/>
  <c r="E11" i="21"/>
  <c r="AP705" i="20"/>
  <c r="AP706" i="20"/>
  <c r="I4" i="7"/>
  <c r="I5" i="7" s="1"/>
  <c r="K9" i="7"/>
  <c r="E11" i="7"/>
  <c r="E37" i="7" s="1"/>
  <c r="E49" i="7" s="1"/>
  <c r="AJ992" i="3"/>
  <c r="E138" i="20"/>
  <c r="E139" i="20" s="1"/>
  <c r="AK143" i="20" s="1"/>
  <c r="T807" i="20" s="1"/>
  <c r="AF807" i="20" s="1"/>
  <c r="BE74" i="3" s="1"/>
  <c r="AB991" i="3"/>
  <c r="DU802" i="3"/>
  <c r="U373" i="20" s="1"/>
  <c r="P421" i="3"/>
  <c r="I6" i="7"/>
  <c r="G7" i="7"/>
  <c r="G11" i="7" s="1"/>
  <c r="G37" i="7" s="1"/>
  <c r="M22" i="7"/>
  <c r="M35" i="7" s="1"/>
  <c r="O15" i="7"/>
  <c r="M9" i="7"/>
  <c r="O8" i="7"/>
  <c r="G27" i="21"/>
  <c r="F26" i="21"/>
  <c r="AJ1029" i="3" l="1"/>
  <c r="AJ1016" i="3"/>
  <c r="AC456" i="3"/>
  <c r="AD11" i="15"/>
  <c r="AD23" i="15" s="1"/>
  <c r="AD26" i="15" s="1"/>
  <c r="AD28" i="15" s="1"/>
  <c r="AI11" i="15"/>
  <c r="AI23" i="15" s="1"/>
  <c r="AI26" i="15" s="1"/>
  <c r="AI28" i="15" s="1"/>
  <c r="S58" i="7"/>
  <c r="U53" i="7"/>
  <c r="AA1056" i="3"/>
  <c r="AF551" i="20"/>
  <c r="E107" i="13"/>
  <c r="AJ1045" i="3"/>
  <c r="AJ1049" i="3"/>
  <c r="AP553" i="20" s="1"/>
  <c r="AP550" i="20"/>
  <c r="K4" i="7"/>
  <c r="M4" i="7" s="1"/>
  <c r="E45" i="7"/>
  <c r="E48" i="7" s="1"/>
  <c r="G45" i="7"/>
  <c r="G49" i="7"/>
  <c r="K6" i="7"/>
  <c r="I7" i="7"/>
  <c r="I11" i="7" s="1"/>
  <c r="I37" i="7" s="1"/>
  <c r="G26" i="21"/>
  <c r="F29" i="21"/>
  <c r="G29" i="21"/>
  <c r="O22" i="7"/>
  <c r="O35" i="7" s="1"/>
  <c r="Q15" i="7"/>
  <c r="O9" i="7"/>
  <c r="Q8" i="7"/>
  <c r="T11" i="15" l="1"/>
  <c r="T23" i="15" s="1"/>
  <c r="T26" i="15" s="1"/>
  <c r="T28" i="15" s="1"/>
  <c r="Y11" i="15"/>
  <c r="Y23" i="15" s="1"/>
  <c r="Y26" i="15" s="1"/>
  <c r="Y28" i="15" s="1"/>
  <c r="U58" i="7"/>
  <c r="W53" i="7"/>
  <c r="AJ1053" i="3"/>
  <c r="AP552" i="20"/>
  <c r="AP554" i="20" s="1"/>
  <c r="K5" i="7"/>
  <c r="E47" i="7"/>
  <c r="E60" i="7"/>
  <c r="E62" i="7" s="1"/>
  <c r="O4" i="7"/>
  <c r="M5" i="7"/>
  <c r="I45" i="7"/>
  <c r="I49" i="7"/>
  <c r="M6" i="7"/>
  <c r="K7" i="7"/>
  <c r="G60" i="7"/>
  <c r="G47" i="7"/>
  <c r="G48" i="7"/>
  <c r="Q22" i="7"/>
  <c r="Q35" i="7" s="1"/>
  <c r="S15" i="7"/>
  <c r="G79" i="21"/>
  <c r="G31" i="21"/>
  <c r="G33" i="21" s="1"/>
  <c r="E9" i="21" s="1"/>
  <c r="G88" i="21"/>
  <c r="G90" i="21" s="1"/>
  <c r="E16" i="21" s="1"/>
  <c r="G111" i="21"/>
  <c r="G96" i="21"/>
  <c r="Q9" i="7"/>
  <c r="S8" i="7"/>
  <c r="G62" i="7" l="1"/>
  <c r="Y64" i="15"/>
  <c r="Y68" i="15" s="1"/>
  <c r="Y69" i="15" s="1"/>
  <c r="T29" i="15"/>
  <c r="G80" i="21"/>
  <c r="E15" i="21" s="1"/>
  <c r="W58" i="7"/>
  <c r="Y53" i="7"/>
  <c r="T24" i="15"/>
  <c r="Y38" i="15" s="1"/>
  <c r="Y40" i="15" s="1"/>
  <c r="AP557" i="20"/>
  <c r="AP556" i="20" s="1"/>
  <c r="AP559" i="20" s="1"/>
  <c r="AF552" i="20" s="1"/>
  <c r="AF553" i="20" s="1"/>
  <c r="AK559" i="20" s="1"/>
  <c r="T818" i="20" s="1"/>
  <c r="AF818" i="20" s="1"/>
  <c r="BE81" i="3" s="1"/>
  <c r="K11" i="7"/>
  <c r="K37" i="7" s="1"/>
  <c r="K45" i="7" s="1"/>
  <c r="E66" i="7"/>
  <c r="AF628" i="3" s="1"/>
  <c r="O5" i="7"/>
  <c r="Q4" i="7"/>
  <c r="M7" i="7"/>
  <c r="M11" i="7" s="1"/>
  <c r="M37" i="7" s="1"/>
  <c r="O6" i="7"/>
  <c r="I48" i="7"/>
  <c r="I60" i="7"/>
  <c r="I47" i="7"/>
  <c r="G101" i="21"/>
  <c r="G113" i="21"/>
  <c r="G97" i="21"/>
  <c r="S22" i="7"/>
  <c r="S35" i="7" s="1"/>
  <c r="U15" i="7"/>
  <c r="U8" i="7"/>
  <c r="S9" i="7"/>
  <c r="G66" i="7" l="1"/>
  <c r="G70" i="7" s="1"/>
  <c r="G72" i="7" s="1"/>
  <c r="I62" i="7"/>
  <c r="AA53" i="7"/>
  <c r="Y58" i="7"/>
  <c r="AD38" i="15"/>
  <c r="AD40" i="15" s="1"/>
  <c r="Y41" i="15" s="1"/>
  <c r="AB50" i="15" s="1"/>
  <c r="G115" i="21"/>
  <c r="E17" i="21" s="1"/>
  <c r="E14" i="21" s="1"/>
  <c r="E18" i="21" s="1"/>
  <c r="K49" i="7"/>
  <c r="E70" i="7"/>
  <c r="E72" i="7" s="1"/>
  <c r="S4" i="7"/>
  <c r="Q5" i="7"/>
  <c r="O7" i="7"/>
  <c r="O11" i="7" s="1"/>
  <c r="O37" i="7" s="1"/>
  <c r="Q6" i="7"/>
  <c r="M45" i="7"/>
  <c r="M49" i="7"/>
  <c r="K47" i="7"/>
  <c r="K60" i="7"/>
  <c r="K48" i="7"/>
  <c r="U22" i="7"/>
  <c r="U35" i="7" s="1"/>
  <c r="W15" i="7"/>
  <c r="U9" i="7"/>
  <c r="W8" i="7"/>
  <c r="I66" i="7" l="1"/>
  <c r="I70" i="7" s="1"/>
  <c r="I72" i="7" s="1"/>
  <c r="K62" i="7"/>
  <c r="AC53" i="7"/>
  <c r="AA58" i="7"/>
  <c r="U4" i="7"/>
  <c r="S5" i="7"/>
  <c r="M48" i="7"/>
  <c r="M47" i="7"/>
  <c r="M60" i="7"/>
  <c r="O45" i="7"/>
  <c r="O49" i="7"/>
  <c r="Q7" i="7"/>
  <c r="Q11" i="7" s="1"/>
  <c r="Q37" i="7" s="1"/>
  <c r="S6" i="7"/>
  <c r="W22" i="7"/>
  <c r="W35" i="7" s="1"/>
  <c r="Y15" i="7"/>
  <c r="W9" i="7"/>
  <c r="Y8" i="7"/>
  <c r="M62" i="7" l="1"/>
  <c r="K66" i="7"/>
  <c r="BE62" i="3"/>
  <c r="AE53" i="7"/>
  <c r="AC58" i="7"/>
  <c r="U5" i="7"/>
  <c r="W4" i="7"/>
  <c r="Q49" i="7"/>
  <c r="Q45" i="7"/>
  <c r="O47" i="7"/>
  <c r="O48" i="7"/>
  <c r="O60" i="7"/>
  <c r="S7" i="7"/>
  <c r="S11" i="7" s="1"/>
  <c r="S37" i="7" s="1"/>
  <c r="U6" i="7"/>
  <c r="Y22" i="7"/>
  <c r="Y35" i="7" s="1"/>
  <c r="AA15" i="7"/>
  <c r="Y9" i="7"/>
  <c r="AA8" i="7"/>
  <c r="M66" i="7" l="1"/>
  <c r="M70" i="7" s="1"/>
  <c r="M72" i="7" s="1"/>
  <c r="K70" i="7"/>
  <c r="K72" i="7" s="1"/>
  <c r="O62" i="7"/>
  <c r="AG53" i="7"/>
  <c r="AG58" i="7" s="1"/>
  <c r="AE58" i="7"/>
  <c r="W5" i="7"/>
  <c r="Y4" i="7"/>
  <c r="U7" i="7"/>
  <c r="U11" i="7" s="1"/>
  <c r="U37" i="7" s="1"/>
  <c r="W6" i="7"/>
  <c r="Q60" i="7"/>
  <c r="Q48" i="7"/>
  <c r="Q47" i="7"/>
  <c r="S49" i="7"/>
  <c r="S45" i="7"/>
  <c r="AC15" i="7"/>
  <c r="AA22" i="7"/>
  <c r="AA35" i="7" s="1"/>
  <c r="AC8" i="7"/>
  <c r="AA9" i="7"/>
  <c r="O66" i="7" l="1"/>
  <c r="O70" i="7" s="1"/>
  <c r="O72" i="7" s="1"/>
  <c r="Q62" i="7"/>
  <c r="AA4" i="7"/>
  <c r="Y5" i="7"/>
  <c r="Y6" i="7"/>
  <c r="W7" i="7"/>
  <c r="W11" i="7" s="1"/>
  <c r="W37" i="7" s="1"/>
  <c r="U45" i="7"/>
  <c r="U49" i="7"/>
  <c r="S48" i="7"/>
  <c r="S47" i="7"/>
  <c r="S60" i="7"/>
  <c r="AE15" i="7"/>
  <c r="AC22" i="7"/>
  <c r="AC35" i="7" s="1"/>
  <c r="AC9" i="7"/>
  <c r="AE8" i="7"/>
  <c r="Q66" i="7" l="1"/>
  <c r="Q70" i="7" s="1"/>
  <c r="Q72" i="7" s="1"/>
  <c r="S62" i="7"/>
  <c r="AA5" i="7"/>
  <c r="AC4" i="7"/>
  <c r="U48" i="7"/>
  <c r="U60" i="7"/>
  <c r="U47" i="7"/>
  <c r="W49" i="7"/>
  <c r="W45" i="7"/>
  <c r="Y7" i="7"/>
  <c r="Y11" i="7" s="1"/>
  <c r="Y37" i="7" s="1"/>
  <c r="AA6" i="7"/>
  <c r="AE22" i="7"/>
  <c r="AE35" i="7" s="1"/>
  <c r="AG15" i="7"/>
  <c r="AG22" i="7" s="1"/>
  <c r="AG35" i="7" s="1"/>
  <c r="AE9" i="7"/>
  <c r="AG8" i="7"/>
  <c r="AG9" i="7" s="1"/>
  <c r="S66" i="7" l="1"/>
  <c r="S70" i="7" s="1"/>
  <c r="S72" i="7" s="1"/>
  <c r="U62" i="7"/>
  <c r="AC5" i="7"/>
  <c r="AE4" i="7"/>
  <c r="AC6" i="7"/>
  <c r="AA7" i="7"/>
  <c r="AA11" i="7" s="1"/>
  <c r="AA37" i="7" s="1"/>
  <c r="Y49" i="7"/>
  <c r="Y45" i="7"/>
  <c r="W60" i="7"/>
  <c r="W47" i="7"/>
  <c r="W48" i="7"/>
  <c r="U66" i="7" l="1"/>
  <c r="W62" i="7"/>
  <c r="W66" i="7" s="1"/>
  <c r="AE5" i="7"/>
  <c r="AG4" i="7"/>
  <c r="AA45" i="7"/>
  <c r="AA49" i="7"/>
  <c r="U70" i="7"/>
  <c r="U72" i="7" s="1"/>
  <c r="Y47" i="7"/>
  <c r="Y48" i="7"/>
  <c r="Y60" i="7"/>
  <c r="AE6" i="7"/>
  <c r="AC7" i="7"/>
  <c r="AC11" i="7" s="1"/>
  <c r="AC37" i="7" s="1"/>
  <c r="Y62" i="7" l="1"/>
  <c r="Y66" i="7" s="1"/>
  <c r="AG5" i="7"/>
  <c r="W70" i="7"/>
  <c r="W72" i="7" s="1"/>
  <c r="AA60" i="7"/>
  <c r="AA47" i="7"/>
  <c r="AA48" i="7"/>
  <c r="AC45" i="7"/>
  <c r="AC49" i="7"/>
  <c r="AE7" i="7"/>
  <c r="AE11" i="7" s="1"/>
  <c r="AE37" i="7" s="1"/>
  <c r="AG6" i="7"/>
  <c r="AA62" i="7" l="1"/>
  <c r="Y70" i="7"/>
  <c r="Y72" i="7" s="1"/>
  <c r="AG7" i="7"/>
  <c r="AG11" i="7" s="1"/>
  <c r="AG37" i="7" s="1"/>
  <c r="AE49" i="7"/>
  <c r="AE45" i="7"/>
  <c r="AC60" i="7"/>
  <c r="AC48" i="7"/>
  <c r="AC47" i="7"/>
  <c r="AC62" i="7" l="1"/>
  <c r="AA66" i="7"/>
  <c r="AE47" i="7"/>
  <c r="AE60" i="7"/>
  <c r="AE48" i="7"/>
  <c r="AG49" i="7"/>
  <c r="AG45" i="7"/>
  <c r="AC66" i="7" l="1"/>
  <c r="AC70" i="7" s="1"/>
  <c r="AC72" i="7" s="1"/>
  <c r="AE62" i="7"/>
  <c r="AA70" i="7"/>
  <c r="AA72" i="7" s="1"/>
  <c r="AG48" i="7"/>
  <c r="AG60" i="7"/>
  <c r="AG47" i="7"/>
  <c r="AE66" i="7" l="1"/>
  <c r="AG62" i="7"/>
  <c r="AI62" i="7" s="1"/>
  <c r="AK62" i="7" s="1"/>
  <c r="AM62" i="7" s="1"/>
  <c r="AO62" i="7" s="1"/>
  <c r="AQ62" i="7" s="1"/>
  <c r="AS62" i="7" s="1"/>
  <c r="AU62" i="7" s="1"/>
  <c r="AW62" i="7" s="1"/>
  <c r="AY62" i="7" s="1"/>
  <c r="BA62" i="7" s="1"/>
  <c r="BC62" i="7" s="1"/>
  <c r="BE62" i="7" s="1"/>
  <c r="BG62" i="7" s="1"/>
  <c r="BI62" i="7" s="1"/>
  <c r="BK62" i="7" s="1"/>
  <c r="BM62" i="7" s="1"/>
  <c r="BO62" i="7" s="1"/>
  <c r="BQ62" i="7" s="1"/>
  <c r="BS62" i="7" s="1"/>
  <c r="BU62" i="7" s="1"/>
  <c r="BW62" i="7" s="1"/>
  <c r="BY62" i="7" s="1"/>
  <c r="CA62" i="7" s="1"/>
  <c r="CC62" i="7" s="1"/>
  <c r="CE62" i="7" s="1"/>
  <c r="CG62" i="7" s="1"/>
  <c r="CI62" i="7" s="1"/>
  <c r="CK62" i="7" s="1"/>
  <c r="CM62" i="7" s="1"/>
  <c r="CO62" i="7" s="1"/>
  <c r="CQ62" i="7" s="1"/>
  <c r="CS62" i="7" s="1"/>
  <c r="CU62" i="7" s="1"/>
  <c r="CW62" i="7" s="1"/>
  <c r="CY62" i="7" s="1"/>
  <c r="DA62" i="7" s="1"/>
  <c r="DC62" i="7" s="1"/>
  <c r="DE62" i="7" s="1"/>
  <c r="DG62" i="7" s="1"/>
  <c r="DI62" i="7" s="1"/>
  <c r="DK62" i="7" s="1"/>
  <c r="DM62" i="7" s="1"/>
  <c r="DO62" i="7" s="1"/>
  <c r="DQ62" i="7" s="1"/>
  <c r="DS62" i="7" s="1"/>
  <c r="DU62" i="7" s="1"/>
  <c r="DW62" i="7" s="1"/>
  <c r="DY62" i="7" s="1"/>
  <c r="EA62" i="7" s="1"/>
  <c r="EC62" i="7" s="1"/>
  <c r="EE62" i="7" s="1"/>
  <c r="EG62" i="7" s="1"/>
  <c r="EI62" i="7" s="1"/>
  <c r="EK62" i="7" s="1"/>
  <c r="EM62" i="7" s="1"/>
  <c r="EO62" i="7" s="1"/>
  <c r="EQ62" i="7" s="1"/>
  <c r="ES62" i="7" s="1"/>
  <c r="EU62" i="7" s="1"/>
  <c r="EW62" i="7" s="1"/>
  <c r="EY62" i="7" s="1"/>
  <c r="FA62" i="7" s="1"/>
  <c r="FC62" i="7" s="1"/>
  <c r="FE62" i="7" s="1"/>
  <c r="FG62" i="7" s="1"/>
  <c r="FI62" i="7" s="1"/>
  <c r="FK62" i="7" s="1"/>
  <c r="FM62" i="7" s="1"/>
  <c r="FO62" i="7" s="1"/>
  <c r="FQ62" i="7" s="1"/>
  <c r="FS62" i="7" s="1"/>
  <c r="FU62" i="7" s="1"/>
  <c r="FW62" i="7" s="1"/>
  <c r="FY62" i="7" s="1"/>
  <c r="GA62" i="7" s="1"/>
  <c r="GC62" i="7" s="1"/>
  <c r="GE62" i="7" s="1"/>
  <c r="GG62" i="7" s="1"/>
  <c r="GI62" i="7" s="1"/>
  <c r="GK62" i="7" s="1"/>
  <c r="GM62" i="7" s="1"/>
  <c r="GO62" i="7" s="1"/>
  <c r="GQ62" i="7" s="1"/>
  <c r="GS62" i="7" s="1"/>
  <c r="GU62" i="7" s="1"/>
  <c r="GW62" i="7" s="1"/>
  <c r="GY62" i="7" s="1"/>
  <c r="HA62" i="7" s="1"/>
  <c r="HC62" i="7" s="1"/>
  <c r="HE62" i="7" s="1"/>
  <c r="HG62" i="7" s="1"/>
  <c r="HI62" i="7" s="1"/>
  <c r="HK62" i="7" s="1"/>
  <c r="HM62" i="7" s="1"/>
  <c r="HO62" i="7" s="1"/>
  <c r="HQ62" i="7" s="1"/>
  <c r="HS62" i="7" s="1"/>
  <c r="HU62" i="7" s="1"/>
  <c r="HW62" i="7" s="1"/>
  <c r="HY62" i="7" s="1"/>
  <c r="IA62" i="7" s="1"/>
  <c r="IC62" i="7" s="1"/>
  <c r="IE62" i="7" s="1"/>
  <c r="IG62" i="7" s="1"/>
  <c r="II62" i="7" s="1"/>
  <c r="IK62" i="7" s="1"/>
  <c r="IM62" i="7" s="1"/>
  <c r="IO62" i="7" s="1"/>
  <c r="IQ62" i="7" s="1"/>
  <c r="IS62" i="7" s="1"/>
  <c r="IU62" i="7" s="1"/>
  <c r="IW62" i="7" s="1"/>
  <c r="IY62" i="7" s="1"/>
  <c r="JA62" i="7" s="1"/>
  <c r="JC62" i="7" s="1"/>
  <c r="JE62" i="7" s="1"/>
  <c r="JG62" i="7" s="1"/>
  <c r="JI62" i="7" s="1"/>
  <c r="JK62" i="7" s="1"/>
  <c r="JM62" i="7" s="1"/>
  <c r="JO62" i="7" s="1"/>
  <c r="JQ62" i="7" s="1"/>
  <c r="JS62" i="7" s="1"/>
  <c r="JU62" i="7" s="1"/>
  <c r="JW62" i="7" s="1"/>
  <c r="JY62" i="7" s="1"/>
  <c r="KA62" i="7" s="1"/>
  <c r="KC62" i="7" s="1"/>
  <c r="KE62" i="7" s="1"/>
  <c r="KG62" i="7" s="1"/>
  <c r="KI62" i="7" s="1"/>
  <c r="KK62" i="7" s="1"/>
  <c r="KM62" i="7" s="1"/>
  <c r="KO62" i="7" s="1"/>
  <c r="KQ62" i="7" s="1"/>
  <c r="KS62" i="7" s="1"/>
  <c r="KU62" i="7" s="1"/>
  <c r="KW62" i="7" s="1"/>
  <c r="KY62" i="7" s="1"/>
  <c r="LA62" i="7" s="1"/>
  <c r="LC62" i="7" s="1"/>
  <c r="LE62" i="7" s="1"/>
  <c r="LG62" i="7" s="1"/>
  <c r="LI62" i="7" s="1"/>
  <c r="LK62" i="7" s="1"/>
  <c r="LM62" i="7" s="1"/>
  <c r="LO62" i="7" s="1"/>
  <c r="LQ62" i="7" s="1"/>
  <c r="LS62" i="7" s="1"/>
  <c r="LU62" i="7" s="1"/>
  <c r="LW62" i="7" s="1"/>
  <c r="LY62" i="7" s="1"/>
  <c r="MA62" i="7" s="1"/>
  <c r="MC62" i="7" s="1"/>
  <c r="ME62" i="7" s="1"/>
  <c r="MG62" i="7" s="1"/>
  <c r="MI62" i="7" s="1"/>
  <c r="MK62" i="7" s="1"/>
  <c r="MM62" i="7" s="1"/>
  <c r="MO62" i="7" s="1"/>
  <c r="MQ62" i="7" s="1"/>
  <c r="MS62" i="7" s="1"/>
  <c r="MU62" i="7" s="1"/>
  <c r="MW62" i="7" s="1"/>
  <c r="MY62" i="7" s="1"/>
  <c r="NA62" i="7" s="1"/>
  <c r="NC62" i="7" s="1"/>
  <c r="NE62" i="7" s="1"/>
  <c r="NG62" i="7" s="1"/>
  <c r="NI62" i="7" s="1"/>
  <c r="NK62" i="7" s="1"/>
  <c r="NM62" i="7" s="1"/>
  <c r="NO62" i="7" s="1"/>
  <c r="NQ62" i="7" s="1"/>
  <c r="NS62" i="7" s="1"/>
  <c r="NU62" i="7" s="1"/>
  <c r="NW62" i="7" s="1"/>
  <c r="NY62" i="7" s="1"/>
  <c r="OA62" i="7" s="1"/>
  <c r="OC62" i="7" s="1"/>
  <c r="OE62" i="7" s="1"/>
  <c r="OG62" i="7" s="1"/>
  <c r="OI62" i="7" s="1"/>
  <c r="OK62" i="7" s="1"/>
  <c r="OM62" i="7" s="1"/>
  <c r="OO62" i="7" s="1"/>
  <c r="OQ62" i="7" s="1"/>
  <c r="OS62" i="7" s="1"/>
  <c r="OU62" i="7" s="1"/>
  <c r="OW62" i="7" s="1"/>
  <c r="OY62" i="7" s="1"/>
  <c r="PA62" i="7" s="1"/>
  <c r="PC62" i="7" s="1"/>
  <c r="PE62" i="7" s="1"/>
  <c r="PG62" i="7" s="1"/>
  <c r="PI62" i="7" s="1"/>
  <c r="PK62" i="7" s="1"/>
  <c r="PM62" i="7" s="1"/>
  <c r="PO62" i="7" s="1"/>
  <c r="PQ62" i="7" s="1"/>
  <c r="PS62" i="7" s="1"/>
  <c r="PU62" i="7" s="1"/>
  <c r="PW62" i="7" s="1"/>
  <c r="PY62" i="7" s="1"/>
  <c r="QA62" i="7" s="1"/>
  <c r="QC62" i="7" s="1"/>
  <c r="QE62" i="7" s="1"/>
  <c r="QG62" i="7" s="1"/>
  <c r="QI62" i="7" s="1"/>
  <c r="QK62" i="7" s="1"/>
  <c r="QM62" i="7" s="1"/>
  <c r="QO62" i="7" s="1"/>
  <c r="QQ62" i="7" s="1"/>
  <c r="QS62" i="7" s="1"/>
  <c r="QU62" i="7" s="1"/>
  <c r="QW62" i="7" s="1"/>
  <c r="QY62" i="7" s="1"/>
  <c r="RA62" i="7" s="1"/>
  <c r="RC62" i="7" s="1"/>
  <c r="RE62" i="7" s="1"/>
  <c r="RG62" i="7" s="1"/>
  <c r="RI62" i="7" s="1"/>
  <c r="RK62" i="7" s="1"/>
  <c r="RM62" i="7" s="1"/>
  <c r="RO62" i="7" s="1"/>
  <c r="RQ62" i="7" s="1"/>
  <c r="RS62" i="7" s="1"/>
  <c r="RU62" i="7" s="1"/>
  <c r="RW62" i="7" s="1"/>
  <c r="RY62" i="7" s="1"/>
  <c r="SA62" i="7" s="1"/>
  <c r="SC62" i="7" s="1"/>
  <c r="SE62" i="7" s="1"/>
  <c r="SG62" i="7" s="1"/>
  <c r="SI62" i="7" s="1"/>
  <c r="SK62" i="7" s="1"/>
  <c r="SM62" i="7" s="1"/>
  <c r="SO62" i="7" s="1"/>
  <c r="SQ62" i="7" s="1"/>
  <c r="SS62" i="7" s="1"/>
  <c r="SU62" i="7" s="1"/>
  <c r="SW62" i="7" s="1"/>
  <c r="SY62" i="7" s="1"/>
  <c r="TA62" i="7" s="1"/>
  <c r="TC62" i="7" s="1"/>
  <c r="TE62" i="7" s="1"/>
  <c r="TG62" i="7" s="1"/>
  <c r="TI62" i="7" s="1"/>
  <c r="TK62" i="7" s="1"/>
  <c r="TM62" i="7" s="1"/>
  <c r="TO62" i="7" s="1"/>
  <c r="TQ62" i="7" s="1"/>
  <c r="TS62" i="7" s="1"/>
  <c r="TU62" i="7" s="1"/>
  <c r="TW62" i="7" s="1"/>
  <c r="TY62" i="7" s="1"/>
  <c r="UA62" i="7" s="1"/>
  <c r="UC62" i="7" s="1"/>
  <c r="UE62" i="7" s="1"/>
  <c r="UG62" i="7" s="1"/>
  <c r="UI62" i="7" s="1"/>
  <c r="UK62" i="7" s="1"/>
  <c r="UM62" i="7" s="1"/>
  <c r="UO62" i="7" s="1"/>
  <c r="UQ62" i="7" s="1"/>
  <c r="US62" i="7" s="1"/>
  <c r="UU62" i="7" s="1"/>
  <c r="UW62" i="7" s="1"/>
  <c r="UY62" i="7" s="1"/>
  <c r="VA62" i="7" s="1"/>
  <c r="VC62" i="7" s="1"/>
  <c r="VE62" i="7" s="1"/>
  <c r="VG62" i="7" s="1"/>
  <c r="VI62" i="7" s="1"/>
  <c r="VK62" i="7" s="1"/>
  <c r="VM62" i="7" s="1"/>
  <c r="VO62" i="7" s="1"/>
  <c r="VQ62" i="7" s="1"/>
  <c r="VS62" i="7" s="1"/>
  <c r="VU62" i="7" s="1"/>
  <c r="VW62" i="7" s="1"/>
  <c r="VY62" i="7" s="1"/>
  <c r="WA62" i="7" s="1"/>
  <c r="WC62" i="7" s="1"/>
  <c r="WE62" i="7" s="1"/>
  <c r="WG62" i="7" s="1"/>
  <c r="WI62" i="7" s="1"/>
  <c r="WK62" i="7" s="1"/>
  <c r="WM62" i="7" s="1"/>
  <c r="WO62" i="7" s="1"/>
  <c r="WQ62" i="7" s="1"/>
  <c r="WS62" i="7" s="1"/>
  <c r="WU62" i="7" s="1"/>
  <c r="WW62" i="7" s="1"/>
  <c r="WY62" i="7" s="1"/>
  <c r="XA62" i="7" s="1"/>
  <c r="XC62" i="7" s="1"/>
  <c r="XE62" i="7" s="1"/>
  <c r="XG62" i="7" s="1"/>
  <c r="XI62" i="7" s="1"/>
  <c r="XK62" i="7" s="1"/>
  <c r="XM62" i="7" s="1"/>
  <c r="XO62" i="7" s="1"/>
  <c r="XQ62" i="7" s="1"/>
  <c r="XS62" i="7" s="1"/>
  <c r="XU62" i="7" s="1"/>
  <c r="XW62" i="7" s="1"/>
  <c r="XY62" i="7" s="1"/>
  <c r="YA62" i="7" s="1"/>
  <c r="YC62" i="7" s="1"/>
  <c r="YE62" i="7" s="1"/>
  <c r="YG62" i="7" s="1"/>
  <c r="YI62" i="7" s="1"/>
  <c r="YK62" i="7" s="1"/>
  <c r="YM62" i="7" s="1"/>
  <c r="YO62" i="7" s="1"/>
  <c r="YQ62" i="7" s="1"/>
  <c r="YS62" i="7" s="1"/>
  <c r="YU62" i="7" s="1"/>
  <c r="YW62" i="7" s="1"/>
  <c r="YY62" i="7" s="1"/>
  <c r="ZA62" i="7" s="1"/>
  <c r="ZC62" i="7" s="1"/>
  <c r="ZE62" i="7" s="1"/>
  <c r="ZG62" i="7" s="1"/>
  <c r="ZI62" i="7" s="1"/>
  <c r="ZK62" i="7" s="1"/>
  <c r="ZM62" i="7" s="1"/>
  <c r="ZO62" i="7" s="1"/>
  <c r="ZQ62" i="7" s="1"/>
  <c r="ZS62" i="7" s="1"/>
  <c r="ZU62" i="7" s="1"/>
  <c r="ZW62" i="7" s="1"/>
  <c r="ZY62" i="7" s="1"/>
  <c r="AAA62" i="7" s="1"/>
  <c r="AAC62" i="7" s="1"/>
  <c r="AAE62" i="7" s="1"/>
  <c r="AAG62" i="7" s="1"/>
  <c r="AAI62" i="7" s="1"/>
  <c r="AAK62" i="7" s="1"/>
  <c r="AAM62" i="7" s="1"/>
  <c r="AAO62" i="7" s="1"/>
  <c r="AAQ62" i="7" s="1"/>
  <c r="AAS62" i="7" s="1"/>
  <c r="AAU62" i="7" s="1"/>
  <c r="AAW62" i="7" s="1"/>
  <c r="AAY62" i="7" s="1"/>
  <c r="ABA62" i="7" s="1"/>
  <c r="ABC62" i="7" s="1"/>
  <c r="ABE62" i="7" s="1"/>
  <c r="ABG62" i="7" s="1"/>
  <c r="ABI62" i="7" s="1"/>
  <c r="ABK62" i="7" s="1"/>
  <c r="ABM62" i="7" s="1"/>
  <c r="ABO62" i="7" s="1"/>
  <c r="ABQ62" i="7" s="1"/>
  <c r="ABS62" i="7" s="1"/>
  <c r="ABU62" i="7" s="1"/>
  <c r="ABW62" i="7" s="1"/>
  <c r="ABY62" i="7" s="1"/>
  <c r="ACA62" i="7" s="1"/>
  <c r="ACC62" i="7" s="1"/>
  <c r="ACE62" i="7" s="1"/>
  <c r="ACG62" i="7" s="1"/>
  <c r="ACI62" i="7" s="1"/>
  <c r="ACK62" i="7" s="1"/>
  <c r="ACM62" i="7" s="1"/>
  <c r="ACO62" i="7" s="1"/>
  <c r="ACQ62" i="7" s="1"/>
  <c r="ACS62" i="7" s="1"/>
  <c r="ACU62" i="7" s="1"/>
  <c r="ACW62" i="7" s="1"/>
  <c r="ACY62" i="7" s="1"/>
  <c r="ADA62" i="7" s="1"/>
  <c r="ADC62" i="7" s="1"/>
  <c r="ADE62" i="7" s="1"/>
  <c r="ADG62" i="7" s="1"/>
  <c r="ADI62" i="7" s="1"/>
  <c r="ADK62" i="7" s="1"/>
  <c r="ADM62" i="7" s="1"/>
  <c r="ADO62" i="7" s="1"/>
  <c r="ADQ62" i="7" s="1"/>
  <c r="ADS62" i="7" s="1"/>
  <c r="ADU62" i="7" s="1"/>
  <c r="ADW62" i="7" s="1"/>
  <c r="ADY62" i="7" s="1"/>
  <c r="AEA62" i="7" s="1"/>
  <c r="AEC62" i="7" s="1"/>
  <c r="AEE62" i="7" s="1"/>
  <c r="AEG62" i="7" s="1"/>
  <c r="AEI62" i="7" s="1"/>
  <c r="AEK62" i="7" s="1"/>
  <c r="AEM62" i="7" s="1"/>
  <c r="AEO62" i="7" s="1"/>
  <c r="AEQ62" i="7" s="1"/>
  <c r="AES62" i="7" s="1"/>
  <c r="AEU62" i="7" s="1"/>
  <c r="AEW62" i="7" s="1"/>
  <c r="AEY62" i="7" s="1"/>
  <c r="AFA62" i="7" s="1"/>
  <c r="AFC62" i="7" s="1"/>
  <c r="AFE62" i="7" s="1"/>
  <c r="AFG62" i="7" s="1"/>
  <c r="AFI62" i="7" s="1"/>
  <c r="AFK62" i="7" s="1"/>
  <c r="AFM62" i="7" s="1"/>
  <c r="AFO62" i="7" s="1"/>
  <c r="AFQ62" i="7" s="1"/>
  <c r="AFS62" i="7" s="1"/>
  <c r="AFU62" i="7" s="1"/>
  <c r="AFW62" i="7" s="1"/>
  <c r="AFY62" i="7" s="1"/>
  <c r="AGA62" i="7" s="1"/>
  <c r="AGC62" i="7" s="1"/>
  <c r="AGE62" i="7" s="1"/>
  <c r="AGG62" i="7" s="1"/>
  <c r="AGI62" i="7" s="1"/>
  <c r="AGK62" i="7" s="1"/>
  <c r="AGM62" i="7" s="1"/>
  <c r="AGO62" i="7" s="1"/>
  <c r="AGQ62" i="7" s="1"/>
  <c r="AGS62" i="7" s="1"/>
  <c r="AGU62" i="7" s="1"/>
  <c r="AGW62" i="7" s="1"/>
  <c r="AGY62" i="7" s="1"/>
  <c r="AHA62" i="7" s="1"/>
  <c r="AHC62" i="7" s="1"/>
  <c r="AHE62" i="7" s="1"/>
  <c r="AHG62" i="7" s="1"/>
  <c r="AHI62" i="7" s="1"/>
  <c r="AHK62" i="7" s="1"/>
  <c r="AHM62" i="7" s="1"/>
  <c r="AHO62" i="7" s="1"/>
  <c r="AHQ62" i="7" s="1"/>
  <c r="AHS62" i="7" s="1"/>
  <c r="AHU62" i="7" s="1"/>
  <c r="AHW62" i="7" s="1"/>
  <c r="AHY62" i="7" s="1"/>
  <c r="AIA62" i="7" s="1"/>
  <c r="AIC62" i="7" s="1"/>
  <c r="AIE62" i="7" s="1"/>
  <c r="AIG62" i="7" s="1"/>
  <c r="AII62" i="7" s="1"/>
  <c r="AIK62" i="7" s="1"/>
  <c r="AIM62" i="7" s="1"/>
  <c r="AIO62" i="7" s="1"/>
  <c r="AIQ62" i="7" s="1"/>
  <c r="AIS62" i="7" s="1"/>
  <c r="AIU62" i="7" s="1"/>
  <c r="AIW62" i="7" s="1"/>
  <c r="AIY62" i="7" s="1"/>
  <c r="AJA62" i="7" s="1"/>
  <c r="AJC62" i="7" s="1"/>
  <c r="AJE62" i="7" s="1"/>
  <c r="AJG62" i="7" s="1"/>
  <c r="AJI62" i="7" s="1"/>
  <c r="AJK62" i="7" s="1"/>
  <c r="AJM62" i="7" s="1"/>
  <c r="AJO62" i="7" s="1"/>
  <c r="AJQ62" i="7" s="1"/>
  <c r="AJS62" i="7" s="1"/>
  <c r="AJU62" i="7" s="1"/>
  <c r="AJW62" i="7" s="1"/>
  <c r="AJY62" i="7" s="1"/>
  <c r="AKA62" i="7" s="1"/>
  <c r="AKC62" i="7" s="1"/>
  <c r="AKE62" i="7" s="1"/>
  <c r="AKG62" i="7" s="1"/>
  <c r="AKI62" i="7" s="1"/>
  <c r="AKK62" i="7" s="1"/>
  <c r="AKM62" i="7" s="1"/>
  <c r="AKO62" i="7" s="1"/>
  <c r="AKQ62" i="7" s="1"/>
  <c r="AKS62" i="7" s="1"/>
  <c r="AKU62" i="7" s="1"/>
  <c r="AKW62" i="7" s="1"/>
  <c r="AKY62" i="7" s="1"/>
  <c r="ALA62" i="7" s="1"/>
  <c r="ALC62" i="7" s="1"/>
  <c r="ALE62" i="7" s="1"/>
  <c r="ALG62" i="7" s="1"/>
  <c r="ALI62" i="7" s="1"/>
  <c r="ALK62" i="7" s="1"/>
  <c r="ALM62" i="7" s="1"/>
  <c r="ALO62" i="7" s="1"/>
  <c r="ALQ62" i="7" s="1"/>
  <c r="ALS62" i="7" s="1"/>
  <c r="ALU62" i="7" s="1"/>
  <c r="ALW62" i="7" s="1"/>
  <c r="ALY62" i="7" s="1"/>
  <c r="AMA62" i="7" s="1"/>
  <c r="AMC62" i="7" s="1"/>
  <c r="AME62" i="7" s="1"/>
  <c r="AMG62" i="7" s="1"/>
  <c r="AMI62" i="7" s="1"/>
  <c r="AMK62" i="7" s="1"/>
  <c r="AMM62" i="7" s="1"/>
  <c r="AMO62" i="7" s="1"/>
  <c r="AMQ62" i="7" s="1"/>
  <c r="AMS62" i="7" s="1"/>
  <c r="AMU62" i="7" s="1"/>
  <c r="AMW62" i="7" s="1"/>
  <c r="AMY62" i="7" s="1"/>
  <c r="ANA62" i="7" s="1"/>
  <c r="ANC62" i="7" s="1"/>
  <c r="ANE62" i="7" s="1"/>
  <c r="ANG62" i="7" s="1"/>
  <c r="ANI62" i="7" s="1"/>
  <c r="ANK62" i="7" s="1"/>
  <c r="ANM62" i="7" s="1"/>
  <c r="ANO62" i="7" s="1"/>
  <c r="ANQ62" i="7" s="1"/>
  <c r="ANS62" i="7" s="1"/>
  <c r="ANU62" i="7" s="1"/>
  <c r="ANW62" i="7" s="1"/>
  <c r="ANY62" i="7" s="1"/>
  <c r="AOA62" i="7" s="1"/>
  <c r="AOC62" i="7" s="1"/>
  <c r="AOE62" i="7" s="1"/>
  <c r="AOG62" i="7" s="1"/>
  <c r="AOI62" i="7" s="1"/>
  <c r="AOK62" i="7" s="1"/>
  <c r="AOM62" i="7" s="1"/>
  <c r="AOO62" i="7" s="1"/>
  <c r="AOQ62" i="7" s="1"/>
  <c r="AOS62" i="7" s="1"/>
  <c r="AOU62" i="7" s="1"/>
  <c r="AOW62" i="7" s="1"/>
  <c r="AOY62" i="7" s="1"/>
  <c r="APA62" i="7" s="1"/>
  <c r="APC62" i="7" s="1"/>
  <c r="APE62" i="7" s="1"/>
  <c r="APG62" i="7" s="1"/>
  <c r="API62" i="7" s="1"/>
  <c r="APK62" i="7" s="1"/>
  <c r="APM62" i="7" s="1"/>
  <c r="APO62" i="7" s="1"/>
  <c r="APQ62" i="7" s="1"/>
  <c r="APS62" i="7" s="1"/>
  <c r="APU62" i="7" s="1"/>
  <c r="APW62" i="7" s="1"/>
  <c r="APY62" i="7" s="1"/>
  <c r="AQA62" i="7" s="1"/>
  <c r="AQC62" i="7" s="1"/>
  <c r="AQE62" i="7" s="1"/>
  <c r="AQG62" i="7" s="1"/>
  <c r="AQI62" i="7" s="1"/>
  <c r="AQK62" i="7" s="1"/>
  <c r="AQM62" i="7" s="1"/>
  <c r="AQO62" i="7" s="1"/>
  <c r="AQQ62" i="7" s="1"/>
  <c r="AQS62" i="7" s="1"/>
  <c r="AQU62" i="7" s="1"/>
  <c r="AQW62" i="7" s="1"/>
  <c r="AQY62" i="7" s="1"/>
  <c r="ARA62" i="7" s="1"/>
  <c r="ARC62" i="7" s="1"/>
  <c r="ARE62" i="7" s="1"/>
  <c r="ARG62" i="7" s="1"/>
  <c r="ARI62" i="7" s="1"/>
  <c r="ARK62" i="7" s="1"/>
  <c r="ARM62" i="7" s="1"/>
  <c r="ARO62" i="7" s="1"/>
  <c r="ARQ62" i="7" s="1"/>
  <c r="ARS62" i="7" s="1"/>
  <c r="ARU62" i="7" s="1"/>
  <c r="ARW62" i="7" s="1"/>
  <c r="ARY62" i="7" s="1"/>
  <c r="ASA62" i="7" s="1"/>
  <c r="ASC62" i="7" s="1"/>
  <c r="ASE62" i="7" s="1"/>
  <c r="ASG62" i="7" s="1"/>
  <c r="ASI62" i="7" s="1"/>
  <c r="ASK62" i="7" s="1"/>
  <c r="ASM62" i="7" s="1"/>
  <c r="ASO62" i="7" s="1"/>
  <c r="ASQ62" i="7" s="1"/>
  <c r="ASS62" i="7" s="1"/>
  <c r="ASU62" i="7" s="1"/>
  <c r="ASW62" i="7" s="1"/>
  <c r="ASY62" i="7" s="1"/>
  <c r="ATA62" i="7" s="1"/>
  <c r="ATC62" i="7" s="1"/>
  <c r="ATE62" i="7" s="1"/>
  <c r="ATG62" i="7" s="1"/>
  <c r="ATI62" i="7" s="1"/>
  <c r="ATK62" i="7" s="1"/>
  <c r="ATM62" i="7" s="1"/>
  <c r="ATO62" i="7" s="1"/>
  <c r="ATQ62" i="7" s="1"/>
  <c r="ATS62" i="7" s="1"/>
  <c r="ATU62" i="7" s="1"/>
  <c r="ATW62" i="7" s="1"/>
  <c r="ATY62" i="7" s="1"/>
  <c r="AUA62" i="7" s="1"/>
  <c r="AUC62" i="7" s="1"/>
  <c r="AUE62" i="7" s="1"/>
  <c r="AUG62" i="7" s="1"/>
  <c r="AUI62" i="7" s="1"/>
  <c r="AUK62" i="7" s="1"/>
  <c r="AUM62" i="7" s="1"/>
  <c r="AUO62" i="7" s="1"/>
  <c r="AUQ62" i="7" s="1"/>
  <c r="AUS62" i="7" s="1"/>
  <c r="AUU62" i="7" s="1"/>
  <c r="AUW62" i="7" s="1"/>
  <c r="AUY62" i="7" s="1"/>
  <c r="AVA62" i="7" s="1"/>
  <c r="AVC62" i="7" s="1"/>
  <c r="AVE62" i="7" s="1"/>
  <c r="AVG62" i="7" s="1"/>
  <c r="AVI62" i="7" s="1"/>
  <c r="AVK62" i="7" s="1"/>
  <c r="AVM62" i="7" s="1"/>
  <c r="AVO62" i="7" s="1"/>
  <c r="AVQ62" i="7" s="1"/>
  <c r="AVS62" i="7" s="1"/>
  <c r="AVU62" i="7" s="1"/>
  <c r="AVW62" i="7" s="1"/>
  <c r="AVY62" i="7" s="1"/>
  <c r="AWA62" i="7" s="1"/>
  <c r="AWC62" i="7" s="1"/>
  <c r="AWE62" i="7" s="1"/>
  <c r="AWG62" i="7" s="1"/>
  <c r="AWI62" i="7" s="1"/>
  <c r="AWK62" i="7" s="1"/>
  <c r="AWM62" i="7" s="1"/>
  <c r="AWO62" i="7" s="1"/>
  <c r="AWQ62" i="7" s="1"/>
  <c r="AWS62" i="7" s="1"/>
  <c r="AWU62" i="7" s="1"/>
  <c r="AWW62" i="7" s="1"/>
  <c r="AWY62" i="7" s="1"/>
  <c r="AXA62" i="7" s="1"/>
  <c r="AXC62" i="7" s="1"/>
  <c r="AXE62" i="7" s="1"/>
  <c r="AXG62" i="7" s="1"/>
  <c r="AXI62" i="7" s="1"/>
  <c r="AXK62" i="7" s="1"/>
  <c r="AXM62" i="7" s="1"/>
  <c r="AXO62" i="7" s="1"/>
  <c r="AXQ62" i="7" s="1"/>
  <c r="AXS62" i="7" s="1"/>
  <c r="AXU62" i="7" s="1"/>
  <c r="AXW62" i="7" s="1"/>
  <c r="AXY62" i="7" s="1"/>
  <c r="AYA62" i="7" s="1"/>
  <c r="AYC62" i="7" s="1"/>
  <c r="AYE62" i="7" s="1"/>
  <c r="AYG62" i="7" s="1"/>
  <c r="AYI62" i="7" s="1"/>
  <c r="AYK62" i="7" s="1"/>
  <c r="AYM62" i="7" s="1"/>
  <c r="AYO62" i="7" s="1"/>
  <c r="AYQ62" i="7" s="1"/>
  <c r="AYS62" i="7" s="1"/>
  <c r="AYU62" i="7" s="1"/>
  <c r="AYW62" i="7" s="1"/>
  <c r="AYY62" i="7" s="1"/>
  <c r="AZA62" i="7" s="1"/>
  <c r="AZC62" i="7" s="1"/>
  <c r="AZE62" i="7" s="1"/>
  <c r="AZG62" i="7" s="1"/>
  <c r="AZI62" i="7" s="1"/>
  <c r="AZK62" i="7" s="1"/>
  <c r="AZM62" i="7" s="1"/>
  <c r="AZO62" i="7" s="1"/>
  <c r="AZQ62" i="7" s="1"/>
  <c r="AZS62" i="7" s="1"/>
  <c r="AZU62" i="7" s="1"/>
  <c r="AZW62" i="7" s="1"/>
  <c r="AZY62" i="7" s="1"/>
  <c r="BAA62" i="7" s="1"/>
  <c r="BAC62" i="7" s="1"/>
  <c r="BAE62" i="7" s="1"/>
  <c r="BAG62" i="7" s="1"/>
  <c r="BAI62" i="7" s="1"/>
  <c r="BAK62" i="7" s="1"/>
  <c r="BAM62" i="7" s="1"/>
  <c r="BAO62" i="7" s="1"/>
  <c r="BAQ62" i="7" s="1"/>
  <c r="BAS62" i="7" s="1"/>
  <c r="BAU62" i="7" s="1"/>
  <c r="BAW62" i="7" s="1"/>
  <c r="BAY62" i="7" s="1"/>
  <c r="BBA62" i="7" s="1"/>
  <c r="BBC62" i="7" s="1"/>
  <c r="BBE62" i="7" s="1"/>
  <c r="BBG62" i="7" s="1"/>
  <c r="BBI62" i="7" s="1"/>
  <c r="BBK62" i="7" s="1"/>
  <c r="BBM62" i="7" s="1"/>
  <c r="BBO62" i="7" s="1"/>
  <c r="BBQ62" i="7" s="1"/>
  <c r="BBS62" i="7" s="1"/>
  <c r="BBU62" i="7" s="1"/>
  <c r="BBW62" i="7" s="1"/>
  <c r="BBY62" i="7" s="1"/>
  <c r="BCA62" i="7" s="1"/>
  <c r="BCC62" i="7" s="1"/>
  <c r="BCE62" i="7" s="1"/>
  <c r="BCG62" i="7" s="1"/>
  <c r="BCI62" i="7" s="1"/>
  <c r="BCK62" i="7" s="1"/>
  <c r="BCM62" i="7" s="1"/>
  <c r="BCO62" i="7" s="1"/>
  <c r="BCQ62" i="7" s="1"/>
  <c r="BCS62" i="7" s="1"/>
  <c r="BCU62" i="7" s="1"/>
  <c r="BCW62" i="7" s="1"/>
  <c r="BCY62" i="7" s="1"/>
  <c r="BDA62" i="7" s="1"/>
  <c r="BDC62" i="7" s="1"/>
  <c r="BDE62" i="7" s="1"/>
  <c r="BDG62" i="7" s="1"/>
  <c r="BDI62" i="7" s="1"/>
  <c r="BDK62" i="7" s="1"/>
  <c r="BDM62" i="7" s="1"/>
  <c r="BDO62" i="7" s="1"/>
  <c r="BDQ62" i="7" s="1"/>
  <c r="BDS62" i="7" s="1"/>
  <c r="BDU62" i="7" s="1"/>
  <c r="BDW62" i="7" s="1"/>
  <c r="BDY62" i="7" s="1"/>
  <c r="BEA62" i="7" s="1"/>
  <c r="BEC62" i="7" s="1"/>
  <c r="BEE62" i="7" s="1"/>
  <c r="BEG62" i="7" s="1"/>
  <c r="BEI62" i="7" s="1"/>
  <c r="BEK62" i="7" s="1"/>
  <c r="BEM62" i="7" s="1"/>
  <c r="BEO62" i="7" s="1"/>
  <c r="BEQ62" i="7" s="1"/>
  <c r="BES62" i="7" s="1"/>
  <c r="BEU62" i="7" s="1"/>
  <c r="BEW62" i="7" s="1"/>
  <c r="BEY62" i="7" s="1"/>
  <c r="BFA62" i="7" s="1"/>
  <c r="BFC62" i="7" s="1"/>
  <c r="BFE62" i="7" s="1"/>
  <c r="BFG62" i="7" s="1"/>
  <c r="BFI62" i="7" s="1"/>
  <c r="BFK62" i="7" s="1"/>
  <c r="BFM62" i="7" s="1"/>
  <c r="BFO62" i="7" s="1"/>
  <c r="BFQ62" i="7" s="1"/>
  <c r="BFS62" i="7" s="1"/>
  <c r="BFU62" i="7" s="1"/>
  <c r="BFW62" i="7" s="1"/>
  <c r="BFY62" i="7" s="1"/>
  <c r="BGA62" i="7" s="1"/>
  <c r="BGC62" i="7" s="1"/>
  <c r="BGE62" i="7" s="1"/>
  <c r="BGG62" i="7" s="1"/>
  <c r="BGI62" i="7" s="1"/>
  <c r="BGK62" i="7" s="1"/>
  <c r="BGM62" i="7" s="1"/>
  <c r="BGO62" i="7" s="1"/>
  <c r="BGQ62" i="7" s="1"/>
  <c r="BGS62" i="7" s="1"/>
  <c r="BGU62" i="7" s="1"/>
  <c r="BGW62" i="7" s="1"/>
  <c r="BGY62" i="7" s="1"/>
  <c r="BHA62" i="7" s="1"/>
  <c r="BHC62" i="7" s="1"/>
  <c r="BHE62" i="7" s="1"/>
  <c r="BHG62" i="7" s="1"/>
  <c r="BHI62" i="7" s="1"/>
  <c r="BHK62" i="7" s="1"/>
  <c r="BHM62" i="7" s="1"/>
  <c r="BHO62" i="7" s="1"/>
  <c r="BHQ62" i="7" s="1"/>
  <c r="BHS62" i="7" s="1"/>
  <c r="BHU62" i="7" s="1"/>
  <c r="BHW62" i="7" s="1"/>
  <c r="BHY62" i="7" s="1"/>
  <c r="BIA62" i="7" s="1"/>
  <c r="BIC62" i="7" s="1"/>
  <c r="BIE62" i="7" s="1"/>
  <c r="BIG62" i="7" s="1"/>
  <c r="BII62" i="7" s="1"/>
  <c r="BIK62" i="7" s="1"/>
  <c r="BIM62" i="7" s="1"/>
  <c r="BIO62" i="7" s="1"/>
  <c r="BIQ62" i="7" s="1"/>
  <c r="BIS62" i="7" s="1"/>
  <c r="BIU62" i="7" s="1"/>
  <c r="BIW62" i="7" s="1"/>
  <c r="BIY62" i="7" s="1"/>
  <c r="BJA62" i="7" s="1"/>
  <c r="BJC62" i="7" s="1"/>
  <c r="BJE62" i="7" s="1"/>
  <c r="BJG62" i="7" s="1"/>
  <c r="BJI62" i="7" s="1"/>
  <c r="BJK62" i="7" s="1"/>
  <c r="BJM62" i="7" s="1"/>
  <c r="BJO62" i="7" s="1"/>
  <c r="BJQ62" i="7" s="1"/>
  <c r="BJS62" i="7" s="1"/>
  <c r="BJU62" i="7" s="1"/>
  <c r="BJW62" i="7" s="1"/>
  <c r="BJY62" i="7" s="1"/>
  <c r="BKA62" i="7" s="1"/>
  <c r="BKC62" i="7" s="1"/>
  <c r="BKE62" i="7" s="1"/>
  <c r="BKG62" i="7" s="1"/>
  <c r="BKI62" i="7" s="1"/>
  <c r="BKK62" i="7" s="1"/>
  <c r="BKM62" i="7" s="1"/>
  <c r="BKO62" i="7" s="1"/>
  <c r="BKQ62" i="7" s="1"/>
  <c r="BKS62" i="7" s="1"/>
  <c r="BKU62" i="7" s="1"/>
  <c r="BKW62" i="7" s="1"/>
  <c r="BKY62" i="7" s="1"/>
  <c r="BLA62" i="7" s="1"/>
  <c r="BLC62" i="7" s="1"/>
  <c r="BLE62" i="7" s="1"/>
  <c r="BLG62" i="7" s="1"/>
  <c r="BLI62" i="7" s="1"/>
  <c r="BLK62" i="7" s="1"/>
  <c r="BLM62" i="7" s="1"/>
  <c r="BLO62" i="7" s="1"/>
  <c r="BLQ62" i="7" s="1"/>
  <c r="BLS62" i="7" s="1"/>
  <c r="BLU62" i="7" s="1"/>
  <c r="BLW62" i="7" s="1"/>
  <c r="BLY62" i="7" s="1"/>
  <c r="BMA62" i="7" s="1"/>
  <c r="BMC62" i="7" s="1"/>
  <c r="BME62" i="7" s="1"/>
  <c r="BMG62" i="7" s="1"/>
  <c r="BMI62" i="7" s="1"/>
  <c r="BMK62" i="7" s="1"/>
  <c r="BMM62" i="7" s="1"/>
  <c r="BMO62" i="7" s="1"/>
  <c r="BMQ62" i="7" s="1"/>
  <c r="BMS62" i="7" s="1"/>
  <c r="BMU62" i="7" s="1"/>
  <c r="BMW62" i="7" s="1"/>
  <c r="BMY62" i="7" s="1"/>
  <c r="BNA62" i="7" s="1"/>
  <c r="BNC62" i="7" s="1"/>
  <c r="BNE62" i="7" s="1"/>
  <c r="BNG62" i="7" s="1"/>
  <c r="BNI62" i="7" s="1"/>
  <c r="BNK62" i="7" s="1"/>
  <c r="BNM62" i="7" s="1"/>
  <c r="BNO62" i="7" s="1"/>
  <c r="BNQ62" i="7" s="1"/>
  <c r="BNS62" i="7" s="1"/>
  <c r="BNU62" i="7" s="1"/>
  <c r="BNW62" i="7" s="1"/>
  <c r="BNY62" i="7" s="1"/>
  <c r="BOA62" i="7" s="1"/>
  <c r="BOC62" i="7" s="1"/>
  <c r="BOE62" i="7" s="1"/>
  <c r="BOG62" i="7" s="1"/>
  <c r="BOI62" i="7" s="1"/>
  <c r="BOK62" i="7" s="1"/>
  <c r="BOM62" i="7" s="1"/>
  <c r="BOO62" i="7" s="1"/>
  <c r="BOQ62" i="7" s="1"/>
  <c r="BOS62" i="7" s="1"/>
  <c r="BOU62" i="7" s="1"/>
  <c r="BOW62" i="7" s="1"/>
  <c r="BOY62" i="7" s="1"/>
  <c r="BPA62" i="7" s="1"/>
  <c r="BPC62" i="7" s="1"/>
  <c r="BPE62" i="7" s="1"/>
  <c r="BPG62" i="7" s="1"/>
  <c r="BPI62" i="7" s="1"/>
  <c r="BPK62" i="7" s="1"/>
  <c r="BPM62" i="7" s="1"/>
  <c r="BPO62" i="7" s="1"/>
  <c r="BPQ62" i="7" s="1"/>
  <c r="BPS62" i="7" s="1"/>
  <c r="BPU62" i="7" s="1"/>
  <c r="BPW62" i="7" s="1"/>
  <c r="BPY62" i="7" s="1"/>
  <c r="BQA62" i="7" s="1"/>
  <c r="BQC62" i="7" s="1"/>
  <c r="BQE62" i="7" s="1"/>
  <c r="BQG62" i="7" s="1"/>
  <c r="BQI62" i="7" s="1"/>
  <c r="BQK62" i="7" s="1"/>
  <c r="BQM62" i="7" s="1"/>
  <c r="BQO62" i="7" s="1"/>
  <c r="BQQ62" i="7" s="1"/>
  <c r="BQS62" i="7" s="1"/>
  <c r="BQU62" i="7" s="1"/>
  <c r="BQW62" i="7" s="1"/>
  <c r="BQY62" i="7" s="1"/>
  <c r="BRA62" i="7" s="1"/>
  <c r="BRC62" i="7" s="1"/>
  <c r="BRE62" i="7" s="1"/>
  <c r="BRG62" i="7" s="1"/>
  <c r="BRI62" i="7" s="1"/>
  <c r="BRK62" i="7" s="1"/>
  <c r="BRM62" i="7" s="1"/>
  <c r="BRO62" i="7" s="1"/>
  <c r="BRQ62" i="7" s="1"/>
  <c r="BRS62" i="7" s="1"/>
  <c r="BRU62" i="7" s="1"/>
  <c r="BRW62" i="7" s="1"/>
  <c r="BRY62" i="7" s="1"/>
  <c r="BSA62" i="7" s="1"/>
  <c r="BSC62" i="7" s="1"/>
  <c r="BSE62" i="7" s="1"/>
  <c r="BSG62" i="7" s="1"/>
  <c r="BSI62" i="7" s="1"/>
  <c r="BSK62" i="7" s="1"/>
  <c r="BSM62" i="7" s="1"/>
  <c r="BSO62" i="7" s="1"/>
  <c r="BSQ62" i="7" s="1"/>
  <c r="BSS62" i="7" s="1"/>
  <c r="BSU62" i="7" s="1"/>
  <c r="BSW62" i="7" s="1"/>
  <c r="BSY62" i="7" s="1"/>
  <c r="BTA62" i="7" s="1"/>
  <c r="BTC62" i="7" s="1"/>
  <c r="BTE62" i="7" s="1"/>
  <c r="BTG62" i="7" s="1"/>
  <c r="BTI62" i="7" s="1"/>
  <c r="BTK62" i="7" s="1"/>
  <c r="BTM62" i="7" s="1"/>
  <c r="BTO62" i="7" s="1"/>
  <c r="BTQ62" i="7" s="1"/>
  <c r="BTS62" i="7" s="1"/>
  <c r="BTU62" i="7" s="1"/>
  <c r="BTW62" i="7" s="1"/>
  <c r="BTY62" i="7" s="1"/>
  <c r="BUA62" i="7" s="1"/>
  <c r="BUC62" i="7" s="1"/>
  <c r="BUE62" i="7" s="1"/>
  <c r="BUG62" i="7" s="1"/>
  <c r="BUI62" i="7" s="1"/>
  <c r="BUK62" i="7" s="1"/>
  <c r="BUM62" i="7" s="1"/>
  <c r="BUO62" i="7" s="1"/>
  <c r="BUQ62" i="7" s="1"/>
  <c r="BUS62" i="7" s="1"/>
  <c r="BUU62" i="7" s="1"/>
  <c r="BUW62" i="7" s="1"/>
  <c r="BUY62" i="7" s="1"/>
  <c r="BVA62" i="7" s="1"/>
  <c r="BVC62" i="7" s="1"/>
  <c r="BVE62" i="7" s="1"/>
  <c r="BVG62" i="7" s="1"/>
  <c r="BVI62" i="7" s="1"/>
  <c r="BVK62" i="7" s="1"/>
  <c r="BVM62" i="7" s="1"/>
  <c r="BVO62" i="7" s="1"/>
  <c r="BVQ62" i="7" s="1"/>
  <c r="BVS62" i="7" s="1"/>
  <c r="BVU62" i="7" s="1"/>
  <c r="BVW62" i="7" s="1"/>
  <c r="BVY62" i="7" s="1"/>
  <c r="BWA62" i="7" s="1"/>
  <c r="BWC62" i="7" s="1"/>
  <c r="BWE62" i="7" s="1"/>
  <c r="BWG62" i="7" s="1"/>
  <c r="BWI62" i="7" s="1"/>
  <c r="BWK62" i="7" s="1"/>
  <c r="BWM62" i="7" s="1"/>
  <c r="BWO62" i="7" s="1"/>
  <c r="BWQ62" i="7" s="1"/>
  <c r="BWS62" i="7" s="1"/>
  <c r="BWU62" i="7" s="1"/>
  <c r="BWW62" i="7" s="1"/>
  <c r="BWY62" i="7" s="1"/>
  <c r="BXA62" i="7" s="1"/>
  <c r="BXC62" i="7" s="1"/>
  <c r="BXE62" i="7" s="1"/>
  <c r="BXG62" i="7" s="1"/>
  <c r="BXI62" i="7" s="1"/>
  <c r="BXK62" i="7" s="1"/>
  <c r="BXM62" i="7" s="1"/>
  <c r="BXO62" i="7" s="1"/>
  <c r="BXQ62" i="7" s="1"/>
  <c r="BXS62" i="7" s="1"/>
  <c r="BXU62" i="7" s="1"/>
  <c r="BXW62" i="7" s="1"/>
  <c r="BXY62" i="7" s="1"/>
  <c r="BYA62" i="7" s="1"/>
  <c r="BYC62" i="7" s="1"/>
  <c r="BYE62" i="7" s="1"/>
  <c r="BYG62" i="7" s="1"/>
  <c r="BYI62" i="7" s="1"/>
  <c r="BYK62" i="7" s="1"/>
  <c r="BYM62" i="7" s="1"/>
  <c r="BYO62" i="7" s="1"/>
  <c r="BYQ62" i="7" s="1"/>
  <c r="BYS62" i="7" s="1"/>
  <c r="BYU62" i="7" s="1"/>
  <c r="BYW62" i="7" s="1"/>
  <c r="BYY62" i="7" s="1"/>
  <c r="BZA62" i="7" s="1"/>
  <c r="BZC62" i="7" s="1"/>
  <c r="BZE62" i="7" s="1"/>
  <c r="BZG62" i="7" s="1"/>
  <c r="BZI62" i="7" s="1"/>
  <c r="BZK62" i="7" s="1"/>
  <c r="BZM62" i="7" s="1"/>
  <c r="BZO62" i="7" s="1"/>
  <c r="BZQ62" i="7" s="1"/>
  <c r="BZS62" i="7" s="1"/>
  <c r="BZU62" i="7" s="1"/>
  <c r="BZW62" i="7" s="1"/>
  <c r="BZY62" i="7" s="1"/>
  <c r="CAA62" i="7" s="1"/>
  <c r="CAC62" i="7" s="1"/>
  <c r="CAE62" i="7" s="1"/>
  <c r="CAG62" i="7" s="1"/>
  <c r="CAI62" i="7" s="1"/>
  <c r="CAK62" i="7" s="1"/>
  <c r="CAM62" i="7" s="1"/>
  <c r="CAO62" i="7" s="1"/>
  <c r="CAQ62" i="7" s="1"/>
  <c r="CAS62" i="7" s="1"/>
  <c r="CAU62" i="7" s="1"/>
  <c r="CAW62" i="7" s="1"/>
  <c r="CAY62" i="7" s="1"/>
  <c r="CBA62" i="7" s="1"/>
  <c r="CBC62" i="7" s="1"/>
  <c r="CBE62" i="7" s="1"/>
  <c r="CBG62" i="7" s="1"/>
  <c r="CBI62" i="7" s="1"/>
  <c r="CBK62" i="7" s="1"/>
  <c r="CBM62" i="7" s="1"/>
  <c r="CBO62" i="7" s="1"/>
  <c r="CBQ62" i="7" s="1"/>
  <c r="CBS62" i="7" s="1"/>
  <c r="CBU62" i="7" s="1"/>
  <c r="CBW62" i="7" s="1"/>
  <c r="CBY62" i="7" s="1"/>
  <c r="CCA62" i="7" s="1"/>
  <c r="CCC62" i="7" s="1"/>
  <c r="CCE62" i="7" s="1"/>
  <c r="CCG62" i="7" s="1"/>
  <c r="CCI62" i="7" s="1"/>
  <c r="CCK62" i="7" s="1"/>
  <c r="CCM62" i="7" s="1"/>
  <c r="CCO62" i="7" s="1"/>
  <c r="CCQ62" i="7" s="1"/>
  <c r="CCS62" i="7" s="1"/>
  <c r="CCU62" i="7" s="1"/>
  <c r="CCW62" i="7" s="1"/>
  <c r="CCY62" i="7" s="1"/>
  <c r="CDA62" i="7" s="1"/>
  <c r="CDC62" i="7" s="1"/>
  <c r="CDE62" i="7" s="1"/>
  <c r="CDG62" i="7" s="1"/>
  <c r="CDI62" i="7" s="1"/>
  <c r="CDK62" i="7" s="1"/>
  <c r="CDM62" i="7" s="1"/>
  <c r="CDO62" i="7" s="1"/>
  <c r="CDQ62" i="7" s="1"/>
  <c r="CDS62" i="7" s="1"/>
  <c r="CDU62" i="7" s="1"/>
  <c r="CDW62" i="7" s="1"/>
  <c r="CDY62" i="7" s="1"/>
  <c r="CEA62" i="7" s="1"/>
  <c r="CEC62" i="7" s="1"/>
  <c r="CEE62" i="7" s="1"/>
  <c r="CEG62" i="7" s="1"/>
  <c r="CEI62" i="7" s="1"/>
  <c r="CEK62" i="7" s="1"/>
  <c r="CEM62" i="7" s="1"/>
  <c r="CEO62" i="7" s="1"/>
  <c r="CEQ62" i="7" s="1"/>
  <c r="CES62" i="7" s="1"/>
  <c r="CEU62" i="7" s="1"/>
  <c r="CEW62" i="7" s="1"/>
  <c r="CEY62" i="7" s="1"/>
  <c r="CFA62" i="7" s="1"/>
  <c r="CFC62" i="7" s="1"/>
  <c r="CFE62" i="7" s="1"/>
  <c r="CFG62" i="7" s="1"/>
  <c r="CFI62" i="7" s="1"/>
  <c r="CFK62" i="7" s="1"/>
  <c r="CFM62" i="7" s="1"/>
  <c r="CFO62" i="7" s="1"/>
  <c r="CFQ62" i="7" s="1"/>
  <c r="CFS62" i="7" s="1"/>
  <c r="CFU62" i="7" s="1"/>
  <c r="CFW62" i="7" s="1"/>
  <c r="CFY62" i="7" s="1"/>
  <c r="CGA62" i="7" s="1"/>
  <c r="CGC62" i="7" s="1"/>
  <c r="CGE62" i="7" s="1"/>
  <c r="CGG62" i="7" s="1"/>
  <c r="CGI62" i="7" s="1"/>
  <c r="CGK62" i="7" s="1"/>
  <c r="CGM62" i="7" s="1"/>
  <c r="CGO62" i="7" s="1"/>
  <c r="CGQ62" i="7" s="1"/>
  <c r="CGS62" i="7" s="1"/>
  <c r="CGU62" i="7" s="1"/>
  <c r="CGW62" i="7" s="1"/>
  <c r="CGY62" i="7" s="1"/>
  <c r="CHA62" i="7" s="1"/>
  <c r="CHC62" i="7" s="1"/>
  <c r="CHE62" i="7" s="1"/>
  <c r="CHG62" i="7" s="1"/>
  <c r="CHI62" i="7" s="1"/>
  <c r="CHK62" i="7" s="1"/>
  <c r="CHM62" i="7" s="1"/>
  <c r="CHO62" i="7" s="1"/>
  <c r="CHQ62" i="7" s="1"/>
  <c r="CHS62" i="7" s="1"/>
  <c r="CHU62" i="7" s="1"/>
  <c r="CHW62" i="7" s="1"/>
  <c r="CHY62" i="7" s="1"/>
  <c r="CIA62" i="7" s="1"/>
  <c r="CIC62" i="7" s="1"/>
  <c r="CIE62" i="7" s="1"/>
  <c r="CIG62" i="7" s="1"/>
  <c r="CII62" i="7" s="1"/>
  <c r="CIK62" i="7" s="1"/>
  <c r="CIM62" i="7" s="1"/>
  <c r="CIO62" i="7" s="1"/>
  <c r="CIQ62" i="7" s="1"/>
  <c r="CIS62" i="7" s="1"/>
  <c r="CIU62" i="7" s="1"/>
  <c r="CIW62" i="7" s="1"/>
  <c r="CIY62" i="7" s="1"/>
  <c r="CJA62" i="7" s="1"/>
  <c r="CJC62" i="7" s="1"/>
  <c r="CJE62" i="7" s="1"/>
  <c r="CJG62" i="7" s="1"/>
  <c r="CJI62" i="7" s="1"/>
  <c r="CJK62" i="7" s="1"/>
  <c r="CJM62" i="7" s="1"/>
  <c r="CJO62" i="7" s="1"/>
  <c r="CJQ62" i="7" s="1"/>
  <c r="CJS62" i="7" s="1"/>
  <c r="CJU62" i="7" s="1"/>
  <c r="CJW62" i="7" s="1"/>
  <c r="CJY62" i="7" s="1"/>
  <c r="CKA62" i="7" s="1"/>
  <c r="CKC62" i="7" s="1"/>
  <c r="CKE62" i="7" s="1"/>
  <c r="CKG62" i="7" s="1"/>
  <c r="CKI62" i="7" s="1"/>
  <c r="CKK62" i="7" s="1"/>
  <c r="CKM62" i="7" s="1"/>
  <c r="CKO62" i="7" s="1"/>
  <c r="CKQ62" i="7" s="1"/>
  <c r="CKS62" i="7" s="1"/>
  <c r="CKU62" i="7" s="1"/>
  <c r="CKW62" i="7" s="1"/>
  <c r="CKY62" i="7" s="1"/>
  <c r="CLA62" i="7" s="1"/>
  <c r="CLC62" i="7" s="1"/>
  <c r="CLE62" i="7" s="1"/>
  <c r="CLG62" i="7" s="1"/>
  <c r="CLI62" i="7" s="1"/>
  <c r="CLK62" i="7" s="1"/>
  <c r="CLM62" i="7" s="1"/>
  <c r="CLO62" i="7" s="1"/>
  <c r="CLQ62" i="7" s="1"/>
  <c r="CLS62" i="7" s="1"/>
  <c r="CLU62" i="7" s="1"/>
  <c r="CLW62" i="7" s="1"/>
  <c r="CLY62" i="7" s="1"/>
  <c r="CMA62" i="7" s="1"/>
  <c r="CMC62" i="7" s="1"/>
  <c r="CME62" i="7" s="1"/>
  <c r="CMG62" i="7" s="1"/>
  <c r="CMI62" i="7" s="1"/>
  <c r="CMK62" i="7" s="1"/>
  <c r="CMM62" i="7" s="1"/>
  <c r="CMO62" i="7" s="1"/>
  <c r="CMQ62" i="7" s="1"/>
  <c r="CMS62" i="7" s="1"/>
  <c r="CMU62" i="7" s="1"/>
  <c r="CMW62" i="7" s="1"/>
  <c r="CMY62" i="7" s="1"/>
  <c r="CNA62" i="7" s="1"/>
  <c r="CNC62" i="7" s="1"/>
  <c r="CNE62" i="7" s="1"/>
  <c r="CNG62" i="7" s="1"/>
  <c r="CNI62" i="7" s="1"/>
  <c r="CNK62" i="7" s="1"/>
  <c r="CNM62" i="7" s="1"/>
  <c r="CNO62" i="7" s="1"/>
  <c r="CNQ62" i="7" s="1"/>
  <c r="CNS62" i="7" s="1"/>
  <c r="CNU62" i="7" s="1"/>
  <c r="CNW62" i="7" s="1"/>
  <c r="CNY62" i="7" s="1"/>
  <c r="COA62" i="7" s="1"/>
  <c r="COC62" i="7" s="1"/>
  <c r="COE62" i="7" s="1"/>
  <c r="COG62" i="7" s="1"/>
  <c r="COI62" i="7" s="1"/>
  <c r="COK62" i="7" s="1"/>
  <c r="COM62" i="7" s="1"/>
  <c r="COO62" i="7" s="1"/>
  <c r="COQ62" i="7" s="1"/>
  <c r="COS62" i="7" s="1"/>
  <c r="COU62" i="7" s="1"/>
  <c r="COW62" i="7" s="1"/>
  <c r="COY62" i="7" s="1"/>
  <c r="CPA62" i="7" s="1"/>
  <c r="CPC62" i="7" s="1"/>
  <c r="CPE62" i="7" s="1"/>
  <c r="CPG62" i="7" s="1"/>
  <c r="CPI62" i="7" s="1"/>
  <c r="CPK62" i="7" s="1"/>
  <c r="CPM62" i="7" s="1"/>
  <c r="CPO62" i="7" s="1"/>
  <c r="CPQ62" i="7" s="1"/>
  <c r="CPS62" i="7" s="1"/>
  <c r="CPU62" i="7" s="1"/>
  <c r="CPW62" i="7" s="1"/>
  <c r="CPY62" i="7" s="1"/>
  <c r="CQA62" i="7" s="1"/>
  <c r="CQC62" i="7" s="1"/>
  <c r="CQE62" i="7" s="1"/>
  <c r="CQG62" i="7" s="1"/>
  <c r="CQI62" i="7" s="1"/>
  <c r="CQK62" i="7" s="1"/>
  <c r="CQM62" i="7" s="1"/>
  <c r="CQO62" i="7" s="1"/>
  <c r="CQQ62" i="7" s="1"/>
  <c r="CQS62" i="7" s="1"/>
  <c r="CQU62" i="7" s="1"/>
  <c r="CQW62" i="7" s="1"/>
  <c r="CQY62" i="7" s="1"/>
  <c r="CRA62" i="7" s="1"/>
  <c r="CRC62" i="7" s="1"/>
  <c r="CRE62" i="7" s="1"/>
  <c r="CRG62" i="7" s="1"/>
  <c r="CRI62" i="7" s="1"/>
  <c r="CRK62" i="7" s="1"/>
  <c r="CRM62" i="7" s="1"/>
  <c r="CRO62" i="7" s="1"/>
  <c r="CRQ62" i="7" s="1"/>
  <c r="CRS62" i="7" s="1"/>
  <c r="CRU62" i="7" s="1"/>
  <c r="CRW62" i="7" s="1"/>
  <c r="CRY62" i="7" s="1"/>
  <c r="CSA62" i="7" s="1"/>
  <c r="CSC62" i="7" s="1"/>
  <c r="CSE62" i="7" s="1"/>
  <c r="CSG62" i="7" s="1"/>
  <c r="CSI62" i="7" s="1"/>
  <c r="CSK62" i="7" s="1"/>
  <c r="CSM62" i="7" s="1"/>
  <c r="CSO62" i="7" s="1"/>
  <c r="CSQ62" i="7" s="1"/>
  <c r="CSS62" i="7" s="1"/>
  <c r="CSU62" i="7" s="1"/>
  <c r="CSW62" i="7" s="1"/>
  <c r="CSY62" i="7" s="1"/>
  <c r="CTA62" i="7" s="1"/>
  <c r="CTC62" i="7" s="1"/>
  <c r="CTE62" i="7" s="1"/>
  <c r="CTG62" i="7" s="1"/>
  <c r="CTI62" i="7" s="1"/>
  <c r="CTK62" i="7" s="1"/>
  <c r="CTM62" i="7" s="1"/>
  <c r="CTO62" i="7" s="1"/>
  <c r="CTQ62" i="7" s="1"/>
  <c r="CTS62" i="7" s="1"/>
  <c r="CTU62" i="7" s="1"/>
  <c r="CTW62" i="7" s="1"/>
  <c r="CTY62" i="7" s="1"/>
  <c r="CUA62" i="7" s="1"/>
  <c r="CUC62" i="7" s="1"/>
  <c r="CUE62" i="7" s="1"/>
  <c r="CUG62" i="7" s="1"/>
  <c r="CUI62" i="7" s="1"/>
  <c r="CUK62" i="7" s="1"/>
  <c r="CUM62" i="7" s="1"/>
  <c r="CUO62" i="7" s="1"/>
  <c r="CUQ62" i="7" s="1"/>
  <c r="CUS62" i="7" s="1"/>
  <c r="CUU62" i="7" s="1"/>
  <c r="CUW62" i="7" s="1"/>
  <c r="CUY62" i="7" s="1"/>
  <c r="CVA62" i="7" s="1"/>
  <c r="CVC62" i="7" s="1"/>
  <c r="CVE62" i="7" s="1"/>
  <c r="CVG62" i="7" s="1"/>
  <c r="CVI62" i="7" s="1"/>
  <c r="CVK62" i="7" s="1"/>
  <c r="CVM62" i="7" s="1"/>
  <c r="CVO62" i="7" s="1"/>
  <c r="CVQ62" i="7" s="1"/>
  <c r="CVS62" i="7" s="1"/>
  <c r="CVU62" i="7" s="1"/>
  <c r="CVW62" i="7" s="1"/>
  <c r="CVY62" i="7" s="1"/>
  <c r="CWA62" i="7" s="1"/>
  <c r="CWC62" i="7" s="1"/>
  <c r="CWE62" i="7" s="1"/>
  <c r="CWG62" i="7" s="1"/>
  <c r="CWI62" i="7" s="1"/>
  <c r="CWK62" i="7" s="1"/>
  <c r="CWM62" i="7" s="1"/>
  <c r="CWO62" i="7" s="1"/>
  <c r="CWQ62" i="7" s="1"/>
  <c r="CWS62" i="7" s="1"/>
  <c r="CWU62" i="7" s="1"/>
  <c r="CWW62" i="7" s="1"/>
  <c r="CWY62" i="7" s="1"/>
  <c r="CXA62" i="7" s="1"/>
  <c r="CXC62" i="7" s="1"/>
  <c r="CXE62" i="7" s="1"/>
  <c r="CXG62" i="7" s="1"/>
  <c r="CXI62" i="7" s="1"/>
  <c r="CXK62" i="7" s="1"/>
  <c r="CXM62" i="7" s="1"/>
  <c r="CXO62" i="7" s="1"/>
  <c r="CXQ62" i="7" s="1"/>
  <c r="CXS62" i="7" s="1"/>
  <c r="CXU62" i="7" s="1"/>
  <c r="CXW62" i="7" s="1"/>
  <c r="CXY62" i="7" s="1"/>
  <c r="CYA62" i="7" s="1"/>
  <c r="CYC62" i="7" s="1"/>
  <c r="CYE62" i="7" s="1"/>
  <c r="CYG62" i="7" s="1"/>
  <c r="CYI62" i="7" s="1"/>
  <c r="CYK62" i="7" s="1"/>
  <c r="CYM62" i="7" s="1"/>
  <c r="CYO62" i="7" s="1"/>
  <c r="CYQ62" i="7" s="1"/>
  <c r="CYS62" i="7" s="1"/>
  <c r="CYU62" i="7" s="1"/>
  <c r="CYW62" i="7" s="1"/>
  <c r="CYY62" i="7" s="1"/>
  <c r="CZA62" i="7" s="1"/>
  <c r="CZC62" i="7" s="1"/>
  <c r="CZE62" i="7" s="1"/>
  <c r="CZG62" i="7" s="1"/>
  <c r="CZI62" i="7" s="1"/>
  <c r="CZK62" i="7" s="1"/>
  <c r="CZM62" i="7" s="1"/>
  <c r="CZO62" i="7" s="1"/>
  <c r="CZQ62" i="7" s="1"/>
  <c r="CZS62" i="7" s="1"/>
  <c r="CZU62" i="7" s="1"/>
  <c r="CZW62" i="7" s="1"/>
  <c r="CZY62" i="7" s="1"/>
  <c r="DAA62" i="7" s="1"/>
  <c r="DAC62" i="7" s="1"/>
  <c r="DAE62" i="7" s="1"/>
  <c r="DAG62" i="7" s="1"/>
  <c r="DAI62" i="7" s="1"/>
  <c r="DAK62" i="7" s="1"/>
  <c r="DAM62" i="7" s="1"/>
  <c r="DAO62" i="7" s="1"/>
  <c r="DAQ62" i="7" s="1"/>
  <c r="DAS62" i="7" s="1"/>
  <c r="DAU62" i="7" s="1"/>
  <c r="DAW62" i="7" s="1"/>
  <c r="DAY62" i="7" s="1"/>
  <c r="DBA62" i="7" s="1"/>
  <c r="DBC62" i="7" s="1"/>
  <c r="DBE62" i="7" s="1"/>
  <c r="DBG62" i="7" s="1"/>
  <c r="DBI62" i="7" s="1"/>
  <c r="DBK62" i="7" s="1"/>
  <c r="DBM62" i="7" s="1"/>
  <c r="DBO62" i="7" s="1"/>
  <c r="DBQ62" i="7" s="1"/>
  <c r="DBS62" i="7" s="1"/>
  <c r="DBU62" i="7" s="1"/>
  <c r="DBW62" i="7" s="1"/>
  <c r="DBY62" i="7" s="1"/>
  <c r="DCA62" i="7" s="1"/>
  <c r="DCC62" i="7" s="1"/>
  <c r="DCE62" i="7" s="1"/>
  <c r="DCG62" i="7" s="1"/>
  <c r="DCI62" i="7" s="1"/>
  <c r="DCK62" i="7" s="1"/>
  <c r="DCM62" i="7" s="1"/>
  <c r="DCO62" i="7" s="1"/>
  <c r="DCQ62" i="7" s="1"/>
  <c r="DCS62" i="7" s="1"/>
  <c r="DCU62" i="7" s="1"/>
  <c r="DCW62" i="7" s="1"/>
  <c r="DCY62" i="7" s="1"/>
  <c r="DDA62" i="7" s="1"/>
  <c r="DDC62" i="7" s="1"/>
  <c r="DDE62" i="7" s="1"/>
  <c r="DDG62" i="7" s="1"/>
  <c r="DDI62" i="7" s="1"/>
  <c r="DDK62" i="7" s="1"/>
  <c r="DDM62" i="7" s="1"/>
  <c r="DDO62" i="7" s="1"/>
  <c r="DDQ62" i="7" s="1"/>
  <c r="DDS62" i="7" s="1"/>
  <c r="DDU62" i="7" s="1"/>
  <c r="DDW62" i="7" s="1"/>
  <c r="DDY62" i="7" s="1"/>
  <c r="DEA62" i="7" s="1"/>
  <c r="DEC62" i="7" s="1"/>
  <c r="DEE62" i="7" s="1"/>
  <c r="DEG62" i="7" s="1"/>
  <c r="DEI62" i="7" s="1"/>
  <c r="DEK62" i="7" s="1"/>
  <c r="DEM62" i="7" s="1"/>
  <c r="DEO62" i="7" s="1"/>
  <c r="DEQ62" i="7" s="1"/>
  <c r="DES62" i="7" s="1"/>
  <c r="DEU62" i="7" s="1"/>
  <c r="DEW62" i="7" s="1"/>
  <c r="DEY62" i="7" s="1"/>
  <c r="DFA62" i="7" s="1"/>
  <c r="DFC62" i="7" s="1"/>
  <c r="DFE62" i="7" s="1"/>
  <c r="DFG62" i="7" s="1"/>
  <c r="DFI62" i="7" s="1"/>
  <c r="DFK62" i="7" s="1"/>
  <c r="DFM62" i="7" s="1"/>
  <c r="DFO62" i="7" s="1"/>
  <c r="DFQ62" i="7" s="1"/>
  <c r="DFS62" i="7" s="1"/>
  <c r="DFU62" i="7" s="1"/>
  <c r="DFW62" i="7" s="1"/>
  <c r="DFY62" i="7" s="1"/>
  <c r="DGA62" i="7" s="1"/>
  <c r="DGC62" i="7" s="1"/>
  <c r="DGE62" i="7" s="1"/>
  <c r="DGG62" i="7" s="1"/>
  <c r="DGI62" i="7" s="1"/>
  <c r="DGK62" i="7" s="1"/>
  <c r="DGM62" i="7" s="1"/>
  <c r="DGO62" i="7" s="1"/>
  <c r="DGQ62" i="7" s="1"/>
  <c r="DGS62" i="7" s="1"/>
  <c r="DGU62" i="7" s="1"/>
  <c r="DGW62" i="7" s="1"/>
  <c r="DGY62" i="7" s="1"/>
  <c r="DHA62" i="7" s="1"/>
  <c r="DHC62" i="7" s="1"/>
  <c r="DHE62" i="7" s="1"/>
  <c r="DHG62" i="7" s="1"/>
  <c r="DHI62" i="7" s="1"/>
  <c r="DHK62" i="7" s="1"/>
  <c r="DHM62" i="7" s="1"/>
  <c r="DHO62" i="7" s="1"/>
  <c r="DHQ62" i="7" s="1"/>
  <c r="DHS62" i="7" s="1"/>
  <c r="DHU62" i="7" s="1"/>
  <c r="DHW62" i="7" s="1"/>
  <c r="DHY62" i="7" s="1"/>
  <c r="DIA62" i="7" s="1"/>
  <c r="DIC62" i="7" s="1"/>
  <c r="DIE62" i="7" s="1"/>
  <c r="DIG62" i="7" s="1"/>
  <c r="DII62" i="7" s="1"/>
  <c r="DIK62" i="7" s="1"/>
  <c r="DIM62" i="7" s="1"/>
  <c r="DIO62" i="7" s="1"/>
  <c r="DIQ62" i="7" s="1"/>
  <c r="DIS62" i="7" s="1"/>
  <c r="DIU62" i="7" s="1"/>
  <c r="DIW62" i="7" s="1"/>
  <c r="DIY62" i="7" s="1"/>
  <c r="DJA62" i="7" s="1"/>
  <c r="DJC62" i="7" s="1"/>
  <c r="DJE62" i="7" s="1"/>
  <c r="DJG62" i="7" s="1"/>
  <c r="DJI62" i="7" s="1"/>
  <c r="DJK62" i="7" s="1"/>
  <c r="DJM62" i="7" s="1"/>
  <c r="DJO62" i="7" s="1"/>
  <c r="DJQ62" i="7" s="1"/>
  <c r="DJS62" i="7" s="1"/>
  <c r="DJU62" i="7" s="1"/>
  <c r="DJW62" i="7" s="1"/>
  <c r="DJY62" i="7" s="1"/>
  <c r="DKA62" i="7" s="1"/>
  <c r="DKC62" i="7" s="1"/>
  <c r="DKE62" i="7" s="1"/>
  <c r="DKG62" i="7" s="1"/>
  <c r="DKI62" i="7" s="1"/>
  <c r="DKK62" i="7" s="1"/>
  <c r="DKM62" i="7" s="1"/>
  <c r="DKO62" i="7" s="1"/>
  <c r="DKQ62" i="7" s="1"/>
  <c r="DKS62" i="7" s="1"/>
  <c r="DKU62" i="7" s="1"/>
  <c r="DKW62" i="7" s="1"/>
  <c r="DKY62" i="7" s="1"/>
  <c r="DLA62" i="7" s="1"/>
  <c r="DLC62" i="7" s="1"/>
  <c r="DLE62" i="7" s="1"/>
  <c r="DLG62" i="7" s="1"/>
  <c r="DLI62" i="7" s="1"/>
  <c r="DLK62" i="7" s="1"/>
  <c r="DLM62" i="7" s="1"/>
  <c r="DLO62" i="7" s="1"/>
  <c r="DLQ62" i="7" s="1"/>
  <c r="DLS62" i="7" s="1"/>
  <c r="DLU62" i="7" s="1"/>
  <c r="DLW62" i="7" s="1"/>
  <c r="DLY62" i="7" s="1"/>
  <c r="DMA62" i="7" s="1"/>
  <c r="DMC62" i="7" s="1"/>
  <c r="DME62" i="7" s="1"/>
  <c r="DMG62" i="7" s="1"/>
  <c r="DMI62" i="7" s="1"/>
  <c r="DMK62" i="7" s="1"/>
  <c r="DMM62" i="7" s="1"/>
  <c r="DMO62" i="7" s="1"/>
  <c r="DMQ62" i="7" s="1"/>
  <c r="DMS62" i="7" s="1"/>
  <c r="DMU62" i="7" s="1"/>
  <c r="DMW62" i="7" s="1"/>
  <c r="DMY62" i="7" s="1"/>
  <c r="DNA62" i="7" s="1"/>
  <c r="DNC62" i="7" s="1"/>
  <c r="DNE62" i="7" s="1"/>
  <c r="DNG62" i="7" s="1"/>
  <c r="DNI62" i="7" s="1"/>
  <c r="DNK62" i="7" s="1"/>
  <c r="DNM62" i="7" s="1"/>
  <c r="DNO62" i="7" s="1"/>
  <c r="DNQ62" i="7" s="1"/>
  <c r="DNS62" i="7" s="1"/>
  <c r="DNU62" i="7" s="1"/>
  <c r="DNW62" i="7" s="1"/>
  <c r="DNY62" i="7" s="1"/>
  <c r="DOA62" i="7" s="1"/>
  <c r="DOC62" i="7" s="1"/>
  <c r="DOE62" i="7" s="1"/>
  <c r="DOG62" i="7" s="1"/>
  <c r="DOI62" i="7" s="1"/>
  <c r="DOK62" i="7" s="1"/>
  <c r="DOM62" i="7" s="1"/>
  <c r="DOO62" i="7" s="1"/>
  <c r="DOQ62" i="7" s="1"/>
  <c r="DOS62" i="7" s="1"/>
  <c r="DOU62" i="7" s="1"/>
  <c r="DOW62" i="7" s="1"/>
  <c r="DOY62" i="7" s="1"/>
  <c r="DPA62" i="7" s="1"/>
  <c r="DPC62" i="7" s="1"/>
  <c r="DPE62" i="7" s="1"/>
  <c r="DPG62" i="7" s="1"/>
  <c r="DPI62" i="7" s="1"/>
  <c r="DPK62" i="7" s="1"/>
  <c r="DPM62" i="7" s="1"/>
  <c r="DPO62" i="7" s="1"/>
  <c r="DPQ62" i="7" s="1"/>
  <c r="DPS62" i="7" s="1"/>
  <c r="DPU62" i="7" s="1"/>
  <c r="DPW62" i="7" s="1"/>
  <c r="DPY62" i="7" s="1"/>
  <c r="DQA62" i="7" s="1"/>
  <c r="DQC62" i="7" s="1"/>
  <c r="DQE62" i="7" s="1"/>
  <c r="DQG62" i="7" s="1"/>
  <c r="DQI62" i="7" s="1"/>
  <c r="DQK62" i="7" s="1"/>
  <c r="DQM62" i="7" s="1"/>
  <c r="DQO62" i="7" s="1"/>
  <c r="DQQ62" i="7" s="1"/>
  <c r="DQS62" i="7" s="1"/>
  <c r="DQU62" i="7" s="1"/>
  <c r="DQW62" i="7" s="1"/>
  <c r="DQY62" i="7" s="1"/>
  <c r="DRA62" i="7" s="1"/>
  <c r="DRC62" i="7" s="1"/>
  <c r="DRE62" i="7" s="1"/>
  <c r="DRG62" i="7" s="1"/>
  <c r="DRI62" i="7" s="1"/>
  <c r="DRK62" i="7" s="1"/>
  <c r="DRM62" i="7" s="1"/>
  <c r="DRO62" i="7" s="1"/>
  <c r="DRQ62" i="7" s="1"/>
  <c r="DRS62" i="7" s="1"/>
  <c r="DRU62" i="7" s="1"/>
  <c r="DRW62" i="7" s="1"/>
  <c r="DRY62" i="7" s="1"/>
  <c r="DSA62" i="7" s="1"/>
  <c r="DSC62" i="7" s="1"/>
  <c r="DSE62" i="7" s="1"/>
  <c r="DSG62" i="7" s="1"/>
  <c r="DSI62" i="7" s="1"/>
  <c r="DSK62" i="7" s="1"/>
  <c r="DSM62" i="7" s="1"/>
  <c r="DSO62" i="7" s="1"/>
  <c r="DSQ62" i="7" s="1"/>
  <c r="DSS62" i="7" s="1"/>
  <c r="DSU62" i="7" s="1"/>
  <c r="DSW62" i="7" s="1"/>
  <c r="DSY62" i="7" s="1"/>
  <c r="DTA62" i="7" s="1"/>
  <c r="DTC62" i="7" s="1"/>
  <c r="DTE62" i="7" s="1"/>
  <c r="DTG62" i="7" s="1"/>
  <c r="DTI62" i="7" s="1"/>
  <c r="DTK62" i="7" s="1"/>
  <c r="DTM62" i="7" s="1"/>
  <c r="DTO62" i="7" s="1"/>
  <c r="DTQ62" i="7" s="1"/>
  <c r="DTS62" i="7" s="1"/>
  <c r="DTU62" i="7" s="1"/>
  <c r="DTW62" i="7" s="1"/>
  <c r="DTY62" i="7" s="1"/>
  <c r="DUA62" i="7" s="1"/>
  <c r="DUC62" i="7" s="1"/>
  <c r="DUE62" i="7" s="1"/>
  <c r="DUG62" i="7" s="1"/>
  <c r="DUI62" i="7" s="1"/>
  <c r="DUK62" i="7" s="1"/>
  <c r="DUM62" i="7" s="1"/>
  <c r="DUO62" i="7" s="1"/>
  <c r="DUQ62" i="7" s="1"/>
  <c r="DUS62" i="7" s="1"/>
  <c r="DUU62" i="7" s="1"/>
  <c r="DUW62" i="7" s="1"/>
  <c r="DUY62" i="7" s="1"/>
  <c r="DVA62" i="7" s="1"/>
  <c r="DVC62" i="7" s="1"/>
  <c r="DVE62" i="7" s="1"/>
  <c r="DVG62" i="7" s="1"/>
  <c r="DVI62" i="7" s="1"/>
  <c r="DVK62" i="7" s="1"/>
  <c r="DVM62" i="7" s="1"/>
  <c r="DVO62" i="7" s="1"/>
  <c r="DVQ62" i="7" s="1"/>
  <c r="DVS62" i="7" s="1"/>
  <c r="DVU62" i="7" s="1"/>
  <c r="DVW62" i="7" s="1"/>
  <c r="DVY62" i="7" s="1"/>
  <c r="DWA62" i="7" s="1"/>
  <c r="DWC62" i="7" s="1"/>
  <c r="DWE62" i="7" s="1"/>
  <c r="DWG62" i="7" s="1"/>
  <c r="DWI62" i="7" s="1"/>
  <c r="DWK62" i="7" s="1"/>
  <c r="DWM62" i="7" s="1"/>
  <c r="DWO62" i="7" s="1"/>
  <c r="DWQ62" i="7" s="1"/>
  <c r="DWS62" i="7" s="1"/>
  <c r="DWU62" i="7" s="1"/>
  <c r="DWW62" i="7" s="1"/>
  <c r="DWY62" i="7" s="1"/>
  <c r="DXA62" i="7" s="1"/>
  <c r="DXC62" i="7" s="1"/>
  <c r="DXE62" i="7" s="1"/>
  <c r="DXG62" i="7" s="1"/>
  <c r="DXI62" i="7" s="1"/>
  <c r="DXK62" i="7" s="1"/>
  <c r="DXM62" i="7" s="1"/>
  <c r="DXO62" i="7" s="1"/>
  <c r="DXQ62" i="7" s="1"/>
  <c r="DXS62" i="7" s="1"/>
  <c r="DXU62" i="7" s="1"/>
  <c r="DXW62" i="7" s="1"/>
  <c r="DXY62" i="7" s="1"/>
  <c r="DYA62" i="7" s="1"/>
  <c r="DYC62" i="7" s="1"/>
  <c r="DYE62" i="7" s="1"/>
  <c r="DYG62" i="7" s="1"/>
  <c r="DYI62" i="7" s="1"/>
  <c r="DYK62" i="7" s="1"/>
  <c r="DYM62" i="7" s="1"/>
  <c r="DYO62" i="7" s="1"/>
  <c r="DYQ62" i="7" s="1"/>
  <c r="DYS62" i="7" s="1"/>
  <c r="DYU62" i="7" s="1"/>
  <c r="DYW62" i="7" s="1"/>
  <c r="DYY62" i="7" s="1"/>
  <c r="DZA62" i="7" s="1"/>
  <c r="DZC62" i="7" s="1"/>
  <c r="DZE62" i="7" s="1"/>
  <c r="DZG62" i="7" s="1"/>
  <c r="DZI62" i="7" s="1"/>
  <c r="DZK62" i="7" s="1"/>
  <c r="DZM62" i="7" s="1"/>
  <c r="DZO62" i="7" s="1"/>
  <c r="DZQ62" i="7" s="1"/>
  <c r="DZS62" i="7" s="1"/>
  <c r="DZU62" i="7" s="1"/>
  <c r="DZW62" i="7" s="1"/>
  <c r="DZY62" i="7" s="1"/>
  <c r="EAA62" i="7" s="1"/>
  <c r="EAC62" i="7" s="1"/>
  <c r="EAE62" i="7" s="1"/>
  <c r="EAG62" i="7" s="1"/>
  <c r="EAI62" i="7" s="1"/>
  <c r="EAK62" i="7" s="1"/>
  <c r="EAM62" i="7" s="1"/>
  <c r="EAO62" i="7" s="1"/>
  <c r="EAQ62" i="7" s="1"/>
  <c r="EAS62" i="7" s="1"/>
  <c r="EAU62" i="7" s="1"/>
  <c r="EAW62" i="7" s="1"/>
  <c r="EAY62" i="7" s="1"/>
  <c r="EBA62" i="7" s="1"/>
  <c r="EBC62" i="7" s="1"/>
  <c r="EBE62" i="7" s="1"/>
  <c r="EBG62" i="7" s="1"/>
  <c r="EBI62" i="7" s="1"/>
  <c r="EBK62" i="7" s="1"/>
  <c r="EBM62" i="7" s="1"/>
  <c r="EBO62" i="7" s="1"/>
  <c r="EBQ62" i="7" s="1"/>
  <c r="EBS62" i="7" s="1"/>
  <c r="EBU62" i="7" s="1"/>
  <c r="EBW62" i="7" s="1"/>
  <c r="EBY62" i="7" s="1"/>
  <c r="ECA62" i="7" s="1"/>
  <c r="ECC62" i="7" s="1"/>
  <c r="ECE62" i="7" s="1"/>
  <c r="ECG62" i="7" s="1"/>
  <c r="ECI62" i="7" s="1"/>
  <c r="ECK62" i="7" s="1"/>
  <c r="ECM62" i="7" s="1"/>
  <c r="ECO62" i="7" s="1"/>
  <c r="ECQ62" i="7" s="1"/>
  <c r="ECS62" i="7" s="1"/>
  <c r="ECU62" i="7" s="1"/>
  <c r="ECW62" i="7" s="1"/>
  <c r="ECY62" i="7" s="1"/>
  <c r="EDA62" i="7" s="1"/>
  <c r="EDC62" i="7" s="1"/>
  <c r="EDE62" i="7" s="1"/>
  <c r="EDG62" i="7" s="1"/>
  <c r="EDI62" i="7" s="1"/>
  <c r="EDK62" i="7" s="1"/>
  <c r="EDM62" i="7" s="1"/>
  <c r="EDO62" i="7" s="1"/>
  <c r="EDQ62" i="7" s="1"/>
  <c r="EDS62" i="7" s="1"/>
  <c r="EDU62" i="7" s="1"/>
  <c r="EDW62" i="7" s="1"/>
  <c r="EDY62" i="7" s="1"/>
  <c r="EEA62" i="7" s="1"/>
  <c r="EEC62" i="7" s="1"/>
  <c r="EEE62" i="7" s="1"/>
  <c r="EEG62" i="7" s="1"/>
  <c r="EEI62" i="7" s="1"/>
  <c r="EEK62" i="7" s="1"/>
  <c r="EEM62" i="7" s="1"/>
  <c r="EEO62" i="7" s="1"/>
  <c r="EEQ62" i="7" s="1"/>
  <c r="EES62" i="7" s="1"/>
  <c r="EEU62" i="7" s="1"/>
  <c r="EEW62" i="7" s="1"/>
  <c r="EEY62" i="7" s="1"/>
  <c r="EFA62" i="7" s="1"/>
  <c r="EFC62" i="7" s="1"/>
  <c r="EFE62" i="7" s="1"/>
  <c r="EFG62" i="7" s="1"/>
  <c r="EFI62" i="7" s="1"/>
  <c r="EFK62" i="7" s="1"/>
  <c r="EFM62" i="7" s="1"/>
  <c r="EFO62" i="7" s="1"/>
  <c r="EFQ62" i="7" s="1"/>
  <c r="EFS62" i="7" s="1"/>
  <c r="EFU62" i="7" s="1"/>
  <c r="EFW62" i="7" s="1"/>
  <c r="EFY62" i="7" s="1"/>
  <c r="EGA62" i="7" s="1"/>
  <c r="EGC62" i="7" s="1"/>
  <c r="EGE62" i="7" s="1"/>
  <c r="EGG62" i="7" s="1"/>
  <c r="EGI62" i="7" s="1"/>
  <c r="EGK62" i="7" s="1"/>
  <c r="EGM62" i="7" s="1"/>
  <c r="EGO62" i="7" s="1"/>
  <c r="EGQ62" i="7" s="1"/>
  <c r="EGS62" i="7" s="1"/>
  <c r="EGU62" i="7" s="1"/>
  <c r="EGW62" i="7" s="1"/>
  <c r="EGY62" i="7" s="1"/>
  <c r="EHA62" i="7" s="1"/>
  <c r="EHC62" i="7" s="1"/>
  <c r="EHE62" i="7" s="1"/>
  <c r="EHG62" i="7" s="1"/>
  <c r="EHI62" i="7" s="1"/>
  <c r="EHK62" i="7" s="1"/>
  <c r="EHM62" i="7" s="1"/>
  <c r="EHO62" i="7" s="1"/>
  <c r="EHQ62" i="7" s="1"/>
  <c r="EHS62" i="7" s="1"/>
  <c r="EHU62" i="7" s="1"/>
  <c r="EHW62" i="7" s="1"/>
  <c r="EHY62" i="7" s="1"/>
  <c r="EIA62" i="7" s="1"/>
  <c r="EIC62" i="7" s="1"/>
  <c r="EIE62" i="7" s="1"/>
  <c r="EIG62" i="7" s="1"/>
  <c r="EII62" i="7" s="1"/>
  <c r="EIK62" i="7" s="1"/>
  <c r="EIM62" i="7" s="1"/>
  <c r="EIO62" i="7" s="1"/>
  <c r="EIQ62" i="7" s="1"/>
  <c r="EIS62" i="7" s="1"/>
  <c r="EIU62" i="7" s="1"/>
  <c r="EIW62" i="7" s="1"/>
  <c r="EIY62" i="7" s="1"/>
  <c r="EJA62" i="7" s="1"/>
  <c r="EJC62" i="7" s="1"/>
  <c r="EJE62" i="7" s="1"/>
  <c r="EJG62" i="7" s="1"/>
  <c r="EJI62" i="7" s="1"/>
  <c r="EJK62" i="7" s="1"/>
  <c r="EJM62" i="7" s="1"/>
  <c r="EJO62" i="7" s="1"/>
  <c r="EJQ62" i="7" s="1"/>
  <c r="EJS62" i="7" s="1"/>
  <c r="EJU62" i="7" s="1"/>
  <c r="EJW62" i="7" s="1"/>
  <c r="EJY62" i="7" s="1"/>
  <c r="EKA62" i="7" s="1"/>
  <c r="EKC62" i="7" s="1"/>
  <c r="EKE62" i="7" s="1"/>
  <c r="EKG62" i="7" s="1"/>
  <c r="EKI62" i="7" s="1"/>
  <c r="EKK62" i="7" s="1"/>
  <c r="EKM62" i="7" s="1"/>
  <c r="EKO62" i="7" s="1"/>
  <c r="EKQ62" i="7" s="1"/>
  <c r="EKS62" i="7" s="1"/>
  <c r="EKU62" i="7" s="1"/>
  <c r="EKW62" i="7" s="1"/>
  <c r="EKY62" i="7" s="1"/>
  <c r="ELA62" i="7" s="1"/>
  <c r="ELC62" i="7" s="1"/>
  <c r="ELE62" i="7" s="1"/>
  <c r="ELG62" i="7" s="1"/>
  <c r="ELI62" i="7" s="1"/>
  <c r="ELK62" i="7" s="1"/>
  <c r="ELM62" i="7" s="1"/>
  <c r="ELO62" i="7" s="1"/>
  <c r="ELQ62" i="7" s="1"/>
  <c r="ELS62" i="7" s="1"/>
  <c r="ELU62" i="7" s="1"/>
  <c r="ELW62" i="7" s="1"/>
  <c r="ELY62" i="7" s="1"/>
  <c r="EMA62" i="7" s="1"/>
  <c r="EMC62" i="7" s="1"/>
  <c r="EME62" i="7" s="1"/>
  <c r="EMG62" i="7" s="1"/>
  <c r="EMI62" i="7" s="1"/>
  <c r="EMK62" i="7" s="1"/>
  <c r="EMM62" i="7" s="1"/>
  <c r="EMO62" i="7" s="1"/>
  <c r="EMQ62" i="7" s="1"/>
  <c r="EMS62" i="7" s="1"/>
  <c r="EMU62" i="7" s="1"/>
  <c r="EMW62" i="7" s="1"/>
  <c r="EMY62" i="7" s="1"/>
  <c r="ENA62" i="7" s="1"/>
  <c r="ENC62" i="7" s="1"/>
  <c r="ENE62" i="7" s="1"/>
  <c r="ENG62" i="7" s="1"/>
  <c r="ENI62" i="7" s="1"/>
  <c r="ENK62" i="7" s="1"/>
  <c r="ENM62" i="7" s="1"/>
  <c r="ENO62" i="7" s="1"/>
  <c r="ENQ62" i="7" s="1"/>
  <c r="ENS62" i="7" s="1"/>
  <c r="ENU62" i="7" s="1"/>
  <c r="ENW62" i="7" s="1"/>
  <c r="ENY62" i="7" s="1"/>
  <c r="EOA62" i="7" s="1"/>
  <c r="EOC62" i="7" s="1"/>
  <c r="EOE62" i="7" s="1"/>
  <c r="EOG62" i="7" s="1"/>
  <c r="EOI62" i="7" s="1"/>
  <c r="EOK62" i="7" s="1"/>
  <c r="EOM62" i="7" s="1"/>
  <c r="EOO62" i="7" s="1"/>
  <c r="EOQ62" i="7" s="1"/>
  <c r="EOS62" i="7" s="1"/>
  <c r="EOU62" i="7" s="1"/>
  <c r="EOW62" i="7" s="1"/>
  <c r="EOY62" i="7" s="1"/>
  <c r="EPA62" i="7" s="1"/>
  <c r="EPC62" i="7" s="1"/>
  <c r="EPE62" i="7" s="1"/>
  <c r="EPG62" i="7" s="1"/>
  <c r="EPI62" i="7" s="1"/>
  <c r="EPK62" i="7" s="1"/>
  <c r="EPM62" i="7" s="1"/>
  <c r="EPO62" i="7" s="1"/>
  <c r="EPQ62" i="7" s="1"/>
  <c r="EPS62" i="7" s="1"/>
  <c r="EPU62" i="7" s="1"/>
  <c r="EPW62" i="7" s="1"/>
  <c r="EPY62" i="7" s="1"/>
  <c r="EQA62" i="7" s="1"/>
  <c r="EQC62" i="7" s="1"/>
  <c r="EQE62" i="7" s="1"/>
  <c r="EQG62" i="7" s="1"/>
  <c r="EQI62" i="7" s="1"/>
  <c r="EQK62" i="7" s="1"/>
  <c r="EQM62" i="7" s="1"/>
  <c r="EQO62" i="7" s="1"/>
  <c r="EQQ62" i="7" s="1"/>
  <c r="EQS62" i="7" s="1"/>
  <c r="EQU62" i="7" s="1"/>
  <c r="EQW62" i="7" s="1"/>
  <c r="EQY62" i="7" s="1"/>
  <c r="ERA62" i="7" s="1"/>
  <c r="ERC62" i="7" s="1"/>
  <c r="ERE62" i="7" s="1"/>
  <c r="ERG62" i="7" s="1"/>
  <c r="ERI62" i="7" s="1"/>
  <c r="ERK62" i="7" s="1"/>
  <c r="ERM62" i="7" s="1"/>
  <c r="ERO62" i="7" s="1"/>
  <c r="ERQ62" i="7" s="1"/>
  <c r="ERS62" i="7" s="1"/>
  <c r="ERU62" i="7" s="1"/>
  <c r="ERW62" i="7" s="1"/>
  <c r="ERY62" i="7" s="1"/>
  <c r="ESA62" i="7" s="1"/>
  <c r="ESC62" i="7" s="1"/>
  <c r="ESE62" i="7" s="1"/>
  <c r="ESG62" i="7" s="1"/>
  <c r="ESI62" i="7" s="1"/>
  <c r="ESK62" i="7" s="1"/>
  <c r="ESM62" i="7" s="1"/>
  <c r="ESO62" i="7" s="1"/>
  <c r="ESQ62" i="7" s="1"/>
  <c r="ESS62" i="7" s="1"/>
  <c r="ESU62" i="7" s="1"/>
  <c r="ESW62" i="7" s="1"/>
  <c r="ESY62" i="7" s="1"/>
  <c r="ETA62" i="7" s="1"/>
  <c r="ETC62" i="7" s="1"/>
  <c r="ETE62" i="7" s="1"/>
  <c r="ETG62" i="7" s="1"/>
  <c r="ETI62" i="7" s="1"/>
  <c r="ETK62" i="7" s="1"/>
  <c r="ETM62" i="7" s="1"/>
  <c r="ETO62" i="7" s="1"/>
  <c r="ETQ62" i="7" s="1"/>
  <c r="ETS62" i="7" s="1"/>
  <c r="ETU62" i="7" s="1"/>
  <c r="ETW62" i="7" s="1"/>
  <c r="ETY62" i="7" s="1"/>
  <c r="EUA62" i="7" s="1"/>
  <c r="EUC62" i="7" s="1"/>
  <c r="EUE62" i="7" s="1"/>
  <c r="EUG62" i="7" s="1"/>
  <c r="EUI62" i="7" s="1"/>
  <c r="EUK62" i="7" s="1"/>
  <c r="EUM62" i="7" s="1"/>
  <c r="EUO62" i="7" s="1"/>
  <c r="EUQ62" i="7" s="1"/>
  <c r="EUS62" i="7" s="1"/>
  <c r="EUU62" i="7" s="1"/>
  <c r="EUW62" i="7" s="1"/>
  <c r="EUY62" i="7" s="1"/>
  <c r="EVA62" i="7" s="1"/>
  <c r="EVC62" i="7" s="1"/>
  <c r="EVE62" i="7" s="1"/>
  <c r="EVG62" i="7" s="1"/>
  <c r="EVI62" i="7" s="1"/>
  <c r="EVK62" i="7" s="1"/>
  <c r="EVM62" i="7" s="1"/>
  <c r="EVO62" i="7" s="1"/>
  <c r="EVQ62" i="7" s="1"/>
  <c r="EVS62" i="7" s="1"/>
  <c r="EVU62" i="7" s="1"/>
  <c r="EVW62" i="7" s="1"/>
  <c r="EVY62" i="7" s="1"/>
  <c r="EWA62" i="7" s="1"/>
  <c r="EWC62" i="7" s="1"/>
  <c r="EWE62" i="7" s="1"/>
  <c r="EWG62" i="7" s="1"/>
  <c r="EWI62" i="7" s="1"/>
  <c r="EWK62" i="7" s="1"/>
  <c r="EWM62" i="7" s="1"/>
  <c r="EWO62" i="7" s="1"/>
  <c r="EWQ62" i="7" s="1"/>
  <c r="EWS62" i="7" s="1"/>
  <c r="EWU62" i="7" s="1"/>
  <c r="EWW62" i="7" s="1"/>
  <c r="EWY62" i="7" s="1"/>
  <c r="EXA62" i="7" s="1"/>
  <c r="EXC62" i="7" s="1"/>
  <c r="EXE62" i="7" s="1"/>
  <c r="EXG62" i="7" s="1"/>
  <c r="EXI62" i="7" s="1"/>
  <c r="EXK62" i="7" s="1"/>
  <c r="EXM62" i="7" s="1"/>
  <c r="EXO62" i="7" s="1"/>
  <c r="EXQ62" i="7" s="1"/>
  <c r="EXS62" i="7" s="1"/>
  <c r="EXU62" i="7" s="1"/>
  <c r="EXW62" i="7" s="1"/>
  <c r="EXY62" i="7" s="1"/>
  <c r="EYA62" i="7" s="1"/>
  <c r="EYC62" i="7" s="1"/>
  <c r="EYE62" i="7" s="1"/>
  <c r="EYG62" i="7" s="1"/>
  <c r="EYI62" i="7" s="1"/>
  <c r="EYK62" i="7" s="1"/>
  <c r="EYM62" i="7" s="1"/>
  <c r="EYO62" i="7" s="1"/>
  <c r="EYQ62" i="7" s="1"/>
  <c r="EYS62" i="7" s="1"/>
  <c r="EYU62" i="7" s="1"/>
  <c r="EYW62" i="7" s="1"/>
  <c r="EYY62" i="7" s="1"/>
  <c r="EZA62" i="7" s="1"/>
  <c r="EZC62" i="7" s="1"/>
  <c r="EZE62" i="7" s="1"/>
  <c r="EZG62" i="7" s="1"/>
  <c r="EZI62" i="7" s="1"/>
  <c r="EZK62" i="7" s="1"/>
  <c r="EZM62" i="7" s="1"/>
  <c r="EZO62" i="7" s="1"/>
  <c r="EZQ62" i="7" s="1"/>
  <c r="EZS62" i="7" s="1"/>
  <c r="EZU62" i="7" s="1"/>
  <c r="EZW62" i="7" s="1"/>
  <c r="EZY62" i="7" s="1"/>
  <c r="FAA62" i="7" s="1"/>
  <c r="FAC62" i="7" s="1"/>
  <c r="FAE62" i="7" s="1"/>
  <c r="FAG62" i="7" s="1"/>
  <c r="FAI62" i="7" s="1"/>
  <c r="FAK62" i="7" s="1"/>
  <c r="FAM62" i="7" s="1"/>
  <c r="FAO62" i="7" s="1"/>
  <c r="FAQ62" i="7" s="1"/>
  <c r="FAS62" i="7" s="1"/>
  <c r="FAU62" i="7" s="1"/>
  <c r="FAW62" i="7" s="1"/>
  <c r="FAY62" i="7" s="1"/>
  <c r="FBA62" i="7" s="1"/>
  <c r="FBC62" i="7" s="1"/>
  <c r="FBE62" i="7" s="1"/>
  <c r="FBG62" i="7" s="1"/>
  <c r="FBI62" i="7" s="1"/>
  <c r="FBK62" i="7" s="1"/>
  <c r="FBM62" i="7" s="1"/>
  <c r="FBO62" i="7" s="1"/>
  <c r="FBQ62" i="7" s="1"/>
  <c r="FBS62" i="7" s="1"/>
  <c r="FBU62" i="7" s="1"/>
  <c r="FBW62" i="7" s="1"/>
  <c r="FBY62" i="7" s="1"/>
  <c r="FCA62" i="7" s="1"/>
  <c r="FCC62" i="7" s="1"/>
  <c r="FCE62" i="7" s="1"/>
  <c r="FCG62" i="7" s="1"/>
  <c r="FCI62" i="7" s="1"/>
  <c r="FCK62" i="7" s="1"/>
  <c r="FCM62" i="7" s="1"/>
  <c r="FCO62" i="7" s="1"/>
  <c r="FCQ62" i="7" s="1"/>
  <c r="FCS62" i="7" s="1"/>
  <c r="FCU62" i="7" s="1"/>
  <c r="FCW62" i="7" s="1"/>
  <c r="FCY62" i="7" s="1"/>
  <c r="FDA62" i="7" s="1"/>
  <c r="FDC62" i="7" s="1"/>
  <c r="FDE62" i="7" s="1"/>
  <c r="FDG62" i="7" s="1"/>
  <c r="FDI62" i="7" s="1"/>
  <c r="FDK62" i="7" s="1"/>
  <c r="FDM62" i="7" s="1"/>
  <c r="FDO62" i="7" s="1"/>
  <c r="FDQ62" i="7" s="1"/>
  <c r="FDS62" i="7" s="1"/>
  <c r="FDU62" i="7" s="1"/>
  <c r="FDW62" i="7" s="1"/>
  <c r="FDY62" i="7" s="1"/>
  <c r="FEA62" i="7" s="1"/>
  <c r="FEC62" i="7" s="1"/>
  <c r="FEE62" i="7" s="1"/>
  <c r="FEG62" i="7" s="1"/>
  <c r="FEI62" i="7" s="1"/>
  <c r="FEK62" i="7" s="1"/>
  <c r="FEM62" i="7" s="1"/>
  <c r="FEO62" i="7" s="1"/>
  <c r="FEQ62" i="7" s="1"/>
  <c r="FES62" i="7" s="1"/>
  <c r="FEU62" i="7" s="1"/>
  <c r="FEW62" i="7" s="1"/>
  <c r="FEY62" i="7" s="1"/>
  <c r="FFA62" i="7" s="1"/>
  <c r="FFC62" i="7" s="1"/>
  <c r="FFE62" i="7" s="1"/>
  <c r="FFG62" i="7" s="1"/>
  <c r="FFI62" i="7" s="1"/>
  <c r="FFK62" i="7" s="1"/>
  <c r="FFM62" i="7" s="1"/>
  <c r="FFO62" i="7" s="1"/>
  <c r="FFQ62" i="7" s="1"/>
  <c r="FFS62" i="7" s="1"/>
  <c r="FFU62" i="7" s="1"/>
  <c r="FFW62" i="7" s="1"/>
  <c r="FFY62" i="7" s="1"/>
  <c r="FGA62" i="7" s="1"/>
  <c r="FGC62" i="7" s="1"/>
  <c r="FGE62" i="7" s="1"/>
  <c r="FGG62" i="7" s="1"/>
  <c r="FGI62" i="7" s="1"/>
  <c r="FGK62" i="7" s="1"/>
  <c r="FGM62" i="7" s="1"/>
  <c r="FGO62" i="7" s="1"/>
  <c r="FGQ62" i="7" s="1"/>
  <c r="FGS62" i="7" s="1"/>
  <c r="FGU62" i="7" s="1"/>
  <c r="FGW62" i="7" s="1"/>
  <c r="FGY62" i="7" s="1"/>
  <c r="FHA62" i="7" s="1"/>
  <c r="FHC62" i="7" s="1"/>
  <c r="FHE62" i="7" s="1"/>
  <c r="FHG62" i="7" s="1"/>
  <c r="FHI62" i="7" s="1"/>
  <c r="FHK62" i="7" s="1"/>
  <c r="FHM62" i="7" s="1"/>
  <c r="FHO62" i="7" s="1"/>
  <c r="FHQ62" i="7" s="1"/>
  <c r="FHS62" i="7" s="1"/>
  <c r="FHU62" i="7" s="1"/>
  <c r="FHW62" i="7" s="1"/>
  <c r="FHY62" i="7" s="1"/>
  <c r="FIA62" i="7" s="1"/>
  <c r="FIC62" i="7" s="1"/>
  <c r="FIE62" i="7" s="1"/>
  <c r="FIG62" i="7" s="1"/>
  <c r="FII62" i="7" s="1"/>
  <c r="FIK62" i="7" s="1"/>
  <c r="FIM62" i="7" s="1"/>
  <c r="FIO62" i="7" s="1"/>
  <c r="FIQ62" i="7" s="1"/>
  <c r="FIS62" i="7" s="1"/>
  <c r="FIU62" i="7" s="1"/>
  <c r="FIW62" i="7" s="1"/>
  <c r="FIY62" i="7" s="1"/>
  <c r="FJA62" i="7" s="1"/>
  <c r="FJC62" i="7" s="1"/>
  <c r="FJE62" i="7" s="1"/>
  <c r="FJG62" i="7" s="1"/>
  <c r="FJI62" i="7" s="1"/>
  <c r="FJK62" i="7" s="1"/>
  <c r="FJM62" i="7" s="1"/>
  <c r="FJO62" i="7" s="1"/>
  <c r="FJQ62" i="7" s="1"/>
  <c r="FJS62" i="7" s="1"/>
  <c r="FJU62" i="7" s="1"/>
  <c r="FJW62" i="7" s="1"/>
  <c r="FJY62" i="7" s="1"/>
  <c r="FKA62" i="7" s="1"/>
  <c r="FKC62" i="7" s="1"/>
  <c r="FKE62" i="7" s="1"/>
  <c r="FKG62" i="7" s="1"/>
  <c r="FKI62" i="7" s="1"/>
  <c r="FKK62" i="7" s="1"/>
  <c r="FKM62" i="7" s="1"/>
  <c r="FKO62" i="7" s="1"/>
  <c r="FKQ62" i="7" s="1"/>
  <c r="FKS62" i="7" s="1"/>
  <c r="FKU62" i="7" s="1"/>
  <c r="FKW62" i="7" s="1"/>
  <c r="FKY62" i="7" s="1"/>
  <c r="FLA62" i="7" s="1"/>
  <c r="FLC62" i="7" s="1"/>
  <c r="FLE62" i="7" s="1"/>
  <c r="FLG62" i="7" s="1"/>
  <c r="FLI62" i="7" s="1"/>
  <c r="FLK62" i="7" s="1"/>
  <c r="FLM62" i="7" s="1"/>
  <c r="FLO62" i="7" s="1"/>
  <c r="FLQ62" i="7" s="1"/>
  <c r="FLS62" i="7" s="1"/>
  <c r="FLU62" i="7" s="1"/>
  <c r="FLW62" i="7" s="1"/>
  <c r="FLY62" i="7" s="1"/>
  <c r="FMA62" i="7" s="1"/>
  <c r="FMC62" i="7" s="1"/>
  <c r="FME62" i="7" s="1"/>
  <c r="FMG62" i="7" s="1"/>
  <c r="FMI62" i="7" s="1"/>
  <c r="FMK62" i="7" s="1"/>
  <c r="FMM62" i="7" s="1"/>
  <c r="FMO62" i="7" s="1"/>
  <c r="FMQ62" i="7" s="1"/>
  <c r="FMS62" i="7" s="1"/>
  <c r="FMU62" i="7" s="1"/>
  <c r="FMW62" i="7" s="1"/>
  <c r="FMY62" i="7" s="1"/>
  <c r="FNA62" i="7" s="1"/>
  <c r="FNC62" i="7" s="1"/>
  <c r="FNE62" i="7" s="1"/>
  <c r="FNG62" i="7" s="1"/>
  <c r="FNI62" i="7" s="1"/>
  <c r="FNK62" i="7" s="1"/>
  <c r="FNM62" i="7" s="1"/>
  <c r="FNO62" i="7" s="1"/>
  <c r="FNQ62" i="7" s="1"/>
  <c r="FNS62" i="7" s="1"/>
  <c r="FNU62" i="7" s="1"/>
  <c r="FNW62" i="7" s="1"/>
  <c r="FNY62" i="7" s="1"/>
  <c r="FOA62" i="7" s="1"/>
  <c r="FOC62" i="7" s="1"/>
  <c r="FOE62" i="7" s="1"/>
  <c r="FOG62" i="7" s="1"/>
  <c r="FOI62" i="7" s="1"/>
  <c r="FOK62" i="7" s="1"/>
  <c r="FOM62" i="7" s="1"/>
  <c r="FOO62" i="7" s="1"/>
  <c r="FOQ62" i="7" s="1"/>
  <c r="FOS62" i="7" s="1"/>
  <c r="FOU62" i="7" s="1"/>
  <c r="FOW62" i="7" s="1"/>
  <c r="FOY62" i="7" s="1"/>
  <c r="FPA62" i="7" s="1"/>
  <c r="FPC62" i="7" s="1"/>
  <c r="FPE62" i="7" s="1"/>
  <c r="FPG62" i="7" s="1"/>
  <c r="FPI62" i="7" s="1"/>
  <c r="FPK62" i="7" s="1"/>
  <c r="FPM62" i="7" s="1"/>
  <c r="FPO62" i="7" s="1"/>
  <c r="FPQ62" i="7" s="1"/>
  <c r="FPS62" i="7" s="1"/>
  <c r="FPU62" i="7" s="1"/>
  <c r="FPW62" i="7" s="1"/>
  <c r="FPY62" i="7" s="1"/>
  <c r="FQA62" i="7" s="1"/>
  <c r="FQC62" i="7" s="1"/>
  <c r="FQE62" i="7" s="1"/>
  <c r="FQG62" i="7" s="1"/>
  <c r="FQI62" i="7" s="1"/>
  <c r="FQK62" i="7" s="1"/>
  <c r="FQM62" i="7" s="1"/>
  <c r="FQO62" i="7" s="1"/>
  <c r="FQQ62" i="7" s="1"/>
  <c r="FQS62" i="7" s="1"/>
  <c r="FQU62" i="7" s="1"/>
  <c r="FQW62" i="7" s="1"/>
  <c r="FQY62" i="7" s="1"/>
  <c r="FRA62" i="7" s="1"/>
  <c r="FRC62" i="7" s="1"/>
  <c r="FRE62" i="7" s="1"/>
  <c r="FRG62" i="7" s="1"/>
  <c r="FRI62" i="7" s="1"/>
  <c r="FRK62" i="7" s="1"/>
  <c r="FRM62" i="7" s="1"/>
  <c r="FRO62" i="7" s="1"/>
  <c r="FRQ62" i="7" s="1"/>
  <c r="FRS62" i="7" s="1"/>
  <c r="FRU62" i="7" s="1"/>
  <c r="FRW62" i="7" s="1"/>
  <c r="FRY62" i="7" s="1"/>
  <c r="FSA62" i="7" s="1"/>
  <c r="FSC62" i="7" s="1"/>
  <c r="FSE62" i="7" s="1"/>
  <c r="FSG62" i="7" s="1"/>
  <c r="FSI62" i="7" s="1"/>
  <c r="FSK62" i="7" s="1"/>
  <c r="FSM62" i="7" s="1"/>
  <c r="FSO62" i="7" s="1"/>
  <c r="FSQ62" i="7" s="1"/>
  <c r="FSS62" i="7" s="1"/>
  <c r="FSU62" i="7" s="1"/>
  <c r="FSW62" i="7" s="1"/>
  <c r="FSY62" i="7" s="1"/>
  <c r="FTA62" i="7" s="1"/>
  <c r="FTC62" i="7" s="1"/>
  <c r="FTE62" i="7" s="1"/>
  <c r="FTG62" i="7" s="1"/>
  <c r="FTI62" i="7" s="1"/>
  <c r="FTK62" i="7" s="1"/>
  <c r="FTM62" i="7" s="1"/>
  <c r="FTO62" i="7" s="1"/>
  <c r="FTQ62" i="7" s="1"/>
  <c r="FTS62" i="7" s="1"/>
  <c r="FTU62" i="7" s="1"/>
  <c r="FTW62" i="7" s="1"/>
  <c r="FTY62" i="7" s="1"/>
  <c r="FUA62" i="7" s="1"/>
  <c r="FUC62" i="7" s="1"/>
  <c r="FUE62" i="7" s="1"/>
  <c r="FUG62" i="7" s="1"/>
  <c r="FUI62" i="7" s="1"/>
  <c r="FUK62" i="7" s="1"/>
  <c r="FUM62" i="7" s="1"/>
  <c r="FUO62" i="7" s="1"/>
  <c r="FUQ62" i="7" s="1"/>
  <c r="FUS62" i="7" s="1"/>
  <c r="FUU62" i="7" s="1"/>
  <c r="FUW62" i="7" s="1"/>
  <c r="FUY62" i="7" s="1"/>
  <c r="FVA62" i="7" s="1"/>
  <c r="FVC62" i="7" s="1"/>
  <c r="FVE62" i="7" s="1"/>
  <c r="FVG62" i="7" s="1"/>
  <c r="FVI62" i="7" s="1"/>
  <c r="FVK62" i="7" s="1"/>
  <c r="FVM62" i="7" s="1"/>
  <c r="FVO62" i="7" s="1"/>
  <c r="FVQ62" i="7" s="1"/>
  <c r="FVS62" i="7" s="1"/>
  <c r="FVU62" i="7" s="1"/>
  <c r="FVW62" i="7" s="1"/>
  <c r="FVY62" i="7" s="1"/>
  <c r="FWA62" i="7" s="1"/>
  <c r="FWC62" i="7" s="1"/>
  <c r="FWE62" i="7" s="1"/>
  <c r="FWG62" i="7" s="1"/>
  <c r="FWI62" i="7" s="1"/>
  <c r="FWK62" i="7" s="1"/>
  <c r="FWM62" i="7" s="1"/>
  <c r="FWO62" i="7" s="1"/>
  <c r="FWQ62" i="7" s="1"/>
  <c r="FWS62" i="7" s="1"/>
  <c r="FWU62" i="7" s="1"/>
  <c r="FWW62" i="7" s="1"/>
  <c r="FWY62" i="7" s="1"/>
  <c r="FXA62" i="7" s="1"/>
  <c r="FXC62" i="7" s="1"/>
  <c r="FXE62" i="7" s="1"/>
  <c r="FXG62" i="7" s="1"/>
  <c r="FXI62" i="7" s="1"/>
  <c r="FXK62" i="7" s="1"/>
  <c r="FXM62" i="7" s="1"/>
  <c r="FXO62" i="7" s="1"/>
  <c r="FXQ62" i="7" s="1"/>
  <c r="FXS62" i="7" s="1"/>
  <c r="FXU62" i="7" s="1"/>
  <c r="FXW62" i="7" s="1"/>
  <c r="FXY62" i="7" s="1"/>
  <c r="FYA62" i="7" s="1"/>
  <c r="FYC62" i="7" s="1"/>
  <c r="FYE62" i="7" s="1"/>
  <c r="FYG62" i="7" s="1"/>
  <c r="FYI62" i="7" s="1"/>
  <c r="FYK62" i="7" s="1"/>
  <c r="FYM62" i="7" s="1"/>
  <c r="FYO62" i="7" s="1"/>
  <c r="FYQ62" i="7" s="1"/>
  <c r="FYS62" i="7" s="1"/>
  <c r="FYU62" i="7" s="1"/>
  <c r="FYW62" i="7" s="1"/>
  <c r="FYY62" i="7" s="1"/>
  <c r="FZA62" i="7" s="1"/>
  <c r="FZC62" i="7" s="1"/>
  <c r="FZE62" i="7" s="1"/>
  <c r="FZG62" i="7" s="1"/>
  <c r="FZI62" i="7" s="1"/>
  <c r="FZK62" i="7" s="1"/>
  <c r="FZM62" i="7" s="1"/>
  <c r="FZO62" i="7" s="1"/>
  <c r="FZQ62" i="7" s="1"/>
  <c r="FZS62" i="7" s="1"/>
  <c r="FZU62" i="7" s="1"/>
  <c r="FZW62" i="7" s="1"/>
  <c r="FZY62" i="7" s="1"/>
  <c r="GAA62" i="7" s="1"/>
  <c r="GAC62" i="7" s="1"/>
  <c r="GAE62" i="7" s="1"/>
  <c r="GAG62" i="7" s="1"/>
  <c r="GAI62" i="7" s="1"/>
  <c r="GAK62" i="7" s="1"/>
  <c r="GAM62" i="7" s="1"/>
  <c r="GAO62" i="7" s="1"/>
  <c r="GAQ62" i="7" s="1"/>
  <c r="GAS62" i="7" s="1"/>
  <c r="GAU62" i="7" s="1"/>
  <c r="GAW62" i="7" s="1"/>
  <c r="GAY62" i="7" s="1"/>
  <c r="GBA62" i="7" s="1"/>
  <c r="GBC62" i="7" s="1"/>
  <c r="GBE62" i="7" s="1"/>
  <c r="GBG62" i="7" s="1"/>
  <c r="GBI62" i="7" s="1"/>
  <c r="GBK62" i="7" s="1"/>
  <c r="GBM62" i="7" s="1"/>
  <c r="GBO62" i="7" s="1"/>
  <c r="GBQ62" i="7" s="1"/>
  <c r="GBS62" i="7" s="1"/>
  <c r="GBU62" i="7" s="1"/>
  <c r="GBW62" i="7" s="1"/>
  <c r="GBY62" i="7" s="1"/>
  <c r="GCA62" i="7" s="1"/>
  <c r="GCC62" i="7" s="1"/>
  <c r="GCE62" i="7" s="1"/>
  <c r="GCG62" i="7" s="1"/>
  <c r="GCI62" i="7" s="1"/>
  <c r="GCK62" i="7" s="1"/>
  <c r="GCM62" i="7" s="1"/>
  <c r="GCO62" i="7" s="1"/>
  <c r="GCQ62" i="7" s="1"/>
  <c r="GCS62" i="7" s="1"/>
  <c r="GCU62" i="7" s="1"/>
  <c r="GCW62" i="7" s="1"/>
  <c r="GCY62" i="7" s="1"/>
  <c r="GDA62" i="7" s="1"/>
  <c r="GDC62" i="7" s="1"/>
  <c r="GDE62" i="7" s="1"/>
  <c r="GDG62" i="7" s="1"/>
  <c r="GDI62" i="7" s="1"/>
  <c r="GDK62" i="7" s="1"/>
  <c r="GDM62" i="7" s="1"/>
  <c r="GDO62" i="7" s="1"/>
  <c r="GDQ62" i="7" s="1"/>
  <c r="GDS62" i="7" s="1"/>
  <c r="GDU62" i="7" s="1"/>
  <c r="GDW62" i="7" s="1"/>
  <c r="GDY62" i="7" s="1"/>
  <c r="GEA62" i="7" s="1"/>
  <c r="GEC62" i="7" s="1"/>
  <c r="GEE62" i="7" s="1"/>
  <c r="GEG62" i="7" s="1"/>
  <c r="GEI62" i="7" s="1"/>
  <c r="GEK62" i="7" s="1"/>
  <c r="GEM62" i="7" s="1"/>
  <c r="GEO62" i="7" s="1"/>
  <c r="GEQ62" i="7" s="1"/>
  <c r="GES62" i="7" s="1"/>
  <c r="GEU62" i="7" s="1"/>
  <c r="GEW62" i="7" s="1"/>
  <c r="GEY62" i="7" s="1"/>
  <c r="GFA62" i="7" s="1"/>
  <c r="GFC62" i="7" s="1"/>
  <c r="GFE62" i="7" s="1"/>
  <c r="GFG62" i="7" s="1"/>
  <c r="GFI62" i="7" s="1"/>
  <c r="GFK62" i="7" s="1"/>
  <c r="GFM62" i="7" s="1"/>
  <c r="GFO62" i="7" s="1"/>
  <c r="GFQ62" i="7" s="1"/>
  <c r="GFS62" i="7" s="1"/>
  <c r="GFU62" i="7" s="1"/>
  <c r="GFW62" i="7" s="1"/>
  <c r="GFY62" i="7" s="1"/>
  <c r="GGA62" i="7" s="1"/>
  <c r="GGC62" i="7" s="1"/>
  <c r="GGE62" i="7" s="1"/>
  <c r="GGG62" i="7" s="1"/>
  <c r="GGI62" i="7" s="1"/>
  <c r="GGK62" i="7" s="1"/>
  <c r="GGM62" i="7" s="1"/>
  <c r="GGO62" i="7" s="1"/>
  <c r="GGQ62" i="7" s="1"/>
  <c r="GGS62" i="7" s="1"/>
  <c r="GGU62" i="7" s="1"/>
  <c r="GGW62" i="7" s="1"/>
  <c r="GGY62" i="7" s="1"/>
  <c r="GHA62" i="7" s="1"/>
  <c r="GHC62" i="7" s="1"/>
  <c r="GHE62" i="7" s="1"/>
  <c r="GHG62" i="7" s="1"/>
  <c r="GHI62" i="7" s="1"/>
  <c r="GHK62" i="7" s="1"/>
  <c r="GHM62" i="7" s="1"/>
  <c r="GHO62" i="7" s="1"/>
  <c r="GHQ62" i="7" s="1"/>
  <c r="GHS62" i="7" s="1"/>
  <c r="GHU62" i="7" s="1"/>
  <c r="GHW62" i="7" s="1"/>
  <c r="GHY62" i="7" s="1"/>
  <c r="GIA62" i="7" s="1"/>
  <c r="GIC62" i="7" s="1"/>
  <c r="GIE62" i="7" s="1"/>
  <c r="GIG62" i="7" s="1"/>
  <c r="GII62" i="7" s="1"/>
  <c r="GIK62" i="7" s="1"/>
  <c r="GIM62" i="7" s="1"/>
  <c r="GIO62" i="7" s="1"/>
  <c r="GIQ62" i="7" s="1"/>
  <c r="GIS62" i="7" s="1"/>
  <c r="GIU62" i="7" s="1"/>
  <c r="GIW62" i="7" s="1"/>
  <c r="GIY62" i="7" s="1"/>
  <c r="GJA62" i="7" s="1"/>
  <c r="GJC62" i="7" s="1"/>
  <c r="GJE62" i="7" s="1"/>
  <c r="GJG62" i="7" s="1"/>
  <c r="GJI62" i="7" s="1"/>
  <c r="GJK62" i="7" s="1"/>
  <c r="GJM62" i="7" s="1"/>
  <c r="GJO62" i="7" s="1"/>
  <c r="GJQ62" i="7" s="1"/>
  <c r="GJS62" i="7" s="1"/>
  <c r="GJU62" i="7" s="1"/>
  <c r="GJW62" i="7" s="1"/>
  <c r="GJY62" i="7" s="1"/>
  <c r="GKA62" i="7" s="1"/>
  <c r="GKC62" i="7" s="1"/>
  <c r="GKE62" i="7" s="1"/>
  <c r="GKG62" i="7" s="1"/>
  <c r="GKI62" i="7" s="1"/>
  <c r="GKK62" i="7" s="1"/>
  <c r="GKM62" i="7" s="1"/>
  <c r="GKO62" i="7" s="1"/>
  <c r="GKQ62" i="7" s="1"/>
  <c r="GKS62" i="7" s="1"/>
  <c r="GKU62" i="7" s="1"/>
  <c r="GKW62" i="7" s="1"/>
  <c r="GKY62" i="7" s="1"/>
  <c r="GLA62" i="7" s="1"/>
  <c r="GLC62" i="7" s="1"/>
  <c r="GLE62" i="7" s="1"/>
  <c r="GLG62" i="7" s="1"/>
  <c r="GLI62" i="7" s="1"/>
  <c r="GLK62" i="7" s="1"/>
  <c r="GLM62" i="7" s="1"/>
  <c r="GLO62" i="7" s="1"/>
  <c r="GLQ62" i="7" s="1"/>
  <c r="GLS62" i="7" s="1"/>
  <c r="GLU62" i="7" s="1"/>
  <c r="GLW62" i="7" s="1"/>
  <c r="GLY62" i="7" s="1"/>
  <c r="GMA62" i="7" s="1"/>
  <c r="GMC62" i="7" s="1"/>
  <c r="GME62" i="7" s="1"/>
  <c r="GMG62" i="7" s="1"/>
  <c r="GMI62" i="7" s="1"/>
  <c r="GMK62" i="7" s="1"/>
  <c r="GMM62" i="7" s="1"/>
  <c r="GMO62" i="7" s="1"/>
  <c r="GMQ62" i="7" s="1"/>
  <c r="GMS62" i="7" s="1"/>
  <c r="GMU62" i="7" s="1"/>
  <c r="GMW62" i="7" s="1"/>
  <c r="GMY62" i="7" s="1"/>
  <c r="GNA62" i="7" s="1"/>
  <c r="GNC62" i="7" s="1"/>
  <c r="GNE62" i="7" s="1"/>
  <c r="GNG62" i="7" s="1"/>
  <c r="GNI62" i="7" s="1"/>
  <c r="GNK62" i="7" s="1"/>
  <c r="GNM62" i="7" s="1"/>
  <c r="GNO62" i="7" s="1"/>
  <c r="GNQ62" i="7" s="1"/>
  <c r="GNS62" i="7" s="1"/>
  <c r="GNU62" i="7" s="1"/>
  <c r="GNW62" i="7" s="1"/>
  <c r="GNY62" i="7" s="1"/>
  <c r="GOA62" i="7" s="1"/>
  <c r="GOC62" i="7" s="1"/>
  <c r="GOE62" i="7" s="1"/>
  <c r="GOG62" i="7" s="1"/>
  <c r="GOI62" i="7" s="1"/>
  <c r="GOK62" i="7" s="1"/>
  <c r="GOM62" i="7" s="1"/>
  <c r="GOO62" i="7" s="1"/>
  <c r="GOQ62" i="7" s="1"/>
  <c r="GOS62" i="7" s="1"/>
  <c r="GOU62" i="7" s="1"/>
  <c r="GOW62" i="7" s="1"/>
  <c r="GOY62" i="7" s="1"/>
  <c r="GPA62" i="7" s="1"/>
  <c r="GPC62" i="7" s="1"/>
  <c r="GPE62" i="7" s="1"/>
  <c r="GPG62" i="7" s="1"/>
  <c r="GPI62" i="7" s="1"/>
  <c r="GPK62" i="7" s="1"/>
  <c r="GPM62" i="7" s="1"/>
  <c r="GPO62" i="7" s="1"/>
  <c r="GPQ62" i="7" s="1"/>
  <c r="GPS62" i="7" s="1"/>
  <c r="GPU62" i="7" s="1"/>
  <c r="GPW62" i="7" s="1"/>
  <c r="GPY62" i="7" s="1"/>
  <c r="GQA62" i="7" s="1"/>
  <c r="GQC62" i="7" s="1"/>
  <c r="GQE62" i="7" s="1"/>
  <c r="GQG62" i="7" s="1"/>
  <c r="GQI62" i="7" s="1"/>
  <c r="GQK62" i="7" s="1"/>
  <c r="GQM62" i="7" s="1"/>
  <c r="GQO62" i="7" s="1"/>
  <c r="GQQ62" i="7" s="1"/>
  <c r="GQS62" i="7" s="1"/>
  <c r="GQU62" i="7" s="1"/>
  <c r="GQW62" i="7" s="1"/>
  <c r="GQY62" i="7" s="1"/>
  <c r="GRA62" i="7" s="1"/>
  <c r="GRC62" i="7" s="1"/>
  <c r="GRE62" i="7" s="1"/>
  <c r="GRG62" i="7" s="1"/>
  <c r="GRI62" i="7" s="1"/>
  <c r="GRK62" i="7" s="1"/>
  <c r="GRM62" i="7" s="1"/>
  <c r="GRO62" i="7" s="1"/>
  <c r="GRQ62" i="7" s="1"/>
  <c r="GRS62" i="7" s="1"/>
  <c r="GRU62" i="7" s="1"/>
  <c r="GRW62" i="7" s="1"/>
  <c r="GRY62" i="7" s="1"/>
  <c r="GSA62" i="7" s="1"/>
  <c r="GSC62" i="7" s="1"/>
  <c r="GSE62" i="7" s="1"/>
  <c r="GSG62" i="7" s="1"/>
  <c r="GSI62" i="7" s="1"/>
  <c r="GSK62" i="7" s="1"/>
  <c r="GSM62" i="7" s="1"/>
  <c r="GSO62" i="7" s="1"/>
  <c r="GSQ62" i="7" s="1"/>
  <c r="GSS62" i="7" s="1"/>
  <c r="GSU62" i="7" s="1"/>
  <c r="GSW62" i="7" s="1"/>
  <c r="GSY62" i="7" s="1"/>
  <c r="GTA62" i="7" s="1"/>
  <c r="GTC62" i="7" s="1"/>
  <c r="GTE62" i="7" s="1"/>
  <c r="GTG62" i="7" s="1"/>
  <c r="GTI62" i="7" s="1"/>
  <c r="GTK62" i="7" s="1"/>
  <c r="GTM62" i="7" s="1"/>
  <c r="GTO62" i="7" s="1"/>
  <c r="GTQ62" i="7" s="1"/>
  <c r="GTS62" i="7" s="1"/>
  <c r="GTU62" i="7" s="1"/>
  <c r="GTW62" i="7" s="1"/>
  <c r="GTY62" i="7" s="1"/>
  <c r="GUA62" i="7" s="1"/>
  <c r="GUC62" i="7" s="1"/>
  <c r="GUE62" i="7" s="1"/>
  <c r="GUG62" i="7" s="1"/>
  <c r="GUI62" i="7" s="1"/>
  <c r="GUK62" i="7" s="1"/>
  <c r="GUM62" i="7" s="1"/>
  <c r="GUO62" i="7" s="1"/>
  <c r="GUQ62" i="7" s="1"/>
  <c r="GUS62" i="7" s="1"/>
  <c r="GUU62" i="7" s="1"/>
  <c r="GUW62" i="7" s="1"/>
  <c r="GUY62" i="7" s="1"/>
  <c r="GVA62" i="7" s="1"/>
  <c r="GVC62" i="7" s="1"/>
  <c r="GVE62" i="7" s="1"/>
  <c r="GVG62" i="7" s="1"/>
  <c r="GVI62" i="7" s="1"/>
  <c r="GVK62" i="7" s="1"/>
  <c r="GVM62" i="7" s="1"/>
  <c r="GVO62" i="7" s="1"/>
  <c r="GVQ62" i="7" s="1"/>
  <c r="GVS62" i="7" s="1"/>
  <c r="GVU62" i="7" s="1"/>
  <c r="GVW62" i="7" s="1"/>
  <c r="GVY62" i="7" s="1"/>
  <c r="GWA62" i="7" s="1"/>
  <c r="GWC62" i="7" s="1"/>
  <c r="GWE62" i="7" s="1"/>
  <c r="GWG62" i="7" s="1"/>
  <c r="GWI62" i="7" s="1"/>
  <c r="GWK62" i="7" s="1"/>
  <c r="GWM62" i="7" s="1"/>
  <c r="GWO62" i="7" s="1"/>
  <c r="GWQ62" i="7" s="1"/>
  <c r="GWS62" i="7" s="1"/>
  <c r="GWU62" i="7" s="1"/>
  <c r="GWW62" i="7" s="1"/>
  <c r="GWY62" i="7" s="1"/>
  <c r="GXA62" i="7" s="1"/>
  <c r="GXC62" i="7" s="1"/>
  <c r="GXE62" i="7" s="1"/>
  <c r="GXG62" i="7" s="1"/>
  <c r="GXI62" i="7" s="1"/>
  <c r="GXK62" i="7" s="1"/>
  <c r="GXM62" i="7" s="1"/>
  <c r="GXO62" i="7" s="1"/>
  <c r="GXQ62" i="7" s="1"/>
  <c r="GXS62" i="7" s="1"/>
  <c r="GXU62" i="7" s="1"/>
  <c r="GXW62" i="7" s="1"/>
  <c r="GXY62" i="7" s="1"/>
  <c r="GYA62" i="7" s="1"/>
  <c r="GYC62" i="7" s="1"/>
  <c r="GYE62" i="7" s="1"/>
  <c r="GYG62" i="7" s="1"/>
  <c r="GYI62" i="7" s="1"/>
  <c r="GYK62" i="7" s="1"/>
  <c r="GYM62" i="7" s="1"/>
  <c r="GYO62" i="7" s="1"/>
  <c r="GYQ62" i="7" s="1"/>
  <c r="GYS62" i="7" s="1"/>
  <c r="GYU62" i="7" s="1"/>
  <c r="GYW62" i="7" s="1"/>
  <c r="GYY62" i="7" s="1"/>
  <c r="GZA62" i="7" s="1"/>
  <c r="GZC62" i="7" s="1"/>
  <c r="GZE62" i="7" s="1"/>
  <c r="GZG62" i="7" s="1"/>
  <c r="GZI62" i="7" s="1"/>
  <c r="GZK62" i="7" s="1"/>
  <c r="GZM62" i="7" s="1"/>
  <c r="GZO62" i="7" s="1"/>
  <c r="GZQ62" i="7" s="1"/>
  <c r="GZS62" i="7" s="1"/>
  <c r="GZU62" i="7" s="1"/>
  <c r="GZW62" i="7" s="1"/>
  <c r="GZY62" i="7" s="1"/>
  <c r="HAA62" i="7" s="1"/>
  <c r="HAC62" i="7" s="1"/>
  <c r="HAE62" i="7" s="1"/>
  <c r="HAG62" i="7" s="1"/>
  <c r="HAI62" i="7" s="1"/>
  <c r="HAK62" i="7" s="1"/>
  <c r="HAM62" i="7" s="1"/>
  <c r="HAO62" i="7" s="1"/>
  <c r="HAQ62" i="7" s="1"/>
  <c r="HAS62" i="7" s="1"/>
  <c r="HAU62" i="7" s="1"/>
  <c r="HAW62" i="7" s="1"/>
  <c r="HAY62" i="7" s="1"/>
  <c r="HBA62" i="7" s="1"/>
  <c r="HBC62" i="7" s="1"/>
  <c r="HBE62" i="7" s="1"/>
  <c r="HBG62" i="7" s="1"/>
  <c r="HBI62" i="7" s="1"/>
  <c r="HBK62" i="7" s="1"/>
  <c r="HBM62" i="7" s="1"/>
  <c r="HBO62" i="7" s="1"/>
  <c r="HBQ62" i="7" s="1"/>
  <c r="HBS62" i="7" s="1"/>
  <c r="HBU62" i="7" s="1"/>
  <c r="HBW62" i="7" s="1"/>
  <c r="HBY62" i="7" s="1"/>
  <c r="HCA62" i="7" s="1"/>
  <c r="HCC62" i="7" s="1"/>
  <c r="HCE62" i="7" s="1"/>
  <c r="HCG62" i="7" s="1"/>
  <c r="HCI62" i="7" s="1"/>
  <c r="HCK62" i="7" s="1"/>
  <c r="HCM62" i="7" s="1"/>
  <c r="HCO62" i="7" s="1"/>
  <c r="HCQ62" i="7" s="1"/>
  <c r="HCS62" i="7" s="1"/>
  <c r="HCU62" i="7" s="1"/>
  <c r="HCW62" i="7" s="1"/>
  <c r="HCY62" i="7" s="1"/>
  <c r="HDA62" i="7" s="1"/>
  <c r="HDC62" i="7" s="1"/>
  <c r="HDE62" i="7" s="1"/>
  <c r="HDG62" i="7" s="1"/>
  <c r="HDI62" i="7" s="1"/>
  <c r="HDK62" i="7" s="1"/>
  <c r="HDM62" i="7" s="1"/>
  <c r="HDO62" i="7" s="1"/>
  <c r="HDQ62" i="7" s="1"/>
  <c r="HDS62" i="7" s="1"/>
  <c r="HDU62" i="7" s="1"/>
  <c r="HDW62" i="7" s="1"/>
  <c r="HDY62" i="7" s="1"/>
  <c r="HEA62" i="7" s="1"/>
  <c r="HEC62" i="7" s="1"/>
  <c r="HEE62" i="7" s="1"/>
  <c r="HEG62" i="7" s="1"/>
  <c r="HEI62" i="7" s="1"/>
  <c r="HEK62" i="7" s="1"/>
  <c r="HEM62" i="7" s="1"/>
  <c r="HEO62" i="7" s="1"/>
  <c r="HEQ62" i="7" s="1"/>
  <c r="HES62" i="7" s="1"/>
  <c r="HEU62" i="7" s="1"/>
  <c r="HEW62" i="7" s="1"/>
  <c r="HEY62" i="7" s="1"/>
  <c r="HFA62" i="7" s="1"/>
  <c r="HFC62" i="7" s="1"/>
  <c r="HFE62" i="7" s="1"/>
  <c r="HFG62" i="7" s="1"/>
  <c r="HFI62" i="7" s="1"/>
  <c r="HFK62" i="7" s="1"/>
  <c r="HFM62" i="7" s="1"/>
  <c r="HFO62" i="7" s="1"/>
  <c r="HFQ62" i="7" s="1"/>
  <c r="HFS62" i="7" s="1"/>
  <c r="HFU62" i="7" s="1"/>
  <c r="HFW62" i="7" s="1"/>
  <c r="HFY62" i="7" s="1"/>
  <c r="HGA62" i="7" s="1"/>
  <c r="HGC62" i="7" s="1"/>
  <c r="HGE62" i="7" s="1"/>
  <c r="HGG62" i="7" s="1"/>
  <c r="HGI62" i="7" s="1"/>
  <c r="HGK62" i="7" s="1"/>
  <c r="HGM62" i="7" s="1"/>
  <c r="HGO62" i="7" s="1"/>
  <c r="HGQ62" i="7" s="1"/>
  <c r="HGS62" i="7" s="1"/>
  <c r="HGU62" i="7" s="1"/>
  <c r="HGW62" i="7" s="1"/>
  <c r="HGY62" i="7" s="1"/>
  <c r="HHA62" i="7" s="1"/>
  <c r="HHC62" i="7" s="1"/>
  <c r="HHE62" i="7" s="1"/>
  <c r="HHG62" i="7" s="1"/>
  <c r="HHI62" i="7" s="1"/>
  <c r="HHK62" i="7" s="1"/>
  <c r="HHM62" i="7" s="1"/>
  <c r="HHO62" i="7" s="1"/>
  <c r="HHQ62" i="7" s="1"/>
  <c r="HHS62" i="7" s="1"/>
  <c r="HHU62" i="7" s="1"/>
  <c r="HHW62" i="7" s="1"/>
  <c r="HHY62" i="7" s="1"/>
  <c r="HIA62" i="7" s="1"/>
  <c r="HIC62" i="7" s="1"/>
  <c r="HIE62" i="7" s="1"/>
  <c r="HIG62" i="7" s="1"/>
  <c r="HII62" i="7" s="1"/>
  <c r="HIK62" i="7" s="1"/>
  <c r="HIM62" i="7" s="1"/>
  <c r="HIO62" i="7" s="1"/>
  <c r="HIQ62" i="7" s="1"/>
  <c r="HIS62" i="7" s="1"/>
  <c r="HIU62" i="7" s="1"/>
  <c r="HIW62" i="7" s="1"/>
  <c r="HIY62" i="7" s="1"/>
  <c r="HJA62" i="7" s="1"/>
  <c r="HJC62" i="7" s="1"/>
  <c r="HJE62" i="7" s="1"/>
  <c r="HJG62" i="7" s="1"/>
  <c r="HJI62" i="7" s="1"/>
  <c r="HJK62" i="7" s="1"/>
  <c r="HJM62" i="7" s="1"/>
  <c r="HJO62" i="7" s="1"/>
  <c r="HJQ62" i="7" s="1"/>
  <c r="HJS62" i="7" s="1"/>
  <c r="HJU62" i="7" s="1"/>
  <c r="HJW62" i="7" s="1"/>
  <c r="HJY62" i="7" s="1"/>
  <c r="HKA62" i="7" s="1"/>
  <c r="HKC62" i="7" s="1"/>
  <c r="HKE62" i="7" s="1"/>
  <c r="HKG62" i="7" s="1"/>
  <c r="HKI62" i="7" s="1"/>
  <c r="HKK62" i="7" s="1"/>
  <c r="HKM62" i="7" s="1"/>
  <c r="HKO62" i="7" s="1"/>
  <c r="HKQ62" i="7" s="1"/>
  <c r="HKS62" i="7" s="1"/>
  <c r="HKU62" i="7" s="1"/>
  <c r="HKW62" i="7" s="1"/>
  <c r="HKY62" i="7" s="1"/>
  <c r="HLA62" i="7" s="1"/>
  <c r="HLC62" i="7" s="1"/>
  <c r="HLE62" i="7" s="1"/>
  <c r="HLG62" i="7" s="1"/>
  <c r="HLI62" i="7" s="1"/>
  <c r="HLK62" i="7" s="1"/>
  <c r="HLM62" i="7" s="1"/>
  <c r="HLO62" i="7" s="1"/>
  <c r="HLQ62" i="7" s="1"/>
  <c r="HLS62" i="7" s="1"/>
  <c r="HLU62" i="7" s="1"/>
  <c r="HLW62" i="7" s="1"/>
  <c r="HLY62" i="7" s="1"/>
  <c r="HMA62" i="7" s="1"/>
  <c r="HMC62" i="7" s="1"/>
  <c r="HME62" i="7" s="1"/>
  <c r="HMG62" i="7" s="1"/>
  <c r="HMI62" i="7" s="1"/>
  <c r="HMK62" i="7" s="1"/>
  <c r="HMM62" i="7" s="1"/>
  <c r="HMO62" i="7" s="1"/>
  <c r="HMQ62" i="7" s="1"/>
  <c r="HMS62" i="7" s="1"/>
  <c r="HMU62" i="7" s="1"/>
  <c r="HMW62" i="7" s="1"/>
  <c r="HMY62" i="7" s="1"/>
  <c r="HNA62" i="7" s="1"/>
  <c r="HNC62" i="7" s="1"/>
  <c r="HNE62" i="7" s="1"/>
  <c r="HNG62" i="7" s="1"/>
  <c r="HNI62" i="7" s="1"/>
  <c r="HNK62" i="7" s="1"/>
  <c r="HNM62" i="7" s="1"/>
  <c r="HNO62" i="7" s="1"/>
  <c r="HNQ62" i="7" s="1"/>
  <c r="HNS62" i="7" s="1"/>
  <c r="HNU62" i="7" s="1"/>
  <c r="HNW62" i="7" s="1"/>
  <c r="HNY62" i="7" s="1"/>
  <c r="HOA62" i="7" s="1"/>
  <c r="HOC62" i="7" s="1"/>
  <c r="HOE62" i="7" s="1"/>
  <c r="HOG62" i="7" s="1"/>
  <c r="HOI62" i="7" s="1"/>
  <c r="HOK62" i="7" s="1"/>
  <c r="HOM62" i="7" s="1"/>
  <c r="HOO62" i="7" s="1"/>
  <c r="HOQ62" i="7" s="1"/>
  <c r="HOS62" i="7" s="1"/>
  <c r="HOU62" i="7" s="1"/>
  <c r="HOW62" i="7" s="1"/>
  <c r="HOY62" i="7" s="1"/>
  <c r="HPA62" i="7" s="1"/>
  <c r="HPC62" i="7" s="1"/>
  <c r="HPE62" i="7" s="1"/>
  <c r="HPG62" i="7" s="1"/>
  <c r="HPI62" i="7" s="1"/>
  <c r="HPK62" i="7" s="1"/>
  <c r="HPM62" i="7" s="1"/>
  <c r="HPO62" i="7" s="1"/>
  <c r="HPQ62" i="7" s="1"/>
  <c r="HPS62" i="7" s="1"/>
  <c r="HPU62" i="7" s="1"/>
  <c r="HPW62" i="7" s="1"/>
  <c r="HPY62" i="7" s="1"/>
  <c r="HQA62" i="7" s="1"/>
  <c r="HQC62" i="7" s="1"/>
  <c r="HQE62" i="7" s="1"/>
  <c r="HQG62" i="7" s="1"/>
  <c r="HQI62" i="7" s="1"/>
  <c r="HQK62" i="7" s="1"/>
  <c r="HQM62" i="7" s="1"/>
  <c r="HQO62" i="7" s="1"/>
  <c r="HQQ62" i="7" s="1"/>
  <c r="HQS62" i="7" s="1"/>
  <c r="HQU62" i="7" s="1"/>
  <c r="HQW62" i="7" s="1"/>
  <c r="HQY62" i="7" s="1"/>
  <c r="HRA62" i="7" s="1"/>
  <c r="HRC62" i="7" s="1"/>
  <c r="HRE62" i="7" s="1"/>
  <c r="HRG62" i="7" s="1"/>
  <c r="HRI62" i="7" s="1"/>
  <c r="HRK62" i="7" s="1"/>
  <c r="HRM62" i="7" s="1"/>
  <c r="HRO62" i="7" s="1"/>
  <c r="HRQ62" i="7" s="1"/>
  <c r="HRS62" i="7" s="1"/>
  <c r="HRU62" i="7" s="1"/>
  <c r="HRW62" i="7" s="1"/>
  <c r="HRY62" i="7" s="1"/>
  <c r="HSA62" i="7" s="1"/>
  <c r="HSC62" i="7" s="1"/>
  <c r="HSE62" i="7" s="1"/>
  <c r="HSG62" i="7" s="1"/>
  <c r="HSI62" i="7" s="1"/>
  <c r="HSK62" i="7" s="1"/>
  <c r="HSM62" i="7" s="1"/>
  <c r="HSO62" i="7" s="1"/>
  <c r="HSQ62" i="7" s="1"/>
  <c r="HSS62" i="7" s="1"/>
  <c r="HSU62" i="7" s="1"/>
  <c r="HSW62" i="7" s="1"/>
  <c r="HSY62" i="7" s="1"/>
  <c r="HTA62" i="7" s="1"/>
  <c r="HTC62" i="7" s="1"/>
  <c r="HTE62" i="7" s="1"/>
  <c r="HTG62" i="7" s="1"/>
  <c r="HTI62" i="7" s="1"/>
  <c r="HTK62" i="7" s="1"/>
  <c r="HTM62" i="7" s="1"/>
  <c r="HTO62" i="7" s="1"/>
  <c r="HTQ62" i="7" s="1"/>
  <c r="HTS62" i="7" s="1"/>
  <c r="HTU62" i="7" s="1"/>
  <c r="HTW62" i="7" s="1"/>
  <c r="HTY62" i="7" s="1"/>
  <c r="HUA62" i="7" s="1"/>
  <c r="HUC62" i="7" s="1"/>
  <c r="HUE62" i="7" s="1"/>
  <c r="HUG62" i="7" s="1"/>
  <c r="HUI62" i="7" s="1"/>
  <c r="HUK62" i="7" s="1"/>
  <c r="HUM62" i="7" s="1"/>
  <c r="HUO62" i="7" s="1"/>
  <c r="HUQ62" i="7" s="1"/>
  <c r="HUS62" i="7" s="1"/>
  <c r="HUU62" i="7" s="1"/>
  <c r="HUW62" i="7" s="1"/>
  <c r="HUY62" i="7" s="1"/>
  <c r="HVA62" i="7" s="1"/>
  <c r="HVC62" i="7" s="1"/>
  <c r="HVE62" i="7" s="1"/>
  <c r="HVG62" i="7" s="1"/>
  <c r="HVI62" i="7" s="1"/>
  <c r="HVK62" i="7" s="1"/>
  <c r="HVM62" i="7" s="1"/>
  <c r="HVO62" i="7" s="1"/>
  <c r="HVQ62" i="7" s="1"/>
  <c r="HVS62" i="7" s="1"/>
  <c r="HVU62" i="7" s="1"/>
  <c r="HVW62" i="7" s="1"/>
  <c r="HVY62" i="7" s="1"/>
  <c r="HWA62" i="7" s="1"/>
  <c r="HWC62" i="7" s="1"/>
  <c r="HWE62" i="7" s="1"/>
  <c r="HWG62" i="7" s="1"/>
  <c r="HWI62" i="7" s="1"/>
  <c r="HWK62" i="7" s="1"/>
  <c r="HWM62" i="7" s="1"/>
  <c r="HWO62" i="7" s="1"/>
  <c r="HWQ62" i="7" s="1"/>
  <c r="HWS62" i="7" s="1"/>
  <c r="HWU62" i="7" s="1"/>
  <c r="HWW62" i="7" s="1"/>
  <c r="HWY62" i="7" s="1"/>
  <c r="HXA62" i="7" s="1"/>
  <c r="HXC62" i="7" s="1"/>
  <c r="HXE62" i="7" s="1"/>
  <c r="HXG62" i="7" s="1"/>
  <c r="HXI62" i="7" s="1"/>
  <c r="HXK62" i="7" s="1"/>
  <c r="HXM62" i="7" s="1"/>
  <c r="HXO62" i="7" s="1"/>
  <c r="HXQ62" i="7" s="1"/>
  <c r="HXS62" i="7" s="1"/>
  <c r="HXU62" i="7" s="1"/>
  <c r="HXW62" i="7" s="1"/>
  <c r="HXY62" i="7" s="1"/>
  <c r="HYA62" i="7" s="1"/>
  <c r="HYC62" i="7" s="1"/>
  <c r="HYE62" i="7" s="1"/>
  <c r="HYG62" i="7" s="1"/>
  <c r="HYI62" i="7" s="1"/>
  <c r="HYK62" i="7" s="1"/>
  <c r="HYM62" i="7" s="1"/>
  <c r="HYO62" i="7" s="1"/>
  <c r="HYQ62" i="7" s="1"/>
  <c r="HYS62" i="7" s="1"/>
  <c r="HYU62" i="7" s="1"/>
  <c r="HYW62" i="7" s="1"/>
  <c r="HYY62" i="7" s="1"/>
  <c r="HZA62" i="7" s="1"/>
  <c r="HZC62" i="7" s="1"/>
  <c r="HZE62" i="7" s="1"/>
  <c r="HZG62" i="7" s="1"/>
  <c r="HZI62" i="7" s="1"/>
  <c r="HZK62" i="7" s="1"/>
  <c r="HZM62" i="7" s="1"/>
  <c r="HZO62" i="7" s="1"/>
  <c r="HZQ62" i="7" s="1"/>
  <c r="HZS62" i="7" s="1"/>
  <c r="HZU62" i="7" s="1"/>
  <c r="HZW62" i="7" s="1"/>
  <c r="HZY62" i="7" s="1"/>
  <c r="IAA62" i="7" s="1"/>
  <c r="IAC62" i="7" s="1"/>
  <c r="IAE62" i="7" s="1"/>
  <c r="IAG62" i="7" s="1"/>
  <c r="IAI62" i="7" s="1"/>
  <c r="IAK62" i="7" s="1"/>
  <c r="IAM62" i="7" s="1"/>
  <c r="IAO62" i="7" s="1"/>
  <c r="IAQ62" i="7" s="1"/>
  <c r="IAS62" i="7" s="1"/>
  <c r="IAU62" i="7" s="1"/>
  <c r="IAW62" i="7" s="1"/>
  <c r="IAY62" i="7" s="1"/>
  <c r="IBA62" i="7" s="1"/>
  <c r="IBC62" i="7" s="1"/>
  <c r="IBE62" i="7" s="1"/>
  <c r="IBG62" i="7" s="1"/>
  <c r="IBI62" i="7" s="1"/>
  <c r="IBK62" i="7" s="1"/>
  <c r="IBM62" i="7" s="1"/>
  <c r="IBO62" i="7" s="1"/>
  <c r="IBQ62" i="7" s="1"/>
  <c r="IBS62" i="7" s="1"/>
  <c r="IBU62" i="7" s="1"/>
  <c r="IBW62" i="7" s="1"/>
  <c r="IBY62" i="7" s="1"/>
  <c r="ICA62" i="7" s="1"/>
  <c r="ICC62" i="7" s="1"/>
  <c r="ICE62" i="7" s="1"/>
  <c r="ICG62" i="7" s="1"/>
  <c r="ICI62" i="7" s="1"/>
  <c r="ICK62" i="7" s="1"/>
  <c r="ICM62" i="7" s="1"/>
  <c r="ICO62" i="7" s="1"/>
  <c r="ICQ62" i="7" s="1"/>
  <c r="ICS62" i="7" s="1"/>
  <c r="ICU62" i="7" s="1"/>
  <c r="ICW62" i="7" s="1"/>
  <c r="ICY62" i="7" s="1"/>
  <c r="IDA62" i="7" s="1"/>
  <c r="IDC62" i="7" s="1"/>
  <c r="IDE62" i="7" s="1"/>
  <c r="IDG62" i="7" s="1"/>
  <c r="IDI62" i="7" s="1"/>
  <c r="IDK62" i="7" s="1"/>
  <c r="IDM62" i="7" s="1"/>
  <c r="IDO62" i="7" s="1"/>
  <c r="IDQ62" i="7" s="1"/>
  <c r="IDS62" i="7" s="1"/>
  <c r="IDU62" i="7" s="1"/>
  <c r="IDW62" i="7" s="1"/>
  <c r="IDY62" i="7" s="1"/>
  <c r="IEA62" i="7" s="1"/>
  <c r="IEC62" i="7" s="1"/>
  <c r="IEE62" i="7" s="1"/>
  <c r="IEG62" i="7" s="1"/>
  <c r="IEI62" i="7" s="1"/>
  <c r="IEK62" i="7" s="1"/>
  <c r="IEM62" i="7" s="1"/>
  <c r="IEO62" i="7" s="1"/>
  <c r="IEQ62" i="7" s="1"/>
  <c r="IES62" i="7" s="1"/>
  <c r="IEU62" i="7" s="1"/>
  <c r="IEW62" i="7" s="1"/>
  <c r="IEY62" i="7" s="1"/>
  <c r="IFA62" i="7" s="1"/>
  <c r="IFC62" i="7" s="1"/>
  <c r="IFE62" i="7" s="1"/>
  <c r="IFG62" i="7" s="1"/>
  <c r="IFI62" i="7" s="1"/>
  <c r="IFK62" i="7" s="1"/>
  <c r="IFM62" i="7" s="1"/>
  <c r="IFO62" i="7" s="1"/>
  <c r="IFQ62" i="7" s="1"/>
  <c r="IFS62" i="7" s="1"/>
  <c r="IFU62" i="7" s="1"/>
  <c r="IFW62" i="7" s="1"/>
  <c r="IFY62" i="7" s="1"/>
  <c r="IGA62" i="7" s="1"/>
  <c r="IGC62" i="7" s="1"/>
  <c r="IGE62" i="7" s="1"/>
  <c r="IGG62" i="7" s="1"/>
  <c r="IGI62" i="7" s="1"/>
  <c r="IGK62" i="7" s="1"/>
  <c r="IGM62" i="7" s="1"/>
  <c r="IGO62" i="7" s="1"/>
  <c r="IGQ62" i="7" s="1"/>
  <c r="IGS62" i="7" s="1"/>
  <c r="IGU62" i="7" s="1"/>
  <c r="IGW62" i="7" s="1"/>
  <c r="IGY62" i="7" s="1"/>
  <c r="IHA62" i="7" s="1"/>
  <c r="IHC62" i="7" s="1"/>
  <c r="IHE62" i="7" s="1"/>
  <c r="IHG62" i="7" s="1"/>
  <c r="IHI62" i="7" s="1"/>
  <c r="IHK62" i="7" s="1"/>
  <c r="IHM62" i="7" s="1"/>
  <c r="IHO62" i="7" s="1"/>
  <c r="IHQ62" i="7" s="1"/>
  <c r="IHS62" i="7" s="1"/>
  <c r="IHU62" i="7" s="1"/>
  <c r="IHW62" i="7" s="1"/>
  <c r="IHY62" i="7" s="1"/>
  <c r="IIA62" i="7" s="1"/>
  <c r="IIC62" i="7" s="1"/>
  <c r="IIE62" i="7" s="1"/>
  <c r="IIG62" i="7" s="1"/>
  <c r="III62" i="7" s="1"/>
  <c r="IIK62" i="7" s="1"/>
  <c r="IIM62" i="7" s="1"/>
  <c r="IIO62" i="7" s="1"/>
  <c r="IIQ62" i="7" s="1"/>
  <c r="IIS62" i="7" s="1"/>
  <c r="IIU62" i="7" s="1"/>
  <c r="IIW62" i="7" s="1"/>
  <c r="IIY62" i="7" s="1"/>
  <c r="IJA62" i="7" s="1"/>
  <c r="IJC62" i="7" s="1"/>
  <c r="IJE62" i="7" s="1"/>
  <c r="IJG62" i="7" s="1"/>
  <c r="IJI62" i="7" s="1"/>
  <c r="IJK62" i="7" s="1"/>
  <c r="IJM62" i="7" s="1"/>
  <c r="IJO62" i="7" s="1"/>
  <c r="IJQ62" i="7" s="1"/>
  <c r="IJS62" i="7" s="1"/>
  <c r="IJU62" i="7" s="1"/>
  <c r="IJW62" i="7" s="1"/>
  <c r="IJY62" i="7" s="1"/>
  <c r="IKA62" i="7" s="1"/>
  <c r="IKC62" i="7" s="1"/>
  <c r="IKE62" i="7" s="1"/>
  <c r="IKG62" i="7" s="1"/>
  <c r="IKI62" i="7" s="1"/>
  <c r="IKK62" i="7" s="1"/>
  <c r="IKM62" i="7" s="1"/>
  <c r="IKO62" i="7" s="1"/>
  <c r="IKQ62" i="7" s="1"/>
  <c r="IKS62" i="7" s="1"/>
  <c r="IKU62" i="7" s="1"/>
  <c r="IKW62" i="7" s="1"/>
  <c r="IKY62" i="7" s="1"/>
  <c r="ILA62" i="7" s="1"/>
  <c r="ILC62" i="7" s="1"/>
  <c r="ILE62" i="7" s="1"/>
  <c r="ILG62" i="7" s="1"/>
  <c r="ILI62" i="7" s="1"/>
  <c r="ILK62" i="7" s="1"/>
  <c r="ILM62" i="7" s="1"/>
  <c r="ILO62" i="7" s="1"/>
  <c r="ILQ62" i="7" s="1"/>
  <c r="ILS62" i="7" s="1"/>
  <c r="ILU62" i="7" s="1"/>
  <c r="ILW62" i="7" s="1"/>
  <c r="ILY62" i="7" s="1"/>
  <c r="IMA62" i="7" s="1"/>
  <c r="IMC62" i="7" s="1"/>
  <c r="IME62" i="7" s="1"/>
  <c r="IMG62" i="7" s="1"/>
  <c r="IMI62" i="7" s="1"/>
  <c r="IMK62" i="7" s="1"/>
  <c r="IMM62" i="7" s="1"/>
  <c r="IMO62" i="7" s="1"/>
  <c r="IMQ62" i="7" s="1"/>
  <c r="IMS62" i="7" s="1"/>
  <c r="IMU62" i="7" s="1"/>
  <c r="IMW62" i="7" s="1"/>
  <c r="IMY62" i="7" s="1"/>
  <c r="INA62" i="7" s="1"/>
  <c r="INC62" i="7" s="1"/>
  <c r="INE62" i="7" s="1"/>
  <c r="ING62" i="7" s="1"/>
  <c r="INI62" i="7" s="1"/>
  <c r="INK62" i="7" s="1"/>
  <c r="INM62" i="7" s="1"/>
  <c r="INO62" i="7" s="1"/>
  <c r="INQ62" i="7" s="1"/>
  <c r="INS62" i="7" s="1"/>
  <c r="INU62" i="7" s="1"/>
  <c r="INW62" i="7" s="1"/>
  <c r="INY62" i="7" s="1"/>
  <c r="IOA62" i="7" s="1"/>
  <c r="IOC62" i="7" s="1"/>
  <c r="IOE62" i="7" s="1"/>
  <c r="IOG62" i="7" s="1"/>
  <c r="IOI62" i="7" s="1"/>
  <c r="IOK62" i="7" s="1"/>
  <c r="IOM62" i="7" s="1"/>
  <c r="IOO62" i="7" s="1"/>
  <c r="IOQ62" i="7" s="1"/>
  <c r="IOS62" i="7" s="1"/>
  <c r="IOU62" i="7" s="1"/>
  <c r="IOW62" i="7" s="1"/>
  <c r="IOY62" i="7" s="1"/>
  <c r="IPA62" i="7" s="1"/>
  <c r="IPC62" i="7" s="1"/>
  <c r="IPE62" i="7" s="1"/>
  <c r="IPG62" i="7" s="1"/>
  <c r="IPI62" i="7" s="1"/>
  <c r="IPK62" i="7" s="1"/>
  <c r="IPM62" i="7" s="1"/>
  <c r="IPO62" i="7" s="1"/>
  <c r="IPQ62" i="7" s="1"/>
  <c r="IPS62" i="7" s="1"/>
  <c r="IPU62" i="7" s="1"/>
  <c r="IPW62" i="7" s="1"/>
  <c r="IPY62" i="7" s="1"/>
  <c r="IQA62" i="7" s="1"/>
  <c r="IQC62" i="7" s="1"/>
  <c r="IQE62" i="7" s="1"/>
  <c r="IQG62" i="7" s="1"/>
  <c r="IQI62" i="7" s="1"/>
  <c r="IQK62" i="7" s="1"/>
  <c r="IQM62" i="7" s="1"/>
  <c r="IQO62" i="7" s="1"/>
  <c r="IQQ62" i="7" s="1"/>
  <c r="IQS62" i="7" s="1"/>
  <c r="IQU62" i="7" s="1"/>
  <c r="IQW62" i="7" s="1"/>
  <c r="IQY62" i="7" s="1"/>
  <c r="IRA62" i="7" s="1"/>
  <c r="IRC62" i="7" s="1"/>
  <c r="IRE62" i="7" s="1"/>
  <c r="IRG62" i="7" s="1"/>
  <c r="IRI62" i="7" s="1"/>
  <c r="IRK62" i="7" s="1"/>
  <c r="IRM62" i="7" s="1"/>
  <c r="IRO62" i="7" s="1"/>
  <c r="IRQ62" i="7" s="1"/>
  <c r="IRS62" i="7" s="1"/>
  <c r="IRU62" i="7" s="1"/>
  <c r="IRW62" i="7" s="1"/>
  <c r="IRY62" i="7" s="1"/>
  <c r="ISA62" i="7" s="1"/>
  <c r="ISC62" i="7" s="1"/>
  <c r="ISE62" i="7" s="1"/>
  <c r="ISG62" i="7" s="1"/>
  <c r="ISI62" i="7" s="1"/>
  <c r="ISK62" i="7" s="1"/>
  <c r="ISM62" i="7" s="1"/>
  <c r="ISO62" i="7" s="1"/>
  <c r="ISQ62" i="7" s="1"/>
  <c r="ISS62" i="7" s="1"/>
  <c r="ISU62" i="7" s="1"/>
  <c r="ISW62" i="7" s="1"/>
  <c r="ISY62" i="7" s="1"/>
  <c r="ITA62" i="7" s="1"/>
  <c r="ITC62" i="7" s="1"/>
  <c r="ITE62" i="7" s="1"/>
  <c r="ITG62" i="7" s="1"/>
  <c r="ITI62" i="7" s="1"/>
  <c r="ITK62" i="7" s="1"/>
  <c r="ITM62" i="7" s="1"/>
  <c r="ITO62" i="7" s="1"/>
  <c r="ITQ62" i="7" s="1"/>
  <c r="ITS62" i="7" s="1"/>
  <c r="ITU62" i="7" s="1"/>
  <c r="ITW62" i="7" s="1"/>
  <c r="ITY62" i="7" s="1"/>
  <c r="IUA62" i="7" s="1"/>
  <c r="IUC62" i="7" s="1"/>
  <c r="IUE62" i="7" s="1"/>
  <c r="IUG62" i="7" s="1"/>
  <c r="IUI62" i="7" s="1"/>
  <c r="IUK62" i="7" s="1"/>
  <c r="IUM62" i="7" s="1"/>
  <c r="IUO62" i="7" s="1"/>
  <c r="IUQ62" i="7" s="1"/>
  <c r="IUS62" i="7" s="1"/>
  <c r="IUU62" i="7" s="1"/>
  <c r="IUW62" i="7" s="1"/>
  <c r="IUY62" i="7" s="1"/>
  <c r="IVA62" i="7" s="1"/>
  <c r="IVC62" i="7" s="1"/>
  <c r="IVE62" i="7" s="1"/>
  <c r="IVG62" i="7" s="1"/>
  <c r="IVI62" i="7" s="1"/>
  <c r="IVK62" i="7" s="1"/>
  <c r="IVM62" i="7" s="1"/>
  <c r="IVO62" i="7" s="1"/>
  <c r="IVQ62" i="7" s="1"/>
  <c r="IVS62" i="7" s="1"/>
  <c r="IVU62" i="7" s="1"/>
  <c r="IVW62" i="7" s="1"/>
  <c r="IVY62" i="7" s="1"/>
  <c r="IWA62" i="7" s="1"/>
  <c r="IWC62" i="7" s="1"/>
  <c r="IWE62" i="7" s="1"/>
  <c r="IWG62" i="7" s="1"/>
  <c r="IWI62" i="7" s="1"/>
  <c r="IWK62" i="7" s="1"/>
  <c r="IWM62" i="7" s="1"/>
  <c r="IWO62" i="7" s="1"/>
  <c r="IWQ62" i="7" s="1"/>
  <c r="IWS62" i="7" s="1"/>
  <c r="IWU62" i="7" s="1"/>
  <c r="IWW62" i="7" s="1"/>
  <c r="IWY62" i="7" s="1"/>
  <c r="IXA62" i="7" s="1"/>
  <c r="IXC62" i="7" s="1"/>
  <c r="IXE62" i="7" s="1"/>
  <c r="IXG62" i="7" s="1"/>
  <c r="IXI62" i="7" s="1"/>
  <c r="IXK62" i="7" s="1"/>
  <c r="IXM62" i="7" s="1"/>
  <c r="IXO62" i="7" s="1"/>
  <c r="IXQ62" i="7" s="1"/>
  <c r="IXS62" i="7" s="1"/>
  <c r="IXU62" i="7" s="1"/>
  <c r="IXW62" i="7" s="1"/>
  <c r="IXY62" i="7" s="1"/>
  <c r="IYA62" i="7" s="1"/>
  <c r="IYC62" i="7" s="1"/>
  <c r="IYE62" i="7" s="1"/>
  <c r="IYG62" i="7" s="1"/>
  <c r="IYI62" i="7" s="1"/>
  <c r="IYK62" i="7" s="1"/>
  <c r="IYM62" i="7" s="1"/>
  <c r="IYO62" i="7" s="1"/>
  <c r="IYQ62" i="7" s="1"/>
  <c r="IYS62" i="7" s="1"/>
  <c r="IYU62" i="7" s="1"/>
  <c r="IYW62" i="7" s="1"/>
  <c r="IYY62" i="7" s="1"/>
  <c r="IZA62" i="7" s="1"/>
  <c r="IZC62" i="7" s="1"/>
  <c r="IZE62" i="7" s="1"/>
  <c r="IZG62" i="7" s="1"/>
  <c r="IZI62" i="7" s="1"/>
  <c r="IZK62" i="7" s="1"/>
  <c r="IZM62" i="7" s="1"/>
  <c r="IZO62" i="7" s="1"/>
  <c r="IZQ62" i="7" s="1"/>
  <c r="IZS62" i="7" s="1"/>
  <c r="IZU62" i="7" s="1"/>
  <c r="IZW62" i="7" s="1"/>
  <c r="IZY62" i="7" s="1"/>
  <c r="JAA62" i="7" s="1"/>
  <c r="JAC62" i="7" s="1"/>
  <c r="JAE62" i="7" s="1"/>
  <c r="JAG62" i="7" s="1"/>
  <c r="JAI62" i="7" s="1"/>
  <c r="JAK62" i="7" s="1"/>
  <c r="JAM62" i="7" s="1"/>
  <c r="JAO62" i="7" s="1"/>
  <c r="JAQ62" i="7" s="1"/>
  <c r="JAS62" i="7" s="1"/>
  <c r="JAU62" i="7" s="1"/>
  <c r="JAW62" i="7" s="1"/>
  <c r="JAY62" i="7" s="1"/>
  <c r="JBA62" i="7" s="1"/>
  <c r="JBC62" i="7" s="1"/>
  <c r="JBE62" i="7" s="1"/>
  <c r="JBG62" i="7" s="1"/>
  <c r="JBI62" i="7" s="1"/>
  <c r="JBK62" i="7" s="1"/>
  <c r="JBM62" i="7" s="1"/>
  <c r="JBO62" i="7" s="1"/>
  <c r="JBQ62" i="7" s="1"/>
  <c r="JBS62" i="7" s="1"/>
  <c r="JBU62" i="7" s="1"/>
  <c r="JBW62" i="7" s="1"/>
  <c r="JBY62" i="7" s="1"/>
  <c r="JCA62" i="7" s="1"/>
  <c r="JCC62" i="7" s="1"/>
  <c r="JCE62" i="7" s="1"/>
  <c r="JCG62" i="7" s="1"/>
  <c r="JCI62" i="7" s="1"/>
  <c r="JCK62" i="7" s="1"/>
  <c r="JCM62" i="7" s="1"/>
  <c r="JCO62" i="7" s="1"/>
  <c r="JCQ62" i="7" s="1"/>
  <c r="JCS62" i="7" s="1"/>
  <c r="JCU62" i="7" s="1"/>
  <c r="JCW62" i="7" s="1"/>
  <c r="JCY62" i="7" s="1"/>
  <c r="JDA62" i="7" s="1"/>
  <c r="JDC62" i="7" s="1"/>
  <c r="JDE62" i="7" s="1"/>
  <c r="JDG62" i="7" s="1"/>
  <c r="JDI62" i="7" s="1"/>
  <c r="JDK62" i="7" s="1"/>
  <c r="JDM62" i="7" s="1"/>
  <c r="JDO62" i="7" s="1"/>
  <c r="JDQ62" i="7" s="1"/>
  <c r="JDS62" i="7" s="1"/>
  <c r="JDU62" i="7" s="1"/>
  <c r="JDW62" i="7" s="1"/>
  <c r="JDY62" i="7" s="1"/>
  <c r="JEA62" i="7" s="1"/>
  <c r="JEC62" i="7" s="1"/>
  <c r="JEE62" i="7" s="1"/>
  <c r="JEG62" i="7" s="1"/>
  <c r="JEI62" i="7" s="1"/>
  <c r="JEK62" i="7" s="1"/>
  <c r="JEM62" i="7" s="1"/>
  <c r="JEO62" i="7" s="1"/>
  <c r="JEQ62" i="7" s="1"/>
  <c r="JES62" i="7" s="1"/>
  <c r="JEU62" i="7" s="1"/>
  <c r="JEW62" i="7" s="1"/>
  <c r="JEY62" i="7" s="1"/>
  <c r="JFA62" i="7" s="1"/>
  <c r="JFC62" i="7" s="1"/>
  <c r="JFE62" i="7" s="1"/>
  <c r="JFG62" i="7" s="1"/>
  <c r="JFI62" i="7" s="1"/>
  <c r="JFK62" i="7" s="1"/>
  <c r="JFM62" i="7" s="1"/>
  <c r="JFO62" i="7" s="1"/>
  <c r="JFQ62" i="7" s="1"/>
  <c r="JFS62" i="7" s="1"/>
  <c r="JFU62" i="7" s="1"/>
  <c r="JFW62" i="7" s="1"/>
  <c r="JFY62" i="7" s="1"/>
  <c r="JGA62" i="7" s="1"/>
  <c r="JGC62" i="7" s="1"/>
  <c r="JGE62" i="7" s="1"/>
  <c r="JGG62" i="7" s="1"/>
  <c r="JGI62" i="7" s="1"/>
  <c r="JGK62" i="7" s="1"/>
  <c r="JGM62" i="7" s="1"/>
  <c r="JGO62" i="7" s="1"/>
  <c r="JGQ62" i="7" s="1"/>
  <c r="JGS62" i="7" s="1"/>
  <c r="JGU62" i="7" s="1"/>
  <c r="JGW62" i="7" s="1"/>
  <c r="JGY62" i="7" s="1"/>
  <c r="JHA62" i="7" s="1"/>
  <c r="JHC62" i="7" s="1"/>
  <c r="JHE62" i="7" s="1"/>
  <c r="JHG62" i="7" s="1"/>
  <c r="JHI62" i="7" s="1"/>
  <c r="JHK62" i="7" s="1"/>
  <c r="JHM62" i="7" s="1"/>
  <c r="JHO62" i="7" s="1"/>
  <c r="JHQ62" i="7" s="1"/>
  <c r="JHS62" i="7" s="1"/>
  <c r="JHU62" i="7" s="1"/>
  <c r="JHW62" i="7" s="1"/>
  <c r="JHY62" i="7" s="1"/>
  <c r="JIA62" i="7" s="1"/>
  <c r="JIC62" i="7" s="1"/>
  <c r="JIE62" i="7" s="1"/>
  <c r="JIG62" i="7" s="1"/>
  <c r="JII62" i="7" s="1"/>
  <c r="JIK62" i="7" s="1"/>
  <c r="JIM62" i="7" s="1"/>
  <c r="JIO62" i="7" s="1"/>
  <c r="JIQ62" i="7" s="1"/>
  <c r="JIS62" i="7" s="1"/>
  <c r="JIU62" i="7" s="1"/>
  <c r="JIW62" i="7" s="1"/>
  <c r="JIY62" i="7" s="1"/>
  <c r="JJA62" i="7" s="1"/>
  <c r="JJC62" i="7" s="1"/>
  <c r="JJE62" i="7" s="1"/>
  <c r="JJG62" i="7" s="1"/>
  <c r="JJI62" i="7" s="1"/>
  <c r="JJK62" i="7" s="1"/>
  <c r="JJM62" i="7" s="1"/>
  <c r="JJO62" i="7" s="1"/>
  <c r="JJQ62" i="7" s="1"/>
  <c r="JJS62" i="7" s="1"/>
  <c r="JJU62" i="7" s="1"/>
  <c r="JJW62" i="7" s="1"/>
  <c r="JJY62" i="7" s="1"/>
  <c r="JKA62" i="7" s="1"/>
  <c r="JKC62" i="7" s="1"/>
  <c r="JKE62" i="7" s="1"/>
  <c r="JKG62" i="7" s="1"/>
  <c r="JKI62" i="7" s="1"/>
  <c r="JKK62" i="7" s="1"/>
  <c r="JKM62" i="7" s="1"/>
  <c r="JKO62" i="7" s="1"/>
  <c r="JKQ62" i="7" s="1"/>
  <c r="JKS62" i="7" s="1"/>
  <c r="JKU62" i="7" s="1"/>
  <c r="JKW62" i="7" s="1"/>
  <c r="JKY62" i="7" s="1"/>
  <c r="JLA62" i="7" s="1"/>
  <c r="JLC62" i="7" s="1"/>
  <c r="JLE62" i="7" s="1"/>
  <c r="JLG62" i="7" s="1"/>
  <c r="JLI62" i="7" s="1"/>
  <c r="JLK62" i="7" s="1"/>
  <c r="JLM62" i="7" s="1"/>
  <c r="JLO62" i="7" s="1"/>
  <c r="JLQ62" i="7" s="1"/>
  <c r="JLS62" i="7" s="1"/>
  <c r="JLU62" i="7" s="1"/>
  <c r="JLW62" i="7" s="1"/>
  <c r="JLY62" i="7" s="1"/>
  <c r="JMA62" i="7" s="1"/>
  <c r="JMC62" i="7" s="1"/>
  <c r="JME62" i="7" s="1"/>
  <c r="JMG62" i="7" s="1"/>
  <c r="JMI62" i="7" s="1"/>
  <c r="JMK62" i="7" s="1"/>
  <c r="JMM62" i="7" s="1"/>
  <c r="JMO62" i="7" s="1"/>
  <c r="JMQ62" i="7" s="1"/>
  <c r="JMS62" i="7" s="1"/>
  <c r="JMU62" i="7" s="1"/>
  <c r="JMW62" i="7" s="1"/>
  <c r="JMY62" i="7" s="1"/>
  <c r="JNA62" i="7" s="1"/>
  <c r="JNC62" i="7" s="1"/>
  <c r="JNE62" i="7" s="1"/>
  <c r="JNG62" i="7" s="1"/>
  <c r="JNI62" i="7" s="1"/>
  <c r="JNK62" i="7" s="1"/>
  <c r="JNM62" i="7" s="1"/>
  <c r="JNO62" i="7" s="1"/>
  <c r="JNQ62" i="7" s="1"/>
  <c r="JNS62" i="7" s="1"/>
  <c r="JNU62" i="7" s="1"/>
  <c r="JNW62" i="7" s="1"/>
  <c r="JNY62" i="7" s="1"/>
  <c r="JOA62" i="7" s="1"/>
  <c r="JOC62" i="7" s="1"/>
  <c r="JOE62" i="7" s="1"/>
  <c r="JOG62" i="7" s="1"/>
  <c r="JOI62" i="7" s="1"/>
  <c r="JOK62" i="7" s="1"/>
  <c r="JOM62" i="7" s="1"/>
  <c r="JOO62" i="7" s="1"/>
  <c r="JOQ62" i="7" s="1"/>
  <c r="JOS62" i="7" s="1"/>
  <c r="JOU62" i="7" s="1"/>
  <c r="JOW62" i="7" s="1"/>
  <c r="JOY62" i="7" s="1"/>
  <c r="JPA62" i="7" s="1"/>
  <c r="JPC62" i="7" s="1"/>
  <c r="JPE62" i="7" s="1"/>
  <c r="JPG62" i="7" s="1"/>
  <c r="JPI62" i="7" s="1"/>
  <c r="JPK62" i="7" s="1"/>
  <c r="JPM62" i="7" s="1"/>
  <c r="JPO62" i="7" s="1"/>
  <c r="JPQ62" i="7" s="1"/>
  <c r="JPS62" i="7" s="1"/>
  <c r="JPU62" i="7" s="1"/>
  <c r="JPW62" i="7" s="1"/>
  <c r="JPY62" i="7" s="1"/>
  <c r="JQA62" i="7" s="1"/>
  <c r="JQC62" i="7" s="1"/>
  <c r="JQE62" i="7" s="1"/>
  <c r="JQG62" i="7" s="1"/>
  <c r="JQI62" i="7" s="1"/>
  <c r="JQK62" i="7" s="1"/>
  <c r="JQM62" i="7" s="1"/>
  <c r="JQO62" i="7" s="1"/>
  <c r="JQQ62" i="7" s="1"/>
  <c r="JQS62" i="7" s="1"/>
  <c r="JQU62" i="7" s="1"/>
  <c r="JQW62" i="7" s="1"/>
  <c r="JQY62" i="7" s="1"/>
  <c r="JRA62" i="7" s="1"/>
  <c r="JRC62" i="7" s="1"/>
  <c r="JRE62" i="7" s="1"/>
  <c r="JRG62" i="7" s="1"/>
  <c r="JRI62" i="7" s="1"/>
  <c r="JRK62" i="7" s="1"/>
  <c r="JRM62" i="7" s="1"/>
  <c r="JRO62" i="7" s="1"/>
  <c r="JRQ62" i="7" s="1"/>
  <c r="JRS62" i="7" s="1"/>
  <c r="JRU62" i="7" s="1"/>
  <c r="JRW62" i="7" s="1"/>
  <c r="JRY62" i="7" s="1"/>
  <c r="JSA62" i="7" s="1"/>
  <c r="JSC62" i="7" s="1"/>
  <c r="JSE62" i="7" s="1"/>
  <c r="JSG62" i="7" s="1"/>
  <c r="JSI62" i="7" s="1"/>
  <c r="JSK62" i="7" s="1"/>
  <c r="JSM62" i="7" s="1"/>
  <c r="JSO62" i="7" s="1"/>
  <c r="JSQ62" i="7" s="1"/>
  <c r="JSS62" i="7" s="1"/>
  <c r="JSU62" i="7" s="1"/>
  <c r="JSW62" i="7" s="1"/>
  <c r="JSY62" i="7" s="1"/>
  <c r="JTA62" i="7" s="1"/>
  <c r="JTC62" i="7" s="1"/>
  <c r="JTE62" i="7" s="1"/>
  <c r="JTG62" i="7" s="1"/>
  <c r="JTI62" i="7" s="1"/>
  <c r="JTK62" i="7" s="1"/>
  <c r="JTM62" i="7" s="1"/>
  <c r="JTO62" i="7" s="1"/>
  <c r="JTQ62" i="7" s="1"/>
  <c r="JTS62" i="7" s="1"/>
  <c r="JTU62" i="7" s="1"/>
  <c r="JTW62" i="7" s="1"/>
  <c r="JTY62" i="7" s="1"/>
  <c r="JUA62" i="7" s="1"/>
  <c r="JUC62" i="7" s="1"/>
  <c r="JUE62" i="7" s="1"/>
  <c r="JUG62" i="7" s="1"/>
  <c r="JUI62" i="7" s="1"/>
  <c r="JUK62" i="7" s="1"/>
  <c r="JUM62" i="7" s="1"/>
  <c r="JUO62" i="7" s="1"/>
  <c r="JUQ62" i="7" s="1"/>
  <c r="JUS62" i="7" s="1"/>
  <c r="JUU62" i="7" s="1"/>
  <c r="JUW62" i="7" s="1"/>
  <c r="JUY62" i="7" s="1"/>
  <c r="JVA62" i="7" s="1"/>
  <c r="JVC62" i="7" s="1"/>
  <c r="JVE62" i="7" s="1"/>
  <c r="JVG62" i="7" s="1"/>
  <c r="JVI62" i="7" s="1"/>
  <c r="JVK62" i="7" s="1"/>
  <c r="JVM62" i="7" s="1"/>
  <c r="JVO62" i="7" s="1"/>
  <c r="JVQ62" i="7" s="1"/>
  <c r="JVS62" i="7" s="1"/>
  <c r="JVU62" i="7" s="1"/>
  <c r="JVW62" i="7" s="1"/>
  <c r="JVY62" i="7" s="1"/>
  <c r="JWA62" i="7" s="1"/>
  <c r="JWC62" i="7" s="1"/>
  <c r="JWE62" i="7" s="1"/>
  <c r="JWG62" i="7" s="1"/>
  <c r="JWI62" i="7" s="1"/>
  <c r="JWK62" i="7" s="1"/>
  <c r="JWM62" i="7" s="1"/>
  <c r="JWO62" i="7" s="1"/>
  <c r="JWQ62" i="7" s="1"/>
  <c r="JWS62" i="7" s="1"/>
  <c r="JWU62" i="7" s="1"/>
  <c r="JWW62" i="7" s="1"/>
  <c r="JWY62" i="7" s="1"/>
  <c r="JXA62" i="7" s="1"/>
  <c r="JXC62" i="7" s="1"/>
  <c r="JXE62" i="7" s="1"/>
  <c r="JXG62" i="7" s="1"/>
  <c r="JXI62" i="7" s="1"/>
  <c r="JXK62" i="7" s="1"/>
  <c r="JXM62" i="7" s="1"/>
  <c r="JXO62" i="7" s="1"/>
  <c r="JXQ62" i="7" s="1"/>
  <c r="JXS62" i="7" s="1"/>
  <c r="JXU62" i="7" s="1"/>
  <c r="JXW62" i="7" s="1"/>
  <c r="JXY62" i="7" s="1"/>
  <c r="JYA62" i="7" s="1"/>
  <c r="JYC62" i="7" s="1"/>
  <c r="JYE62" i="7" s="1"/>
  <c r="JYG62" i="7" s="1"/>
  <c r="JYI62" i="7" s="1"/>
  <c r="JYK62" i="7" s="1"/>
  <c r="JYM62" i="7" s="1"/>
  <c r="JYO62" i="7" s="1"/>
  <c r="JYQ62" i="7" s="1"/>
  <c r="JYS62" i="7" s="1"/>
  <c r="JYU62" i="7" s="1"/>
  <c r="JYW62" i="7" s="1"/>
  <c r="JYY62" i="7" s="1"/>
  <c r="JZA62" i="7" s="1"/>
  <c r="JZC62" i="7" s="1"/>
  <c r="JZE62" i="7" s="1"/>
  <c r="JZG62" i="7" s="1"/>
  <c r="JZI62" i="7" s="1"/>
  <c r="JZK62" i="7" s="1"/>
  <c r="JZM62" i="7" s="1"/>
  <c r="JZO62" i="7" s="1"/>
  <c r="JZQ62" i="7" s="1"/>
  <c r="JZS62" i="7" s="1"/>
  <c r="JZU62" i="7" s="1"/>
  <c r="JZW62" i="7" s="1"/>
  <c r="JZY62" i="7" s="1"/>
  <c r="KAA62" i="7" s="1"/>
  <c r="KAC62" i="7" s="1"/>
  <c r="KAE62" i="7" s="1"/>
  <c r="KAG62" i="7" s="1"/>
  <c r="KAI62" i="7" s="1"/>
  <c r="KAK62" i="7" s="1"/>
  <c r="KAM62" i="7" s="1"/>
  <c r="KAO62" i="7" s="1"/>
  <c r="KAQ62" i="7" s="1"/>
  <c r="KAS62" i="7" s="1"/>
  <c r="KAU62" i="7" s="1"/>
  <c r="KAW62" i="7" s="1"/>
  <c r="KAY62" i="7" s="1"/>
  <c r="KBA62" i="7" s="1"/>
  <c r="KBC62" i="7" s="1"/>
  <c r="KBE62" i="7" s="1"/>
  <c r="KBG62" i="7" s="1"/>
  <c r="KBI62" i="7" s="1"/>
  <c r="KBK62" i="7" s="1"/>
  <c r="KBM62" i="7" s="1"/>
  <c r="KBO62" i="7" s="1"/>
  <c r="KBQ62" i="7" s="1"/>
  <c r="KBS62" i="7" s="1"/>
  <c r="KBU62" i="7" s="1"/>
  <c r="KBW62" i="7" s="1"/>
  <c r="KBY62" i="7" s="1"/>
  <c r="KCA62" i="7" s="1"/>
  <c r="KCC62" i="7" s="1"/>
  <c r="KCE62" i="7" s="1"/>
  <c r="KCG62" i="7" s="1"/>
  <c r="KCI62" i="7" s="1"/>
  <c r="KCK62" i="7" s="1"/>
  <c r="KCM62" i="7" s="1"/>
  <c r="KCO62" i="7" s="1"/>
  <c r="KCQ62" i="7" s="1"/>
  <c r="KCS62" i="7" s="1"/>
  <c r="KCU62" i="7" s="1"/>
  <c r="KCW62" i="7" s="1"/>
  <c r="KCY62" i="7" s="1"/>
  <c r="KDA62" i="7" s="1"/>
  <c r="KDC62" i="7" s="1"/>
  <c r="KDE62" i="7" s="1"/>
  <c r="KDG62" i="7" s="1"/>
  <c r="KDI62" i="7" s="1"/>
  <c r="KDK62" i="7" s="1"/>
  <c r="KDM62" i="7" s="1"/>
  <c r="KDO62" i="7" s="1"/>
  <c r="KDQ62" i="7" s="1"/>
  <c r="KDS62" i="7" s="1"/>
  <c r="KDU62" i="7" s="1"/>
  <c r="KDW62" i="7" s="1"/>
  <c r="KDY62" i="7" s="1"/>
  <c r="KEA62" i="7" s="1"/>
  <c r="KEC62" i="7" s="1"/>
  <c r="KEE62" i="7" s="1"/>
  <c r="KEG62" i="7" s="1"/>
  <c r="KEI62" i="7" s="1"/>
  <c r="KEK62" i="7" s="1"/>
  <c r="KEM62" i="7" s="1"/>
  <c r="KEO62" i="7" s="1"/>
  <c r="KEQ62" i="7" s="1"/>
  <c r="KES62" i="7" s="1"/>
  <c r="KEU62" i="7" s="1"/>
  <c r="KEW62" i="7" s="1"/>
  <c r="KEY62" i="7" s="1"/>
  <c r="KFA62" i="7" s="1"/>
  <c r="KFC62" i="7" s="1"/>
  <c r="KFE62" i="7" s="1"/>
  <c r="KFG62" i="7" s="1"/>
  <c r="KFI62" i="7" s="1"/>
  <c r="KFK62" i="7" s="1"/>
  <c r="KFM62" i="7" s="1"/>
  <c r="KFO62" i="7" s="1"/>
  <c r="KFQ62" i="7" s="1"/>
  <c r="KFS62" i="7" s="1"/>
  <c r="KFU62" i="7" s="1"/>
  <c r="KFW62" i="7" s="1"/>
  <c r="KFY62" i="7" s="1"/>
  <c r="KGA62" i="7" s="1"/>
  <c r="KGC62" i="7" s="1"/>
  <c r="KGE62" i="7" s="1"/>
  <c r="KGG62" i="7" s="1"/>
  <c r="KGI62" i="7" s="1"/>
  <c r="KGK62" i="7" s="1"/>
  <c r="KGM62" i="7" s="1"/>
  <c r="KGO62" i="7" s="1"/>
  <c r="KGQ62" i="7" s="1"/>
  <c r="KGS62" i="7" s="1"/>
  <c r="KGU62" i="7" s="1"/>
  <c r="KGW62" i="7" s="1"/>
  <c r="KGY62" i="7" s="1"/>
  <c r="KHA62" i="7" s="1"/>
  <c r="KHC62" i="7" s="1"/>
  <c r="KHE62" i="7" s="1"/>
  <c r="KHG62" i="7" s="1"/>
  <c r="KHI62" i="7" s="1"/>
  <c r="KHK62" i="7" s="1"/>
  <c r="KHM62" i="7" s="1"/>
  <c r="KHO62" i="7" s="1"/>
  <c r="KHQ62" i="7" s="1"/>
  <c r="KHS62" i="7" s="1"/>
  <c r="KHU62" i="7" s="1"/>
  <c r="KHW62" i="7" s="1"/>
  <c r="KHY62" i="7" s="1"/>
  <c r="KIA62" i="7" s="1"/>
  <c r="KIC62" i="7" s="1"/>
  <c r="KIE62" i="7" s="1"/>
  <c r="KIG62" i="7" s="1"/>
  <c r="KII62" i="7" s="1"/>
  <c r="KIK62" i="7" s="1"/>
  <c r="KIM62" i="7" s="1"/>
  <c r="KIO62" i="7" s="1"/>
  <c r="KIQ62" i="7" s="1"/>
  <c r="KIS62" i="7" s="1"/>
  <c r="KIU62" i="7" s="1"/>
  <c r="KIW62" i="7" s="1"/>
  <c r="KIY62" i="7" s="1"/>
  <c r="KJA62" i="7" s="1"/>
  <c r="KJC62" i="7" s="1"/>
  <c r="KJE62" i="7" s="1"/>
  <c r="KJG62" i="7" s="1"/>
  <c r="KJI62" i="7" s="1"/>
  <c r="KJK62" i="7" s="1"/>
  <c r="KJM62" i="7" s="1"/>
  <c r="KJO62" i="7" s="1"/>
  <c r="KJQ62" i="7" s="1"/>
  <c r="KJS62" i="7" s="1"/>
  <c r="KJU62" i="7" s="1"/>
  <c r="KJW62" i="7" s="1"/>
  <c r="KJY62" i="7" s="1"/>
  <c r="KKA62" i="7" s="1"/>
  <c r="KKC62" i="7" s="1"/>
  <c r="KKE62" i="7" s="1"/>
  <c r="KKG62" i="7" s="1"/>
  <c r="KKI62" i="7" s="1"/>
  <c r="KKK62" i="7" s="1"/>
  <c r="KKM62" i="7" s="1"/>
  <c r="KKO62" i="7" s="1"/>
  <c r="KKQ62" i="7" s="1"/>
  <c r="KKS62" i="7" s="1"/>
  <c r="KKU62" i="7" s="1"/>
  <c r="KKW62" i="7" s="1"/>
  <c r="KKY62" i="7" s="1"/>
  <c r="KLA62" i="7" s="1"/>
  <c r="KLC62" i="7" s="1"/>
  <c r="KLE62" i="7" s="1"/>
  <c r="KLG62" i="7" s="1"/>
  <c r="KLI62" i="7" s="1"/>
  <c r="KLK62" i="7" s="1"/>
  <c r="KLM62" i="7" s="1"/>
  <c r="KLO62" i="7" s="1"/>
  <c r="KLQ62" i="7" s="1"/>
  <c r="KLS62" i="7" s="1"/>
  <c r="KLU62" i="7" s="1"/>
  <c r="KLW62" i="7" s="1"/>
  <c r="KLY62" i="7" s="1"/>
  <c r="KMA62" i="7" s="1"/>
  <c r="KMC62" i="7" s="1"/>
  <c r="KME62" i="7" s="1"/>
  <c r="KMG62" i="7" s="1"/>
  <c r="KMI62" i="7" s="1"/>
  <c r="KMK62" i="7" s="1"/>
  <c r="KMM62" i="7" s="1"/>
  <c r="KMO62" i="7" s="1"/>
  <c r="KMQ62" i="7" s="1"/>
  <c r="KMS62" i="7" s="1"/>
  <c r="KMU62" i="7" s="1"/>
  <c r="KMW62" i="7" s="1"/>
  <c r="KMY62" i="7" s="1"/>
  <c r="KNA62" i="7" s="1"/>
  <c r="KNC62" i="7" s="1"/>
  <c r="KNE62" i="7" s="1"/>
  <c r="KNG62" i="7" s="1"/>
  <c r="KNI62" i="7" s="1"/>
  <c r="KNK62" i="7" s="1"/>
  <c r="KNM62" i="7" s="1"/>
  <c r="KNO62" i="7" s="1"/>
  <c r="KNQ62" i="7" s="1"/>
  <c r="KNS62" i="7" s="1"/>
  <c r="KNU62" i="7" s="1"/>
  <c r="KNW62" i="7" s="1"/>
  <c r="KNY62" i="7" s="1"/>
  <c r="KOA62" i="7" s="1"/>
  <c r="KOC62" i="7" s="1"/>
  <c r="KOE62" i="7" s="1"/>
  <c r="KOG62" i="7" s="1"/>
  <c r="KOI62" i="7" s="1"/>
  <c r="KOK62" i="7" s="1"/>
  <c r="KOM62" i="7" s="1"/>
  <c r="KOO62" i="7" s="1"/>
  <c r="KOQ62" i="7" s="1"/>
  <c r="KOS62" i="7" s="1"/>
  <c r="KOU62" i="7" s="1"/>
  <c r="KOW62" i="7" s="1"/>
  <c r="KOY62" i="7" s="1"/>
  <c r="KPA62" i="7" s="1"/>
  <c r="KPC62" i="7" s="1"/>
  <c r="KPE62" i="7" s="1"/>
  <c r="KPG62" i="7" s="1"/>
  <c r="KPI62" i="7" s="1"/>
  <c r="KPK62" i="7" s="1"/>
  <c r="KPM62" i="7" s="1"/>
  <c r="KPO62" i="7" s="1"/>
  <c r="KPQ62" i="7" s="1"/>
  <c r="KPS62" i="7" s="1"/>
  <c r="KPU62" i="7" s="1"/>
  <c r="KPW62" i="7" s="1"/>
  <c r="KPY62" i="7" s="1"/>
  <c r="KQA62" i="7" s="1"/>
  <c r="KQC62" i="7" s="1"/>
  <c r="KQE62" i="7" s="1"/>
  <c r="KQG62" i="7" s="1"/>
  <c r="KQI62" i="7" s="1"/>
  <c r="KQK62" i="7" s="1"/>
  <c r="KQM62" i="7" s="1"/>
  <c r="KQO62" i="7" s="1"/>
  <c r="KQQ62" i="7" s="1"/>
  <c r="KQS62" i="7" s="1"/>
  <c r="KQU62" i="7" s="1"/>
  <c r="KQW62" i="7" s="1"/>
  <c r="KQY62" i="7" s="1"/>
  <c r="KRA62" i="7" s="1"/>
  <c r="KRC62" i="7" s="1"/>
  <c r="KRE62" i="7" s="1"/>
  <c r="KRG62" i="7" s="1"/>
  <c r="KRI62" i="7" s="1"/>
  <c r="KRK62" i="7" s="1"/>
  <c r="KRM62" i="7" s="1"/>
  <c r="KRO62" i="7" s="1"/>
  <c r="KRQ62" i="7" s="1"/>
  <c r="KRS62" i="7" s="1"/>
  <c r="KRU62" i="7" s="1"/>
  <c r="KRW62" i="7" s="1"/>
  <c r="KRY62" i="7" s="1"/>
  <c r="KSA62" i="7" s="1"/>
  <c r="KSC62" i="7" s="1"/>
  <c r="KSE62" i="7" s="1"/>
  <c r="KSG62" i="7" s="1"/>
  <c r="KSI62" i="7" s="1"/>
  <c r="KSK62" i="7" s="1"/>
  <c r="KSM62" i="7" s="1"/>
  <c r="KSO62" i="7" s="1"/>
  <c r="KSQ62" i="7" s="1"/>
  <c r="KSS62" i="7" s="1"/>
  <c r="KSU62" i="7" s="1"/>
  <c r="KSW62" i="7" s="1"/>
  <c r="KSY62" i="7" s="1"/>
  <c r="KTA62" i="7" s="1"/>
  <c r="KTC62" i="7" s="1"/>
  <c r="KTE62" i="7" s="1"/>
  <c r="KTG62" i="7" s="1"/>
  <c r="KTI62" i="7" s="1"/>
  <c r="KTK62" i="7" s="1"/>
  <c r="KTM62" i="7" s="1"/>
  <c r="KTO62" i="7" s="1"/>
  <c r="KTQ62" i="7" s="1"/>
  <c r="KTS62" i="7" s="1"/>
  <c r="KTU62" i="7" s="1"/>
  <c r="KTW62" i="7" s="1"/>
  <c r="KTY62" i="7" s="1"/>
  <c r="KUA62" i="7" s="1"/>
  <c r="KUC62" i="7" s="1"/>
  <c r="KUE62" i="7" s="1"/>
  <c r="KUG62" i="7" s="1"/>
  <c r="KUI62" i="7" s="1"/>
  <c r="KUK62" i="7" s="1"/>
  <c r="KUM62" i="7" s="1"/>
  <c r="KUO62" i="7" s="1"/>
  <c r="KUQ62" i="7" s="1"/>
  <c r="KUS62" i="7" s="1"/>
  <c r="KUU62" i="7" s="1"/>
  <c r="KUW62" i="7" s="1"/>
  <c r="KUY62" i="7" s="1"/>
  <c r="KVA62" i="7" s="1"/>
  <c r="KVC62" i="7" s="1"/>
  <c r="KVE62" i="7" s="1"/>
  <c r="KVG62" i="7" s="1"/>
  <c r="KVI62" i="7" s="1"/>
  <c r="KVK62" i="7" s="1"/>
  <c r="KVM62" i="7" s="1"/>
  <c r="KVO62" i="7" s="1"/>
  <c r="KVQ62" i="7" s="1"/>
  <c r="KVS62" i="7" s="1"/>
  <c r="KVU62" i="7" s="1"/>
  <c r="KVW62" i="7" s="1"/>
  <c r="KVY62" i="7" s="1"/>
  <c r="KWA62" i="7" s="1"/>
  <c r="KWC62" i="7" s="1"/>
  <c r="KWE62" i="7" s="1"/>
  <c r="KWG62" i="7" s="1"/>
  <c r="KWI62" i="7" s="1"/>
  <c r="KWK62" i="7" s="1"/>
  <c r="KWM62" i="7" s="1"/>
  <c r="KWO62" i="7" s="1"/>
  <c r="KWQ62" i="7" s="1"/>
  <c r="KWS62" i="7" s="1"/>
  <c r="KWU62" i="7" s="1"/>
  <c r="KWW62" i="7" s="1"/>
  <c r="KWY62" i="7" s="1"/>
  <c r="KXA62" i="7" s="1"/>
  <c r="KXC62" i="7" s="1"/>
  <c r="KXE62" i="7" s="1"/>
  <c r="KXG62" i="7" s="1"/>
  <c r="KXI62" i="7" s="1"/>
  <c r="KXK62" i="7" s="1"/>
  <c r="KXM62" i="7" s="1"/>
  <c r="KXO62" i="7" s="1"/>
  <c r="KXQ62" i="7" s="1"/>
  <c r="KXS62" i="7" s="1"/>
  <c r="KXU62" i="7" s="1"/>
  <c r="KXW62" i="7" s="1"/>
  <c r="KXY62" i="7" s="1"/>
  <c r="KYA62" i="7" s="1"/>
  <c r="KYC62" i="7" s="1"/>
  <c r="KYE62" i="7" s="1"/>
  <c r="KYG62" i="7" s="1"/>
  <c r="KYI62" i="7" s="1"/>
  <c r="KYK62" i="7" s="1"/>
  <c r="KYM62" i="7" s="1"/>
  <c r="KYO62" i="7" s="1"/>
  <c r="KYQ62" i="7" s="1"/>
  <c r="KYS62" i="7" s="1"/>
  <c r="KYU62" i="7" s="1"/>
  <c r="KYW62" i="7" s="1"/>
  <c r="KYY62" i="7" s="1"/>
  <c r="KZA62" i="7" s="1"/>
  <c r="KZC62" i="7" s="1"/>
  <c r="KZE62" i="7" s="1"/>
  <c r="KZG62" i="7" s="1"/>
  <c r="KZI62" i="7" s="1"/>
  <c r="KZK62" i="7" s="1"/>
  <c r="KZM62" i="7" s="1"/>
  <c r="KZO62" i="7" s="1"/>
  <c r="KZQ62" i="7" s="1"/>
  <c r="KZS62" i="7" s="1"/>
  <c r="KZU62" i="7" s="1"/>
  <c r="KZW62" i="7" s="1"/>
  <c r="KZY62" i="7" s="1"/>
  <c r="LAA62" i="7" s="1"/>
  <c r="LAC62" i="7" s="1"/>
  <c r="LAE62" i="7" s="1"/>
  <c r="LAG62" i="7" s="1"/>
  <c r="LAI62" i="7" s="1"/>
  <c r="LAK62" i="7" s="1"/>
  <c r="LAM62" i="7" s="1"/>
  <c r="LAO62" i="7" s="1"/>
  <c r="LAQ62" i="7" s="1"/>
  <c r="LAS62" i="7" s="1"/>
  <c r="LAU62" i="7" s="1"/>
  <c r="LAW62" i="7" s="1"/>
  <c r="LAY62" i="7" s="1"/>
  <c r="LBA62" i="7" s="1"/>
  <c r="LBC62" i="7" s="1"/>
  <c r="LBE62" i="7" s="1"/>
  <c r="LBG62" i="7" s="1"/>
  <c r="LBI62" i="7" s="1"/>
  <c r="LBK62" i="7" s="1"/>
  <c r="LBM62" i="7" s="1"/>
  <c r="LBO62" i="7" s="1"/>
  <c r="LBQ62" i="7" s="1"/>
  <c r="LBS62" i="7" s="1"/>
  <c r="LBU62" i="7" s="1"/>
  <c r="LBW62" i="7" s="1"/>
  <c r="LBY62" i="7" s="1"/>
  <c r="LCA62" i="7" s="1"/>
  <c r="LCC62" i="7" s="1"/>
  <c r="LCE62" i="7" s="1"/>
  <c r="LCG62" i="7" s="1"/>
  <c r="LCI62" i="7" s="1"/>
  <c r="LCK62" i="7" s="1"/>
  <c r="LCM62" i="7" s="1"/>
  <c r="LCO62" i="7" s="1"/>
  <c r="LCQ62" i="7" s="1"/>
  <c r="LCS62" i="7" s="1"/>
  <c r="LCU62" i="7" s="1"/>
  <c r="LCW62" i="7" s="1"/>
  <c r="LCY62" i="7" s="1"/>
  <c r="LDA62" i="7" s="1"/>
  <c r="LDC62" i="7" s="1"/>
  <c r="LDE62" i="7" s="1"/>
  <c r="LDG62" i="7" s="1"/>
  <c r="LDI62" i="7" s="1"/>
  <c r="LDK62" i="7" s="1"/>
  <c r="LDM62" i="7" s="1"/>
  <c r="LDO62" i="7" s="1"/>
  <c r="LDQ62" i="7" s="1"/>
  <c r="LDS62" i="7" s="1"/>
  <c r="LDU62" i="7" s="1"/>
  <c r="LDW62" i="7" s="1"/>
  <c r="LDY62" i="7" s="1"/>
  <c r="LEA62" i="7" s="1"/>
  <c r="LEC62" i="7" s="1"/>
  <c r="LEE62" i="7" s="1"/>
  <c r="LEG62" i="7" s="1"/>
  <c r="LEI62" i="7" s="1"/>
  <c r="LEK62" i="7" s="1"/>
  <c r="LEM62" i="7" s="1"/>
  <c r="LEO62" i="7" s="1"/>
  <c r="LEQ62" i="7" s="1"/>
  <c r="LES62" i="7" s="1"/>
  <c r="LEU62" i="7" s="1"/>
  <c r="LEW62" i="7" s="1"/>
  <c r="LEY62" i="7" s="1"/>
  <c r="LFA62" i="7" s="1"/>
  <c r="LFC62" i="7" s="1"/>
  <c r="LFE62" i="7" s="1"/>
  <c r="LFG62" i="7" s="1"/>
  <c r="LFI62" i="7" s="1"/>
  <c r="LFK62" i="7" s="1"/>
  <c r="LFM62" i="7" s="1"/>
  <c r="LFO62" i="7" s="1"/>
  <c r="LFQ62" i="7" s="1"/>
  <c r="LFS62" i="7" s="1"/>
  <c r="LFU62" i="7" s="1"/>
  <c r="LFW62" i="7" s="1"/>
  <c r="LFY62" i="7" s="1"/>
  <c r="LGA62" i="7" s="1"/>
  <c r="LGC62" i="7" s="1"/>
  <c r="LGE62" i="7" s="1"/>
  <c r="LGG62" i="7" s="1"/>
  <c r="LGI62" i="7" s="1"/>
  <c r="LGK62" i="7" s="1"/>
  <c r="LGM62" i="7" s="1"/>
  <c r="LGO62" i="7" s="1"/>
  <c r="LGQ62" i="7" s="1"/>
  <c r="LGS62" i="7" s="1"/>
  <c r="LGU62" i="7" s="1"/>
  <c r="LGW62" i="7" s="1"/>
  <c r="LGY62" i="7" s="1"/>
  <c r="LHA62" i="7" s="1"/>
  <c r="LHC62" i="7" s="1"/>
  <c r="LHE62" i="7" s="1"/>
  <c r="LHG62" i="7" s="1"/>
  <c r="LHI62" i="7" s="1"/>
  <c r="LHK62" i="7" s="1"/>
  <c r="LHM62" i="7" s="1"/>
  <c r="LHO62" i="7" s="1"/>
  <c r="LHQ62" i="7" s="1"/>
  <c r="LHS62" i="7" s="1"/>
  <c r="LHU62" i="7" s="1"/>
  <c r="LHW62" i="7" s="1"/>
  <c r="LHY62" i="7" s="1"/>
  <c r="LIA62" i="7" s="1"/>
  <c r="LIC62" i="7" s="1"/>
  <c r="LIE62" i="7" s="1"/>
  <c r="LIG62" i="7" s="1"/>
  <c r="LII62" i="7" s="1"/>
  <c r="LIK62" i="7" s="1"/>
  <c r="LIM62" i="7" s="1"/>
  <c r="LIO62" i="7" s="1"/>
  <c r="LIQ62" i="7" s="1"/>
  <c r="LIS62" i="7" s="1"/>
  <c r="LIU62" i="7" s="1"/>
  <c r="LIW62" i="7" s="1"/>
  <c r="LIY62" i="7" s="1"/>
  <c r="LJA62" i="7" s="1"/>
  <c r="LJC62" i="7" s="1"/>
  <c r="LJE62" i="7" s="1"/>
  <c r="LJG62" i="7" s="1"/>
  <c r="LJI62" i="7" s="1"/>
  <c r="LJK62" i="7" s="1"/>
  <c r="LJM62" i="7" s="1"/>
  <c r="LJO62" i="7" s="1"/>
  <c r="LJQ62" i="7" s="1"/>
  <c r="LJS62" i="7" s="1"/>
  <c r="LJU62" i="7" s="1"/>
  <c r="LJW62" i="7" s="1"/>
  <c r="LJY62" i="7" s="1"/>
  <c r="LKA62" i="7" s="1"/>
  <c r="LKC62" i="7" s="1"/>
  <c r="LKE62" i="7" s="1"/>
  <c r="LKG62" i="7" s="1"/>
  <c r="LKI62" i="7" s="1"/>
  <c r="LKK62" i="7" s="1"/>
  <c r="LKM62" i="7" s="1"/>
  <c r="LKO62" i="7" s="1"/>
  <c r="LKQ62" i="7" s="1"/>
  <c r="LKS62" i="7" s="1"/>
  <c r="LKU62" i="7" s="1"/>
  <c r="LKW62" i="7" s="1"/>
  <c r="LKY62" i="7" s="1"/>
  <c r="LLA62" i="7" s="1"/>
  <c r="LLC62" i="7" s="1"/>
  <c r="LLE62" i="7" s="1"/>
  <c r="LLG62" i="7" s="1"/>
  <c r="LLI62" i="7" s="1"/>
  <c r="LLK62" i="7" s="1"/>
  <c r="LLM62" i="7" s="1"/>
  <c r="LLO62" i="7" s="1"/>
  <c r="LLQ62" i="7" s="1"/>
  <c r="LLS62" i="7" s="1"/>
  <c r="LLU62" i="7" s="1"/>
  <c r="LLW62" i="7" s="1"/>
  <c r="LLY62" i="7" s="1"/>
  <c r="LMA62" i="7" s="1"/>
  <c r="LMC62" i="7" s="1"/>
  <c r="LME62" i="7" s="1"/>
  <c r="LMG62" i="7" s="1"/>
  <c r="LMI62" i="7" s="1"/>
  <c r="LMK62" i="7" s="1"/>
  <c r="LMM62" i="7" s="1"/>
  <c r="LMO62" i="7" s="1"/>
  <c r="LMQ62" i="7" s="1"/>
  <c r="LMS62" i="7" s="1"/>
  <c r="LMU62" i="7" s="1"/>
  <c r="LMW62" i="7" s="1"/>
  <c r="LMY62" i="7" s="1"/>
  <c r="LNA62" i="7" s="1"/>
  <c r="LNC62" i="7" s="1"/>
  <c r="LNE62" i="7" s="1"/>
  <c r="LNG62" i="7" s="1"/>
  <c r="LNI62" i="7" s="1"/>
  <c r="LNK62" i="7" s="1"/>
  <c r="LNM62" i="7" s="1"/>
  <c r="LNO62" i="7" s="1"/>
  <c r="LNQ62" i="7" s="1"/>
  <c r="LNS62" i="7" s="1"/>
  <c r="LNU62" i="7" s="1"/>
  <c r="LNW62" i="7" s="1"/>
  <c r="LNY62" i="7" s="1"/>
  <c r="LOA62" i="7" s="1"/>
  <c r="LOC62" i="7" s="1"/>
  <c r="LOE62" i="7" s="1"/>
  <c r="LOG62" i="7" s="1"/>
  <c r="LOI62" i="7" s="1"/>
  <c r="LOK62" i="7" s="1"/>
  <c r="LOM62" i="7" s="1"/>
  <c r="LOO62" i="7" s="1"/>
  <c r="LOQ62" i="7" s="1"/>
  <c r="LOS62" i="7" s="1"/>
  <c r="LOU62" i="7" s="1"/>
  <c r="LOW62" i="7" s="1"/>
  <c r="LOY62" i="7" s="1"/>
  <c r="LPA62" i="7" s="1"/>
  <c r="LPC62" i="7" s="1"/>
  <c r="LPE62" i="7" s="1"/>
  <c r="LPG62" i="7" s="1"/>
  <c r="LPI62" i="7" s="1"/>
  <c r="LPK62" i="7" s="1"/>
  <c r="LPM62" i="7" s="1"/>
  <c r="LPO62" i="7" s="1"/>
  <c r="LPQ62" i="7" s="1"/>
  <c r="LPS62" i="7" s="1"/>
  <c r="LPU62" i="7" s="1"/>
  <c r="LPW62" i="7" s="1"/>
  <c r="LPY62" i="7" s="1"/>
  <c r="LQA62" i="7" s="1"/>
  <c r="LQC62" i="7" s="1"/>
  <c r="LQE62" i="7" s="1"/>
  <c r="LQG62" i="7" s="1"/>
  <c r="LQI62" i="7" s="1"/>
  <c r="LQK62" i="7" s="1"/>
  <c r="LQM62" i="7" s="1"/>
  <c r="LQO62" i="7" s="1"/>
  <c r="LQQ62" i="7" s="1"/>
  <c r="LQS62" i="7" s="1"/>
  <c r="LQU62" i="7" s="1"/>
  <c r="LQW62" i="7" s="1"/>
  <c r="LQY62" i="7" s="1"/>
  <c r="LRA62" i="7" s="1"/>
  <c r="LRC62" i="7" s="1"/>
  <c r="LRE62" i="7" s="1"/>
  <c r="LRG62" i="7" s="1"/>
  <c r="LRI62" i="7" s="1"/>
  <c r="LRK62" i="7" s="1"/>
  <c r="LRM62" i="7" s="1"/>
  <c r="LRO62" i="7" s="1"/>
  <c r="LRQ62" i="7" s="1"/>
  <c r="LRS62" i="7" s="1"/>
  <c r="LRU62" i="7" s="1"/>
  <c r="LRW62" i="7" s="1"/>
  <c r="LRY62" i="7" s="1"/>
  <c r="LSA62" i="7" s="1"/>
  <c r="LSC62" i="7" s="1"/>
  <c r="LSE62" i="7" s="1"/>
  <c r="LSG62" i="7" s="1"/>
  <c r="LSI62" i="7" s="1"/>
  <c r="LSK62" i="7" s="1"/>
  <c r="LSM62" i="7" s="1"/>
  <c r="LSO62" i="7" s="1"/>
  <c r="LSQ62" i="7" s="1"/>
  <c r="LSS62" i="7" s="1"/>
  <c r="LSU62" i="7" s="1"/>
  <c r="LSW62" i="7" s="1"/>
  <c r="LSY62" i="7" s="1"/>
  <c r="LTA62" i="7" s="1"/>
  <c r="LTC62" i="7" s="1"/>
  <c r="LTE62" i="7" s="1"/>
  <c r="LTG62" i="7" s="1"/>
  <c r="LTI62" i="7" s="1"/>
  <c r="LTK62" i="7" s="1"/>
  <c r="LTM62" i="7" s="1"/>
  <c r="LTO62" i="7" s="1"/>
  <c r="LTQ62" i="7" s="1"/>
  <c r="LTS62" i="7" s="1"/>
  <c r="LTU62" i="7" s="1"/>
  <c r="LTW62" i="7" s="1"/>
  <c r="LTY62" i="7" s="1"/>
  <c r="LUA62" i="7" s="1"/>
  <c r="LUC62" i="7" s="1"/>
  <c r="LUE62" i="7" s="1"/>
  <c r="LUG62" i="7" s="1"/>
  <c r="LUI62" i="7" s="1"/>
  <c r="LUK62" i="7" s="1"/>
  <c r="LUM62" i="7" s="1"/>
  <c r="LUO62" i="7" s="1"/>
  <c r="LUQ62" i="7" s="1"/>
  <c r="LUS62" i="7" s="1"/>
  <c r="LUU62" i="7" s="1"/>
  <c r="LUW62" i="7" s="1"/>
  <c r="LUY62" i="7" s="1"/>
  <c r="LVA62" i="7" s="1"/>
  <c r="LVC62" i="7" s="1"/>
  <c r="LVE62" i="7" s="1"/>
  <c r="LVG62" i="7" s="1"/>
  <c r="LVI62" i="7" s="1"/>
  <c r="LVK62" i="7" s="1"/>
  <c r="LVM62" i="7" s="1"/>
  <c r="LVO62" i="7" s="1"/>
  <c r="LVQ62" i="7" s="1"/>
  <c r="LVS62" i="7" s="1"/>
  <c r="LVU62" i="7" s="1"/>
  <c r="LVW62" i="7" s="1"/>
  <c r="LVY62" i="7" s="1"/>
  <c r="LWA62" i="7" s="1"/>
  <c r="LWC62" i="7" s="1"/>
  <c r="LWE62" i="7" s="1"/>
  <c r="LWG62" i="7" s="1"/>
  <c r="LWI62" i="7" s="1"/>
  <c r="LWK62" i="7" s="1"/>
  <c r="LWM62" i="7" s="1"/>
  <c r="LWO62" i="7" s="1"/>
  <c r="LWQ62" i="7" s="1"/>
  <c r="LWS62" i="7" s="1"/>
  <c r="LWU62" i="7" s="1"/>
  <c r="LWW62" i="7" s="1"/>
  <c r="LWY62" i="7" s="1"/>
  <c r="LXA62" i="7" s="1"/>
  <c r="LXC62" i="7" s="1"/>
  <c r="LXE62" i="7" s="1"/>
  <c r="LXG62" i="7" s="1"/>
  <c r="LXI62" i="7" s="1"/>
  <c r="LXK62" i="7" s="1"/>
  <c r="LXM62" i="7" s="1"/>
  <c r="LXO62" i="7" s="1"/>
  <c r="LXQ62" i="7" s="1"/>
  <c r="LXS62" i="7" s="1"/>
  <c r="LXU62" i="7" s="1"/>
  <c r="LXW62" i="7" s="1"/>
  <c r="LXY62" i="7" s="1"/>
  <c r="LYA62" i="7" s="1"/>
  <c r="LYC62" i="7" s="1"/>
  <c r="LYE62" i="7" s="1"/>
  <c r="LYG62" i="7" s="1"/>
  <c r="LYI62" i="7" s="1"/>
  <c r="LYK62" i="7" s="1"/>
  <c r="LYM62" i="7" s="1"/>
  <c r="LYO62" i="7" s="1"/>
  <c r="LYQ62" i="7" s="1"/>
  <c r="LYS62" i="7" s="1"/>
  <c r="LYU62" i="7" s="1"/>
  <c r="LYW62" i="7" s="1"/>
  <c r="LYY62" i="7" s="1"/>
  <c r="LZA62" i="7" s="1"/>
  <c r="LZC62" i="7" s="1"/>
  <c r="LZE62" i="7" s="1"/>
  <c r="LZG62" i="7" s="1"/>
  <c r="LZI62" i="7" s="1"/>
  <c r="LZK62" i="7" s="1"/>
  <c r="LZM62" i="7" s="1"/>
  <c r="LZO62" i="7" s="1"/>
  <c r="LZQ62" i="7" s="1"/>
  <c r="LZS62" i="7" s="1"/>
  <c r="LZU62" i="7" s="1"/>
  <c r="LZW62" i="7" s="1"/>
  <c r="LZY62" i="7" s="1"/>
  <c r="MAA62" i="7" s="1"/>
  <c r="MAC62" i="7" s="1"/>
  <c r="MAE62" i="7" s="1"/>
  <c r="MAG62" i="7" s="1"/>
  <c r="MAI62" i="7" s="1"/>
  <c r="MAK62" i="7" s="1"/>
  <c r="MAM62" i="7" s="1"/>
  <c r="MAO62" i="7" s="1"/>
  <c r="MAQ62" i="7" s="1"/>
  <c r="MAS62" i="7" s="1"/>
  <c r="MAU62" i="7" s="1"/>
  <c r="MAW62" i="7" s="1"/>
  <c r="MAY62" i="7" s="1"/>
  <c r="MBA62" i="7" s="1"/>
  <c r="MBC62" i="7" s="1"/>
  <c r="MBE62" i="7" s="1"/>
  <c r="MBG62" i="7" s="1"/>
  <c r="MBI62" i="7" s="1"/>
  <c r="MBK62" i="7" s="1"/>
  <c r="MBM62" i="7" s="1"/>
  <c r="MBO62" i="7" s="1"/>
  <c r="MBQ62" i="7" s="1"/>
  <c r="MBS62" i="7" s="1"/>
  <c r="MBU62" i="7" s="1"/>
  <c r="MBW62" i="7" s="1"/>
  <c r="MBY62" i="7" s="1"/>
  <c r="MCA62" i="7" s="1"/>
  <c r="MCC62" i="7" s="1"/>
  <c r="MCE62" i="7" s="1"/>
  <c r="MCG62" i="7" s="1"/>
  <c r="MCI62" i="7" s="1"/>
  <c r="MCK62" i="7" s="1"/>
  <c r="MCM62" i="7" s="1"/>
  <c r="MCO62" i="7" s="1"/>
  <c r="MCQ62" i="7" s="1"/>
  <c r="MCS62" i="7" s="1"/>
  <c r="MCU62" i="7" s="1"/>
  <c r="MCW62" i="7" s="1"/>
  <c r="MCY62" i="7" s="1"/>
  <c r="MDA62" i="7" s="1"/>
  <c r="MDC62" i="7" s="1"/>
  <c r="MDE62" i="7" s="1"/>
  <c r="MDG62" i="7" s="1"/>
  <c r="MDI62" i="7" s="1"/>
  <c r="MDK62" i="7" s="1"/>
  <c r="MDM62" i="7" s="1"/>
  <c r="MDO62" i="7" s="1"/>
  <c r="MDQ62" i="7" s="1"/>
  <c r="MDS62" i="7" s="1"/>
  <c r="MDU62" i="7" s="1"/>
  <c r="MDW62" i="7" s="1"/>
  <c r="MDY62" i="7" s="1"/>
  <c r="MEA62" i="7" s="1"/>
  <c r="MEC62" i="7" s="1"/>
  <c r="MEE62" i="7" s="1"/>
  <c r="MEG62" i="7" s="1"/>
  <c r="MEI62" i="7" s="1"/>
  <c r="MEK62" i="7" s="1"/>
  <c r="MEM62" i="7" s="1"/>
  <c r="MEO62" i="7" s="1"/>
  <c r="MEQ62" i="7" s="1"/>
  <c r="MES62" i="7" s="1"/>
  <c r="MEU62" i="7" s="1"/>
  <c r="MEW62" i="7" s="1"/>
  <c r="MEY62" i="7" s="1"/>
  <c r="MFA62" i="7" s="1"/>
  <c r="MFC62" i="7" s="1"/>
  <c r="MFE62" i="7" s="1"/>
  <c r="MFG62" i="7" s="1"/>
  <c r="MFI62" i="7" s="1"/>
  <c r="MFK62" i="7" s="1"/>
  <c r="MFM62" i="7" s="1"/>
  <c r="MFO62" i="7" s="1"/>
  <c r="MFQ62" i="7" s="1"/>
  <c r="MFS62" i="7" s="1"/>
  <c r="MFU62" i="7" s="1"/>
  <c r="MFW62" i="7" s="1"/>
  <c r="MFY62" i="7" s="1"/>
  <c r="MGA62" i="7" s="1"/>
  <c r="MGC62" i="7" s="1"/>
  <c r="MGE62" i="7" s="1"/>
  <c r="MGG62" i="7" s="1"/>
  <c r="MGI62" i="7" s="1"/>
  <c r="MGK62" i="7" s="1"/>
  <c r="MGM62" i="7" s="1"/>
  <c r="MGO62" i="7" s="1"/>
  <c r="MGQ62" i="7" s="1"/>
  <c r="MGS62" i="7" s="1"/>
  <c r="MGU62" i="7" s="1"/>
  <c r="MGW62" i="7" s="1"/>
  <c r="MGY62" i="7" s="1"/>
  <c r="MHA62" i="7" s="1"/>
  <c r="MHC62" i="7" s="1"/>
  <c r="MHE62" i="7" s="1"/>
  <c r="MHG62" i="7" s="1"/>
  <c r="MHI62" i="7" s="1"/>
  <c r="MHK62" i="7" s="1"/>
  <c r="MHM62" i="7" s="1"/>
  <c r="MHO62" i="7" s="1"/>
  <c r="MHQ62" i="7" s="1"/>
  <c r="MHS62" i="7" s="1"/>
  <c r="MHU62" i="7" s="1"/>
  <c r="MHW62" i="7" s="1"/>
  <c r="MHY62" i="7" s="1"/>
  <c r="MIA62" i="7" s="1"/>
  <c r="MIC62" i="7" s="1"/>
  <c r="MIE62" i="7" s="1"/>
  <c r="MIG62" i="7" s="1"/>
  <c r="MII62" i="7" s="1"/>
  <c r="MIK62" i="7" s="1"/>
  <c r="MIM62" i="7" s="1"/>
  <c r="MIO62" i="7" s="1"/>
  <c r="MIQ62" i="7" s="1"/>
  <c r="MIS62" i="7" s="1"/>
  <c r="MIU62" i="7" s="1"/>
  <c r="MIW62" i="7" s="1"/>
  <c r="MIY62" i="7" s="1"/>
  <c r="MJA62" i="7" s="1"/>
  <c r="MJC62" i="7" s="1"/>
  <c r="MJE62" i="7" s="1"/>
  <c r="MJG62" i="7" s="1"/>
  <c r="MJI62" i="7" s="1"/>
  <c r="MJK62" i="7" s="1"/>
  <c r="MJM62" i="7" s="1"/>
  <c r="MJO62" i="7" s="1"/>
  <c r="MJQ62" i="7" s="1"/>
  <c r="MJS62" i="7" s="1"/>
  <c r="MJU62" i="7" s="1"/>
  <c r="MJW62" i="7" s="1"/>
  <c r="MJY62" i="7" s="1"/>
  <c r="MKA62" i="7" s="1"/>
  <c r="MKC62" i="7" s="1"/>
  <c r="MKE62" i="7" s="1"/>
  <c r="MKG62" i="7" s="1"/>
  <c r="MKI62" i="7" s="1"/>
  <c r="MKK62" i="7" s="1"/>
  <c r="MKM62" i="7" s="1"/>
  <c r="MKO62" i="7" s="1"/>
  <c r="MKQ62" i="7" s="1"/>
  <c r="MKS62" i="7" s="1"/>
  <c r="MKU62" i="7" s="1"/>
  <c r="MKW62" i="7" s="1"/>
  <c r="MKY62" i="7" s="1"/>
  <c r="MLA62" i="7" s="1"/>
  <c r="MLC62" i="7" s="1"/>
  <c r="MLE62" i="7" s="1"/>
  <c r="MLG62" i="7" s="1"/>
  <c r="MLI62" i="7" s="1"/>
  <c r="MLK62" i="7" s="1"/>
  <c r="MLM62" i="7" s="1"/>
  <c r="MLO62" i="7" s="1"/>
  <c r="MLQ62" i="7" s="1"/>
  <c r="MLS62" i="7" s="1"/>
  <c r="MLU62" i="7" s="1"/>
  <c r="MLW62" i="7" s="1"/>
  <c r="MLY62" i="7" s="1"/>
  <c r="MMA62" i="7" s="1"/>
  <c r="MMC62" i="7" s="1"/>
  <c r="MME62" i="7" s="1"/>
  <c r="MMG62" i="7" s="1"/>
  <c r="MMI62" i="7" s="1"/>
  <c r="MMK62" i="7" s="1"/>
  <c r="MMM62" i="7" s="1"/>
  <c r="MMO62" i="7" s="1"/>
  <c r="MMQ62" i="7" s="1"/>
  <c r="MMS62" i="7" s="1"/>
  <c r="MMU62" i="7" s="1"/>
  <c r="MMW62" i="7" s="1"/>
  <c r="MMY62" i="7" s="1"/>
  <c r="MNA62" i="7" s="1"/>
  <c r="MNC62" i="7" s="1"/>
  <c r="MNE62" i="7" s="1"/>
  <c r="MNG62" i="7" s="1"/>
  <c r="MNI62" i="7" s="1"/>
  <c r="MNK62" i="7" s="1"/>
  <c r="MNM62" i="7" s="1"/>
  <c r="MNO62" i="7" s="1"/>
  <c r="MNQ62" i="7" s="1"/>
  <c r="MNS62" i="7" s="1"/>
  <c r="MNU62" i="7" s="1"/>
  <c r="MNW62" i="7" s="1"/>
  <c r="MNY62" i="7" s="1"/>
  <c r="MOA62" i="7" s="1"/>
  <c r="MOC62" i="7" s="1"/>
  <c r="MOE62" i="7" s="1"/>
  <c r="MOG62" i="7" s="1"/>
  <c r="MOI62" i="7" s="1"/>
  <c r="MOK62" i="7" s="1"/>
  <c r="MOM62" i="7" s="1"/>
  <c r="MOO62" i="7" s="1"/>
  <c r="MOQ62" i="7" s="1"/>
  <c r="MOS62" i="7" s="1"/>
  <c r="MOU62" i="7" s="1"/>
  <c r="MOW62" i="7" s="1"/>
  <c r="MOY62" i="7" s="1"/>
  <c r="MPA62" i="7" s="1"/>
  <c r="MPC62" i="7" s="1"/>
  <c r="MPE62" i="7" s="1"/>
  <c r="MPG62" i="7" s="1"/>
  <c r="MPI62" i="7" s="1"/>
  <c r="MPK62" i="7" s="1"/>
  <c r="MPM62" i="7" s="1"/>
  <c r="MPO62" i="7" s="1"/>
  <c r="MPQ62" i="7" s="1"/>
  <c r="MPS62" i="7" s="1"/>
  <c r="MPU62" i="7" s="1"/>
  <c r="MPW62" i="7" s="1"/>
  <c r="MPY62" i="7" s="1"/>
  <c r="MQA62" i="7" s="1"/>
  <c r="MQC62" i="7" s="1"/>
  <c r="MQE62" i="7" s="1"/>
  <c r="MQG62" i="7" s="1"/>
  <c r="MQI62" i="7" s="1"/>
  <c r="MQK62" i="7" s="1"/>
  <c r="MQM62" i="7" s="1"/>
  <c r="MQO62" i="7" s="1"/>
  <c r="MQQ62" i="7" s="1"/>
  <c r="MQS62" i="7" s="1"/>
  <c r="MQU62" i="7" s="1"/>
  <c r="MQW62" i="7" s="1"/>
  <c r="MQY62" i="7" s="1"/>
  <c r="MRA62" i="7" s="1"/>
  <c r="MRC62" i="7" s="1"/>
  <c r="MRE62" i="7" s="1"/>
  <c r="MRG62" i="7" s="1"/>
  <c r="MRI62" i="7" s="1"/>
  <c r="MRK62" i="7" s="1"/>
  <c r="MRM62" i="7" s="1"/>
  <c r="MRO62" i="7" s="1"/>
  <c r="MRQ62" i="7" s="1"/>
  <c r="MRS62" i="7" s="1"/>
  <c r="MRU62" i="7" s="1"/>
  <c r="MRW62" i="7" s="1"/>
  <c r="MRY62" i="7" s="1"/>
  <c r="MSA62" i="7" s="1"/>
  <c r="MSC62" i="7" s="1"/>
  <c r="MSE62" i="7" s="1"/>
  <c r="MSG62" i="7" s="1"/>
  <c r="MSI62" i="7" s="1"/>
  <c r="MSK62" i="7" s="1"/>
  <c r="MSM62" i="7" s="1"/>
  <c r="MSO62" i="7" s="1"/>
  <c r="MSQ62" i="7" s="1"/>
  <c r="MSS62" i="7" s="1"/>
  <c r="MSU62" i="7" s="1"/>
  <c r="MSW62" i="7" s="1"/>
  <c r="MSY62" i="7" s="1"/>
  <c r="MTA62" i="7" s="1"/>
  <c r="MTC62" i="7" s="1"/>
  <c r="MTE62" i="7" s="1"/>
  <c r="MTG62" i="7" s="1"/>
  <c r="MTI62" i="7" s="1"/>
  <c r="MTK62" i="7" s="1"/>
  <c r="MTM62" i="7" s="1"/>
  <c r="MTO62" i="7" s="1"/>
  <c r="MTQ62" i="7" s="1"/>
  <c r="MTS62" i="7" s="1"/>
  <c r="MTU62" i="7" s="1"/>
  <c r="MTW62" i="7" s="1"/>
  <c r="MTY62" i="7" s="1"/>
  <c r="MUA62" i="7" s="1"/>
  <c r="MUC62" i="7" s="1"/>
  <c r="MUE62" i="7" s="1"/>
  <c r="MUG62" i="7" s="1"/>
  <c r="MUI62" i="7" s="1"/>
  <c r="MUK62" i="7" s="1"/>
  <c r="MUM62" i="7" s="1"/>
  <c r="MUO62" i="7" s="1"/>
  <c r="MUQ62" i="7" s="1"/>
  <c r="MUS62" i="7" s="1"/>
  <c r="MUU62" i="7" s="1"/>
  <c r="MUW62" i="7" s="1"/>
  <c r="MUY62" i="7" s="1"/>
  <c r="MVA62" i="7" s="1"/>
  <c r="MVC62" i="7" s="1"/>
  <c r="MVE62" i="7" s="1"/>
  <c r="MVG62" i="7" s="1"/>
  <c r="MVI62" i="7" s="1"/>
  <c r="MVK62" i="7" s="1"/>
  <c r="MVM62" i="7" s="1"/>
  <c r="MVO62" i="7" s="1"/>
  <c r="MVQ62" i="7" s="1"/>
  <c r="MVS62" i="7" s="1"/>
  <c r="MVU62" i="7" s="1"/>
  <c r="MVW62" i="7" s="1"/>
  <c r="MVY62" i="7" s="1"/>
  <c r="MWA62" i="7" s="1"/>
  <c r="MWC62" i="7" s="1"/>
  <c r="MWE62" i="7" s="1"/>
  <c r="MWG62" i="7" s="1"/>
  <c r="MWI62" i="7" s="1"/>
  <c r="MWK62" i="7" s="1"/>
  <c r="MWM62" i="7" s="1"/>
  <c r="MWO62" i="7" s="1"/>
  <c r="MWQ62" i="7" s="1"/>
  <c r="MWS62" i="7" s="1"/>
  <c r="MWU62" i="7" s="1"/>
  <c r="MWW62" i="7" s="1"/>
  <c r="MWY62" i="7" s="1"/>
  <c r="MXA62" i="7" s="1"/>
  <c r="MXC62" i="7" s="1"/>
  <c r="MXE62" i="7" s="1"/>
  <c r="MXG62" i="7" s="1"/>
  <c r="MXI62" i="7" s="1"/>
  <c r="MXK62" i="7" s="1"/>
  <c r="MXM62" i="7" s="1"/>
  <c r="MXO62" i="7" s="1"/>
  <c r="MXQ62" i="7" s="1"/>
  <c r="MXS62" i="7" s="1"/>
  <c r="MXU62" i="7" s="1"/>
  <c r="MXW62" i="7" s="1"/>
  <c r="MXY62" i="7" s="1"/>
  <c r="MYA62" i="7" s="1"/>
  <c r="MYC62" i="7" s="1"/>
  <c r="MYE62" i="7" s="1"/>
  <c r="MYG62" i="7" s="1"/>
  <c r="MYI62" i="7" s="1"/>
  <c r="MYK62" i="7" s="1"/>
  <c r="MYM62" i="7" s="1"/>
  <c r="MYO62" i="7" s="1"/>
  <c r="MYQ62" i="7" s="1"/>
  <c r="MYS62" i="7" s="1"/>
  <c r="MYU62" i="7" s="1"/>
  <c r="MYW62" i="7" s="1"/>
  <c r="MYY62" i="7" s="1"/>
  <c r="MZA62" i="7" s="1"/>
  <c r="MZC62" i="7" s="1"/>
  <c r="MZE62" i="7" s="1"/>
  <c r="MZG62" i="7" s="1"/>
  <c r="MZI62" i="7" s="1"/>
  <c r="MZK62" i="7" s="1"/>
  <c r="MZM62" i="7" s="1"/>
  <c r="MZO62" i="7" s="1"/>
  <c r="MZQ62" i="7" s="1"/>
  <c r="MZS62" i="7" s="1"/>
  <c r="MZU62" i="7" s="1"/>
  <c r="MZW62" i="7" s="1"/>
  <c r="MZY62" i="7" s="1"/>
  <c r="NAA62" i="7" s="1"/>
  <c r="NAC62" i="7" s="1"/>
  <c r="NAE62" i="7" s="1"/>
  <c r="NAG62" i="7" s="1"/>
  <c r="NAI62" i="7" s="1"/>
  <c r="NAK62" i="7" s="1"/>
  <c r="NAM62" i="7" s="1"/>
  <c r="NAO62" i="7" s="1"/>
  <c r="NAQ62" i="7" s="1"/>
  <c r="NAS62" i="7" s="1"/>
  <c r="NAU62" i="7" s="1"/>
  <c r="NAW62" i="7" s="1"/>
  <c r="NAY62" i="7" s="1"/>
  <c r="NBA62" i="7" s="1"/>
  <c r="NBC62" i="7" s="1"/>
  <c r="NBE62" i="7" s="1"/>
  <c r="NBG62" i="7" s="1"/>
  <c r="NBI62" i="7" s="1"/>
  <c r="NBK62" i="7" s="1"/>
  <c r="NBM62" i="7" s="1"/>
  <c r="NBO62" i="7" s="1"/>
  <c r="NBQ62" i="7" s="1"/>
  <c r="NBS62" i="7" s="1"/>
  <c r="NBU62" i="7" s="1"/>
  <c r="NBW62" i="7" s="1"/>
  <c r="NBY62" i="7" s="1"/>
  <c r="NCA62" i="7" s="1"/>
  <c r="NCC62" i="7" s="1"/>
  <c r="NCE62" i="7" s="1"/>
  <c r="NCG62" i="7" s="1"/>
  <c r="NCI62" i="7" s="1"/>
  <c r="NCK62" i="7" s="1"/>
  <c r="NCM62" i="7" s="1"/>
  <c r="NCO62" i="7" s="1"/>
  <c r="NCQ62" i="7" s="1"/>
  <c r="NCS62" i="7" s="1"/>
  <c r="NCU62" i="7" s="1"/>
  <c r="NCW62" i="7" s="1"/>
  <c r="NCY62" i="7" s="1"/>
  <c r="NDA62" i="7" s="1"/>
  <c r="NDC62" i="7" s="1"/>
  <c r="NDE62" i="7" s="1"/>
  <c r="NDG62" i="7" s="1"/>
  <c r="NDI62" i="7" s="1"/>
  <c r="NDK62" i="7" s="1"/>
  <c r="NDM62" i="7" s="1"/>
  <c r="NDO62" i="7" s="1"/>
  <c r="NDQ62" i="7" s="1"/>
  <c r="NDS62" i="7" s="1"/>
  <c r="NDU62" i="7" s="1"/>
  <c r="NDW62" i="7" s="1"/>
  <c r="NDY62" i="7" s="1"/>
  <c r="NEA62" i="7" s="1"/>
  <c r="NEC62" i="7" s="1"/>
  <c r="NEE62" i="7" s="1"/>
  <c r="NEG62" i="7" s="1"/>
  <c r="NEI62" i="7" s="1"/>
  <c r="NEK62" i="7" s="1"/>
  <c r="NEM62" i="7" s="1"/>
  <c r="NEO62" i="7" s="1"/>
  <c r="NEQ62" i="7" s="1"/>
  <c r="NES62" i="7" s="1"/>
  <c r="NEU62" i="7" s="1"/>
  <c r="NEW62" i="7" s="1"/>
  <c r="NEY62" i="7" s="1"/>
  <c r="NFA62" i="7" s="1"/>
  <c r="NFC62" i="7" s="1"/>
  <c r="NFE62" i="7" s="1"/>
  <c r="NFG62" i="7" s="1"/>
  <c r="NFI62" i="7" s="1"/>
  <c r="NFK62" i="7" s="1"/>
  <c r="NFM62" i="7" s="1"/>
  <c r="NFO62" i="7" s="1"/>
  <c r="NFQ62" i="7" s="1"/>
  <c r="NFS62" i="7" s="1"/>
  <c r="NFU62" i="7" s="1"/>
  <c r="NFW62" i="7" s="1"/>
  <c r="NFY62" i="7" s="1"/>
  <c r="NGA62" i="7" s="1"/>
  <c r="NGC62" i="7" s="1"/>
  <c r="NGE62" i="7" s="1"/>
  <c r="NGG62" i="7" s="1"/>
  <c r="NGI62" i="7" s="1"/>
  <c r="NGK62" i="7" s="1"/>
  <c r="NGM62" i="7" s="1"/>
  <c r="NGO62" i="7" s="1"/>
  <c r="NGQ62" i="7" s="1"/>
  <c r="NGS62" i="7" s="1"/>
  <c r="NGU62" i="7" s="1"/>
  <c r="NGW62" i="7" s="1"/>
  <c r="NGY62" i="7" s="1"/>
  <c r="NHA62" i="7" s="1"/>
  <c r="NHC62" i="7" s="1"/>
  <c r="NHE62" i="7" s="1"/>
  <c r="NHG62" i="7" s="1"/>
  <c r="NHI62" i="7" s="1"/>
  <c r="NHK62" i="7" s="1"/>
  <c r="NHM62" i="7" s="1"/>
  <c r="NHO62" i="7" s="1"/>
  <c r="NHQ62" i="7" s="1"/>
  <c r="NHS62" i="7" s="1"/>
  <c r="NHU62" i="7" s="1"/>
  <c r="NHW62" i="7" s="1"/>
  <c r="NHY62" i="7" s="1"/>
  <c r="NIA62" i="7" s="1"/>
  <c r="NIC62" i="7" s="1"/>
  <c r="NIE62" i="7" s="1"/>
  <c r="NIG62" i="7" s="1"/>
  <c r="NII62" i="7" s="1"/>
  <c r="NIK62" i="7" s="1"/>
  <c r="NIM62" i="7" s="1"/>
  <c r="NIO62" i="7" s="1"/>
  <c r="NIQ62" i="7" s="1"/>
  <c r="NIS62" i="7" s="1"/>
  <c r="NIU62" i="7" s="1"/>
  <c r="NIW62" i="7" s="1"/>
  <c r="NIY62" i="7" s="1"/>
  <c r="NJA62" i="7" s="1"/>
  <c r="NJC62" i="7" s="1"/>
  <c r="NJE62" i="7" s="1"/>
  <c r="NJG62" i="7" s="1"/>
  <c r="NJI62" i="7" s="1"/>
  <c r="NJK62" i="7" s="1"/>
  <c r="NJM62" i="7" s="1"/>
  <c r="NJO62" i="7" s="1"/>
  <c r="NJQ62" i="7" s="1"/>
  <c r="NJS62" i="7" s="1"/>
  <c r="NJU62" i="7" s="1"/>
  <c r="NJW62" i="7" s="1"/>
  <c r="NJY62" i="7" s="1"/>
  <c r="NKA62" i="7" s="1"/>
  <c r="NKC62" i="7" s="1"/>
  <c r="NKE62" i="7" s="1"/>
  <c r="NKG62" i="7" s="1"/>
  <c r="NKI62" i="7" s="1"/>
  <c r="NKK62" i="7" s="1"/>
  <c r="NKM62" i="7" s="1"/>
  <c r="NKO62" i="7" s="1"/>
  <c r="NKQ62" i="7" s="1"/>
  <c r="NKS62" i="7" s="1"/>
  <c r="NKU62" i="7" s="1"/>
  <c r="NKW62" i="7" s="1"/>
  <c r="NKY62" i="7" s="1"/>
  <c r="NLA62" i="7" s="1"/>
  <c r="NLC62" i="7" s="1"/>
  <c r="NLE62" i="7" s="1"/>
  <c r="NLG62" i="7" s="1"/>
  <c r="NLI62" i="7" s="1"/>
  <c r="NLK62" i="7" s="1"/>
  <c r="NLM62" i="7" s="1"/>
  <c r="NLO62" i="7" s="1"/>
  <c r="NLQ62" i="7" s="1"/>
  <c r="NLS62" i="7" s="1"/>
  <c r="NLU62" i="7" s="1"/>
  <c r="NLW62" i="7" s="1"/>
  <c r="NLY62" i="7" s="1"/>
  <c r="NMA62" i="7" s="1"/>
  <c r="NMC62" i="7" s="1"/>
  <c r="NME62" i="7" s="1"/>
  <c r="NMG62" i="7" s="1"/>
  <c r="NMI62" i="7" s="1"/>
  <c r="NMK62" i="7" s="1"/>
  <c r="NMM62" i="7" s="1"/>
  <c r="NMO62" i="7" s="1"/>
  <c r="NMQ62" i="7" s="1"/>
  <c r="NMS62" i="7" s="1"/>
  <c r="NMU62" i="7" s="1"/>
  <c r="NMW62" i="7" s="1"/>
  <c r="NMY62" i="7" s="1"/>
  <c r="NNA62" i="7" s="1"/>
  <c r="NNC62" i="7" s="1"/>
  <c r="NNE62" i="7" s="1"/>
  <c r="NNG62" i="7" s="1"/>
  <c r="NNI62" i="7" s="1"/>
  <c r="NNK62" i="7" s="1"/>
  <c r="NNM62" i="7" s="1"/>
  <c r="NNO62" i="7" s="1"/>
  <c r="NNQ62" i="7" s="1"/>
  <c r="NNS62" i="7" s="1"/>
  <c r="NNU62" i="7" s="1"/>
  <c r="NNW62" i="7" s="1"/>
  <c r="NNY62" i="7" s="1"/>
  <c r="NOA62" i="7" s="1"/>
  <c r="NOC62" i="7" s="1"/>
  <c r="NOE62" i="7" s="1"/>
  <c r="NOG62" i="7" s="1"/>
  <c r="NOI62" i="7" s="1"/>
  <c r="NOK62" i="7" s="1"/>
  <c r="NOM62" i="7" s="1"/>
  <c r="NOO62" i="7" s="1"/>
  <c r="NOQ62" i="7" s="1"/>
  <c r="NOS62" i="7" s="1"/>
  <c r="NOU62" i="7" s="1"/>
  <c r="NOW62" i="7" s="1"/>
  <c r="NOY62" i="7" s="1"/>
  <c r="NPA62" i="7" s="1"/>
  <c r="NPC62" i="7" s="1"/>
  <c r="NPE62" i="7" s="1"/>
  <c r="NPG62" i="7" s="1"/>
  <c r="NPI62" i="7" s="1"/>
  <c r="NPK62" i="7" s="1"/>
  <c r="NPM62" i="7" s="1"/>
  <c r="NPO62" i="7" s="1"/>
  <c r="NPQ62" i="7" s="1"/>
  <c r="NPS62" i="7" s="1"/>
  <c r="NPU62" i="7" s="1"/>
  <c r="NPW62" i="7" s="1"/>
  <c r="NPY62" i="7" s="1"/>
  <c r="NQA62" i="7" s="1"/>
  <c r="NQC62" i="7" s="1"/>
  <c r="NQE62" i="7" s="1"/>
  <c r="NQG62" i="7" s="1"/>
  <c r="NQI62" i="7" s="1"/>
  <c r="NQK62" i="7" s="1"/>
  <c r="NQM62" i="7" s="1"/>
  <c r="NQO62" i="7" s="1"/>
  <c r="NQQ62" i="7" s="1"/>
  <c r="NQS62" i="7" s="1"/>
  <c r="NQU62" i="7" s="1"/>
  <c r="NQW62" i="7" s="1"/>
  <c r="NQY62" i="7" s="1"/>
  <c r="NRA62" i="7" s="1"/>
  <c r="NRC62" i="7" s="1"/>
  <c r="NRE62" i="7" s="1"/>
  <c r="NRG62" i="7" s="1"/>
  <c r="NRI62" i="7" s="1"/>
  <c r="NRK62" i="7" s="1"/>
  <c r="NRM62" i="7" s="1"/>
  <c r="NRO62" i="7" s="1"/>
  <c r="NRQ62" i="7" s="1"/>
  <c r="NRS62" i="7" s="1"/>
  <c r="NRU62" i="7" s="1"/>
  <c r="NRW62" i="7" s="1"/>
  <c r="NRY62" i="7" s="1"/>
  <c r="NSA62" i="7" s="1"/>
  <c r="NSC62" i="7" s="1"/>
  <c r="NSE62" i="7" s="1"/>
  <c r="NSG62" i="7" s="1"/>
  <c r="NSI62" i="7" s="1"/>
  <c r="NSK62" i="7" s="1"/>
  <c r="NSM62" i="7" s="1"/>
  <c r="NSO62" i="7" s="1"/>
  <c r="NSQ62" i="7" s="1"/>
  <c r="NSS62" i="7" s="1"/>
  <c r="NSU62" i="7" s="1"/>
  <c r="NSW62" i="7" s="1"/>
  <c r="NSY62" i="7" s="1"/>
  <c r="NTA62" i="7" s="1"/>
  <c r="NTC62" i="7" s="1"/>
  <c r="NTE62" i="7" s="1"/>
  <c r="NTG62" i="7" s="1"/>
  <c r="NTI62" i="7" s="1"/>
  <c r="NTK62" i="7" s="1"/>
  <c r="NTM62" i="7" s="1"/>
  <c r="NTO62" i="7" s="1"/>
  <c r="NTQ62" i="7" s="1"/>
  <c r="NTS62" i="7" s="1"/>
  <c r="NTU62" i="7" s="1"/>
  <c r="NTW62" i="7" s="1"/>
  <c r="NTY62" i="7" s="1"/>
  <c r="NUA62" i="7" s="1"/>
  <c r="NUC62" i="7" s="1"/>
  <c r="NUE62" i="7" s="1"/>
  <c r="NUG62" i="7" s="1"/>
  <c r="NUI62" i="7" s="1"/>
  <c r="NUK62" i="7" s="1"/>
  <c r="NUM62" i="7" s="1"/>
  <c r="NUO62" i="7" s="1"/>
  <c r="NUQ62" i="7" s="1"/>
  <c r="NUS62" i="7" s="1"/>
  <c r="NUU62" i="7" s="1"/>
  <c r="NUW62" i="7" s="1"/>
  <c r="NUY62" i="7" s="1"/>
  <c r="NVA62" i="7" s="1"/>
  <c r="NVC62" i="7" s="1"/>
  <c r="NVE62" i="7" s="1"/>
  <c r="NVG62" i="7" s="1"/>
  <c r="NVI62" i="7" s="1"/>
  <c r="NVK62" i="7" s="1"/>
  <c r="NVM62" i="7" s="1"/>
  <c r="NVO62" i="7" s="1"/>
  <c r="NVQ62" i="7" s="1"/>
  <c r="NVS62" i="7" s="1"/>
  <c r="NVU62" i="7" s="1"/>
  <c r="NVW62" i="7" s="1"/>
  <c r="NVY62" i="7" s="1"/>
  <c r="NWA62" i="7" s="1"/>
  <c r="NWC62" i="7" s="1"/>
  <c r="NWE62" i="7" s="1"/>
  <c r="NWG62" i="7" s="1"/>
  <c r="NWI62" i="7" s="1"/>
  <c r="NWK62" i="7" s="1"/>
  <c r="NWM62" i="7" s="1"/>
  <c r="NWO62" i="7" s="1"/>
  <c r="NWQ62" i="7" s="1"/>
  <c r="NWS62" i="7" s="1"/>
  <c r="NWU62" i="7" s="1"/>
  <c r="NWW62" i="7" s="1"/>
  <c r="NWY62" i="7" s="1"/>
  <c r="NXA62" i="7" s="1"/>
  <c r="NXC62" i="7" s="1"/>
  <c r="NXE62" i="7" s="1"/>
  <c r="NXG62" i="7" s="1"/>
  <c r="NXI62" i="7" s="1"/>
  <c r="NXK62" i="7" s="1"/>
  <c r="NXM62" i="7" s="1"/>
  <c r="NXO62" i="7" s="1"/>
  <c r="NXQ62" i="7" s="1"/>
  <c r="NXS62" i="7" s="1"/>
  <c r="NXU62" i="7" s="1"/>
  <c r="NXW62" i="7" s="1"/>
  <c r="NXY62" i="7" s="1"/>
  <c r="NYA62" i="7" s="1"/>
  <c r="NYC62" i="7" s="1"/>
  <c r="NYE62" i="7" s="1"/>
  <c r="NYG62" i="7" s="1"/>
  <c r="NYI62" i="7" s="1"/>
  <c r="NYK62" i="7" s="1"/>
  <c r="NYM62" i="7" s="1"/>
  <c r="NYO62" i="7" s="1"/>
  <c r="NYQ62" i="7" s="1"/>
  <c r="NYS62" i="7" s="1"/>
  <c r="NYU62" i="7" s="1"/>
  <c r="NYW62" i="7" s="1"/>
  <c r="NYY62" i="7" s="1"/>
  <c r="NZA62" i="7" s="1"/>
  <c r="NZC62" i="7" s="1"/>
  <c r="NZE62" i="7" s="1"/>
  <c r="NZG62" i="7" s="1"/>
  <c r="NZI62" i="7" s="1"/>
  <c r="NZK62" i="7" s="1"/>
  <c r="NZM62" i="7" s="1"/>
  <c r="NZO62" i="7" s="1"/>
  <c r="NZQ62" i="7" s="1"/>
  <c r="NZS62" i="7" s="1"/>
  <c r="NZU62" i="7" s="1"/>
  <c r="NZW62" i="7" s="1"/>
  <c r="NZY62" i="7" s="1"/>
  <c r="OAA62" i="7" s="1"/>
  <c r="OAC62" i="7" s="1"/>
  <c r="OAE62" i="7" s="1"/>
  <c r="OAG62" i="7" s="1"/>
  <c r="OAI62" i="7" s="1"/>
  <c r="OAK62" i="7" s="1"/>
  <c r="OAM62" i="7" s="1"/>
  <c r="OAO62" i="7" s="1"/>
  <c r="OAQ62" i="7" s="1"/>
  <c r="OAS62" i="7" s="1"/>
  <c r="OAU62" i="7" s="1"/>
  <c r="OAW62" i="7" s="1"/>
  <c r="OAY62" i="7" s="1"/>
  <c r="OBA62" i="7" s="1"/>
  <c r="OBC62" i="7" s="1"/>
  <c r="OBE62" i="7" s="1"/>
  <c r="OBG62" i="7" s="1"/>
  <c r="OBI62" i="7" s="1"/>
  <c r="OBK62" i="7" s="1"/>
  <c r="OBM62" i="7" s="1"/>
  <c r="OBO62" i="7" s="1"/>
  <c r="OBQ62" i="7" s="1"/>
  <c r="OBS62" i="7" s="1"/>
  <c r="OBU62" i="7" s="1"/>
  <c r="OBW62" i="7" s="1"/>
  <c r="OBY62" i="7" s="1"/>
  <c r="OCA62" i="7" s="1"/>
  <c r="OCC62" i="7" s="1"/>
  <c r="OCE62" i="7" s="1"/>
  <c r="OCG62" i="7" s="1"/>
  <c r="OCI62" i="7" s="1"/>
  <c r="OCK62" i="7" s="1"/>
  <c r="OCM62" i="7" s="1"/>
  <c r="OCO62" i="7" s="1"/>
  <c r="OCQ62" i="7" s="1"/>
  <c r="OCS62" i="7" s="1"/>
  <c r="OCU62" i="7" s="1"/>
  <c r="OCW62" i="7" s="1"/>
  <c r="OCY62" i="7" s="1"/>
  <c r="ODA62" i="7" s="1"/>
  <c r="ODC62" i="7" s="1"/>
  <c r="ODE62" i="7" s="1"/>
  <c r="ODG62" i="7" s="1"/>
  <c r="ODI62" i="7" s="1"/>
  <c r="ODK62" i="7" s="1"/>
  <c r="ODM62" i="7" s="1"/>
  <c r="ODO62" i="7" s="1"/>
  <c r="ODQ62" i="7" s="1"/>
  <c r="ODS62" i="7" s="1"/>
  <c r="ODU62" i="7" s="1"/>
  <c r="ODW62" i="7" s="1"/>
  <c r="ODY62" i="7" s="1"/>
  <c r="OEA62" i="7" s="1"/>
  <c r="OEC62" i="7" s="1"/>
  <c r="OEE62" i="7" s="1"/>
  <c r="OEG62" i="7" s="1"/>
  <c r="OEI62" i="7" s="1"/>
  <c r="OEK62" i="7" s="1"/>
  <c r="OEM62" i="7" s="1"/>
  <c r="OEO62" i="7" s="1"/>
  <c r="OEQ62" i="7" s="1"/>
  <c r="OES62" i="7" s="1"/>
  <c r="OEU62" i="7" s="1"/>
  <c r="OEW62" i="7" s="1"/>
  <c r="OEY62" i="7" s="1"/>
  <c r="OFA62" i="7" s="1"/>
  <c r="OFC62" i="7" s="1"/>
  <c r="OFE62" i="7" s="1"/>
  <c r="OFG62" i="7" s="1"/>
  <c r="OFI62" i="7" s="1"/>
  <c r="OFK62" i="7" s="1"/>
  <c r="OFM62" i="7" s="1"/>
  <c r="OFO62" i="7" s="1"/>
  <c r="OFQ62" i="7" s="1"/>
  <c r="OFS62" i="7" s="1"/>
  <c r="OFU62" i="7" s="1"/>
  <c r="OFW62" i="7" s="1"/>
  <c r="OFY62" i="7" s="1"/>
  <c r="OGA62" i="7" s="1"/>
  <c r="OGC62" i="7" s="1"/>
  <c r="OGE62" i="7" s="1"/>
  <c r="OGG62" i="7" s="1"/>
  <c r="OGI62" i="7" s="1"/>
  <c r="OGK62" i="7" s="1"/>
  <c r="OGM62" i="7" s="1"/>
  <c r="OGO62" i="7" s="1"/>
  <c r="OGQ62" i="7" s="1"/>
  <c r="OGS62" i="7" s="1"/>
  <c r="OGU62" i="7" s="1"/>
  <c r="OGW62" i="7" s="1"/>
  <c r="OGY62" i="7" s="1"/>
  <c r="OHA62" i="7" s="1"/>
  <c r="OHC62" i="7" s="1"/>
  <c r="OHE62" i="7" s="1"/>
  <c r="OHG62" i="7" s="1"/>
  <c r="OHI62" i="7" s="1"/>
  <c r="OHK62" i="7" s="1"/>
  <c r="OHM62" i="7" s="1"/>
  <c r="OHO62" i="7" s="1"/>
  <c r="OHQ62" i="7" s="1"/>
  <c r="OHS62" i="7" s="1"/>
  <c r="OHU62" i="7" s="1"/>
  <c r="OHW62" i="7" s="1"/>
  <c r="OHY62" i="7" s="1"/>
  <c r="OIA62" i="7" s="1"/>
  <c r="OIC62" i="7" s="1"/>
  <c r="OIE62" i="7" s="1"/>
  <c r="OIG62" i="7" s="1"/>
  <c r="OII62" i="7" s="1"/>
  <c r="OIK62" i="7" s="1"/>
  <c r="OIM62" i="7" s="1"/>
  <c r="OIO62" i="7" s="1"/>
  <c r="OIQ62" i="7" s="1"/>
  <c r="OIS62" i="7" s="1"/>
  <c r="OIU62" i="7" s="1"/>
  <c r="OIW62" i="7" s="1"/>
  <c r="OIY62" i="7" s="1"/>
  <c r="OJA62" i="7" s="1"/>
  <c r="OJC62" i="7" s="1"/>
  <c r="OJE62" i="7" s="1"/>
  <c r="OJG62" i="7" s="1"/>
  <c r="OJI62" i="7" s="1"/>
  <c r="OJK62" i="7" s="1"/>
  <c r="OJM62" i="7" s="1"/>
  <c r="OJO62" i="7" s="1"/>
  <c r="OJQ62" i="7" s="1"/>
  <c r="OJS62" i="7" s="1"/>
  <c r="OJU62" i="7" s="1"/>
  <c r="OJW62" i="7" s="1"/>
  <c r="OJY62" i="7" s="1"/>
  <c r="OKA62" i="7" s="1"/>
  <c r="OKC62" i="7" s="1"/>
  <c r="OKE62" i="7" s="1"/>
  <c r="OKG62" i="7" s="1"/>
  <c r="OKI62" i="7" s="1"/>
  <c r="OKK62" i="7" s="1"/>
  <c r="OKM62" i="7" s="1"/>
  <c r="OKO62" i="7" s="1"/>
  <c r="OKQ62" i="7" s="1"/>
  <c r="OKS62" i="7" s="1"/>
  <c r="OKU62" i="7" s="1"/>
  <c r="OKW62" i="7" s="1"/>
  <c r="OKY62" i="7" s="1"/>
  <c r="OLA62" i="7" s="1"/>
  <c r="OLC62" i="7" s="1"/>
  <c r="OLE62" i="7" s="1"/>
  <c r="OLG62" i="7" s="1"/>
  <c r="OLI62" i="7" s="1"/>
  <c r="OLK62" i="7" s="1"/>
  <c r="OLM62" i="7" s="1"/>
  <c r="OLO62" i="7" s="1"/>
  <c r="OLQ62" i="7" s="1"/>
  <c r="OLS62" i="7" s="1"/>
  <c r="OLU62" i="7" s="1"/>
  <c r="OLW62" i="7" s="1"/>
  <c r="OLY62" i="7" s="1"/>
  <c r="OMA62" i="7" s="1"/>
  <c r="OMC62" i="7" s="1"/>
  <c r="OME62" i="7" s="1"/>
  <c r="OMG62" i="7" s="1"/>
  <c r="OMI62" i="7" s="1"/>
  <c r="OMK62" i="7" s="1"/>
  <c r="OMM62" i="7" s="1"/>
  <c r="OMO62" i="7" s="1"/>
  <c r="OMQ62" i="7" s="1"/>
  <c r="OMS62" i="7" s="1"/>
  <c r="OMU62" i="7" s="1"/>
  <c r="OMW62" i="7" s="1"/>
  <c r="OMY62" i="7" s="1"/>
  <c r="ONA62" i="7" s="1"/>
  <c r="ONC62" i="7" s="1"/>
  <c r="ONE62" i="7" s="1"/>
  <c r="ONG62" i="7" s="1"/>
  <c r="ONI62" i="7" s="1"/>
  <c r="ONK62" i="7" s="1"/>
  <c r="ONM62" i="7" s="1"/>
  <c r="ONO62" i="7" s="1"/>
  <c r="ONQ62" i="7" s="1"/>
  <c r="ONS62" i="7" s="1"/>
  <c r="ONU62" i="7" s="1"/>
  <c r="ONW62" i="7" s="1"/>
  <c r="ONY62" i="7" s="1"/>
  <c r="OOA62" i="7" s="1"/>
  <c r="OOC62" i="7" s="1"/>
  <c r="OOE62" i="7" s="1"/>
  <c r="OOG62" i="7" s="1"/>
  <c r="OOI62" i="7" s="1"/>
  <c r="OOK62" i="7" s="1"/>
  <c r="OOM62" i="7" s="1"/>
  <c r="OOO62" i="7" s="1"/>
  <c r="OOQ62" i="7" s="1"/>
  <c r="OOS62" i="7" s="1"/>
  <c r="OOU62" i="7" s="1"/>
  <c r="OOW62" i="7" s="1"/>
  <c r="OOY62" i="7" s="1"/>
  <c r="OPA62" i="7" s="1"/>
  <c r="OPC62" i="7" s="1"/>
  <c r="OPE62" i="7" s="1"/>
  <c r="OPG62" i="7" s="1"/>
  <c r="OPI62" i="7" s="1"/>
  <c r="OPK62" i="7" s="1"/>
  <c r="OPM62" i="7" s="1"/>
  <c r="OPO62" i="7" s="1"/>
  <c r="OPQ62" i="7" s="1"/>
  <c r="OPS62" i="7" s="1"/>
  <c r="OPU62" i="7" s="1"/>
  <c r="OPW62" i="7" s="1"/>
  <c r="OPY62" i="7" s="1"/>
  <c r="OQA62" i="7" s="1"/>
  <c r="OQC62" i="7" s="1"/>
  <c r="OQE62" i="7" s="1"/>
  <c r="OQG62" i="7" s="1"/>
  <c r="OQI62" i="7" s="1"/>
  <c r="OQK62" i="7" s="1"/>
  <c r="OQM62" i="7" s="1"/>
  <c r="OQO62" i="7" s="1"/>
  <c r="OQQ62" i="7" s="1"/>
  <c r="OQS62" i="7" s="1"/>
  <c r="OQU62" i="7" s="1"/>
  <c r="OQW62" i="7" s="1"/>
  <c r="OQY62" i="7" s="1"/>
  <c r="ORA62" i="7" s="1"/>
  <c r="ORC62" i="7" s="1"/>
  <c r="ORE62" i="7" s="1"/>
  <c r="ORG62" i="7" s="1"/>
  <c r="ORI62" i="7" s="1"/>
  <c r="ORK62" i="7" s="1"/>
  <c r="ORM62" i="7" s="1"/>
  <c r="ORO62" i="7" s="1"/>
  <c r="ORQ62" i="7" s="1"/>
  <c r="ORS62" i="7" s="1"/>
  <c r="ORU62" i="7" s="1"/>
  <c r="ORW62" i="7" s="1"/>
  <c r="ORY62" i="7" s="1"/>
  <c r="OSA62" i="7" s="1"/>
  <c r="OSC62" i="7" s="1"/>
  <c r="OSE62" i="7" s="1"/>
  <c r="OSG62" i="7" s="1"/>
  <c r="OSI62" i="7" s="1"/>
  <c r="OSK62" i="7" s="1"/>
  <c r="OSM62" i="7" s="1"/>
  <c r="OSO62" i="7" s="1"/>
  <c r="OSQ62" i="7" s="1"/>
  <c r="OSS62" i="7" s="1"/>
  <c r="OSU62" i="7" s="1"/>
  <c r="OSW62" i="7" s="1"/>
  <c r="OSY62" i="7" s="1"/>
  <c r="OTA62" i="7" s="1"/>
  <c r="OTC62" i="7" s="1"/>
  <c r="OTE62" i="7" s="1"/>
  <c r="OTG62" i="7" s="1"/>
  <c r="OTI62" i="7" s="1"/>
  <c r="OTK62" i="7" s="1"/>
  <c r="OTM62" i="7" s="1"/>
  <c r="OTO62" i="7" s="1"/>
  <c r="OTQ62" i="7" s="1"/>
  <c r="OTS62" i="7" s="1"/>
  <c r="OTU62" i="7" s="1"/>
  <c r="OTW62" i="7" s="1"/>
  <c r="OTY62" i="7" s="1"/>
  <c r="OUA62" i="7" s="1"/>
  <c r="OUC62" i="7" s="1"/>
  <c r="OUE62" i="7" s="1"/>
  <c r="OUG62" i="7" s="1"/>
  <c r="OUI62" i="7" s="1"/>
  <c r="OUK62" i="7" s="1"/>
  <c r="OUM62" i="7" s="1"/>
  <c r="OUO62" i="7" s="1"/>
  <c r="OUQ62" i="7" s="1"/>
  <c r="OUS62" i="7" s="1"/>
  <c r="OUU62" i="7" s="1"/>
  <c r="OUW62" i="7" s="1"/>
  <c r="OUY62" i="7" s="1"/>
  <c r="OVA62" i="7" s="1"/>
  <c r="OVC62" i="7" s="1"/>
  <c r="OVE62" i="7" s="1"/>
  <c r="OVG62" i="7" s="1"/>
  <c r="OVI62" i="7" s="1"/>
  <c r="OVK62" i="7" s="1"/>
  <c r="OVM62" i="7" s="1"/>
  <c r="OVO62" i="7" s="1"/>
  <c r="OVQ62" i="7" s="1"/>
  <c r="OVS62" i="7" s="1"/>
  <c r="OVU62" i="7" s="1"/>
  <c r="OVW62" i="7" s="1"/>
  <c r="OVY62" i="7" s="1"/>
  <c r="OWA62" i="7" s="1"/>
  <c r="OWC62" i="7" s="1"/>
  <c r="OWE62" i="7" s="1"/>
  <c r="OWG62" i="7" s="1"/>
  <c r="OWI62" i="7" s="1"/>
  <c r="OWK62" i="7" s="1"/>
  <c r="OWM62" i="7" s="1"/>
  <c r="OWO62" i="7" s="1"/>
  <c r="OWQ62" i="7" s="1"/>
  <c r="OWS62" i="7" s="1"/>
  <c r="OWU62" i="7" s="1"/>
  <c r="OWW62" i="7" s="1"/>
  <c r="OWY62" i="7" s="1"/>
  <c r="OXA62" i="7" s="1"/>
  <c r="OXC62" i="7" s="1"/>
  <c r="OXE62" i="7" s="1"/>
  <c r="OXG62" i="7" s="1"/>
  <c r="OXI62" i="7" s="1"/>
  <c r="OXK62" i="7" s="1"/>
  <c r="OXM62" i="7" s="1"/>
  <c r="OXO62" i="7" s="1"/>
  <c r="OXQ62" i="7" s="1"/>
  <c r="OXS62" i="7" s="1"/>
  <c r="OXU62" i="7" s="1"/>
  <c r="OXW62" i="7" s="1"/>
  <c r="OXY62" i="7" s="1"/>
  <c r="OYA62" i="7" s="1"/>
  <c r="OYC62" i="7" s="1"/>
  <c r="OYE62" i="7" s="1"/>
  <c r="OYG62" i="7" s="1"/>
  <c r="OYI62" i="7" s="1"/>
  <c r="OYK62" i="7" s="1"/>
  <c r="OYM62" i="7" s="1"/>
  <c r="OYO62" i="7" s="1"/>
  <c r="OYQ62" i="7" s="1"/>
  <c r="OYS62" i="7" s="1"/>
  <c r="OYU62" i="7" s="1"/>
  <c r="OYW62" i="7" s="1"/>
  <c r="OYY62" i="7" s="1"/>
  <c r="OZA62" i="7" s="1"/>
  <c r="OZC62" i="7" s="1"/>
  <c r="OZE62" i="7" s="1"/>
  <c r="OZG62" i="7" s="1"/>
  <c r="OZI62" i="7" s="1"/>
  <c r="OZK62" i="7" s="1"/>
  <c r="OZM62" i="7" s="1"/>
  <c r="OZO62" i="7" s="1"/>
  <c r="OZQ62" i="7" s="1"/>
  <c r="OZS62" i="7" s="1"/>
  <c r="OZU62" i="7" s="1"/>
  <c r="OZW62" i="7" s="1"/>
  <c r="OZY62" i="7" s="1"/>
  <c r="PAA62" i="7" s="1"/>
  <c r="PAC62" i="7" s="1"/>
  <c r="PAE62" i="7" s="1"/>
  <c r="PAG62" i="7" s="1"/>
  <c r="PAI62" i="7" s="1"/>
  <c r="PAK62" i="7" s="1"/>
  <c r="PAM62" i="7" s="1"/>
  <c r="PAO62" i="7" s="1"/>
  <c r="PAQ62" i="7" s="1"/>
  <c r="PAS62" i="7" s="1"/>
  <c r="PAU62" i="7" s="1"/>
  <c r="PAW62" i="7" s="1"/>
  <c r="PAY62" i="7" s="1"/>
  <c r="PBA62" i="7" s="1"/>
  <c r="PBC62" i="7" s="1"/>
  <c r="PBE62" i="7" s="1"/>
  <c r="PBG62" i="7" s="1"/>
  <c r="PBI62" i="7" s="1"/>
  <c r="PBK62" i="7" s="1"/>
  <c r="PBM62" i="7" s="1"/>
  <c r="PBO62" i="7" s="1"/>
  <c r="PBQ62" i="7" s="1"/>
  <c r="PBS62" i="7" s="1"/>
  <c r="PBU62" i="7" s="1"/>
  <c r="PBW62" i="7" s="1"/>
  <c r="PBY62" i="7" s="1"/>
  <c r="PCA62" i="7" s="1"/>
  <c r="PCC62" i="7" s="1"/>
  <c r="PCE62" i="7" s="1"/>
  <c r="PCG62" i="7" s="1"/>
  <c r="PCI62" i="7" s="1"/>
  <c r="PCK62" i="7" s="1"/>
  <c r="PCM62" i="7" s="1"/>
  <c r="PCO62" i="7" s="1"/>
  <c r="PCQ62" i="7" s="1"/>
  <c r="PCS62" i="7" s="1"/>
  <c r="PCU62" i="7" s="1"/>
  <c r="PCW62" i="7" s="1"/>
  <c r="PCY62" i="7" s="1"/>
  <c r="PDA62" i="7" s="1"/>
  <c r="PDC62" i="7" s="1"/>
  <c r="PDE62" i="7" s="1"/>
  <c r="PDG62" i="7" s="1"/>
  <c r="PDI62" i="7" s="1"/>
  <c r="PDK62" i="7" s="1"/>
  <c r="PDM62" i="7" s="1"/>
  <c r="PDO62" i="7" s="1"/>
  <c r="PDQ62" i="7" s="1"/>
  <c r="PDS62" i="7" s="1"/>
  <c r="PDU62" i="7" s="1"/>
  <c r="PDW62" i="7" s="1"/>
  <c r="PDY62" i="7" s="1"/>
  <c r="PEA62" i="7" s="1"/>
  <c r="PEC62" i="7" s="1"/>
  <c r="PEE62" i="7" s="1"/>
  <c r="PEG62" i="7" s="1"/>
  <c r="PEI62" i="7" s="1"/>
  <c r="PEK62" i="7" s="1"/>
  <c r="PEM62" i="7" s="1"/>
  <c r="PEO62" i="7" s="1"/>
  <c r="PEQ62" i="7" s="1"/>
  <c r="PES62" i="7" s="1"/>
  <c r="PEU62" i="7" s="1"/>
  <c r="PEW62" i="7" s="1"/>
  <c r="PEY62" i="7" s="1"/>
  <c r="PFA62" i="7" s="1"/>
  <c r="PFC62" i="7" s="1"/>
  <c r="PFE62" i="7" s="1"/>
  <c r="PFG62" i="7" s="1"/>
  <c r="PFI62" i="7" s="1"/>
  <c r="PFK62" i="7" s="1"/>
  <c r="PFM62" i="7" s="1"/>
  <c r="PFO62" i="7" s="1"/>
  <c r="PFQ62" i="7" s="1"/>
  <c r="PFS62" i="7" s="1"/>
  <c r="PFU62" i="7" s="1"/>
  <c r="PFW62" i="7" s="1"/>
  <c r="PFY62" i="7" s="1"/>
  <c r="PGA62" i="7" s="1"/>
  <c r="PGC62" i="7" s="1"/>
  <c r="PGE62" i="7" s="1"/>
  <c r="PGG62" i="7" s="1"/>
  <c r="PGI62" i="7" s="1"/>
  <c r="PGK62" i="7" s="1"/>
  <c r="PGM62" i="7" s="1"/>
  <c r="PGO62" i="7" s="1"/>
  <c r="PGQ62" i="7" s="1"/>
  <c r="PGS62" i="7" s="1"/>
  <c r="PGU62" i="7" s="1"/>
  <c r="PGW62" i="7" s="1"/>
  <c r="PGY62" i="7" s="1"/>
  <c r="PHA62" i="7" s="1"/>
  <c r="PHC62" i="7" s="1"/>
  <c r="PHE62" i="7" s="1"/>
  <c r="PHG62" i="7" s="1"/>
  <c r="PHI62" i="7" s="1"/>
  <c r="PHK62" i="7" s="1"/>
  <c r="PHM62" i="7" s="1"/>
  <c r="PHO62" i="7" s="1"/>
  <c r="PHQ62" i="7" s="1"/>
  <c r="PHS62" i="7" s="1"/>
  <c r="PHU62" i="7" s="1"/>
  <c r="PHW62" i="7" s="1"/>
  <c r="PHY62" i="7" s="1"/>
  <c r="PIA62" i="7" s="1"/>
  <c r="PIC62" i="7" s="1"/>
  <c r="PIE62" i="7" s="1"/>
  <c r="PIG62" i="7" s="1"/>
  <c r="PII62" i="7" s="1"/>
  <c r="PIK62" i="7" s="1"/>
  <c r="PIM62" i="7" s="1"/>
  <c r="PIO62" i="7" s="1"/>
  <c r="PIQ62" i="7" s="1"/>
  <c r="PIS62" i="7" s="1"/>
  <c r="PIU62" i="7" s="1"/>
  <c r="PIW62" i="7" s="1"/>
  <c r="PIY62" i="7" s="1"/>
  <c r="PJA62" i="7" s="1"/>
  <c r="PJC62" i="7" s="1"/>
  <c r="PJE62" i="7" s="1"/>
  <c r="PJG62" i="7" s="1"/>
  <c r="PJI62" i="7" s="1"/>
  <c r="PJK62" i="7" s="1"/>
  <c r="PJM62" i="7" s="1"/>
  <c r="PJO62" i="7" s="1"/>
  <c r="PJQ62" i="7" s="1"/>
  <c r="PJS62" i="7" s="1"/>
  <c r="PJU62" i="7" s="1"/>
  <c r="PJW62" i="7" s="1"/>
  <c r="PJY62" i="7" s="1"/>
  <c r="PKA62" i="7" s="1"/>
  <c r="PKC62" i="7" s="1"/>
  <c r="PKE62" i="7" s="1"/>
  <c r="PKG62" i="7" s="1"/>
  <c r="PKI62" i="7" s="1"/>
  <c r="PKK62" i="7" s="1"/>
  <c r="PKM62" i="7" s="1"/>
  <c r="PKO62" i="7" s="1"/>
  <c r="PKQ62" i="7" s="1"/>
  <c r="PKS62" i="7" s="1"/>
  <c r="PKU62" i="7" s="1"/>
  <c r="PKW62" i="7" s="1"/>
  <c r="PKY62" i="7" s="1"/>
  <c r="PLA62" i="7" s="1"/>
  <c r="PLC62" i="7" s="1"/>
  <c r="PLE62" i="7" s="1"/>
  <c r="PLG62" i="7" s="1"/>
  <c r="PLI62" i="7" s="1"/>
  <c r="PLK62" i="7" s="1"/>
  <c r="PLM62" i="7" s="1"/>
  <c r="PLO62" i="7" s="1"/>
  <c r="PLQ62" i="7" s="1"/>
  <c r="PLS62" i="7" s="1"/>
  <c r="PLU62" i="7" s="1"/>
  <c r="PLW62" i="7" s="1"/>
  <c r="PLY62" i="7" s="1"/>
  <c r="PMA62" i="7" s="1"/>
  <c r="PMC62" i="7" s="1"/>
  <c r="PME62" i="7" s="1"/>
  <c r="PMG62" i="7" s="1"/>
  <c r="PMI62" i="7" s="1"/>
  <c r="PMK62" i="7" s="1"/>
  <c r="PMM62" i="7" s="1"/>
  <c r="PMO62" i="7" s="1"/>
  <c r="PMQ62" i="7" s="1"/>
  <c r="PMS62" i="7" s="1"/>
  <c r="PMU62" i="7" s="1"/>
  <c r="PMW62" i="7" s="1"/>
  <c r="PMY62" i="7" s="1"/>
  <c r="PNA62" i="7" s="1"/>
  <c r="PNC62" i="7" s="1"/>
  <c r="PNE62" i="7" s="1"/>
  <c r="PNG62" i="7" s="1"/>
  <c r="PNI62" i="7" s="1"/>
  <c r="PNK62" i="7" s="1"/>
  <c r="PNM62" i="7" s="1"/>
  <c r="PNO62" i="7" s="1"/>
  <c r="PNQ62" i="7" s="1"/>
  <c r="PNS62" i="7" s="1"/>
  <c r="PNU62" i="7" s="1"/>
  <c r="PNW62" i="7" s="1"/>
  <c r="PNY62" i="7" s="1"/>
  <c r="POA62" i="7" s="1"/>
  <c r="POC62" i="7" s="1"/>
  <c r="POE62" i="7" s="1"/>
  <c r="POG62" i="7" s="1"/>
  <c r="POI62" i="7" s="1"/>
  <c r="POK62" i="7" s="1"/>
  <c r="POM62" i="7" s="1"/>
  <c r="POO62" i="7" s="1"/>
  <c r="POQ62" i="7" s="1"/>
  <c r="POS62" i="7" s="1"/>
  <c r="POU62" i="7" s="1"/>
  <c r="POW62" i="7" s="1"/>
  <c r="POY62" i="7" s="1"/>
  <c r="PPA62" i="7" s="1"/>
  <c r="PPC62" i="7" s="1"/>
  <c r="PPE62" i="7" s="1"/>
  <c r="PPG62" i="7" s="1"/>
  <c r="PPI62" i="7" s="1"/>
  <c r="PPK62" i="7" s="1"/>
  <c r="PPM62" i="7" s="1"/>
  <c r="PPO62" i="7" s="1"/>
  <c r="PPQ62" i="7" s="1"/>
  <c r="PPS62" i="7" s="1"/>
  <c r="PPU62" i="7" s="1"/>
  <c r="PPW62" i="7" s="1"/>
  <c r="PPY62" i="7" s="1"/>
  <c r="PQA62" i="7" s="1"/>
  <c r="PQC62" i="7" s="1"/>
  <c r="PQE62" i="7" s="1"/>
  <c r="PQG62" i="7" s="1"/>
  <c r="PQI62" i="7" s="1"/>
  <c r="PQK62" i="7" s="1"/>
  <c r="PQM62" i="7" s="1"/>
  <c r="PQO62" i="7" s="1"/>
  <c r="PQQ62" i="7" s="1"/>
  <c r="PQS62" i="7" s="1"/>
  <c r="PQU62" i="7" s="1"/>
  <c r="PQW62" i="7" s="1"/>
  <c r="PQY62" i="7" s="1"/>
  <c r="PRA62" i="7" s="1"/>
  <c r="PRC62" i="7" s="1"/>
  <c r="PRE62" i="7" s="1"/>
  <c r="PRG62" i="7" s="1"/>
  <c r="PRI62" i="7" s="1"/>
  <c r="PRK62" i="7" s="1"/>
  <c r="PRM62" i="7" s="1"/>
  <c r="PRO62" i="7" s="1"/>
  <c r="PRQ62" i="7" s="1"/>
  <c r="PRS62" i="7" s="1"/>
  <c r="PRU62" i="7" s="1"/>
  <c r="PRW62" i="7" s="1"/>
  <c r="PRY62" i="7" s="1"/>
  <c r="PSA62" i="7" s="1"/>
  <c r="PSC62" i="7" s="1"/>
  <c r="PSE62" i="7" s="1"/>
  <c r="PSG62" i="7" s="1"/>
  <c r="PSI62" i="7" s="1"/>
  <c r="PSK62" i="7" s="1"/>
  <c r="PSM62" i="7" s="1"/>
  <c r="PSO62" i="7" s="1"/>
  <c r="PSQ62" i="7" s="1"/>
  <c r="PSS62" i="7" s="1"/>
  <c r="PSU62" i="7" s="1"/>
  <c r="PSW62" i="7" s="1"/>
  <c r="PSY62" i="7" s="1"/>
  <c r="PTA62" i="7" s="1"/>
  <c r="PTC62" i="7" s="1"/>
  <c r="PTE62" i="7" s="1"/>
  <c r="PTG62" i="7" s="1"/>
  <c r="PTI62" i="7" s="1"/>
  <c r="PTK62" i="7" s="1"/>
  <c r="PTM62" i="7" s="1"/>
  <c r="PTO62" i="7" s="1"/>
  <c r="PTQ62" i="7" s="1"/>
  <c r="PTS62" i="7" s="1"/>
  <c r="PTU62" i="7" s="1"/>
  <c r="PTW62" i="7" s="1"/>
  <c r="PTY62" i="7" s="1"/>
  <c r="PUA62" i="7" s="1"/>
  <c r="PUC62" i="7" s="1"/>
  <c r="PUE62" i="7" s="1"/>
  <c r="PUG62" i="7" s="1"/>
  <c r="PUI62" i="7" s="1"/>
  <c r="PUK62" i="7" s="1"/>
  <c r="PUM62" i="7" s="1"/>
  <c r="PUO62" i="7" s="1"/>
  <c r="PUQ62" i="7" s="1"/>
  <c r="PUS62" i="7" s="1"/>
  <c r="PUU62" i="7" s="1"/>
  <c r="PUW62" i="7" s="1"/>
  <c r="PUY62" i="7" s="1"/>
  <c r="PVA62" i="7" s="1"/>
  <c r="PVC62" i="7" s="1"/>
  <c r="PVE62" i="7" s="1"/>
  <c r="PVG62" i="7" s="1"/>
  <c r="PVI62" i="7" s="1"/>
  <c r="PVK62" i="7" s="1"/>
  <c r="PVM62" i="7" s="1"/>
  <c r="PVO62" i="7" s="1"/>
  <c r="PVQ62" i="7" s="1"/>
  <c r="PVS62" i="7" s="1"/>
  <c r="PVU62" i="7" s="1"/>
  <c r="PVW62" i="7" s="1"/>
  <c r="PVY62" i="7" s="1"/>
  <c r="PWA62" i="7" s="1"/>
  <c r="PWC62" i="7" s="1"/>
  <c r="PWE62" i="7" s="1"/>
  <c r="PWG62" i="7" s="1"/>
  <c r="PWI62" i="7" s="1"/>
  <c r="PWK62" i="7" s="1"/>
  <c r="PWM62" i="7" s="1"/>
  <c r="PWO62" i="7" s="1"/>
  <c r="PWQ62" i="7" s="1"/>
  <c r="PWS62" i="7" s="1"/>
  <c r="PWU62" i="7" s="1"/>
  <c r="PWW62" i="7" s="1"/>
  <c r="PWY62" i="7" s="1"/>
  <c r="PXA62" i="7" s="1"/>
  <c r="PXC62" i="7" s="1"/>
  <c r="PXE62" i="7" s="1"/>
  <c r="PXG62" i="7" s="1"/>
  <c r="PXI62" i="7" s="1"/>
  <c r="PXK62" i="7" s="1"/>
  <c r="PXM62" i="7" s="1"/>
  <c r="PXO62" i="7" s="1"/>
  <c r="PXQ62" i="7" s="1"/>
  <c r="PXS62" i="7" s="1"/>
  <c r="PXU62" i="7" s="1"/>
  <c r="PXW62" i="7" s="1"/>
  <c r="PXY62" i="7" s="1"/>
  <c r="PYA62" i="7" s="1"/>
  <c r="PYC62" i="7" s="1"/>
  <c r="PYE62" i="7" s="1"/>
  <c r="PYG62" i="7" s="1"/>
  <c r="PYI62" i="7" s="1"/>
  <c r="PYK62" i="7" s="1"/>
  <c r="PYM62" i="7" s="1"/>
  <c r="PYO62" i="7" s="1"/>
  <c r="PYQ62" i="7" s="1"/>
  <c r="PYS62" i="7" s="1"/>
  <c r="PYU62" i="7" s="1"/>
  <c r="PYW62" i="7" s="1"/>
  <c r="PYY62" i="7" s="1"/>
  <c r="PZA62" i="7" s="1"/>
  <c r="PZC62" i="7" s="1"/>
  <c r="PZE62" i="7" s="1"/>
  <c r="PZG62" i="7" s="1"/>
  <c r="PZI62" i="7" s="1"/>
  <c r="PZK62" i="7" s="1"/>
  <c r="PZM62" i="7" s="1"/>
  <c r="PZO62" i="7" s="1"/>
  <c r="PZQ62" i="7" s="1"/>
  <c r="PZS62" i="7" s="1"/>
  <c r="PZU62" i="7" s="1"/>
  <c r="PZW62" i="7" s="1"/>
  <c r="PZY62" i="7" s="1"/>
  <c r="QAA62" i="7" s="1"/>
  <c r="QAC62" i="7" s="1"/>
  <c r="QAE62" i="7" s="1"/>
  <c r="QAG62" i="7" s="1"/>
  <c r="QAI62" i="7" s="1"/>
  <c r="QAK62" i="7" s="1"/>
  <c r="QAM62" i="7" s="1"/>
  <c r="QAO62" i="7" s="1"/>
  <c r="QAQ62" i="7" s="1"/>
  <c r="QAS62" i="7" s="1"/>
  <c r="QAU62" i="7" s="1"/>
  <c r="QAW62" i="7" s="1"/>
  <c r="QAY62" i="7" s="1"/>
  <c r="QBA62" i="7" s="1"/>
  <c r="QBC62" i="7" s="1"/>
  <c r="QBE62" i="7" s="1"/>
  <c r="QBG62" i="7" s="1"/>
  <c r="QBI62" i="7" s="1"/>
  <c r="QBK62" i="7" s="1"/>
  <c r="QBM62" i="7" s="1"/>
  <c r="QBO62" i="7" s="1"/>
  <c r="QBQ62" i="7" s="1"/>
  <c r="QBS62" i="7" s="1"/>
  <c r="QBU62" i="7" s="1"/>
  <c r="QBW62" i="7" s="1"/>
  <c r="QBY62" i="7" s="1"/>
  <c r="QCA62" i="7" s="1"/>
  <c r="QCC62" i="7" s="1"/>
  <c r="QCE62" i="7" s="1"/>
  <c r="QCG62" i="7" s="1"/>
  <c r="QCI62" i="7" s="1"/>
  <c r="QCK62" i="7" s="1"/>
  <c r="QCM62" i="7" s="1"/>
  <c r="QCO62" i="7" s="1"/>
  <c r="QCQ62" i="7" s="1"/>
  <c r="QCS62" i="7" s="1"/>
  <c r="QCU62" i="7" s="1"/>
  <c r="QCW62" i="7" s="1"/>
  <c r="QCY62" i="7" s="1"/>
  <c r="QDA62" i="7" s="1"/>
  <c r="QDC62" i="7" s="1"/>
  <c r="QDE62" i="7" s="1"/>
  <c r="QDG62" i="7" s="1"/>
  <c r="QDI62" i="7" s="1"/>
  <c r="QDK62" i="7" s="1"/>
  <c r="QDM62" i="7" s="1"/>
  <c r="QDO62" i="7" s="1"/>
  <c r="QDQ62" i="7" s="1"/>
  <c r="QDS62" i="7" s="1"/>
  <c r="QDU62" i="7" s="1"/>
  <c r="QDW62" i="7" s="1"/>
  <c r="QDY62" i="7" s="1"/>
  <c r="QEA62" i="7" s="1"/>
  <c r="QEC62" i="7" s="1"/>
  <c r="QEE62" i="7" s="1"/>
  <c r="QEG62" i="7" s="1"/>
  <c r="QEI62" i="7" s="1"/>
  <c r="QEK62" i="7" s="1"/>
  <c r="QEM62" i="7" s="1"/>
  <c r="QEO62" i="7" s="1"/>
  <c r="QEQ62" i="7" s="1"/>
  <c r="QES62" i="7" s="1"/>
  <c r="QEU62" i="7" s="1"/>
  <c r="QEW62" i="7" s="1"/>
  <c r="QEY62" i="7" s="1"/>
  <c r="QFA62" i="7" s="1"/>
  <c r="QFC62" i="7" s="1"/>
  <c r="QFE62" i="7" s="1"/>
  <c r="QFG62" i="7" s="1"/>
  <c r="QFI62" i="7" s="1"/>
  <c r="QFK62" i="7" s="1"/>
  <c r="QFM62" i="7" s="1"/>
  <c r="QFO62" i="7" s="1"/>
  <c r="QFQ62" i="7" s="1"/>
  <c r="QFS62" i="7" s="1"/>
  <c r="QFU62" i="7" s="1"/>
  <c r="QFW62" i="7" s="1"/>
  <c r="QFY62" i="7" s="1"/>
  <c r="QGA62" i="7" s="1"/>
  <c r="QGC62" i="7" s="1"/>
  <c r="QGE62" i="7" s="1"/>
  <c r="QGG62" i="7" s="1"/>
  <c r="QGI62" i="7" s="1"/>
  <c r="QGK62" i="7" s="1"/>
  <c r="QGM62" i="7" s="1"/>
  <c r="QGO62" i="7" s="1"/>
  <c r="QGQ62" i="7" s="1"/>
  <c r="QGS62" i="7" s="1"/>
  <c r="QGU62" i="7" s="1"/>
  <c r="QGW62" i="7" s="1"/>
  <c r="QGY62" i="7" s="1"/>
  <c r="QHA62" i="7" s="1"/>
  <c r="QHC62" i="7" s="1"/>
  <c r="QHE62" i="7" s="1"/>
  <c r="QHG62" i="7" s="1"/>
  <c r="QHI62" i="7" s="1"/>
  <c r="QHK62" i="7" s="1"/>
  <c r="QHM62" i="7" s="1"/>
  <c r="QHO62" i="7" s="1"/>
  <c r="QHQ62" i="7" s="1"/>
  <c r="QHS62" i="7" s="1"/>
  <c r="QHU62" i="7" s="1"/>
  <c r="QHW62" i="7" s="1"/>
  <c r="QHY62" i="7" s="1"/>
  <c r="QIA62" i="7" s="1"/>
  <c r="QIC62" i="7" s="1"/>
  <c r="QIE62" i="7" s="1"/>
  <c r="QIG62" i="7" s="1"/>
  <c r="QII62" i="7" s="1"/>
  <c r="QIK62" i="7" s="1"/>
  <c r="QIM62" i="7" s="1"/>
  <c r="QIO62" i="7" s="1"/>
  <c r="QIQ62" i="7" s="1"/>
  <c r="QIS62" i="7" s="1"/>
  <c r="QIU62" i="7" s="1"/>
  <c r="QIW62" i="7" s="1"/>
  <c r="QIY62" i="7" s="1"/>
  <c r="QJA62" i="7" s="1"/>
  <c r="QJC62" i="7" s="1"/>
  <c r="QJE62" i="7" s="1"/>
  <c r="QJG62" i="7" s="1"/>
  <c r="QJI62" i="7" s="1"/>
  <c r="QJK62" i="7" s="1"/>
  <c r="QJM62" i="7" s="1"/>
  <c r="QJO62" i="7" s="1"/>
  <c r="QJQ62" i="7" s="1"/>
  <c r="QJS62" i="7" s="1"/>
  <c r="QJU62" i="7" s="1"/>
  <c r="QJW62" i="7" s="1"/>
  <c r="QJY62" i="7" s="1"/>
  <c r="QKA62" i="7" s="1"/>
  <c r="QKC62" i="7" s="1"/>
  <c r="QKE62" i="7" s="1"/>
  <c r="QKG62" i="7" s="1"/>
  <c r="QKI62" i="7" s="1"/>
  <c r="QKK62" i="7" s="1"/>
  <c r="QKM62" i="7" s="1"/>
  <c r="QKO62" i="7" s="1"/>
  <c r="QKQ62" i="7" s="1"/>
  <c r="QKS62" i="7" s="1"/>
  <c r="QKU62" i="7" s="1"/>
  <c r="QKW62" i="7" s="1"/>
  <c r="QKY62" i="7" s="1"/>
  <c r="QLA62" i="7" s="1"/>
  <c r="QLC62" i="7" s="1"/>
  <c r="QLE62" i="7" s="1"/>
  <c r="QLG62" i="7" s="1"/>
  <c r="QLI62" i="7" s="1"/>
  <c r="QLK62" i="7" s="1"/>
  <c r="QLM62" i="7" s="1"/>
  <c r="QLO62" i="7" s="1"/>
  <c r="QLQ62" i="7" s="1"/>
  <c r="QLS62" i="7" s="1"/>
  <c r="QLU62" i="7" s="1"/>
  <c r="QLW62" i="7" s="1"/>
  <c r="QLY62" i="7" s="1"/>
  <c r="QMA62" i="7" s="1"/>
  <c r="QMC62" i="7" s="1"/>
  <c r="QME62" i="7" s="1"/>
  <c r="QMG62" i="7" s="1"/>
  <c r="QMI62" i="7" s="1"/>
  <c r="QMK62" i="7" s="1"/>
  <c r="QMM62" i="7" s="1"/>
  <c r="QMO62" i="7" s="1"/>
  <c r="QMQ62" i="7" s="1"/>
  <c r="QMS62" i="7" s="1"/>
  <c r="QMU62" i="7" s="1"/>
  <c r="QMW62" i="7" s="1"/>
  <c r="QMY62" i="7" s="1"/>
  <c r="QNA62" i="7" s="1"/>
  <c r="QNC62" i="7" s="1"/>
  <c r="QNE62" i="7" s="1"/>
  <c r="QNG62" i="7" s="1"/>
  <c r="QNI62" i="7" s="1"/>
  <c r="QNK62" i="7" s="1"/>
  <c r="QNM62" i="7" s="1"/>
  <c r="QNO62" i="7" s="1"/>
  <c r="QNQ62" i="7" s="1"/>
  <c r="QNS62" i="7" s="1"/>
  <c r="QNU62" i="7" s="1"/>
  <c r="QNW62" i="7" s="1"/>
  <c r="QNY62" i="7" s="1"/>
  <c r="QOA62" i="7" s="1"/>
  <c r="QOC62" i="7" s="1"/>
  <c r="QOE62" i="7" s="1"/>
  <c r="QOG62" i="7" s="1"/>
  <c r="QOI62" i="7" s="1"/>
  <c r="QOK62" i="7" s="1"/>
  <c r="QOM62" i="7" s="1"/>
  <c r="QOO62" i="7" s="1"/>
  <c r="QOQ62" i="7" s="1"/>
  <c r="QOS62" i="7" s="1"/>
  <c r="QOU62" i="7" s="1"/>
  <c r="QOW62" i="7" s="1"/>
  <c r="QOY62" i="7" s="1"/>
  <c r="QPA62" i="7" s="1"/>
  <c r="QPC62" i="7" s="1"/>
  <c r="QPE62" i="7" s="1"/>
  <c r="QPG62" i="7" s="1"/>
  <c r="QPI62" i="7" s="1"/>
  <c r="QPK62" i="7" s="1"/>
  <c r="QPM62" i="7" s="1"/>
  <c r="QPO62" i="7" s="1"/>
  <c r="QPQ62" i="7" s="1"/>
  <c r="QPS62" i="7" s="1"/>
  <c r="QPU62" i="7" s="1"/>
  <c r="QPW62" i="7" s="1"/>
  <c r="QPY62" i="7" s="1"/>
  <c r="QQA62" i="7" s="1"/>
  <c r="QQC62" i="7" s="1"/>
  <c r="QQE62" i="7" s="1"/>
  <c r="QQG62" i="7" s="1"/>
  <c r="QQI62" i="7" s="1"/>
  <c r="QQK62" i="7" s="1"/>
  <c r="QQM62" i="7" s="1"/>
  <c r="QQO62" i="7" s="1"/>
  <c r="QQQ62" i="7" s="1"/>
  <c r="QQS62" i="7" s="1"/>
  <c r="QQU62" i="7" s="1"/>
  <c r="QQW62" i="7" s="1"/>
  <c r="QQY62" i="7" s="1"/>
  <c r="QRA62" i="7" s="1"/>
  <c r="QRC62" i="7" s="1"/>
  <c r="QRE62" i="7" s="1"/>
  <c r="QRG62" i="7" s="1"/>
  <c r="QRI62" i="7" s="1"/>
  <c r="QRK62" i="7" s="1"/>
  <c r="QRM62" i="7" s="1"/>
  <c r="QRO62" i="7" s="1"/>
  <c r="QRQ62" i="7" s="1"/>
  <c r="QRS62" i="7" s="1"/>
  <c r="QRU62" i="7" s="1"/>
  <c r="QRW62" i="7" s="1"/>
  <c r="QRY62" i="7" s="1"/>
  <c r="QSA62" i="7" s="1"/>
  <c r="QSC62" i="7" s="1"/>
  <c r="QSE62" i="7" s="1"/>
  <c r="QSG62" i="7" s="1"/>
  <c r="QSI62" i="7" s="1"/>
  <c r="QSK62" i="7" s="1"/>
  <c r="QSM62" i="7" s="1"/>
  <c r="QSO62" i="7" s="1"/>
  <c r="QSQ62" i="7" s="1"/>
  <c r="QSS62" i="7" s="1"/>
  <c r="QSU62" i="7" s="1"/>
  <c r="QSW62" i="7" s="1"/>
  <c r="QSY62" i="7" s="1"/>
  <c r="QTA62" i="7" s="1"/>
  <c r="QTC62" i="7" s="1"/>
  <c r="QTE62" i="7" s="1"/>
  <c r="QTG62" i="7" s="1"/>
  <c r="QTI62" i="7" s="1"/>
  <c r="QTK62" i="7" s="1"/>
  <c r="QTM62" i="7" s="1"/>
  <c r="QTO62" i="7" s="1"/>
  <c r="QTQ62" i="7" s="1"/>
  <c r="QTS62" i="7" s="1"/>
  <c r="QTU62" i="7" s="1"/>
  <c r="QTW62" i="7" s="1"/>
  <c r="QTY62" i="7" s="1"/>
  <c r="QUA62" i="7" s="1"/>
  <c r="QUC62" i="7" s="1"/>
  <c r="QUE62" i="7" s="1"/>
  <c r="QUG62" i="7" s="1"/>
  <c r="QUI62" i="7" s="1"/>
  <c r="QUK62" i="7" s="1"/>
  <c r="QUM62" i="7" s="1"/>
  <c r="QUO62" i="7" s="1"/>
  <c r="QUQ62" i="7" s="1"/>
  <c r="QUS62" i="7" s="1"/>
  <c r="QUU62" i="7" s="1"/>
  <c r="QUW62" i="7" s="1"/>
  <c r="QUY62" i="7" s="1"/>
  <c r="QVA62" i="7" s="1"/>
  <c r="QVC62" i="7" s="1"/>
  <c r="QVE62" i="7" s="1"/>
  <c r="QVG62" i="7" s="1"/>
  <c r="QVI62" i="7" s="1"/>
  <c r="QVK62" i="7" s="1"/>
  <c r="QVM62" i="7" s="1"/>
  <c r="QVO62" i="7" s="1"/>
  <c r="QVQ62" i="7" s="1"/>
  <c r="QVS62" i="7" s="1"/>
  <c r="QVU62" i="7" s="1"/>
  <c r="QVW62" i="7" s="1"/>
  <c r="QVY62" i="7" s="1"/>
  <c r="QWA62" i="7" s="1"/>
  <c r="QWC62" i="7" s="1"/>
  <c r="QWE62" i="7" s="1"/>
  <c r="QWG62" i="7" s="1"/>
  <c r="QWI62" i="7" s="1"/>
  <c r="QWK62" i="7" s="1"/>
  <c r="QWM62" i="7" s="1"/>
  <c r="QWO62" i="7" s="1"/>
  <c r="QWQ62" i="7" s="1"/>
  <c r="QWS62" i="7" s="1"/>
  <c r="QWU62" i="7" s="1"/>
  <c r="QWW62" i="7" s="1"/>
  <c r="QWY62" i="7" s="1"/>
  <c r="QXA62" i="7" s="1"/>
  <c r="QXC62" i="7" s="1"/>
  <c r="QXE62" i="7" s="1"/>
  <c r="QXG62" i="7" s="1"/>
  <c r="QXI62" i="7" s="1"/>
  <c r="QXK62" i="7" s="1"/>
  <c r="QXM62" i="7" s="1"/>
  <c r="QXO62" i="7" s="1"/>
  <c r="QXQ62" i="7" s="1"/>
  <c r="QXS62" i="7" s="1"/>
  <c r="QXU62" i="7" s="1"/>
  <c r="QXW62" i="7" s="1"/>
  <c r="QXY62" i="7" s="1"/>
  <c r="QYA62" i="7" s="1"/>
  <c r="QYC62" i="7" s="1"/>
  <c r="QYE62" i="7" s="1"/>
  <c r="QYG62" i="7" s="1"/>
  <c r="QYI62" i="7" s="1"/>
  <c r="QYK62" i="7" s="1"/>
  <c r="QYM62" i="7" s="1"/>
  <c r="QYO62" i="7" s="1"/>
  <c r="QYQ62" i="7" s="1"/>
  <c r="QYS62" i="7" s="1"/>
  <c r="QYU62" i="7" s="1"/>
  <c r="QYW62" i="7" s="1"/>
  <c r="QYY62" i="7" s="1"/>
  <c r="QZA62" i="7" s="1"/>
  <c r="QZC62" i="7" s="1"/>
  <c r="QZE62" i="7" s="1"/>
  <c r="QZG62" i="7" s="1"/>
  <c r="QZI62" i="7" s="1"/>
  <c r="QZK62" i="7" s="1"/>
  <c r="QZM62" i="7" s="1"/>
  <c r="QZO62" i="7" s="1"/>
  <c r="QZQ62" i="7" s="1"/>
  <c r="QZS62" i="7" s="1"/>
  <c r="QZU62" i="7" s="1"/>
  <c r="QZW62" i="7" s="1"/>
  <c r="QZY62" i="7" s="1"/>
  <c r="RAA62" i="7" s="1"/>
  <c r="RAC62" i="7" s="1"/>
  <c r="RAE62" i="7" s="1"/>
  <c r="RAG62" i="7" s="1"/>
  <c r="RAI62" i="7" s="1"/>
  <c r="RAK62" i="7" s="1"/>
  <c r="RAM62" i="7" s="1"/>
  <c r="RAO62" i="7" s="1"/>
  <c r="RAQ62" i="7" s="1"/>
  <c r="RAS62" i="7" s="1"/>
  <c r="RAU62" i="7" s="1"/>
  <c r="RAW62" i="7" s="1"/>
  <c r="RAY62" i="7" s="1"/>
  <c r="RBA62" i="7" s="1"/>
  <c r="RBC62" i="7" s="1"/>
  <c r="RBE62" i="7" s="1"/>
  <c r="RBG62" i="7" s="1"/>
  <c r="RBI62" i="7" s="1"/>
  <c r="RBK62" i="7" s="1"/>
  <c r="RBM62" i="7" s="1"/>
  <c r="RBO62" i="7" s="1"/>
  <c r="RBQ62" i="7" s="1"/>
  <c r="RBS62" i="7" s="1"/>
  <c r="RBU62" i="7" s="1"/>
  <c r="RBW62" i="7" s="1"/>
  <c r="RBY62" i="7" s="1"/>
  <c r="RCA62" i="7" s="1"/>
  <c r="RCC62" i="7" s="1"/>
  <c r="RCE62" i="7" s="1"/>
  <c r="RCG62" i="7" s="1"/>
  <c r="RCI62" i="7" s="1"/>
  <c r="RCK62" i="7" s="1"/>
  <c r="RCM62" i="7" s="1"/>
  <c r="RCO62" i="7" s="1"/>
  <c r="RCQ62" i="7" s="1"/>
  <c r="RCS62" i="7" s="1"/>
  <c r="RCU62" i="7" s="1"/>
  <c r="RCW62" i="7" s="1"/>
  <c r="RCY62" i="7" s="1"/>
  <c r="RDA62" i="7" s="1"/>
  <c r="RDC62" i="7" s="1"/>
  <c r="RDE62" i="7" s="1"/>
  <c r="RDG62" i="7" s="1"/>
  <c r="RDI62" i="7" s="1"/>
  <c r="RDK62" i="7" s="1"/>
  <c r="RDM62" i="7" s="1"/>
  <c r="RDO62" i="7" s="1"/>
  <c r="RDQ62" i="7" s="1"/>
  <c r="RDS62" i="7" s="1"/>
  <c r="RDU62" i="7" s="1"/>
  <c r="RDW62" i="7" s="1"/>
  <c r="RDY62" i="7" s="1"/>
  <c r="REA62" i="7" s="1"/>
  <c r="REC62" i="7" s="1"/>
  <c r="REE62" i="7" s="1"/>
  <c r="REG62" i="7" s="1"/>
  <c r="REI62" i="7" s="1"/>
  <c r="REK62" i="7" s="1"/>
  <c r="REM62" i="7" s="1"/>
  <c r="REO62" i="7" s="1"/>
  <c r="REQ62" i="7" s="1"/>
  <c r="RES62" i="7" s="1"/>
  <c r="REU62" i="7" s="1"/>
  <c r="REW62" i="7" s="1"/>
  <c r="REY62" i="7" s="1"/>
  <c r="RFA62" i="7" s="1"/>
  <c r="RFC62" i="7" s="1"/>
  <c r="RFE62" i="7" s="1"/>
  <c r="RFG62" i="7" s="1"/>
  <c r="RFI62" i="7" s="1"/>
  <c r="RFK62" i="7" s="1"/>
  <c r="RFM62" i="7" s="1"/>
  <c r="RFO62" i="7" s="1"/>
  <c r="RFQ62" i="7" s="1"/>
  <c r="RFS62" i="7" s="1"/>
  <c r="RFU62" i="7" s="1"/>
  <c r="RFW62" i="7" s="1"/>
  <c r="RFY62" i="7" s="1"/>
  <c r="RGA62" i="7" s="1"/>
  <c r="RGC62" i="7" s="1"/>
  <c r="RGE62" i="7" s="1"/>
  <c r="RGG62" i="7" s="1"/>
  <c r="RGI62" i="7" s="1"/>
  <c r="RGK62" i="7" s="1"/>
  <c r="RGM62" i="7" s="1"/>
  <c r="RGO62" i="7" s="1"/>
  <c r="RGQ62" i="7" s="1"/>
  <c r="RGS62" i="7" s="1"/>
  <c r="RGU62" i="7" s="1"/>
  <c r="RGW62" i="7" s="1"/>
  <c r="RGY62" i="7" s="1"/>
  <c r="RHA62" i="7" s="1"/>
  <c r="RHC62" i="7" s="1"/>
  <c r="RHE62" i="7" s="1"/>
  <c r="RHG62" i="7" s="1"/>
  <c r="RHI62" i="7" s="1"/>
  <c r="RHK62" i="7" s="1"/>
  <c r="RHM62" i="7" s="1"/>
  <c r="RHO62" i="7" s="1"/>
  <c r="RHQ62" i="7" s="1"/>
  <c r="RHS62" i="7" s="1"/>
  <c r="RHU62" i="7" s="1"/>
  <c r="RHW62" i="7" s="1"/>
  <c r="RHY62" i="7" s="1"/>
  <c r="RIA62" i="7" s="1"/>
  <c r="RIC62" i="7" s="1"/>
  <c r="RIE62" i="7" s="1"/>
  <c r="RIG62" i="7" s="1"/>
  <c r="RII62" i="7" s="1"/>
  <c r="RIK62" i="7" s="1"/>
  <c r="RIM62" i="7" s="1"/>
  <c r="RIO62" i="7" s="1"/>
  <c r="RIQ62" i="7" s="1"/>
  <c r="RIS62" i="7" s="1"/>
  <c r="RIU62" i="7" s="1"/>
  <c r="RIW62" i="7" s="1"/>
  <c r="RIY62" i="7" s="1"/>
  <c r="RJA62" i="7" s="1"/>
  <c r="RJC62" i="7" s="1"/>
  <c r="RJE62" i="7" s="1"/>
  <c r="RJG62" i="7" s="1"/>
  <c r="RJI62" i="7" s="1"/>
  <c r="RJK62" i="7" s="1"/>
  <c r="RJM62" i="7" s="1"/>
  <c r="RJO62" i="7" s="1"/>
  <c r="RJQ62" i="7" s="1"/>
  <c r="RJS62" i="7" s="1"/>
  <c r="RJU62" i="7" s="1"/>
  <c r="RJW62" i="7" s="1"/>
  <c r="RJY62" i="7" s="1"/>
  <c r="RKA62" i="7" s="1"/>
  <c r="RKC62" i="7" s="1"/>
  <c r="RKE62" i="7" s="1"/>
  <c r="RKG62" i="7" s="1"/>
  <c r="RKI62" i="7" s="1"/>
  <c r="RKK62" i="7" s="1"/>
  <c r="RKM62" i="7" s="1"/>
  <c r="RKO62" i="7" s="1"/>
  <c r="RKQ62" i="7" s="1"/>
  <c r="RKS62" i="7" s="1"/>
  <c r="RKU62" i="7" s="1"/>
  <c r="RKW62" i="7" s="1"/>
  <c r="RKY62" i="7" s="1"/>
  <c r="RLA62" i="7" s="1"/>
  <c r="RLC62" i="7" s="1"/>
  <c r="RLE62" i="7" s="1"/>
  <c r="RLG62" i="7" s="1"/>
  <c r="RLI62" i="7" s="1"/>
  <c r="RLK62" i="7" s="1"/>
  <c r="RLM62" i="7" s="1"/>
  <c r="RLO62" i="7" s="1"/>
  <c r="RLQ62" i="7" s="1"/>
  <c r="RLS62" i="7" s="1"/>
  <c r="RLU62" i="7" s="1"/>
  <c r="RLW62" i="7" s="1"/>
  <c r="RLY62" i="7" s="1"/>
  <c r="RMA62" i="7" s="1"/>
  <c r="RMC62" i="7" s="1"/>
  <c r="RME62" i="7" s="1"/>
  <c r="RMG62" i="7" s="1"/>
  <c r="RMI62" i="7" s="1"/>
  <c r="RMK62" i="7" s="1"/>
  <c r="RMM62" i="7" s="1"/>
  <c r="RMO62" i="7" s="1"/>
  <c r="RMQ62" i="7" s="1"/>
  <c r="RMS62" i="7" s="1"/>
  <c r="RMU62" i="7" s="1"/>
  <c r="RMW62" i="7" s="1"/>
  <c r="RMY62" i="7" s="1"/>
  <c r="RNA62" i="7" s="1"/>
  <c r="RNC62" i="7" s="1"/>
  <c r="RNE62" i="7" s="1"/>
  <c r="RNG62" i="7" s="1"/>
  <c r="RNI62" i="7" s="1"/>
  <c r="RNK62" i="7" s="1"/>
  <c r="RNM62" i="7" s="1"/>
  <c r="RNO62" i="7" s="1"/>
  <c r="RNQ62" i="7" s="1"/>
  <c r="RNS62" i="7" s="1"/>
  <c r="RNU62" i="7" s="1"/>
  <c r="RNW62" i="7" s="1"/>
  <c r="RNY62" i="7" s="1"/>
  <c r="ROA62" i="7" s="1"/>
  <c r="ROC62" i="7" s="1"/>
  <c r="ROE62" i="7" s="1"/>
  <c r="ROG62" i="7" s="1"/>
  <c r="ROI62" i="7" s="1"/>
  <c r="ROK62" i="7" s="1"/>
  <c r="ROM62" i="7" s="1"/>
  <c r="ROO62" i="7" s="1"/>
  <c r="ROQ62" i="7" s="1"/>
  <c r="ROS62" i="7" s="1"/>
  <c r="ROU62" i="7" s="1"/>
  <c r="ROW62" i="7" s="1"/>
  <c r="ROY62" i="7" s="1"/>
  <c r="RPA62" i="7" s="1"/>
  <c r="RPC62" i="7" s="1"/>
  <c r="RPE62" i="7" s="1"/>
  <c r="RPG62" i="7" s="1"/>
  <c r="RPI62" i="7" s="1"/>
  <c r="RPK62" i="7" s="1"/>
  <c r="RPM62" i="7" s="1"/>
  <c r="RPO62" i="7" s="1"/>
  <c r="RPQ62" i="7" s="1"/>
  <c r="RPS62" i="7" s="1"/>
  <c r="RPU62" i="7" s="1"/>
  <c r="RPW62" i="7" s="1"/>
  <c r="RPY62" i="7" s="1"/>
  <c r="RQA62" i="7" s="1"/>
  <c r="RQC62" i="7" s="1"/>
  <c r="RQE62" i="7" s="1"/>
  <c r="RQG62" i="7" s="1"/>
  <c r="RQI62" i="7" s="1"/>
  <c r="RQK62" i="7" s="1"/>
  <c r="RQM62" i="7" s="1"/>
  <c r="RQO62" i="7" s="1"/>
  <c r="RQQ62" i="7" s="1"/>
  <c r="RQS62" i="7" s="1"/>
  <c r="RQU62" i="7" s="1"/>
  <c r="RQW62" i="7" s="1"/>
  <c r="RQY62" i="7" s="1"/>
  <c r="RRA62" i="7" s="1"/>
  <c r="RRC62" i="7" s="1"/>
  <c r="RRE62" i="7" s="1"/>
  <c r="RRG62" i="7" s="1"/>
  <c r="RRI62" i="7" s="1"/>
  <c r="RRK62" i="7" s="1"/>
  <c r="RRM62" i="7" s="1"/>
  <c r="RRO62" i="7" s="1"/>
  <c r="RRQ62" i="7" s="1"/>
  <c r="RRS62" i="7" s="1"/>
  <c r="RRU62" i="7" s="1"/>
  <c r="RRW62" i="7" s="1"/>
  <c r="RRY62" i="7" s="1"/>
  <c r="RSA62" i="7" s="1"/>
  <c r="RSC62" i="7" s="1"/>
  <c r="RSE62" i="7" s="1"/>
  <c r="RSG62" i="7" s="1"/>
  <c r="RSI62" i="7" s="1"/>
  <c r="RSK62" i="7" s="1"/>
  <c r="RSM62" i="7" s="1"/>
  <c r="RSO62" i="7" s="1"/>
  <c r="RSQ62" i="7" s="1"/>
  <c r="RSS62" i="7" s="1"/>
  <c r="RSU62" i="7" s="1"/>
  <c r="RSW62" i="7" s="1"/>
  <c r="RSY62" i="7" s="1"/>
  <c r="RTA62" i="7" s="1"/>
  <c r="RTC62" i="7" s="1"/>
  <c r="RTE62" i="7" s="1"/>
  <c r="RTG62" i="7" s="1"/>
  <c r="RTI62" i="7" s="1"/>
  <c r="RTK62" i="7" s="1"/>
  <c r="RTM62" i="7" s="1"/>
  <c r="RTO62" i="7" s="1"/>
  <c r="RTQ62" i="7" s="1"/>
  <c r="RTS62" i="7" s="1"/>
  <c r="RTU62" i="7" s="1"/>
  <c r="RTW62" i="7" s="1"/>
  <c r="RTY62" i="7" s="1"/>
  <c r="RUA62" i="7" s="1"/>
  <c r="RUC62" i="7" s="1"/>
  <c r="RUE62" i="7" s="1"/>
  <c r="RUG62" i="7" s="1"/>
  <c r="RUI62" i="7" s="1"/>
  <c r="RUK62" i="7" s="1"/>
  <c r="RUM62" i="7" s="1"/>
  <c r="RUO62" i="7" s="1"/>
  <c r="RUQ62" i="7" s="1"/>
  <c r="RUS62" i="7" s="1"/>
  <c r="RUU62" i="7" s="1"/>
  <c r="RUW62" i="7" s="1"/>
  <c r="RUY62" i="7" s="1"/>
  <c r="RVA62" i="7" s="1"/>
  <c r="RVC62" i="7" s="1"/>
  <c r="RVE62" i="7" s="1"/>
  <c r="RVG62" i="7" s="1"/>
  <c r="RVI62" i="7" s="1"/>
  <c r="RVK62" i="7" s="1"/>
  <c r="RVM62" i="7" s="1"/>
  <c r="RVO62" i="7" s="1"/>
  <c r="RVQ62" i="7" s="1"/>
  <c r="RVS62" i="7" s="1"/>
  <c r="RVU62" i="7" s="1"/>
  <c r="RVW62" i="7" s="1"/>
  <c r="RVY62" i="7" s="1"/>
  <c r="RWA62" i="7" s="1"/>
  <c r="RWC62" i="7" s="1"/>
  <c r="RWE62" i="7" s="1"/>
  <c r="RWG62" i="7" s="1"/>
  <c r="RWI62" i="7" s="1"/>
  <c r="RWK62" i="7" s="1"/>
  <c r="RWM62" i="7" s="1"/>
  <c r="RWO62" i="7" s="1"/>
  <c r="RWQ62" i="7" s="1"/>
  <c r="RWS62" i="7" s="1"/>
  <c r="RWU62" i="7" s="1"/>
  <c r="RWW62" i="7" s="1"/>
  <c r="RWY62" i="7" s="1"/>
  <c r="RXA62" i="7" s="1"/>
  <c r="RXC62" i="7" s="1"/>
  <c r="RXE62" i="7" s="1"/>
  <c r="RXG62" i="7" s="1"/>
  <c r="RXI62" i="7" s="1"/>
  <c r="RXK62" i="7" s="1"/>
  <c r="RXM62" i="7" s="1"/>
  <c r="RXO62" i="7" s="1"/>
  <c r="RXQ62" i="7" s="1"/>
  <c r="RXS62" i="7" s="1"/>
  <c r="RXU62" i="7" s="1"/>
  <c r="RXW62" i="7" s="1"/>
  <c r="RXY62" i="7" s="1"/>
  <c r="RYA62" i="7" s="1"/>
  <c r="RYC62" i="7" s="1"/>
  <c r="RYE62" i="7" s="1"/>
  <c r="RYG62" i="7" s="1"/>
  <c r="RYI62" i="7" s="1"/>
  <c r="RYK62" i="7" s="1"/>
  <c r="RYM62" i="7" s="1"/>
  <c r="RYO62" i="7" s="1"/>
  <c r="RYQ62" i="7" s="1"/>
  <c r="RYS62" i="7" s="1"/>
  <c r="RYU62" i="7" s="1"/>
  <c r="RYW62" i="7" s="1"/>
  <c r="RYY62" i="7" s="1"/>
  <c r="RZA62" i="7" s="1"/>
  <c r="RZC62" i="7" s="1"/>
  <c r="RZE62" i="7" s="1"/>
  <c r="RZG62" i="7" s="1"/>
  <c r="RZI62" i="7" s="1"/>
  <c r="RZK62" i="7" s="1"/>
  <c r="RZM62" i="7" s="1"/>
  <c r="RZO62" i="7" s="1"/>
  <c r="RZQ62" i="7" s="1"/>
  <c r="RZS62" i="7" s="1"/>
  <c r="RZU62" i="7" s="1"/>
  <c r="RZW62" i="7" s="1"/>
  <c r="RZY62" i="7" s="1"/>
  <c r="SAA62" i="7" s="1"/>
  <c r="SAC62" i="7" s="1"/>
  <c r="SAE62" i="7" s="1"/>
  <c r="SAG62" i="7" s="1"/>
  <c r="SAI62" i="7" s="1"/>
  <c r="SAK62" i="7" s="1"/>
  <c r="SAM62" i="7" s="1"/>
  <c r="SAO62" i="7" s="1"/>
  <c r="SAQ62" i="7" s="1"/>
  <c r="SAS62" i="7" s="1"/>
  <c r="SAU62" i="7" s="1"/>
  <c r="SAW62" i="7" s="1"/>
  <c r="SAY62" i="7" s="1"/>
  <c r="SBA62" i="7" s="1"/>
  <c r="SBC62" i="7" s="1"/>
  <c r="SBE62" i="7" s="1"/>
  <c r="SBG62" i="7" s="1"/>
  <c r="SBI62" i="7" s="1"/>
  <c r="SBK62" i="7" s="1"/>
  <c r="SBM62" i="7" s="1"/>
  <c r="SBO62" i="7" s="1"/>
  <c r="SBQ62" i="7" s="1"/>
  <c r="SBS62" i="7" s="1"/>
  <c r="SBU62" i="7" s="1"/>
  <c r="SBW62" i="7" s="1"/>
  <c r="SBY62" i="7" s="1"/>
  <c r="SCA62" i="7" s="1"/>
  <c r="SCC62" i="7" s="1"/>
  <c r="SCE62" i="7" s="1"/>
  <c r="SCG62" i="7" s="1"/>
  <c r="SCI62" i="7" s="1"/>
  <c r="SCK62" i="7" s="1"/>
  <c r="SCM62" i="7" s="1"/>
  <c r="SCO62" i="7" s="1"/>
  <c r="SCQ62" i="7" s="1"/>
  <c r="SCS62" i="7" s="1"/>
  <c r="SCU62" i="7" s="1"/>
  <c r="SCW62" i="7" s="1"/>
  <c r="SCY62" i="7" s="1"/>
  <c r="SDA62" i="7" s="1"/>
  <c r="SDC62" i="7" s="1"/>
  <c r="SDE62" i="7" s="1"/>
  <c r="SDG62" i="7" s="1"/>
  <c r="SDI62" i="7" s="1"/>
  <c r="SDK62" i="7" s="1"/>
  <c r="SDM62" i="7" s="1"/>
  <c r="SDO62" i="7" s="1"/>
  <c r="SDQ62" i="7" s="1"/>
  <c r="SDS62" i="7" s="1"/>
  <c r="SDU62" i="7" s="1"/>
  <c r="SDW62" i="7" s="1"/>
  <c r="SDY62" i="7" s="1"/>
  <c r="SEA62" i="7" s="1"/>
  <c r="SEC62" i="7" s="1"/>
  <c r="SEE62" i="7" s="1"/>
  <c r="SEG62" i="7" s="1"/>
  <c r="SEI62" i="7" s="1"/>
  <c r="SEK62" i="7" s="1"/>
  <c r="SEM62" i="7" s="1"/>
  <c r="SEO62" i="7" s="1"/>
  <c r="SEQ62" i="7" s="1"/>
  <c r="SES62" i="7" s="1"/>
  <c r="SEU62" i="7" s="1"/>
  <c r="SEW62" i="7" s="1"/>
  <c r="SEY62" i="7" s="1"/>
  <c r="SFA62" i="7" s="1"/>
  <c r="SFC62" i="7" s="1"/>
  <c r="SFE62" i="7" s="1"/>
  <c r="SFG62" i="7" s="1"/>
  <c r="SFI62" i="7" s="1"/>
  <c r="SFK62" i="7" s="1"/>
  <c r="SFM62" i="7" s="1"/>
  <c r="SFO62" i="7" s="1"/>
  <c r="SFQ62" i="7" s="1"/>
  <c r="SFS62" i="7" s="1"/>
  <c r="SFU62" i="7" s="1"/>
  <c r="SFW62" i="7" s="1"/>
  <c r="SFY62" i="7" s="1"/>
  <c r="SGA62" i="7" s="1"/>
  <c r="SGC62" i="7" s="1"/>
  <c r="SGE62" i="7" s="1"/>
  <c r="SGG62" i="7" s="1"/>
  <c r="SGI62" i="7" s="1"/>
  <c r="SGK62" i="7" s="1"/>
  <c r="SGM62" i="7" s="1"/>
  <c r="SGO62" i="7" s="1"/>
  <c r="SGQ62" i="7" s="1"/>
  <c r="SGS62" i="7" s="1"/>
  <c r="SGU62" i="7" s="1"/>
  <c r="SGW62" i="7" s="1"/>
  <c r="SGY62" i="7" s="1"/>
  <c r="SHA62" i="7" s="1"/>
  <c r="SHC62" i="7" s="1"/>
  <c r="SHE62" i="7" s="1"/>
  <c r="SHG62" i="7" s="1"/>
  <c r="SHI62" i="7" s="1"/>
  <c r="SHK62" i="7" s="1"/>
  <c r="SHM62" i="7" s="1"/>
  <c r="SHO62" i="7" s="1"/>
  <c r="SHQ62" i="7" s="1"/>
  <c r="SHS62" i="7" s="1"/>
  <c r="SHU62" i="7" s="1"/>
  <c r="SHW62" i="7" s="1"/>
  <c r="SHY62" i="7" s="1"/>
  <c r="SIA62" i="7" s="1"/>
  <c r="SIC62" i="7" s="1"/>
  <c r="SIE62" i="7" s="1"/>
  <c r="SIG62" i="7" s="1"/>
  <c r="SII62" i="7" s="1"/>
  <c r="SIK62" i="7" s="1"/>
  <c r="SIM62" i="7" s="1"/>
  <c r="SIO62" i="7" s="1"/>
  <c r="SIQ62" i="7" s="1"/>
  <c r="SIS62" i="7" s="1"/>
  <c r="SIU62" i="7" s="1"/>
  <c r="SIW62" i="7" s="1"/>
  <c r="SIY62" i="7" s="1"/>
  <c r="SJA62" i="7" s="1"/>
  <c r="SJC62" i="7" s="1"/>
  <c r="SJE62" i="7" s="1"/>
  <c r="SJG62" i="7" s="1"/>
  <c r="SJI62" i="7" s="1"/>
  <c r="SJK62" i="7" s="1"/>
  <c r="SJM62" i="7" s="1"/>
  <c r="SJO62" i="7" s="1"/>
  <c r="SJQ62" i="7" s="1"/>
  <c r="SJS62" i="7" s="1"/>
  <c r="SJU62" i="7" s="1"/>
  <c r="SJW62" i="7" s="1"/>
  <c r="SJY62" i="7" s="1"/>
  <c r="SKA62" i="7" s="1"/>
  <c r="SKC62" i="7" s="1"/>
  <c r="SKE62" i="7" s="1"/>
  <c r="SKG62" i="7" s="1"/>
  <c r="SKI62" i="7" s="1"/>
  <c r="SKK62" i="7" s="1"/>
  <c r="SKM62" i="7" s="1"/>
  <c r="SKO62" i="7" s="1"/>
  <c r="SKQ62" i="7" s="1"/>
  <c r="SKS62" i="7" s="1"/>
  <c r="SKU62" i="7" s="1"/>
  <c r="SKW62" i="7" s="1"/>
  <c r="SKY62" i="7" s="1"/>
  <c r="SLA62" i="7" s="1"/>
  <c r="SLC62" i="7" s="1"/>
  <c r="SLE62" i="7" s="1"/>
  <c r="SLG62" i="7" s="1"/>
  <c r="SLI62" i="7" s="1"/>
  <c r="SLK62" i="7" s="1"/>
  <c r="SLM62" i="7" s="1"/>
  <c r="SLO62" i="7" s="1"/>
  <c r="SLQ62" i="7" s="1"/>
  <c r="SLS62" i="7" s="1"/>
  <c r="SLU62" i="7" s="1"/>
  <c r="SLW62" i="7" s="1"/>
  <c r="SLY62" i="7" s="1"/>
  <c r="SMA62" i="7" s="1"/>
  <c r="SMC62" i="7" s="1"/>
  <c r="SME62" i="7" s="1"/>
  <c r="SMG62" i="7" s="1"/>
  <c r="SMI62" i="7" s="1"/>
  <c r="SMK62" i="7" s="1"/>
  <c r="SMM62" i="7" s="1"/>
  <c r="SMO62" i="7" s="1"/>
  <c r="SMQ62" i="7" s="1"/>
  <c r="SMS62" i="7" s="1"/>
  <c r="SMU62" i="7" s="1"/>
  <c r="SMW62" i="7" s="1"/>
  <c r="SMY62" i="7" s="1"/>
  <c r="SNA62" i="7" s="1"/>
  <c r="SNC62" i="7" s="1"/>
  <c r="SNE62" i="7" s="1"/>
  <c r="SNG62" i="7" s="1"/>
  <c r="SNI62" i="7" s="1"/>
  <c r="SNK62" i="7" s="1"/>
  <c r="SNM62" i="7" s="1"/>
  <c r="SNO62" i="7" s="1"/>
  <c r="SNQ62" i="7" s="1"/>
  <c r="SNS62" i="7" s="1"/>
  <c r="SNU62" i="7" s="1"/>
  <c r="SNW62" i="7" s="1"/>
  <c r="SNY62" i="7" s="1"/>
  <c r="SOA62" i="7" s="1"/>
  <c r="SOC62" i="7" s="1"/>
  <c r="SOE62" i="7" s="1"/>
  <c r="SOG62" i="7" s="1"/>
  <c r="SOI62" i="7" s="1"/>
  <c r="SOK62" i="7" s="1"/>
  <c r="SOM62" i="7" s="1"/>
  <c r="SOO62" i="7" s="1"/>
  <c r="SOQ62" i="7" s="1"/>
  <c r="SOS62" i="7" s="1"/>
  <c r="SOU62" i="7" s="1"/>
  <c r="SOW62" i="7" s="1"/>
  <c r="SOY62" i="7" s="1"/>
  <c r="SPA62" i="7" s="1"/>
  <c r="SPC62" i="7" s="1"/>
  <c r="SPE62" i="7" s="1"/>
  <c r="SPG62" i="7" s="1"/>
  <c r="SPI62" i="7" s="1"/>
  <c r="SPK62" i="7" s="1"/>
  <c r="SPM62" i="7" s="1"/>
  <c r="SPO62" i="7" s="1"/>
  <c r="SPQ62" i="7" s="1"/>
  <c r="SPS62" i="7" s="1"/>
  <c r="SPU62" i="7" s="1"/>
  <c r="SPW62" i="7" s="1"/>
  <c r="SPY62" i="7" s="1"/>
  <c r="SQA62" i="7" s="1"/>
  <c r="SQC62" i="7" s="1"/>
  <c r="SQE62" i="7" s="1"/>
  <c r="SQG62" i="7" s="1"/>
  <c r="SQI62" i="7" s="1"/>
  <c r="SQK62" i="7" s="1"/>
  <c r="SQM62" i="7" s="1"/>
  <c r="SQO62" i="7" s="1"/>
  <c r="SQQ62" i="7" s="1"/>
  <c r="SQS62" i="7" s="1"/>
  <c r="SQU62" i="7" s="1"/>
  <c r="SQW62" i="7" s="1"/>
  <c r="SQY62" i="7" s="1"/>
  <c r="SRA62" i="7" s="1"/>
  <c r="SRC62" i="7" s="1"/>
  <c r="SRE62" i="7" s="1"/>
  <c r="SRG62" i="7" s="1"/>
  <c r="SRI62" i="7" s="1"/>
  <c r="SRK62" i="7" s="1"/>
  <c r="SRM62" i="7" s="1"/>
  <c r="SRO62" i="7" s="1"/>
  <c r="SRQ62" i="7" s="1"/>
  <c r="SRS62" i="7" s="1"/>
  <c r="SRU62" i="7" s="1"/>
  <c r="SRW62" i="7" s="1"/>
  <c r="SRY62" i="7" s="1"/>
  <c r="SSA62" i="7" s="1"/>
  <c r="SSC62" i="7" s="1"/>
  <c r="SSE62" i="7" s="1"/>
  <c r="SSG62" i="7" s="1"/>
  <c r="SSI62" i="7" s="1"/>
  <c r="SSK62" i="7" s="1"/>
  <c r="SSM62" i="7" s="1"/>
  <c r="SSO62" i="7" s="1"/>
  <c r="SSQ62" i="7" s="1"/>
  <c r="SSS62" i="7" s="1"/>
  <c r="SSU62" i="7" s="1"/>
  <c r="SSW62" i="7" s="1"/>
  <c r="SSY62" i="7" s="1"/>
  <c r="STA62" i="7" s="1"/>
  <c r="STC62" i="7" s="1"/>
  <c r="STE62" i="7" s="1"/>
  <c r="STG62" i="7" s="1"/>
  <c r="STI62" i="7" s="1"/>
  <c r="STK62" i="7" s="1"/>
  <c r="STM62" i="7" s="1"/>
  <c r="STO62" i="7" s="1"/>
  <c r="STQ62" i="7" s="1"/>
  <c r="STS62" i="7" s="1"/>
  <c r="STU62" i="7" s="1"/>
  <c r="STW62" i="7" s="1"/>
  <c r="STY62" i="7" s="1"/>
  <c r="SUA62" i="7" s="1"/>
  <c r="SUC62" i="7" s="1"/>
  <c r="SUE62" i="7" s="1"/>
  <c r="SUG62" i="7" s="1"/>
  <c r="SUI62" i="7" s="1"/>
  <c r="SUK62" i="7" s="1"/>
  <c r="SUM62" i="7" s="1"/>
  <c r="SUO62" i="7" s="1"/>
  <c r="SUQ62" i="7" s="1"/>
  <c r="SUS62" i="7" s="1"/>
  <c r="SUU62" i="7" s="1"/>
  <c r="SUW62" i="7" s="1"/>
  <c r="SUY62" i="7" s="1"/>
  <c r="SVA62" i="7" s="1"/>
  <c r="SVC62" i="7" s="1"/>
  <c r="SVE62" i="7" s="1"/>
  <c r="SVG62" i="7" s="1"/>
  <c r="SVI62" i="7" s="1"/>
  <c r="SVK62" i="7" s="1"/>
  <c r="SVM62" i="7" s="1"/>
  <c r="SVO62" i="7" s="1"/>
  <c r="SVQ62" i="7" s="1"/>
  <c r="SVS62" i="7" s="1"/>
  <c r="SVU62" i="7" s="1"/>
  <c r="SVW62" i="7" s="1"/>
  <c r="SVY62" i="7" s="1"/>
  <c r="SWA62" i="7" s="1"/>
  <c r="SWC62" i="7" s="1"/>
  <c r="SWE62" i="7" s="1"/>
  <c r="SWG62" i="7" s="1"/>
  <c r="SWI62" i="7" s="1"/>
  <c r="SWK62" i="7" s="1"/>
  <c r="SWM62" i="7" s="1"/>
  <c r="SWO62" i="7" s="1"/>
  <c r="SWQ62" i="7" s="1"/>
  <c r="SWS62" i="7" s="1"/>
  <c r="SWU62" i="7" s="1"/>
  <c r="SWW62" i="7" s="1"/>
  <c r="SWY62" i="7" s="1"/>
  <c r="SXA62" i="7" s="1"/>
  <c r="SXC62" i="7" s="1"/>
  <c r="SXE62" i="7" s="1"/>
  <c r="SXG62" i="7" s="1"/>
  <c r="SXI62" i="7" s="1"/>
  <c r="SXK62" i="7" s="1"/>
  <c r="SXM62" i="7" s="1"/>
  <c r="SXO62" i="7" s="1"/>
  <c r="SXQ62" i="7" s="1"/>
  <c r="SXS62" i="7" s="1"/>
  <c r="SXU62" i="7" s="1"/>
  <c r="SXW62" i="7" s="1"/>
  <c r="SXY62" i="7" s="1"/>
  <c r="SYA62" i="7" s="1"/>
  <c r="SYC62" i="7" s="1"/>
  <c r="SYE62" i="7" s="1"/>
  <c r="SYG62" i="7" s="1"/>
  <c r="SYI62" i="7" s="1"/>
  <c r="SYK62" i="7" s="1"/>
  <c r="SYM62" i="7" s="1"/>
  <c r="SYO62" i="7" s="1"/>
  <c r="SYQ62" i="7" s="1"/>
  <c r="SYS62" i="7" s="1"/>
  <c r="SYU62" i="7" s="1"/>
  <c r="SYW62" i="7" s="1"/>
  <c r="SYY62" i="7" s="1"/>
  <c r="SZA62" i="7" s="1"/>
  <c r="SZC62" i="7" s="1"/>
  <c r="SZE62" i="7" s="1"/>
  <c r="SZG62" i="7" s="1"/>
  <c r="SZI62" i="7" s="1"/>
  <c r="SZK62" i="7" s="1"/>
  <c r="SZM62" i="7" s="1"/>
  <c r="SZO62" i="7" s="1"/>
  <c r="SZQ62" i="7" s="1"/>
  <c r="SZS62" i="7" s="1"/>
  <c r="SZU62" i="7" s="1"/>
  <c r="SZW62" i="7" s="1"/>
  <c r="SZY62" i="7" s="1"/>
  <c r="TAA62" i="7" s="1"/>
  <c r="TAC62" i="7" s="1"/>
  <c r="TAE62" i="7" s="1"/>
  <c r="TAG62" i="7" s="1"/>
  <c r="TAI62" i="7" s="1"/>
  <c r="TAK62" i="7" s="1"/>
  <c r="TAM62" i="7" s="1"/>
  <c r="TAO62" i="7" s="1"/>
  <c r="TAQ62" i="7" s="1"/>
  <c r="TAS62" i="7" s="1"/>
  <c r="TAU62" i="7" s="1"/>
  <c r="TAW62" i="7" s="1"/>
  <c r="TAY62" i="7" s="1"/>
  <c r="TBA62" i="7" s="1"/>
  <c r="TBC62" i="7" s="1"/>
  <c r="TBE62" i="7" s="1"/>
  <c r="TBG62" i="7" s="1"/>
  <c r="TBI62" i="7" s="1"/>
  <c r="TBK62" i="7" s="1"/>
  <c r="TBM62" i="7" s="1"/>
  <c r="TBO62" i="7" s="1"/>
  <c r="TBQ62" i="7" s="1"/>
  <c r="TBS62" i="7" s="1"/>
  <c r="TBU62" i="7" s="1"/>
  <c r="TBW62" i="7" s="1"/>
  <c r="TBY62" i="7" s="1"/>
  <c r="TCA62" i="7" s="1"/>
  <c r="TCC62" i="7" s="1"/>
  <c r="TCE62" i="7" s="1"/>
  <c r="TCG62" i="7" s="1"/>
  <c r="TCI62" i="7" s="1"/>
  <c r="TCK62" i="7" s="1"/>
  <c r="TCM62" i="7" s="1"/>
  <c r="TCO62" i="7" s="1"/>
  <c r="TCQ62" i="7" s="1"/>
  <c r="TCS62" i="7" s="1"/>
  <c r="TCU62" i="7" s="1"/>
  <c r="TCW62" i="7" s="1"/>
  <c r="TCY62" i="7" s="1"/>
  <c r="TDA62" i="7" s="1"/>
  <c r="TDC62" i="7" s="1"/>
  <c r="TDE62" i="7" s="1"/>
  <c r="TDG62" i="7" s="1"/>
  <c r="TDI62" i="7" s="1"/>
  <c r="TDK62" i="7" s="1"/>
  <c r="TDM62" i="7" s="1"/>
  <c r="TDO62" i="7" s="1"/>
  <c r="TDQ62" i="7" s="1"/>
  <c r="TDS62" i="7" s="1"/>
  <c r="TDU62" i="7" s="1"/>
  <c r="TDW62" i="7" s="1"/>
  <c r="TDY62" i="7" s="1"/>
  <c r="TEA62" i="7" s="1"/>
  <c r="TEC62" i="7" s="1"/>
  <c r="TEE62" i="7" s="1"/>
  <c r="TEG62" i="7" s="1"/>
  <c r="TEI62" i="7" s="1"/>
  <c r="TEK62" i="7" s="1"/>
  <c r="TEM62" i="7" s="1"/>
  <c r="TEO62" i="7" s="1"/>
  <c r="TEQ62" i="7" s="1"/>
  <c r="TES62" i="7" s="1"/>
  <c r="TEU62" i="7" s="1"/>
  <c r="TEW62" i="7" s="1"/>
  <c r="TEY62" i="7" s="1"/>
  <c r="TFA62" i="7" s="1"/>
  <c r="TFC62" i="7" s="1"/>
  <c r="TFE62" i="7" s="1"/>
  <c r="TFG62" i="7" s="1"/>
  <c r="TFI62" i="7" s="1"/>
  <c r="TFK62" i="7" s="1"/>
  <c r="TFM62" i="7" s="1"/>
  <c r="TFO62" i="7" s="1"/>
  <c r="TFQ62" i="7" s="1"/>
  <c r="TFS62" i="7" s="1"/>
  <c r="TFU62" i="7" s="1"/>
  <c r="TFW62" i="7" s="1"/>
  <c r="TFY62" i="7" s="1"/>
  <c r="TGA62" i="7" s="1"/>
  <c r="TGC62" i="7" s="1"/>
  <c r="TGE62" i="7" s="1"/>
  <c r="TGG62" i="7" s="1"/>
  <c r="TGI62" i="7" s="1"/>
  <c r="TGK62" i="7" s="1"/>
  <c r="TGM62" i="7" s="1"/>
  <c r="TGO62" i="7" s="1"/>
  <c r="TGQ62" i="7" s="1"/>
  <c r="TGS62" i="7" s="1"/>
  <c r="TGU62" i="7" s="1"/>
  <c r="TGW62" i="7" s="1"/>
  <c r="TGY62" i="7" s="1"/>
  <c r="THA62" i="7" s="1"/>
  <c r="THC62" i="7" s="1"/>
  <c r="THE62" i="7" s="1"/>
  <c r="THG62" i="7" s="1"/>
  <c r="THI62" i="7" s="1"/>
  <c r="THK62" i="7" s="1"/>
  <c r="THM62" i="7" s="1"/>
  <c r="THO62" i="7" s="1"/>
  <c r="THQ62" i="7" s="1"/>
  <c r="THS62" i="7" s="1"/>
  <c r="THU62" i="7" s="1"/>
  <c r="THW62" i="7" s="1"/>
  <c r="THY62" i="7" s="1"/>
  <c r="TIA62" i="7" s="1"/>
  <c r="TIC62" i="7" s="1"/>
  <c r="TIE62" i="7" s="1"/>
  <c r="TIG62" i="7" s="1"/>
  <c r="TII62" i="7" s="1"/>
  <c r="TIK62" i="7" s="1"/>
  <c r="TIM62" i="7" s="1"/>
  <c r="TIO62" i="7" s="1"/>
  <c r="TIQ62" i="7" s="1"/>
  <c r="TIS62" i="7" s="1"/>
  <c r="TIU62" i="7" s="1"/>
  <c r="TIW62" i="7" s="1"/>
  <c r="TIY62" i="7" s="1"/>
  <c r="TJA62" i="7" s="1"/>
  <c r="TJC62" i="7" s="1"/>
  <c r="TJE62" i="7" s="1"/>
  <c r="TJG62" i="7" s="1"/>
  <c r="TJI62" i="7" s="1"/>
  <c r="TJK62" i="7" s="1"/>
  <c r="TJM62" i="7" s="1"/>
  <c r="TJO62" i="7" s="1"/>
  <c r="TJQ62" i="7" s="1"/>
  <c r="TJS62" i="7" s="1"/>
  <c r="TJU62" i="7" s="1"/>
  <c r="TJW62" i="7" s="1"/>
  <c r="TJY62" i="7" s="1"/>
  <c r="TKA62" i="7" s="1"/>
  <c r="TKC62" i="7" s="1"/>
  <c r="TKE62" i="7" s="1"/>
  <c r="TKG62" i="7" s="1"/>
  <c r="TKI62" i="7" s="1"/>
  <c r="TKK62" i="7" s="1"/>
  <c r="TKM62" i="7" s="1"/>
  <c r="TKO62" i="7" s="1"/>
  <c r="TKQ62" i="7" s="1"/>
  <c r="TKS62" i="7" s="1"/>
  <c r="TKU62" i="7" s="1"/>
  <c r="TKW62" i="7" s="1"/>
  <c r="TKY62" i="7" s="1"/>
  <c r="TLA62" i="7" s="1"/>
  <c r="TLC62" i="7" s="1"/>
  <c r="TLE62" i="7" s="1"/>
  <c r="TLG62" i="7" s="1"/>
  <c r="TLI62" i="7" s="1"/>
  <c r="TLK62" i="7" s="1"/>
  <c r="TLM62" i="7" s="1"/>
  <c r="TLO62" i="7" s="1"/>
  <c r="TLQ62" i="7" s="1"/>
  <c r="TLS62" i="7" s="1"/>
  <c r="TLU62" i="7" s="1"/>
  <c r="TLW62" i="7" s="1"/>
  <c r="TLY62" i="7" s="1"/>
  <c r="TMA62" i="7" s="1"/>
  <c r="TMC62" i="7" s="1"/>
  <c r="TME62" i="7" s="1"/>
  <c r="TMG62" i="7" s="1"/>
  <c r="TMI62" i="7" s="1"/>
  <c r="TMK62" i="7" s="1"/>
  <c r="TMM62" i="7" s="1"/>
  <c r="TMO62" i="7" s="1"/>
  <c r="TMQ62" i="7" s="1"/>
  <c r="TMS62" i="7" s="1"/>
  <c r="TMU62" i="7" s="1"/>
  <c r="TMW62" i="7" s="1"/>
  <c r="TMY62" i="7" s="1"/>
  <c r="TNA62" i="7" s="1"/>
  <c r="TNC62" i="7" s="1"/>
  <c r="TNE62" i="7" s="1"/>
  <c r="TNG62" i="7" s="1"/>
  <c r="TNI62" i="7" s="1"/>
  <c r="TNK62" i="7" s="1"/>
  <c r="TNM62" i="7" s="1"/>
  <c r="TNO62" i="7" s="1"/>
  <c r="TNQ62" i="7" s="1"/>
  <c r="TNS62" i="7" s="1"/>
  <c r="TNU62" i="7" s="1"/>
  <c r="TNW62" i="7" s="1"/>
  <c r="TNY62" i="7" s="1"/>
  <c r="TOA62" i="7" s="1"/>
  <c r="TOC62" i="7" s="1"/>
  <c r="TOE62" i="7" s="1"/>
  <c r="TOG62" i="7" s="1"/>
  <c r="TOI62" i="7" s="1"/>
  <c r="TOK62" i="7" s="1"/>
  <c r="TOM62" i="7" s="1"/>
  <c r="TOO62" i="7" s="1"/>
  <c r="TOQ62" i="7" s="1"/>
  <c r="TOS62" i="7" s="1"/>
  <c r="TOU62" i="7" s="1"/>
  <c r="TOW62" i="7" s="1"/>
  <c r="TOY62" i="7" s="1"/>
  <c r="TPA62" i="7" s="1"/>
  <c r="TPC62" i="7" s="1"/>
  <c r="TPE62" i="7" s="1"/>
  <c r="TPG62" i="7" s="1"/>
  <c r="TPI62" i="7" s="1"/>
  <c r="TPK62" i="7" s="1"/>
  <c r="TPM62" i="7" s="1"/>
  <c r="TPO62" i="7" s="1"/>
  <c r="TPQ62" i="7" s="1"/>
  <c r="TPS62" i="7" s="1"/>
  <c r="TPU62" i="7" s="1"/>
  <c r="TPW62" i="7" s="1"/>
  <c r="TPY62" i="7" s="1"/>
  <c r="TQA62" i="7" s="1"/>
  <c r="TQC62" i="7" s="1"/>
  <c r="TQE62" i="7" s="1"/>
  <c r="TQG62" i="7" s="1"/>
  <c r="TQI62" i="7" s="1"/>
  <c r="TQK62" i="7" s="1"/>
  <c r="TQM62" i="7" s="1"/>
  <c r="TQO62" i="7" s="1"/>
  <c r="TQQ62" i="7" s="1"/>
  <c r="TQS62" i="7" s="1"/>
  <c r="TQU62" i="7" s="1"/>
  <c r="TQW62" i="7" s="1"/>
  <c r="TQY62" i="7" s="1"/>
  <c r="TRA62" i="7" s="1"/>
  <c r="TRC62" i="7" s="1"/>
  <c r="TRE62" i="7" s="1"/>
  <c r="TRG62" i="7" s="1"/>
  <c r="TRI62" i="7" s="1"/>
  <c r="TRK62" i="7" s="1"/>
  <c r="TRM62" i="7" s="1"/>
  <c r="TRO62" i="7" s="1"/>
  <c r="TRQ62" i="7" s="1"/>
  <c r="TRS62" i="7" s="1"/>
  <c r="TRU62" i="7" s="1"/>
  <c r="TRW62" i="7" s="1"/>
  <c r="TRY62" i="7" s="1"/>
  <c r="TSA62" i="7" s="1"/>
  <c r="TSC62" i="7" s="1"/>
  <c r="TSE62" i="7" s="1"/>
  <c r="TSG62" i="7" s="1"/>
  <c r="TSI62" i="7" s="1"/>
  <c r="TSK62" i="7" s="1"/>
  <c r="TSM62" i="7" s="1"/>
  <c r="TSO62" i="7" s="1"/>
  <c r="TSQ62" i="7" s="1"/>
  <c r="TSS62" i="7" s="1"/>
  <c r="TSU62" i="7" s="1"/>
  <c r="TSW62" i="7" s="1"/>
  <c r="TSY62" i="7" s="1"/>
  <c r="TTA62" i="7" s="1"/>
  <c r="TTC62" i="7" s="1"/>
  <c r="TTE62" i="7" s="1"/>
  <c r="TTG62" i="7" s="1"/>
  <c r="TTI62" i="7" s="1"/>
  <c r="TTK62" i="7" s="1"/>
  <c r="TTM62" i="7" s="1"/>
  <c r="TTO62" i="7" s="1"/>
  <c r="TTQ62" i="7" s="1"/>
  <c r="TTS62" i="7" s="1"/>
  <c r="TTU62" i="7" s="1"/>
  <c r="TTW62" i="7" s="1"/>
  <c r="TTY62" i="7" s="1"/>
  <c r="TUA62" i="7" s="1"/>
  <c r="TUC62" i="7" s="1"/>
  <c r="TUE62" i="7" s="1"/>
  <c r="TUG62" i="7" s="1"/>
  <c r="TUI62" i="7" s="1"/>
  <c r="TUK62" i="7" s="1"/>
  <c r="TUM62" i="7" s="1"/>
  <c r="TUO62" i="7" s="1"/>
  <c r="TUQ62" i="7" s="1"/>
  <c r="TUS62" i="7" s="1"/>
  <c r="TUU62" i="7" s="1"/>
  <c r="TUW62" i="7" s="1"/>
  <c r="TUY62" i="7" s="1"/>
  <c r="TVA62" i="7" s="1"/>
  <c r="TVC62" i="7" s="1"/>
  <c r="TVE62" i="7" s="1"/>
  <c r="TVG62" i="7" s="1"/>
  <c r="TVI62" i="7" s="1"/>
  <c r="TVK62" i="7" s="1"/>
  <c r="TVM62" i="7" s="1"/>
  <c r="TVO62" i="7" s="1"/>
  <c r="TVQ62" i="7" s="1"/>
  <c r="TVS62" i="7" s="1"/>
  <c r="TVU62" i="7" s="1"/>
  <c r="TVW62" i="7" s="1"/>
  <c r="TVY62" i="7" s="1"/>
  <c r="TWA62" i="7" s="1"/>
  <c r="TWC62" i="7" s="1"/>
  <c r="TWE62" i="7" s="1"/>
  <c r="TWG62" i="7" s="1"/>
  <c r="TWI62" i="7" s="1"/>
  <c r="TWK62" i="7" s="1"/>
  <c r="TWM62" i="7" s="1"/>
  <c r="TWO62" i="7" s="1"/>
  <c r="TWQ62" i="7" s="1"/>
  <c r="TWS62" i="7" s="1"/>
  <c r="TWU62" i="7" s="1"/>
  <c r="TWW62" i="7" s="1"/>
  <c r="TWY62" i="7" s="1"/>
  <c r="TXA62" i="7" s="1"/>
  <c r="TXC62" i="7" s="1"/>
  <c r="TXE62" i="7" s="1"/>
  <c r="TXG62" i="7" s="1"/>
  <c r="TXI62" i="7" s="1"/>
  <c r="TXK62" i="7" s="1"/>
  <c r="TXM62" i="7" s="1"/>
  <c r="TXO62" i="7" s="1"/>
  <c r="TXQ62" i="7" s="1"/>
  <c r="TXS62" i="7" s="1"/>
  <c r="TXU62" i="7" s="1"/>
  <c r="TXW62" i="7" s="1"/>
  <c r="TXY62" i="7" s="1"/>
  <c r="TYA62" i="7" s="1"/>
  <c r="TYC62" i="7" s="1"/>
  <c r="TYE62" i="7" s="1"/>
  <c r="TYG62" i="7" s="1"/>
  <c r="TYI62" i="7" s="1"/>
  <c r="TYK62" i="7" s="1"/>
  <c r="TYM62" i="7" s="1"/>
  <c r="TYO62" i="7" s="1"/>
  <c r="TYQ62" i="7" s="1"/>
  <c r="TYS62" i="7" s="1"/>
  <c r="TYU62" i="7" s="1"/>
  <c r="TYW62" i="7" s="1"/>
  <c r="TYY62" i="7" s="1"/>
  <c r="TZA62" i="7" s="1"/>
  <c r="TZC62" i="7" s="1"/>
  <c r="TZE62" i="7" s="1"/>
  <c r="TZG62" i="7" s="1"/>
  <c r="TZI62" i="7" s="1"/>
  <c r="TZK62" i="7" s="1"/>
  <c r="TZM62" i="7" s="1"/>
  <c r="TZO62" i="7" s="1"/>
  <c r="TZQ62" i="7" s="1"/>
  <c r="TZS62" i="7" s="1"/>
  <c r="TZU62" i="7" s="1"/>
  <c r="TZW62" i="7" s="1"/>
  <c r="TZY62" i="7" s="1"/>
  <c r="UAA62" i="7" s="1"/>
  <c r="UAC62" i="7" s="1"/>
  <c r="UAE62" i="7" s="1"/>
  <c r="UAG62" i="7" s="1"/>
  <c r="UAI62" i="7" s="1"/>
  <c r="UAK62" i="7" s="1"/>
  <c r="UAM62" i="7" s="1"/>
  <c r="UAO62" i="7" s="1"/>
  <c r="UAQ62" i="7" s="1"/>
  <c r="UAS62" i="7" s="1"/>
  <c r="UAU62" i="7" s="1"/>
  <c r="UAW62" i="7" s="1"/>
  <c r="UAY62" i="7" s="1"/>
  <c r="UBA62" i="7" s="1"/>
  <c r="UBC62" i="7" s="1"/>
  <c r="UBE62" i="7" s="1"/>
  <c r="UBG62" i="7" s="1"/>
  <c r="UBI62" i="7" s="1"/>
  <c r="UBK62" i="7" s="1"/>
  <c r="UBM62" i="7" s="1"/>
  <c r="UBO62" i="7" s="1"/>
  <c r="UBQ62" i="7" s="1"/>
  <c r="UBS62" i="7" s="1"/>
  <c r="UBU62" i="7" s="1"/>
  <c r="UBW62" i="7" s="1"/>
  <c r="UBY62" i="7" s="1"/>
  <c r="UCA62" i="7" s="1"/>
  <c r="UCC62" i="7" s="1"/>
  <c r="UCE62" i="7" s="1"/>
  <c r="UCG62" i="7" s="1"/>
  <c r="UCI62" i="7" s="1"/>
  <c r="UCK62" i="7" s="1"/>
  <c r="UCM62" i="7" s="1"/>
  <c r="UCO62" i="7" s="1"/>
  <c r="UCQ62" i="7" s="1"/>
  <c r="UCS62" i="7" s="1"/>
  <c r="UCU62" i="7" s="1"/>
  <c r="UCW62" i="7" s="1"/>
  <c r="UCY62" i="7" s="1"/>
  <c r="UDA62" i="7" s="1"/>
  <c r="UDC62" i="7" s="1"/>
  <c r="UDE62" i="7" s="1"/>
  <c r="UDG62" i="7" s="1"/>
  <c r="UDI62" i="7" s="1"/>
  <c r="UDK62" i="7" s="1"/>
  <c r="UDM62" i="7" s="1"/>
  <c r="UDO62" i="7" s="1"/>
  <c r="UDQ62" i="7" s="1"/>
  <c r="UDS62" i="7" s="1"/>
  <c r="UDU62" i="7" s="1"/>
  <c r="UDW62" i="7" s="1"/>
  <c r="UDY62" i="7" s="1"/>
  <c r="UEA62" i="7" s="1"/>
  <c r="UEC62" i="7" s="1"/>
  <c r="UEE62" i="7" s="1"/>
  <c r="UEG62" i="7" s="1"/>
  <c r="UEI62" i="7" s="1"/>
  <c r="UEK62" i="7" s="1"/>
  <c r="UEM62" i="7" s="1"/>
  <c r="UEO62" i="7" s="1"/>
  <c r="UEQ62" i="7" s="1"/>
  <c r="UES62" i="7" s="1"/>
  <c r="UEU62" i="7" s="1"/>
  <c r="UEW62" i="7" s="1"/>
  <c r="UEY62" i="7" s="1"/>
  <c r="UFA62" i="7" s="1"/>
  <c r="UFC62" i="7" s="1"/>
  <c r="UFE62" i="7" s="1"/>
  <c r="UFG62" i="7" s="1"/>
  <c r="UFI62" i="7" s="1"/>
  <c r="UFK62" i="7" s="1"/>
  <c r="UFM62" i="7" s="1"/>
  <c r="UFO62" i="7" s="1"/>
  <c r="UFQ62" i="7" s="1"/>
  <c r="UFS62" i="7" s="1"/>
  <c r="UFU62" i="7" s="1"/>
  <c r="UFW62" i="7" s="1"/>
  <c r="UFY62" i="7" s="1"/>
  <c r="UGA62" i="7" s="1"/>
  <c r="UGC62" i="7" s="1"/>
  <c r="UGE62" i="7" s="1"/>
  <c r="UGG62" i="7" s="1"/>
  <c r="UGI62" i="7" s="1"/>
  <c r="UGK62" i="7" s="1"/>
  <c r="UGM62" i="7" s="1"/>
  <c r="UGO62" i="7" s="1"/>
  <c r="UGQ62" i="7" s="1"/>
  <c r="UGS62" i="7" s="1"/>
  <c r="UGU62" i="7" s="1"/>
  <c r="UGW62" i="7" s="1"/>
  <c r="UGY62" i="7" s="1"/>
  <c r="UHA62" i="7" s="1"/>
  <c r="UHC62" i="7" s="1"/>
  <c r="UHE62" i="7" s="1"/>
  <c r="UHG62" i="7" s="1"/>
  <c r="UHI62" i="7" s="1"/>
  <c r="UHK62" i="7" s="1"/>
  <c r="UHM62" i="7" s="1"/>
  <c r="UHO62" i="7" s="1"/>
  <c r="UHQ62" i="7" s="1"/>
  <c r="UHS62" i="7" s="1"/>
  <c r="UHU62" i="7" s="1"/>
  <c r="UHW62" i="7" s="1"/>
  <c r="UHY62" i="7" s="1"/>
  <c r="UIA62" i="7" s="1"/>
  <c r="UIC62" i="7" s="1"/>
  <c r="UIE62" i="7" s="1"/>
  <c r="UIG62" i="7" s="1"/>
  <c r="UII62" i="7" s="1"/>
  <c r="UIK62" i="7" s="1"/>
  <c r="UIM62" i="7" s="1"/>
  <c r="UIO62" i="7" s="1"/>
  <c r="UIQ62" i="7" s="1"/>
  <c r="UIS62" i="7" s="1"/>
  <c r="UIU62" i="7" s="1"/>
  <c r="UIW62" i="7" s="1"/>
  <c r="UIY62" i="7" s="1"/>
  <c r="UJA62" i="7" s="1"/>
  <c r="UJC62" i="7" s="1"/>
  <c r="UJE62" i="7" s="1"/>
  <c r="UJG62" i="7" s="1"/>
  <c r="UJI62" i="7" s="1"/>
  <c r="UJK62" i="7" s="1"/>
  <c r="UJM62" i="7" s="1"/>
  <c r="UJO62" i="7" s="1"/>
  <c r="UJQ62" i="7" s="1"/>
  <c r="UJS62" i="7" s="1"/>
  <c r="UJU62" i="7" s="1"/>
  <c r="UJW62" i="7" s="1"/>
  <c r="UJY62" i="7" s="1"/>
  <c r="UKA62" i="7" s="1"/>
  <c r="UKC62" i="7" s="1"/>
  <c r="UKE62" i="7" s="1"/>
  <c r="UKG62" i="7" s="1"/>
  <c r="UKI62" i="7" s="1"/>
  <c r="UKK62" i="7" s="1"/>
  <c r="UKM62" i="7" s="1"/>
  <c r="UKO62" i="7" s="1"/>
  <c r="UKQ62" i="7" s="1"/>
  <c r="UKS62" i="7" s="1"/>
  <c r="UKU62" i="7" s="1"/>
  <c r="UKW62" i="7" s="1"/>
  <c r="UKY62" i="7" s="1"/>
  <c r="ULA62" i="7" s="1"/>
  <c r="ULC62" i="7" s="1"/>
  <c r="ULE62" i="7" s="1"/>
  <c r="ULG62" i="7" s="1"/>
  <c r="ULI62" i="7" s="1"/>
  <c r="ULK62" i="7" s="1"/>
  <c r="ULM62" i="7" s="1"/>
  <c r="ULO62" i="7" s="1"/>
  <c r="ULQ62" i="7" s="1"/>
  <c r="ULS62" i="7" s="1"/>
  <c r="ULU62" i="7" s="1"/>
  <c r="ULW62" i="7" s="1"/>
  <c r="ULY62" i="7" s="1"/>
  <c r="UMA62" i="7" s="1"/>
  <c r="UMC62" i="7" s="1"/>
  <c r="UME62" i="7" s="1"/>
  <c r="UMG62" i="7" s="1"/>
  <c r="UMI62" i="7" s="1"/>
  <c r="UMK62" i="7" s="1"/>
  <c r="UMM62" i="7" s="1"/>
  <c r="UMO62" i="7" s="1"/>
  <c r="UMQ62" i="7" s="1"/>
  <c r="UMS62" i="7" s="1"/>
  <c r="UMU62" i="7" s="1"/>
  <c r="UMW62" i="7" s="1"/>
  <c r="UMY62" i="7" s="1"/>
  <c r="UNA62" i="7" s="1"/>
  <c r="UNC62" i="7" s="1"/>
  <c r="UNE62" i="7" s="1"/>
  <c r="UNG62" i="7" s="1"/>
  <c r="UNI62" i="7" s="1"/>
  <c r="UNK62" i="7" s="1"/>
  <c r="UNM62" i="7" s="1"/>
  <c r="UNO62" i="7" s="1"/>
  <c r="UNQ62" i="7" s="1"/>
  <c r="UNS62" i="7" s="1"/>
  <c r="UNU62" i="7" s="1"/>
  <c r="UNW62" i="7" s="1"/>
  <c r="UNY62" i="7" s="1"/>
  <c r="UOA62" i="7" s="1"/>
  <c r="UOC62" i="7" s="1"/>
  <c r="UOE62" i="7" s="1"/>
  <c r="UOG62" i="7" s="1"/>
  <c r="UOI62" i="7" s="1"/>
  <c r="UOK62" i="7" s="1"/>
  <c r="UOM62" i="7" s="1"/>
  <c r="UOO62" i="7" s="1"/>
  <c r="UOQ62" i="7" s="1"/>
  <c r="UOS62" i="7" s="1"/>
  <c r="UOU62" i="7" s="1"/>
  <c r="UOW62" i="7" s="1"/>
  <c r="UOY62" i="7" s="1"/>
  <c r="UPA62" i="7" s="1"/>
  <c r="UPC62" i="7" s="1"/>
  <c r="UPE62" i="7" s="1"/>
  <c r="UPG62" i="7" s="1"/>
  <c r="UPI62" i="7" s="1"/>
  <c r="UPK62" i="7" s="1"/>
  <c r="UPM62" i="7" s="1"/>
  <c r="UPO62" i="7" s="1"/>
  <c r="UPQ62" i="7" s="1"/>
  <c r="UPS62" i="7" s="1"/>
  <c r="UPU62" i="7" s="1"/>
  <c r="UPW62" i="7" s="1"/>
  <c r="UPY62" i="7" s="1"/>
  <c r="UQA62" i="7" s="1"/>
  <c r="UQC62" i="7" s="1"/>
  <c r="UQE62" i="7" s="1"/>
  <c r="UQG62" i="7" s="1"/>
  <c r="UQI62" i="7" s="1"/>
  <c r="UQK62" i="7" s="1"/>
  <c r="UQM62" i="7" s="1"/>
  <c r="UQO62" i="7" s="1"/>
  <c r="UQQ62" i="7" s="1"/>
  <c r="UQS62" i="7" s="1"/>
  <c r="UQU62" i="7" s="1"/>
  <c r="UQW62" i="7" s="1"/>
  <c r="UQY62" i="7" s="1"/>
  <c r="URA62" i="7" s="1"/>
  <c r="URC62" i="7" s="1"/>
  <c r="URE62" i="7" s="1"/>
  <c r="URG62" i="7" s="1"/>
  <c r="URI62" i="7" s="1"/>
  <c r="URK62" i="7" s="1"/>
  <c r="URM62" i="7" s="1"/>
  <c r="URO62" i="7" s="1"/>
  <c r="URQ62" i="7" s="1"/>
  <c r="URS62" i="7" s="1"/>
  <c r="URU62" i="7" s="1"/>
  <c r="URW62" i="7" s="1"/>
  <c r="URY62" i="7" s="1"/>
  <c r="USA62" i="7" s="1"/>
  <c r="USC62" i="7" s="1"/>
  <c r="USE62" i="7" s="1"/>
  <c r="USG62" i="7" s="1"/>
  <c r="USI62" i="7" s="1"/>
  <c r="USK62" i="7" s="1"/>
  <c r="USM62" i="7" s="1"/>
  <c r="USO62" i="7" s="1"/>
  <c r="USQ62" i="7" s="1"/>
  <c r="USS62" i="7" s="1"/>
  <c r="USU62" i="7" s="1"/>
  <c r="USW62" i="7" s="1"/>
  <c r="USY62" i="7" s="1"/>
  <c r="UTA62" i="7" s="1"/>
  <c r="UTC62" i="7" s="1"/>
  <c r="UTE62" i="7" s="1"/>
  <c r="UTG62" i="7" s="1"/>
  <c r="UTI62" i="7" s="1"/>
  <c r="UTK62" i="7" s="1"/>
  <c r="UTM62" i="7" s="1"/>
  <c r="UTO62" i="7" s="1"/>
  <c r="UTQ62" i="7" s="1"/>
  <c r="UTS62" i="7" s="1"/>
  <c r="UTU62" i="7" s="1"/>
  <c r="UTW62" i="7" s="1"/>
  <c r="UTY62" i="7" s="1"/>
  <c r="UUA62" i="7" s="1"/>
  <c r="UUC62" i="7" s="1"/>
  <c r="UUE62" i="7" s="1"/>
  <c r="UUG62" i="7" s="1"/>
  <c r="UUI62" i="7" s="1"/>
  <c r="UUK62" i="7" s="1"/>
  <c r="UUM62" i="7" s="1"/>
  <c r="UUO62" i="7" s="1"/>
  <c r="UUQ62" i="7" s="1"/>
  <c r="UUS62" i="7" s="1"/>
  <c r="UUU62" i="7" s="1"/>
  <c r="UUW62" i="7" s="1"/>
  <c r="UUY62" i="7" s="1"/>
  <c r="UVA62" i="7" s="1"/>
  <c r="UVC62" i="7" s="1"/>
  <c r="UVE62" i="7" s="1"/>
  <c r="UVG62" i="7" s="1"/>
  <c r="UVI62" i="7" s="1"/>
  <c r="UVK62" i="7" s="1"/>
  <c r="UVM62" i="7" s="1"/>
  <c r="UVO62" i="7" s="1"/>
  <c r="UVQ62" i="7" s="1"/>
  <c r="UVS62" i="7" s="1"/>
  <c r="UVU62" i="7" s="1"/>
  <c r="UVW62" i="7" s="1"/>
  <c r="UVY62" i="7" s="1"/>
  <c r="UWA62" i="7" s="1"/>
  <c r="UWC62" i="7" s="1"/>
  <c r="UWE62" i="7" s="1"/>
  <c r="UWG62" i="7" s="1"/>
  <c r="UWI62" i="7" s="1"/>
  <c r="UWK62" i="7" s="1"/>
  <c r="UWM62" i="7" s="1"/>
  <c r="UWO62" i="7" s="1"/>
  <c r="UWQ62" i="7" s="1"/>
  <c r="UWS62" i="7" s="1"/>
  <c r="UWU62" i="7" s="1"/>
  <c r="UWW62" i="7" s="1"/>
  <c r="UWY62" i="7" s="1"/>
  <c r="UXA62" i="7" s="1"/>
  <c r="UXC62" i="7" s="1"/>
  <c r="UXE62" i="7" s="1"/>
  <c r="UXG62" i="7" s="1"/>
  <c r="UXI62" i="7" s="1"/>
  <c r="UXK62" i="7" s="1"/>
  <c r="UXM62" i="7" s="1"/>
  <c r="UXO62" i="7" s="1"/>
  <c r="UXQ62" i="7" s="1"/>
  <c r="UXS62" i="7" s="1"/>
  <c r="UXU62" i="7" s="1"/>
  <c r="UXW62" i="7" s="1"/>
  <c r="UXY62" i="7" s="1"/>
  <c r="UYA62" i="7" s="1"/>
  <c r="UYC62" i="7" s="1"/>
  <c r="UYE62" i="7" s="1"/>
  <c r="UYG62" i="7" s="1"/>
  <c r="UYI62" i="7" s="1"/>
  <c r="UYK62" i="7" s="1"/>
  <c r="UYM62" i="7" s="1"/>
  <c r="UYO62" i="7" s="1"/>
  <c r="UYQ62" i="7" s="1"/>
  <c r="UYS62" i="7" s="1"/>
  <c r="UYU62" i="7" s="1"/>
  <c r="UYW62" i="7" s="1"/>
  <c r="UYY62" i="7" s="1"/>
  <c r="UZA62" i="7" s="1"/>
  <c r="UZC62" i="7" s="1"/>
  <c r="UZE62" i="7" s="1"/>
  <c r="UZG62" i="7" s="1"/>
  <c r="UZI62" i="7" s="1"/>
  <c r="UZK62" i="7" s="1"/>
  <c r="UZM62" i="7" s="1"/>
  <c r="UZO62" i="7" s="1"/>
  <c r="UZQ62" i="7" s="1"/>
  <c r="UZS62" i="7" s="1"/>
  <c r="UZU62" i="7" s="1"/>
  <c r="UZW62" i="7" s="1"/>
  <c r="UZY62" i="7" s="1"/>
  <c r="VAA62" i="7" s="1"/>
  <c r="VAC62" i="7" s="1"/>
  <c r="VAE62" i="7" s="1"/>
  <c r="VAG62" i="7" s="1"/>
  <c r="VAI62" i="7" s="1"/>
  <c r="VAK62" i="7" s="1"/>
  <c r="VAM62" i="7" s="1"/>
  <c r="VAO62" i="7" s="1"/>
  <c r="VAQ62" i="7" s="1"/>
  <c r="VAS62" i="7" s="1"/>
  <c r="VAU62" i="7" s="1"/>
  <c r="VAW62" i="7" s="1"/>
  <c r="VAY62" i="7" s="1"/>
  <c r="VBA62" i="7" s="1"/>
  <c r="VBC62" i="7" s="1"/>
  <c r="VBE62" i="7" s="1"/>
  <c r="VBG62" i="7" s="1"/>
  <c r="VBI62" i="7" s="1"/>
  <c r="VBK62" i="7" s="1"/>
  <c r="VBM62" i="7" s="1"/>
  <c r="VBO62" i="7" s="1"/>
  <c r="VBQ62" i="7" s="1"/>
  <c r="VBS62" i="7" s="1"/>
  <c r="VBU62" i="7" s="1"/>
  <c r="VBW62" i="7" s="1"/>
  <c r="VBY62" i="7" s="1"/>
  <c r="VCA62" i="7" s="1"/>
  <c r="VCC62" i="7" s="1"/>
  <c r="VCE62" i="7" s="1"/>
  <c r="VCG62" i="7" s="1"/>
  <c r="VCI62" i="7" s="1"/>
  <c r="VCK62" i="7" s="1"/>
  <c r="VCM62" i="7" s="1"/>
  <c r="VCO62" i="7" s="1"/>
  <c r="VCQ62" i="7" s="1"/>
  <c r="VCS62" i="7" s="1"/>
  <c r="VCU62" i="7" s="1"/>
  <c r="VCW62" i="7" s="1"/>
  <c r="VCY62" i="7" s="1"/>
  <c r="VDA62" i="7" s="1"/>
  <c r="VDC62" i="7" s="1"/>
  <c r="VDE62" i="7" s="1"/>
  <c r="VDG62" i="7" s="1"/>
  <c r="VDI62" i="7" s="1"/>
  <c r="VDK62" i="7" s="1"/>
  <c r="VDM62" i="7" s="1"/>
  <c r="VDO62" i="7" s="1"/>
  <c r="VDQ62" i="7" s="1"/>
  <c r="VDS62" i="7" s="1"/>
  <c r="VDU62" i="7" s="1"/>
  <c r="VDW62" i="7" s="1"/>
  <c r="VDY62" i="7" s="1"/>
  <c r="VEA62" i="7" s="1"/>
  <c r="VEC62" i="7" s="1"/>
  <c r="VEE62" i="7" s="1"/>
  <c r="VEG62" i="7" s="1"/>
  <c r="VEI62" i="7" s="1"/>
  <c r="VEK62" i="7" s="1"/>
  <c r="VEM62" i="7" s="1"/>
  <c r="VEO62" i="7" s="1"/>
  <c r="VEQ62" i="7" s="1"/>
  <c r="VES62" i="7" s="1"/>
  <c r="VEU62" i="7" s="1"/>
  <c r="VEW62" i="7" s="1"/>
  <c r="VEY62" i="7" s="1"/>
  <c r="VFA62" i="7" s="1"/>
  <c r="VFC62" i="7" s="1"/>
  <c r="VFE62" i="7" s="1"/>
  <c r="VFG62" i="7" s="1"/>
  <c r="VFI62" i="7" s="1"/>
  <c r="VFK62" i="7" s="1"/>
  <c r="VFM62" i="7" s="1"/>
  <c r="VFO62" i="7" s="1"/>
  <c r="VFQ62" i="7" s="1"/>
  <c r="VFS62" i="7" s="1"/>
  <c r="VFU62" i="7" s="1"/>
  <c r="VFW62" i="7" s="1"/>
  <c r="VFY62" i="7" s="1"/>
  <c r="VGA62" i="7" s="1"/>
  <c r="VGC62" i="7" s="1"/>
  <c r="VGE62" i="7" s="1"/>
  <c r="VGG62" i="7" s="1"/>
  <c r="VGI62" i="7" s="1"/>
  <c r="VGK62" i="7" s="1"/>
  <c r="VGM62" i="7" s="1"/>
  <c r="VGO62" i="7" s="1"/>
  <c r="VGQ62" i="7" s="1"/>
  <c r="VGS62" i="7" s="1"/>
  <c r="VGU62" i="7" s="1"/>
  <c r="VGW62" i="7" s="1"/>
  <c r="VGY62" i="7" s="1"/>
  <c r="VHA62" i="7" s="1"/>
  <c r="VHC62" i="7" s="1"/>
  <c r="VHE62" i="7" s="1"/>
  <c r="VHG62" i="7" s="1"/>
  <c r="VHI62" i="7" s="1"/>
  <c r="VHK62" i="7" s="1"/>
  <c r="VHM62" i="7" s="1"/>
  <c r="VHO62" i="7" s="1"/>
  <c r="VHQ62" i="7" s="1"/>
  <c r="VHS62" i="7" s="1"/>
  <c r="VHU62" i="7" s="1"/>
  <c r="VHW62" i="7" s="1"/>
  <c r="VHY62" i="7" s="1"/>
  <c r="VIA62" i="7" s="1"/>
  <c r="VIC62" i="7" s="1"/>
  <c r="VIE62" i="7" s="1"/>
  <c r="VIG62" i="7" s="1"/>
  <c r="VII62" i="7" s="1"/>
  <c r="VIK62" i="7" s="1"/>
  <c r="VIM62" i="7" s="1"/>
  <c r="VIO62" i="7" s="1"/>
  <c r="VIQ62" i="7" s="1"/>
  <c r="VIS62" i="7" s="1"/>
  <c r="VIU62" i="7" s="1"/>
  <c r="VIW62" i="7" s="1"/>
  <c r="VIY62" i="7" s="1"/>
  <c r="VJA62" i="7" s="1"/>
  <c r="VJC62" i="7" s="1"/>
  <c r="VJE62" i="7" s="1"/>
  <c r="VJG62" i="7" s="1"/>
  <c r="VJI62" i="7" s="1"/>
  <c r="VJK62" i="7" s="1"/>
  <c r="VJM62" i="7" s="1"/>
  <c r="VJO62" i="7" s="1"/>
  <c r="VJQ62" i="7" s="1"/>
  <c r="VJS62" i="7" s="1"/>
  <c r="VJU62" i="7" s="1"/>
  <c r="VJW62" i="7" s="1"/>
  <c r="VJY62" i="7" s="1"/>
  <c r="VKA62" i="7" s="1"/>
  <c r="VKC62" i="7" s="1"/>
  <c r="VKE62" i="7" s="1"/>
  <c r="VKG62" i="7" s="1"/>
  <c r="VKI62" i="7" s="1"/>
  <c r="VKK62" i="7" s="1"/>
  <c r="VKM62" i="7" s="1"/>
  <c r="VKO62" i="7" s="1"/>
  <c r="VKQ62" i="7" s="1"/>
  <c r="VKS62" i="7" s="1"/>
  <c r="VKU62" i="7" s="1"/>
  <c r="VKW62" i="7" s="1"/>
  <c r="VKY62" i="7" s="1"/>
  <c r="VLA62" i="7" s="1"/>
  <c r="VLC62" i="7" s="1"/>
  <c r="VLE62" i="7" s="1"/>
  <c r="VLG62" i="7" s="1"/>
  <c r="VLI62" i="7" s="1"/>
  <c r="VLK62" i="7" s="1"/>
  <c r="VLM62" i="7" s="1"/>
  <c r="VLO62" i="7" s="1"/>
  <c r="VLQ62" i="7" s="1"/>
  <c r="VLS62" i="7" s="1"/>
  <c r="VLU62" i="7" s="1"/>
  <c r="VLW62" i="7" s="1"/>
  <c r="VLY62" i="7" s="1"/>
  <c r="VMA62" i="7" s="1"/>
  <c r="VMC62" i="7" s="1"/>
  <c r="VME62" i="7" s="1"/>
  <c r="VMG62" i="7" s="1"/>
  <c r="VMI62" i="7" s="1"/>
  <c r="VMK62" i="7" s="1"/>
  <c r="VMM62" i="7" s="1"/>
  <c r="VMO62" i="7" s="1"/>
  <c r="VMQ62" i="7" s="1"/>
  <c r="VMS62" i="7" s="1"/>
  <c r="VMU62" i="7" s="1"/>
  <c r="VMW62" i="7" s="1"/>
  <c r="VMY62" i="7" s="1"/>
  <c r="VNA62" i="7" s="1"/>
  <c r="VNC62" i="7" s="1"/>
  <c r="VNE62" i="7" s="1"/>
  <c r="VNG62" i="7" s="1"/>
  <c r="VNI62" i="7" s="1"/>
  <c r="VNK62" i="7" s="1"/>
  <c r="VNM62" i="7" s="1"/>
  <c r="VNO62" i="7" s="1"/>
  <c r="VNQ62" i="7" s="1"/>
  <c r="VNS62" i="7" s="1"/>
  <c r="VNU62" i="7" s="1"/>
  <c r="VNW62" i="7" s="1"/>
  <c r="VNY62" i="7" s="1"/>
  <c r="VOA62" i="7" s="1"/>
  <c r="VOC62" i="7" s="1"/>
  <c r="VOE62" i="7" s="1"/>
  <c r="VOG62" i="7" s="1"/>
  <c r="VOI62" i="7" s="1"/>
  <c r="VOK62" i="7" s="1"/>
  <c r="VOM62" i="7" s="1"/>
  <c r="VOO62" i="7" s="1"/>
  <c r="VOQ62" i="7" s="1"/>
  <c r="VOS62" i="7" s="1"/>
  <c r="VOU62" i="7" s="1"/>
  <c r="VOW62" i="7" s="1"/>
  <c r="VOY62" i="7" s="1"/>
  <c r="VPA62" i="7" s="1"/>
  <c r="VPC62" i="7" s="1"/>
  <c r="VPE62" i="7" s="1"/>
  <c r="VPG62" i="7" s="1"/>
  <c r="VPI62" i="7" s="1"/>
  <c r="VPK62" i="7" s="1"/>
  <c r="VPM62" i="7" s="1"/>
  <c r="VPO62" i="7" s="1"/>
  <c r="VPQ62" i="7" s="1"/>
  <c r="VPS62" i="7" s="1"/>
  <c r="VPU62" i="7" s="1"/>
  <c r="VPW62" i="7" s="1"/>
  <c r="VPY62" i="7" s="1"/>
  <c r="VQA62" i="7" s="1"/>
  <c r="VQC62" i="7" s="1"/>
  <c r="VQE62" i="7" s="1"/>
  <c r="VQG62" i="7" s="1"/>
  <c r="VQI62" i="7" s="1"/>
  <c r="VQK62" i="7" s="1"/>
  <c r="VQM62" i="7" s="1"/>
  <c r="VQO62" i="7" s="1"/>
  <c r="VQQ62" i="7" s="1"/>
  <c r="VQS62" i="7" s="1"/>
  <c r="VQU62" i="7" s="1"/>
  <c r="VQW62" i="7" s="1"/>
  <c r="VQY62" i="7" s="1"/>
  <c r="VRA62" i="7" s="1"/>
  <c r="VRC62" i="7" s="1"/>
  <c r="VRE62" i="7" s="1"/>
  <c r="VRG62" i="7" s="1"/>
  <c r="VRI62" i="7" s="1"/>
  <c r="VRK62" i="7" s="1"/>
  <c r="VRM62" i="7" s="1"/>
  <c r="VRO62" i="7" s="1"/>
  <c r="VRQ62" i="7" s="1"/>
  <c r="VRS62" i="7" s="1"/>
  <c r="VRU62" i="7" s="1"/>
  <c r="VRW62" i="7" s="1"/>
  <c r="VRY62" i="7" s="1"/>
  <c r="VSA62" i="7" s="1"/>
  <c r="VSC62" i="7" s="1"/>
  <c r="VSE62" i="7" s="1"/>
  <c r="VSG62" i="7" s="1"/>
  <c r="VSI62" i="7" s="1"/>
  <c r="VSK62" i="7" s="1"/>
  <c r="VSM62" i="7" s="1"/>
  <c r="VSO62" i="7" s="1"/>
  <c r="VSQ62" i="7" s="1"/>
  <c r="VSS62" i="7" s="1"/>
  <c r="VSU62" i="7" s="1"/>
  <c r="VSW62" i="7" s="1"/>
  <c r="VSY62" i="7" s="1"/>
  <c r="VTA62" i="7" s="1"/>
  <c r="VTC62" i="7" s="1"/>
  <c r="VTE62" i="7" s="1"/>
  <c r="VTG62" i="7" s="1"/>
  <c r="VTI62" i="7" s="1"/>
  <c r="VTK62" i="7" s="1"/>
  <c r="VTM62" i="7" s="1"/>
  <c r="VTO62" i="7" s="1"/>
  <c r="VTQ62" i="7" s="1"/>
  <c r="VTS62" i="7" s="1"/>
  <c r="VTU62" i="7" s="1"/>
  <c r="VTW62" i="7" s="1"/>
  <c r="VTY62" i="7" s="1"/>
  <c r="VUA62" i="7" s="1"/>
  <c r="VUC62" i="7" s="1"/>
  <c r="VUE62" i="7" s="1"/>
  <c r="VUG62" i="7" s="1"/>
  <c r="VUI62" i="7" s="1"/>
  <c r="VUK62" i="7" s="1"/>
  <c r="VUM62" i="7" s="1"/>
  <c r="VUO62" i="7" s="1"/>
  <c r="VUQ62" i="7" s="1"/>
  <c r="VUS62" i="7" s="1"/>
  <c r="VUU62" i="7" s="1"/>
  <c r="VUW62" i="7" s="1"/>
  <c r="VUY62" i="7" s="1"/>
  <c r="VVA62" i="7" s="1"/>
  <c r="VVC62" i="7" s="1"/>
  <c r="VVE62" i="7" s="1"/>
  <c r="VVG62" i="7" s="1"/>
  <c r="VVI62" i="7" s="1"/>
  <c r="VVK62" i="7" s="1"/>
  <c r="VVM62" i="7" s="1"/>
  <c r="VVO62" i="7" s="1"/>
  <c r="VVQ62" i="7" s="1"/>
  <c r="VVS62" i="7" s="1"/>
  <c r="VVU62" i="7" s="1"/>
  <c r="VVW62" i="7" s="1"/>
  <c r="VVY62" i="7" s="1"/>
  <c r="VWA62" i="7" s="1"/>
  <c r="VWC62" i="7" s="1"/>
  <c r="VWE62" i="7" s="1"/>
  <c r="VWG62" i="7" s="1"/>
  <c r="VWI62" i="7" s="1"/>
  <c r="VWK62" i="7" s="1"/>
  <c r="VWM62" i="7" s="1"/>
  <c r="VWO62" i="7" s="1"/>
  <c r="VWQ62" i="7" s="1"/>
  <c r="VWS62" i="7" s="1"/>
  <c r="VWU62" i="7" s="1"/>
  <c r="VWW62" i="7" s="1"/>
  <c r="VWY62" i="7" s="1"/>
  <c r="VXA62" i="7" s="1"/>
  <c r="VXC62" i="7" s="1"/>
  <c r="VXE62" i="7" s="1"/>
  <c r="VXG62" i="7" s="1"/>
  <c r="VXI62" i="7" s="1"/>
  <c r="VXK62" i="7" s="1"/>
  <c r="VXM62" i="7" s="1"/>
  <c r="VXO62" i="7" s="1"/>
  <c r="VXQ62" i="7" s="1"/>
  <c r="VXS62" i="7" s="1"/>
  <c r="VXU62" i="7" s="1"/>
  <c r="VXW62" i="7" s="1"/>
  <c r="VXY62" i="7" s="1"/>
  <c r="VYA62" i="7" s="1"/>
  <c r="VYC62" i="7" s="1"/>
  <c r="VYE62" i="7" s="1"/>
  <c r="VYG62" i="7" s="1"/>
  <c r="VYI62" i="7" s="1"/>
  <c r="VYK62" i="7" s="1"/>
  <c r="VYM62" i="7" s="1"/>
  <c r="VYO62" i="7" s="1"/>
  <c r="VYQ62" i="7" s="1"/>
  <c r="VYS62" i="7" s="1"/>
  <c r="VYU62" i="7" s="1"/>
  <c r="VYW62" i="7" s="1"/>
  <c r="VYY62" i="7" s="1"/>
  <c r="VZA62" i="7" s="1"/>
  <c r="VZC62" i="7" s="1"/>
  <c r="VZE62" i="7" s="1"/>
  <c r="VZG62" i="7" s="1"/>
  <c r="VZI62" i="7" s="1"/>
  <c r="VZK62" i="7" s="1"/>
  <c r="VZM62" i="7" s="1"/>
  <c r="VZO62" i="7" s="1"/>
  <c r="VZQ62" i="7" s="1"/>
  <c r="VZS62" i="7" s="1"/>
  <c r="VZU62" i="7" s="1"/>
  <c r="VZW62" i="7" s="1"/>
  <c r="VZY62" i="7" s="1"/>
  <c r="WAA62" i="7" s="1"/>
  <c r="WAC62" i="7" s="1"/>
  <c r="WAE62" i="7" s="1"/>
  <c r="WAG62" i="7" s="1"/>
  <c r="WAI62" i="7" s="1"/>
  <c r="WAK62" i="7" s="1"/>
  <c r="WAM62" i="7" s="1"/>
  <c r="WAO62" i="7" s="1"/>
  <c r="WAQ62" i="7" s="1"/>
  <c r="WAS62" i="7" s="1"/>
  <c r="WAU62" i="7" s="1"/>
  <c r="WAW62" i="7" s="1"/>
  <c r="WAY62" i="7" s="1"/>
  <c r="WBA62" i="7" s="1"/>
  <c r="WBC62" i="7" s="1"/>
  <c r="WBE62" i="7" s="1"/>
  <c r="WBG62" i="7" s="1"/>
  <c r="WBI62" i="7" s="1"/>
  <c r="WBK62" i="7" s="1"/>
  <c r="WBM62" i="7" s="1"/>
  <c r="WBO62" i="7" s="1"/>
  <c r="WBQ62" i="7" s="1"/>
  <c r="WBS62" i="7" s="1"/>
  <c r="WBU62" i="7" s="1"/>
  <c r="WBW62" i="7" s="1"/>
  <c r="WBY62" i="7" s="1"/>
  <c r="WCA62" i="7" s="1"/>
  <c r="WCC62" i="7" s="1"/>
  <c r="WCE62" i="7" s="1"/>
  <c r="WCG62" i="7" s="1"/>
  <c r="WCI62" i="7" s="1"/>
  <c r="WCK62" i="7" s="1"/>
  <c r="WCM62" i="7" s="1"/>
  <c r="WCO62" i="7" s="1"/>
  <c r="WCQ62" i="7" s="1"/>
  <c r="WCS62" i="7" s="1"/>
  <c r="WCU62" i="7" s="1"/>
  <c r="WCW62" i="7" s="1"/>
  <c r="WCY62" i="7" s="1"/>
  <c r="WDA62" i="7" s="1"/>
  <c r="WDC62" i="7" s="1"/>
  <c r="WDE62" i="7" s="1"/>
  <c r="WDG62" i="7" s="1"/>
  <c r="WDI62" i="7" s="1"/>
  <c r="WDK62" i="7" s="1"/>
  <c r="WDM62" i="7" s="1"/>
  <c r="WDO62" i="7" s="1"/>
  <c r="WDQ62" i="7" s="1"/>
  <c r="WDS62" i="7" s="1"/>
  <c r="WDU62" i="7" s="1"/>
  <c r="WDW62" i="7" s="1"/>
  <c r="WDY62" i="7" s="1"/>
  <c r="WEA62" i="7" s="1"/>
  <c r="WEC62" i="7" s="1"/>
  <c r="WEE62" i="7" s="1"/>
  <c r="WEG62" i="7" s="1"/>
  <c r="WEI62" i="7" s="1"/>
  <c r="WEK62" i="7" s="1"/>
  <c r="WEM62" i="7" s="1"/>
  <c r="WEO62" i="7" s="1"/>
  <c r="WEQ62" i="7" s="1"/>
  <c r="WES62" i="7" s="1"/>
  <c r="WEU62" i="7" s="1"/>
  <c r="WEW62" i="7" s="1"/>
  <c r="WEY62" i="7" s="1"/>
  <c r="WFA62" i="7" s="1"/>
  <c r="WFC62" i="7" s="1"/>
  <c r="WFE62" i="7" s="1"/>
  <c r="WFG62" i="7" s="1"/>
  <c r="WFI62" i="7" s="1"/>
  <c r="WFK62" i="7" s="1"/>
  <c r="WFM62" i="7" s="1"/>
  <c r="WFO62" i="7" s="1"/>
  <c r="WFQ62" i="7" s="1"/>
  <c r="WFS62" i="7" s="1"/>
  <c r="WFU62" i="7" s="1"/>
  <c r="WFW62" i="7" s="1"/>
  <c r="WFY62" i="7" s="1"/>
  <c r="WGA62" i="7" s="1"/>
  <c r="WGC62" i="7" s="1"/>
  <c r="WGE62" i="7" s="1"/>
  <c r="WGG62" i="7" s="1"/>
  <c r="WGI62" i="7" s="1"/>
  <c r="WGK62" i="7" s="1"/>
  <c r="WGM62" i="7" s="1"/>
  <c r="WGO62" i="7" s="1"/>
  <c r="WGQ62" i="7" s="1"/>
  <c r="WGS62" i="7" s="1"/>
  <c r="WGU62" i="7" s="1"/>
  <c r="WGW62" i="7" s="1"/>
  <c r="WGY62" i="7" s="1"/>
  <c r="WHA62" i="7" s="1"/>
  <c r="WHC62" i="7" s="1"/>
  <c r="WHE62" i="7" s="1"/>
  <c r="WHG62" i="7" s="1"/>
  <c r="WHI62" i="7" s="1"/>
  <c r="WHK62" i="7" s="1"/>
  <c r="WHM62" i="7" s="1"/>
  <c r="WHO62" i="7" s="1"/>
  <c r="WHQ62" i="7" s="1"/>
  <c r="WHS62" i="7" s="1"/>
  <c r="WHU62" i="7" s="1"/>
  <c r="WHW62" i="7" s="1"/>
  <c r="WHY62" i="7" s="1"/>
  <c r="WIA62" i="7" s="1"/>
  <c r="WIC62" i="7" s="1"/>
  <c r="WIE62" i="7" s="1"/>
  <c r="WIG62" i="7" s="1"/>
  <c r="WII62" i="7" s="1"/>
  <c r="WIK62" i="7" s="1"/>
  <c r="WIM62" i="7" s="1"/>
  <c r="WIO62" i="7" s="1"/>
  <c r="WIQ62" i="7" s="1"/>
  <c r="WIS62" i="7" s="1"/>
  <c r="WIU62" i="7" s="1"/>
  <c r="WIW62" i="7" s="1"/>
  <c r="WIY62" i="7" s="1"/>
  <c r="WJA62" i="7" s="1"/>
  <c r="WJC62" i="7" s="1"/>
  <c r="WJE62" i="7" s="1"/>
  <c r="WJG62" i="7" s="1"/>
  <c r="WJI62" i="7" s="1"/>
  <c r="WJK62" i="7" s="1"/>
  <c r="WJM62" i="7" s="1"/>
  <c r="WJO62" i="7" s="1"/>
  <c r="WJQ62" i="7" s="1"/>
  <c r="WJS62" i="7" s="1"/>
  <c r="WJU62" i="7" s="1"/>
  <c r="WJW62" i="7" s="1"/>
  <c r="WJY62" i="7" s="1"/>
  <c r="WKA62" i="7" s="1"/>
  <c r="WKC62" i="7" s="1"/>
  <c r="WKE62" i="7" s="1"/>
  <c r="WKG62" i="7" s="1"/>
  <c r="WKI62" i="7" s="1"/>
  <c r="WKK62" i="7" s="1"/>
  <c r="WKM62" i="7" s="1"/>
  <c r="WKO62" i="7" s="1"/>
  <c r="WKQ62" i="7" s="1"/>
  <c r="WKS62" i="7" s="1"/>
  <c r="WKU62" i="7" s="1"/>
  <c r="WKW62" i="7" s="1"/>
  <c r="WKY62" i="7" s="1"/>
  <c r="WLA62" i="7" s="1"/>
  <c r="WLC62" i="7" s="1"/>
  <c r="WLE62" i="7" s="1"/>
  <c r="WLG62" i="7" s="1"/>
  <c r="WLI62" i="7" s="1"/>
  <c r="WLK62" i="7" s="1"/>
  <c r="WLM62" i="7" s="1"/>
  <c r="WLO62" i="7" s="1"/>
  <c r="WLQ62" i="7" s="1"/>
  <c r="WLS62" i="7" s="1"/>
  <c r="WLU62" i="7" s="1"/>
  <c r="WLW62" i="7" s="1"/>
  <c r="WLY62" i="7" s="1"/>
  <c r="WMA62" i="7" s="1"/>
  <c r="WMC62" i="7" s="1"/>
  <c r="WME62" i="7" s="1"/>
  <c r="WMG62" i="7" s="1"/>
  <c r="WMI62" i="7" s="1"/>
  <c r="WMK62" i="7" s="1"/>
  <c r="WMM62" i="7" s="1"/>
  <c r="WMO62" i="7" s="1"/>
  <c r="WMQ62" i="7" s="1"/>
  <c r="WMS62" i="7" s="1"/>
  <c r="WMU62" i="7" s="1"/>
  <c r="WMW62" i="7" s="1"/>
  <c r="WMY62" i="7" s="1"/>
  <c r="WNA62" i="7" s="1"/>
  <c r="WNC62" i="7" s="1"/>
  <c r="WNE62" i="7" s="1"/>
  <c r="WNG62" i="7" s="1"/>
  <c r="WNI62" i="7" s="1"/>
  <c r="WNK62" i="7" s="1"/>
  <c r="WNM62" i="7" s="1"/>
  <c r="WNO62" i="7" s="1"/>
  <c r="WNQ62" i="7" s="1"/>
  <c r="WNS62" i="7" s="1"/>
  <c r="WNU62" i="7" s="1"/>
  <c r="WNW62" i="7" s="1"/>
  <c r="WNY62" i="7" s="1"/>
  <c r="WOA62" i="7" s="1"/>
  <c r="WOC62" i="7" s="1"/>
  <c r="WOE62" i="7" s="1"/>
  <c r="WOG62" i="7" s="1"/>
  <c r="WOI62" i="7" s="1"/>
  <c r="WOK62" i="7" s="1"/>
  <c r="WOM62" i="7" s="1"/>
  <c r="WOO62" i="7" s="1"/>
  <c r="WOQ62" i="7" s="1"/>
  <c r="WOS62" i="7" s="1"/>
  <c r="WOU62" i="7" s="1"/>
  <c r="WOW62" i="7" s="1"/>
  <c r="WOY62" i="7" s="1"/>
  <c r="WPA62" i="7" s="1"/>
  <c r="WPC62" i="7" s="1"/>
  <c r="WPE62" i="7" s="1"/>
  <c r="WPG62" i="7" s="1"/>
  <c r="WPI62" i="7" s="1"/>
  <c r="WPK62" i="7" s="1"/>
  <c r="WPM62" i="7" s="1"/>
  <c r="WPO62" i="7" s="1"/>
  <c r="WPQ62" i="7" s="1"/>
  <c r="WPS62" i="7" s="1"/>
  <c r="WPU62" i="7" s="1"/>
  <c r="WPW62" i="7" s="1"/>
  <c r="WPY62" i="7" s="1"/>
  <c r="WQA62" i="7" s="1"/>
  <c r="WQC62" i="7" s="1"/>
  <c r="WQE62" i="7" s="1"/>
  <c r="WQG62" i="7" s="1"/>
  <c r="WQI62" i="7" s="1"/>
  <c r="WQK62" i="7" s="1"/>
  <c r="WQM62" i="7" s="1"/>
  <c r="WQO62" i="7" s="1"/>
  <c r="WQQ62" i="7" s="1"/>
  <c r="WQS62" i="7" s="1"/>
  <c r="WQU62" i="7" s="1"/>
  <c r="WQW62" i="7" s="1"/>
  <c r="WQY62" i="7" s="1"/>
  <c r="WRA62" i="7" s="1"/>
  <c r="WRC62" i="7" s="1"/>
  <c r="WRE62" i="7" s="1"/>
  <c r="WRG62" i="7" s="1"/>
  <c r="WRI62" i="7" s="1"/>
  <c r="WRK62" i="7" s="1"/>
  <c r="WRM62" i="7" s="1"/>
  <c r="WRO62" i="7" s="1"/>
  <c r="WRQ62" i="7" s="1"/>
  <c r="WRS62" i="7" s="1"/>
  <c r="WRU62" i="7" s="1"/>
  <c r="WRW62" i="7" s="1"/>
  <c r="WRY62" i="7" s="1"/>
  <c r="WSA62" i="7" s="1"/>
  <c r="WSC62" i="7" s="1"/>
  <c r="WSE62" i="7" s="1"/>
  <c r="WSG62" i="7" s="1"/>
  <c r="WSI62" i="7" s="1"/>
  <c r="WSK62" i="7" s="1"/>
  <c r="WSM62" i="7" s="1"/>
  <c r="WSO62" i="7" s="1"/>
  <c r="WSQ62" i="7" s="1"/>
  <c r="WSS62" i="7" s="1"/>
  <c r="WSU62" i="7" s="1"/>
  <c r="WSW62" i="7" s="1"/>
  <c r="WSY62" i="7" s="1"/>
  <c r="WTA62" i="7" s="1"/>
  <c r="WTC62" i="7" s="1"/>
  <c r="WTE62" i="7" s="1"/>
  <c r="WTG62" i="7" s="1"/>
  <c r="WTI62" i="7" s="1"/>
  <c r="WTK62" i="7" s="1"/>
  <c r="WTM62" i="7" s="1"/>
  <c r="WTO62" i="7" s="1"/>
  <c r="WTQ62" i="7" s="1"/>
  <c r="WTS62" i="7" s="1"/>
  <c r="WTU62" i="7" s="1"/>
  <c r="WTW62" i="7" s="1"/>
  <c r="WTY62" i="7" s="1"/>
  <c r="WUA62" i="7" s="1"/>
  <c r="WUC62" i="7" s="1"/>
  <c r="WUE62" i="7" s="1"/>
  <c r="WUG62" i="7" s="1"/>
  <c r="WUI62" i="7" s="1"/>
  <c r="WUK62" i="7" s="1"/>
  <c r="WUM62" i="7" s="1"/>
  <c r="WUO62" i="7" s="1"/>
  <c r="WUQ62" i="7" s="1"/>
  <c r="WUS62" i="7" s="1"/>
  <c r="WUU62" i="7" s="1"/>
  <c r="WUW62" i="7" s="1"/>
  <c r="WUY62" i="7" s="1"/>
  <c r="WVA62" i="7" s="1"/>
  <c r="WVC62" i="7" s="1"/>
  <c r="WVE62" i="7" s="1"/>
  <c r="WVG62" i="7" s="1"/>
  <c r="WVI62" i="7" s="1"/>
  <c r="WVK62" i="7" s="1"/>
  <c r="WVM62" i="7" s="1"/>
  <c r="WVO62" i="7" s="1"/>
  <c r="WVQ62" i="7" s="1"/>
  <c r="WVS62" i="7" s="1"/>
  <c r="WVU62" i="7" s="1"/>
  <c r="WVW62" i="7" s="1"/>
  <c r="WVY62" i="7" s="1"/>
  <c r="WWA62" i="7" s="1"/>
  <c r="WWC62" i="7" s="1"/>
  <c r="WWE62" i="7" s="1"/>
  <c r="WWG62" i="7" s="1"/>
  <c r="WWI62" i="7" s="1"/>
  <c r="WWK62" i="7" s="1"/>
  <c r="WWM62" i="7" s="1"/>
  <c r="WWO62" i="7" s="1"/>
  <c r="WWQ62" i="7" s="1"/>
  <c r="WWS62" i="7" s="1"/>
  <c r="WWU62" i="7" s="1"/>
  <c r="WWW62" i="7" s="1"/>
  <c r="WWY62" i="7" s="1"/>
  <c r="WXA62" i="7" s="1"/>
  <c r="WXC62" i="7" s="1"/>
  <c r="WXE62" i="7" s="1"/>
  <c r="WXG62" i="7" s="1"/>
  <c r="WXI62" i="7" s="1"/>
  <c r="WXK62" i="7" s="1"/>
  <c r="WXM62" i="7" s="1"/>
  <c r="WXO62" i="7" s="1"/>
  <c r="WXQ62" i="7" s="1"/>
  <c r="WXS62" i="7" s="1"/>
  <c r="WXU62" i="7" s="1"/>
  <c r="WXW62" i="7" s="1"/>
  <c r="WXY62" i="7" s="1"/>
  <c r="WYA62" i="7" s="1"/>
  <c r="WYC62" i="7" s="1"/>
  <c r="WYE62" i="7" s="1"/>
  <c r="WYG62" i="7" s="1"/>
  <c r="WYI62" i="7" s="1"/>
  <c r="WYK62" i="7" s="1"/>
  <c r="WYM62" i="7" s="1"/>
  <c r="WYO62" i="7" s="1"/>
  <c r="WYQ62" i="7" s="1"/>
  <c r="WYS62" i="7" s="1"/>
  <c r="WYU62" i="7" s="1"/>
  <c r="WYW62" i="7" s="1"/>
  <c r="WYY62" i="7" s="1"/>
  <c r="WZA62" i="7" s="1"/>
  <c r="WZC62" i="7" s="1"/>
  <c r="WZE62" i="7" s="1"/>
  <c r="WZG62" i="7" s="1"/>
  <c r="WZI62" i="7" s="1"/>
  <c r="WZK62" i="7" s="1"/>
  <c r="WZM62" i="7" s="1"/>
  <c r="WZO62" i="7" s="1"/>
  <c r="WZQ62" i="7" s="1"/>
  <c r="WZS62" i="7" s="1"/>
  <c r="WZU62" i="7" s="1"/>
  <c r="WZW62" i="7" s="1"/>
  <c r="WZY62" i="7" s="1"/>
  <c r="XAA62" i="7" s="1"/>
  <c r="XAC62" i="7" s="1"/>
  <c r="XAE62" i="7" s="1"/>
  <c r="XAG62" i="7" s="1"/>
  <c r="XAI62" i="7" s="1"/>
  <c r="XAK62" i="7" s="1"/>
  <c r="XAM62" i="7" s="1"/>
  <c r="XAO62" i="7" s="1"/>
  <c r="XAQ62" i="7" s="1"/>
  <c r="XAS62" i="7" s="1"/>
  <c r="XAU62" i="7" s="1"/>
  <c r="XAW62" i="7" s="1"/>
  <c r="XAY62" i="7" s="1"/>
  <c r="XBA62" i="7" s="1"/>
  <c r="XBC62" i="7" s="1"/>
  <c r="XBE62" i="7" s="1"/>
  <c r="XBG62" i="7" s="1"/>
  <c r="XBI62" i="7" s="1"/>
  <c r="XBK62" i="7" s="1"/>
  <c r="XBM62" i="7" s="1"/>
  <c r="XBO62" i="7" s="1"/>
  <c r="XBQ62" i="7" s="1"/>
  <c r="XBS62" i="7" s="1"/>
  <c r="XBU62" i="7" s="1"/>
  <c r="XBW62" i="7" s="1"/>
  <c r="XBY62" i="7" s="1"/>
  <c r="XCA62" i="7" s="1"/>
  <c r="XCC62" i="7" s="1"/>
  <c r="XCE62" i="7" s="1"/>
  <c r="XCG62" i="7" s="1"/>
  <c r="XCI62" i="7" s="1"/>
  <c r="XCK62" i="7" s="1"/>
  <c r="XCM62" i="7" s="1"/>
  <c r="XCO62" i="7" s="1"/>
  <c r="XCQ62" i="7" s="1"/>
  <c r="XCS62" i="7" s="1"/>
  <c r="XCU62" i="7" s="1"/>
  <c r="XCW62" i="7" s="1"/>
  <c r="XCY62" i="7" s="1"/>
  <c r="XDA62" i="7" s="1"/>
  <c r="XDC62" i="7" s="1"/>
  <c r="XDE62" i="7" s="1"/>
  <c r="XDG62" i="7" s="1"/>
  <c r="XDI62" i="7" s="1"/>
  <c r="XDK62" i="7" s="1"/>
  <c r="XDM62" i="7" s="1"/>
  <c r="XDO62" i="7" s="1"/>
  <c r="XDQ62" i="7" s="1"/>
  <c r="XDS62" i="7" s="1"/>
  <c r="XDU62" i="7" s="1"/>
  <c r="XDW62" i="7" s="1"/>
  <c r="XDY62" i="7" s="1"/>
  <c r="XEA62" i="7" s="1"/>
  <c r="XEC62" i="7" s="1"/>
  <c r="XEE62" i="7" s="1"/>
  <c r="XEG62" i="7" s="1"/>
  <c r="XEI62" i="7" s="1"/>
  <c r="XEK62" i="7" s="1"/>
  <c r="XEM62" i="7" s="1"/>
  <c r="XEO62" i="7" s="1"/>
  <c r="XEQ62" i="7" s="1"/>
  <c r="XES62" i="7" s="1"/>
  <c r="XEU62" i="7" s="1"/>
  <c r="XEW62" i="7" s="1"/>
  <c r="XEY62" i="7" s="1"/>
  <c r="XFA62" i="7" s="1"/>
  <c r="XFC62" i="7" s="1"/>
  <c r="AE70" i="7"/>
  <c r="AE72" i="7" s="1"/>
  <c r="AG66" i="7" l="1"/>
  <c r="AI66" i="7" s="1"/>
  <c r="AK66" i="7" s="1"/>
  <c r="AM66" i="7" s="1"/>
  <c r="AO66" i="7" s="1"/>
  <c r="AQ66" i="7" s="1"/>
  <c r="AS66" i="7" s="1"/>
  <c r="AU66" i="7" s="1"/>
  <c r="AW66" i="7" s="1"/>
  <c r="AY66" i="7" s="1"/>
  <c r="BA66" i="7" s="1"/>
  <c r="BC66" i="7" s="1"/>
  <c r="BE66" i="7" s="1"/>
  <c r="BG66" i="7" s="1"/>
  <c r="BI66" i="7" s="1"/>
  <c r="BK66" i="7" s="1"/>
  <c r="BM66" i="7" s="1"/>
  <c r="BO66" i="7" s="1"/>
  <c r="BQ66" i="7" s="1"/>
  <c r="BS66" i="7" s="1"/>
  <c r="BU66" i="7" s="1"/>
  <c r="BW66" i="7" s="1"/>
  <c r="BY66" i="7" s="1"/>
  <c r="CA66" i="7" s="1"/>
  <c r="CC66" i="7" s="1"/>
  <c r="CE66" i="7" s="1"/>
  <c r="CG66" i="7" s="1"/>
  <c r="CI66" i="7" s="1"/>
  <c r="CK66" i="7" s="1"/>
  <c r="CM66" i="7" s="1"/>
  <c r="CO66" i="7" s="1"/>
  <c r="CQ66" i="7" s="1"/>
  <c r="CS66" i="7" s="1"/>
  <c r="CU66" i="7" s="1"/>
  <c r="CW66" i="7" s="1"/>
  <c r="CY66" i="7" s="1"/>
  <c r="DA66" i="7" s="1"/>
  <c r="DC66" i="7" s="1"/>
  <c r="DE66" i="7" s="1"/>
  <c r="DG66" i="7" s="1"/>
  <c r="DI66" i="7" s="1"/>
  <c r="DK66" i="7" s="1"/>
  <c r="DM66" i="7" s="1"/>
  <c r="DO66" i="7" s="1"/>
  <c r="DQ66" i="7" s="1"/>
  <c r="DS66" i="7" s="1"/>
  <c r="DU66" i="7" s="1"/>
  <c r="DW66" i="7" s="1"/>
  <c r="DY66" i="7" s="1"/>
  <c r="EA66" i="7" s="1"/>
  <c r="EC66" i="7" s="1"/>
  <c r="EE66" i="7" s="1"/>
  <c r="EG66" i="7" s="1"/>
  <c r="EI66" i="7" s="1"/>
  <c r="EK66" i="7" s="1"/>
  <c r="EM66" i="7" s="1"/>
  <c r="EO66" i="7" s="1"/>
  <c r="EQ66" i="7" s="1"/>
  <c r="ES66" i="7" s="1"/>
  <c r="EU66" i="7" s="1"/>
  <c r="EW66" i="7" s="1"/>
  <c r="EY66" i="7" s="1"/>
  <c r="FA66" i="7" s="1"/>
  <c r="FC66" i="7" s="1"/>
  <c r="FE66" i="7" s="1"/>
  <c r="FG66" i="7" s="1"/>
  <c r="FI66" i="7" s="1"/>
  <c r="FK66" i="7" s="1"/>
  <c r="FM66" i="7" s="1"/>
  <c r="FO66" i="7" s="1"/>
  <c r="FQ66" i="7" s="1"/>
  <c r="FS66" i="7" s="1"/>
  <c r="FU66" i="7" s="1"/>
  <c r="FW66" i="7" s="1"/>
  <c r="FY66" i="7" s="1"/>
  <c r="GA66" i="7" s="1"/>
  <c r="GC66" i="7" s="1"/>
  <c r="GE66" i="7" s="1"/>
  <c r="GG66" i="7" s="1"/>
  <c r="GI66" i="7" s="1"/>
  <c r="GK66" i="7" s="1"/>
  <c r="GM66" i="7" s="1"/>
  <c r="GO66" i="7" s="1"/>
  <c r="GQ66" i="7" s="1"/>
  <c r="GS66" i="7" s="1"/>
  <c r="GU66" i="7" s="1"/>
  <c r="GW66" i="7" s="1"/>
  <c r="GY66" i="7" s="1"/>
  <c r="HA66" i="7" s="1"/>
  <c r="HC66" i="7" s="1"/>
  <c r="HE66" i="7" s="1"/>
  <c r="HG66" i="7" s="1"/>
  <c r="HI66" i="7" s="1"/>
  <c r="HK66" i="7" s="1"/>
  <c r="HM66" i="7" s="1"/>
  <c r="HO66" i="7" s="1"/>
  <c r="HQ66" i="7" s="1"/>
  <c r="HS66" i="7" s="1"/>
  <c r="HU66" i="7" s="1"/>
  <c r="HW66" i="7" s="1"/>
  <c r="HY66" i="7" s="1"/>
  <c r="IA66" i="7" s="1"/>
  <c r="IC66" i="7" s="1"/>
  <c r="IE66" i="7" s="1"/>
  <c r="IG66" i="7" s="1"/>
  <c r="II66" i="7" s="1"/>
  <c r="IK66" i="7" s="1"/>
  <c r="IM66" i="7" s="1"/>
  <c r="IO66" i="7" s="1"/>
  <c r="IQ66" i="7" s="1"/>
  <c r="IS66" i="7" s="1"/>
  <c r="IU66" i="7" s="1"/>
  <c r="IW66" i="7" s="1"/>
  <c r="IY66" i="7" s="1"/>
  <c r="JA66" i="7" s="1"/>
  <c r="JC66" i="7" s="1"/>
  <c r="JE66" i="7" s="1"/>
  <c r="JG66" i="7" s="1"/>
  <c r="JI66" i="7" s="1"/>
  <c r="JK66" i="7" s="1"/>
  <c r="JM66" i="7" s="1"/>
  <c r="JO66" i="7" s="1"/>
  <c r="JQ66" i="7" s="1"/>
  <c r="JS66" i="7" s="1"/>
  <c r="JU66" i="7" s="1"/>
  <c r="JW66" i="7" s="1"/>
  <c r="JY66" i="7" s="1"/>
  <c r="KA66" i="7" s="1"/>
  <c r="KC66" i="7" s="1"/>
  <c r="KE66" i="7" s="1"/>
  <c r="KG66" i="7" s="1"/>
  <c r="KI66" i="7" s="1"/>
  <c r="KK66" i="7" s="1"/>
  <c r="KM66" i="7" s="1"/>
  <c r="KO66" i="7" s="1"/>
  <c r="KQ66" i="7" s="1"/>
  <c r="KS66" i="7" s="1"/>
  <c r="KU66" i="7" s="1"/>
  <c r="KW66" i="7" s="1"/>
  <c r="KY66" i="7" s="1"/>
  <c r="LA66" i="7" s="1"/>
  <c r="LC66" i="7" s="1"/>
  <c r="LE66" i="7" s="1"/>
  <c r="LG66" i="7" s="1"/>
  <c r="LI66" i="7" s="1"/>
  <c r="LK66" i="7" s="1"/>
  <c r="LM66" i="7" s="1"/>
  <c r="LO66" i="7" s="1"/>
  <c r="LQ66" i="7" s="1"/>
  <c r="LS66" i="7" s="1"/>
  <c r="LU66" i="7" s="1"/>
  <c r="LW66" i="7" s="1"/>
  <c r="LY66" i="7" s="1"/>
  <c r="MA66" i="7" s="1"/>
  <c r="MC66" i="7" s="1"/>
  <c r="ME66" i="7" s="1"/>
  <c r="MG66" i="7" s="1"/>
  <c r="MI66" i="7" s="1"/>
  <c r="MK66" i="7" s="1"/>
  <c r="MM66" i="7" s="1"/>
  <c r="MO66" i="7" s="1"/>
  <c r="MQ66" i="7" s="1"/>
  <c r="MS66" i="7" s="1"/>
  <c r="MU66" i="7" s="1"/>
  <c r="MW66" i="7" s="1"/>
  <c r="MY66" i="7" s="1"/>
  <c r="NA66" i="7" s="1"/>
  <c r="NC66" i="7" s="1"/>
  <c r="NE66" i="7" s="1"/>
  <c r="NG66" i="7" s="1"/>
  <c r="NI66" i="7" s="1"/>
  <c r="NK66" i="7" s="1"/>
  <c r="NM66" i="7" s="1"/>
  <c r="NO66" i="7" s="1"/>
  <c r="NQ66" i="7" s="1"/>
  <c r="NS66" i="7" s="1"/>
  <c r="NU66" i="7" s="1"/>
  <c r="NW66" i="7" s="1"/>
  <c r="NY66" i="7" s="1"/>
  <c r="OA66" i="7" s="1"/>
  <c r="OC66" i="7" s="1"/>
  <c r="OE66" i="7" s="1"/>
  <c r="OG66" i="7" s="1"/>
  <c r="OI66" i="7" s="1"/>
  <c r="OK66" i="7" s="1"/>
  <c r="OM66" i="7" s="1"/>
  <c r="OO66" i="7" s="1"/>
  <c r="OQ66" i="7" s="1"/>
  <c r="OS66" i="7" s="1"/>
  <c r="OU66" i="7" s="1"/>
  <c r="OW66" i="7" s="1"/>
  <c r="OY66" i="7" s="1"/>
  <c r="PA66" i="7" s="1"/>
  <c r="PC66" i="7" s="1"/>
  <c r="PE66" i="7" s="1"/>
  <c r="PG66" i="7" s="1"/>
  <c r="PI66" i="7" s="1"/>
  <c r="PK66" i="7" s="1"/>
  <c r="PM66" i="7" s="1"/>
  <c r="PO66" i="7" s="1"/>
  <c r="PQ66" i="7" s="1"/>
  <c r="PS66" i="7" s="1"/>
  <c r="PU66" i="7" s="1"/>
  <c r="PW66" i="7" s="1"/>
  <c r="PY66" i="7" s="1"/>
  <c r="QA66" i="7" s="1"/>
  <c r="QC66" i="7" s="1"/>
  <c r="QE66" i="7" s="1"/>
  <c r="QG66" i="7" s="1"/>
  <c r="QI66" i="7" s="1"/>
  <c r="QK66" i="7" s="1"/>
  <c r="QM66" i="7" s="1"/>
  <c r="QO66" i="7" s="1"/>
  <c r="QQ66" i="7" s="1"/>
  <c r="QS66" i="7" s="1"/>
  <c r="QU66" i="7" s="1"/>
  <c r="QW66" i="7" s="1"/>
  <c r="QY66" i="7" s="1"/>
  <c r="RA66" i="7" s="1"/>
  <c r="RC66" i="7" s="1"/>
  <c r="RE66" i="7" s="1"/>
  <c r="RG66" i="7" s="1"/>
  <c r="RI66" i="7" s="1"/>
  <c r="RK66" i="7" s="1"/>
  <c r="RM66" i="7" s="1"/>
  <c r="RO66" i="7" s="1"/>
  <c r="RQ66" i="7" s="1"/>
  <c r="RS66" i="7" s="1"/>
  <c r="RU66" i="7" s="1"/>
  <c r="RW66" i="7" s="1"/>
  <c r="RY66" i="7" s="1"/>
  <c r="SA66" i="7" s="1"/>
  <c r="SC66" i="7" s="1"/>
  <c r="SE66" i="7" s="1"/>
  <c r="SG66" i="7" s="1"/>
  <c r="SI66" i="7" s="1"/>
  <c r="SK66" i="7" s="1"/>
  <c r="SM66" i="7" s="1"/>
  <c r="SO66" i="7" s="1"/>
  <c r="SQ66" i="7" s="1"/>
  <c r="SS66" i="7" s="1"/>
  <c r="SU66" i="7" s="1"/>
  <c r="SW66" i="7" s="1"/>
  <c r="SY66" i="7" s="1"/>
  <c r="TA66" i="7" s="1"/>
  <c r="TC66" i="7" s="1"/>
  <c r="TE66" i="7" s="1"/>
  <c r="TG66" i="7" s="1"/>
  <c r="TI66" i="7" s="1"/>
  <c r="TK66" i="7" s="1"/>
  <c r="TM66" i="7" s="1"/>
  <c r="TO66" i="7" s="1"/>
  <c r="TQ66" i="7" s="1"/>
  <c r="TS66" i="7" s="1"/>
  <c r="TU66" i="7" s="1"/>
  <c r="TW66" i="7" s="1"/>
  <c r="TY66" i="7" s="1"/>
  <c r="UA66" i="7" s="1"/>
  <c r="UC66" i="7" s="1"/>
  <c r="UE66" i="7" s="1"/>
  <c r="UG66" i="7" s="1"/>
  <c r="UI66" i="7" s="1"/>
  <c r="UK66" i="7" s="1"/>
  <c r="UM66" i="7" s="1"/>
  <c r="UO66" i="7" s="1"/>
  <c r="UQ66" i="7" s="1"/>
  <c r="US66" i="7" s="1"/>
  <c r="UU66" i="7" s="1"/>
  <c r="UW66" i="7" s="1"/>
  <c r="UY66" i="7" s="1"/>
  <c r="VA66" i="7" s="1"/>
  <c r="VC66" i="7" s="1"/>
  <c r="VE66" i="7" s="1"/>
  <c r="VG66" i="7" s="1"/>
  <c r="VI66" i="7" s="1"/>
  <c r="VK66" i="7" s="1"/>
  <c r="VM66" i="7" s="1"/>
  <c r="VO66" i="7" s="1"/>
  <c r="VQ66" i="7" s="1"/>
  <c r="VS66" i="7" s="1"/>
  <c r="VU66" i="7" s="1"/>
  <c r="VW66" i="7" s="1"/>
  <c r="VY66" i="7" s="1"/>
  <c r="WA66" i="7" s="1"/>
  <c r="WC66" i="7" s="1"/>
  <c r="WE66" i="7" s="1"/>
  <c r="WG66" i="7" s="1"/>
  <c r="WI66" i="7" s="1"/>
  <c r="WK66" i="7" s="1"/>
  <c r="WM66" i="7" s="1"/>
  <c r="WO66" i="7" s="1"/>
  <c r="WQ66" i="7" s="1"/>
  <c r="WS66" i="7" s="1"/>
  <c r="WU66" i="7" s="1"/>
  <c r="WW66" i="7" s="1"/>
  <c r="WY66" i="7" s="1"/>
  <c r="XA66" i="7" s="1"/>
  <c r="XC66" i="7" s="1"/>
  <c r="XE66" i="7" s="1"/>
  <c r="XG66" i="7" s="1"/>
  <c r="XI66" i="7" s="1"/>
  <c r="XK66" i="7" s="1"/>
  <c r="XM66" i="7" s="1"/>
  <c r="XO66" i="7" s="1"/>
  <c r="XQ66" i="7" s="1"/>
  <c r="XS66" i="7" s="1"/>
  <c r="XU66" i="7" s="1"/>
  <c r="XW66" i="7" s="1"/>
  <c r="XY66" i="7" s="1"/>
  <c r="YA66" i="7" s="1"/>
  <c r="YC66" i="7" s="1"/>
  <c r="YE66" i="7" s="1"/>
  <c r="YG66" i="7" s="1"/>
  <c r="YI66" i="7" s="1"/>
  <c r="YK66" i="7" s="1"/>
  <c r="YM66" i="7" s="1"/>
  <c r="YO66" i="7" s="1"/>
  <c r="YQ66" i="7" s="1"/>
  <c r="YS66" i="7" s="1"/>
  <c r="YU66" i="7" s="1"/>
  <c r="YW66" i="7" s="1"/>
  <c r="YY66" i="7" s="1"/>
  <c r="ZA66" i="7" s="1"/>
  <c r="ZC66" i="7" s="1"/>
  <c r="ZE66" i="7" s="1"/>
  <c r="ZG66" i="7" s="1"/>
  <c r="ZI66" i="7" s="1"/>
  <c r="ZK66" i="7" s="1"/>
  <c r="ZM66" i="7" s="1"/>
  <c r="ZO66" i="7" s="1"/>
  <c r="ZQ66" i="7" s="1"/>
  <c r="ZS66" i="7" s="1"/>
  <c r="ZU66" i="7" s="1"/>
  <c r="ZW66" i="7" s="1"/>
  <c r="ZY66" i="7" s="1"/>
  <c r="AAA66" i="7" s="1"/>
  <c r="AAC66" i="7" s="1"/>
  <c r="AAE66" i="7" s="1"/>
  <c r="AAG66" i="7" s="1"/>
  <c r="AAI66" i="7" s="1"/>
  <c r="AAK66" i="7" s="1"/>
  <c r="AAM66" i="7" s="1"/>
  <c r="AAO66" i="7" s="1"/>
  <c r="AAQ66" i="7" s="1"/>
  <c r="AAS66" i="7" s="1"/>
  <c r="AAU66" i="7" s="1"/>
  <c r="AAW66" i="7" s="1"/>
  <c r="AAY66" i="7" s="1"/>
  <c r="ABA66" i="7" s="1"/>
  <c r="ABC66" i="7" s="1"/>
  <c r="ABE66" i="7" s="1"/>
  <c r="ABG66" i="7" s="1"/>
  <c r="ABI66" i="7" s="1"/>
  <c r="ABK66" i="7" s="1"/>
  <c r="ABM66" i="7" s="1"/>
  <c r="ABO66" i="7" s="1"/>
  <c r="ABQ66" i="7" s="1"/>
  <c r="ABS66" i="7" s="1"/>
  <c r="ABU66" i="7" s="1"/>
  <c r="ABW66" i="7" s="1"/>
  <c r="ABY66" i="7" s="1"/>
  <c r="ACA66" i="7" s="1"/>
  <c r="ACC66" i="7" s="1"/>
  <c r="ACE66" i="7" s="1"/>
  <c r="ACG66" i="7" s="1"/>
  <c r="ACI66" i="7" s="1"/>
  <c r="ACK66" i="7" s="1"/>
  <c r="ACM66" i="7" s="1"/>
  <c r="ACO66" i="7" s="1"/>
  <c r="ACQ66" i="7" s="1"/>
  <c r="ACS66" i="7" s="1"/>
  <c r="ACU66" i="7" s="1"/>
  <c r="ACW66" i="7" s="1"/>
  <c r="ACY66" i="7" s="1"/>
  <c r="ADA66" i="7" s="1"/>
  <c r="ADC66" i="7" s="1"/>
  <c r="ADE66" i="7" s="1"/>
  <c r="ADG66" i="7" s="1"/>
  <c r="ADI66" i="7" s="1"/>
  <c r="ADK66" i="7" s="1"/>
  <c r="ADM66" i="7" s="1"/>
  <c r="ADO66" i="7" s="1"/>
  <c r="ADQ66" i="7" s="1"/>
  <c r="ADS66" i="7" s="1"/>
  <c r="ADU66" i="7" s="1"/>
  <c r="ADW66" i="7" s="1"/>
  <c r="ADY66" i="7" s="1"/>
  <c r="AEA66" i="7" s="1"/>
  <c r="AEC66" i="7" s="1"/>
  <c r="AEE66" i="7" s="1"/>
  <c r="AEG66" i="7" s="1"/>
  <c r="AEI66" i="7" s="1"/>
  <c r="AEK66" i="7" s="1"/>
  <c r="AEM66" i="7" s="1"/>
  <c r="AEO66" i="7" s="1"/>
  <c r="AEQ66" i="7" s="1"/>
  <c r="AES66" i="7" s="1"/>
  <c r="AEU66" i="7" s="1"/>
  <c r="AEW66" i="7" s="1"/>
  <c r="AEY66" i="7" s="1"/>
  <c r="AFA66" i="7" s="1"/>
  <c r="AFC66" i="7" s="1"/>
  <c r="AFE66" i="7" s="1"/>
  <c r="AFG66" i="7" s="1"/>
  <c r="AFI66" i="7" s="1"/>
  <c r="AFK66" i="7" s="1"/>
  <c r="AFM66" i="7" s="1"/>
  <c r="AFO66" i="7" s="1"/>
  <c r="AFQ66" i="7" s="1"/>
  <c r="AFS66" i="7" s="1"/>
  <c r="AFU66" i="7" s="1"/>
  <c r="AFW66" i="7" s="1"/>
  <c r="AFY66" i="7" s="1"/>
  <c r="AGA66" i="7" s="1"/>
  <c r="AGC66" i="7" s="1"/>
  <c r="AGE66" i="7" s="1"/>
  <c r="AGG66" i="7" s="1"/>
  <c r="AGI66" i="7" s="1"/>
  <c r="AGK66" i="7" s="1"/>
  <c r="AGM66" i="7" s="1"/>
  <c r="AGO66" i="7" s="1"/>
  <c r="AGQ66" i="7" s="1"/>
  <c r="AGS66" i="7" s="1"/>
  <c r="AGU66" i="7" s="1"/>
  <c r="AGW66" i="7" s="1"/>
  <c r="AGY66" i="7" s="1"/>
  <c r="AHA66" i="7" s="1"/>
  <c r="AHC66" i="7" s="1"/>
  <c r="AHE66" i="7" s="1"/>
  <c r="AHG66" i="7" s="1"/>
  <c r="AHI66" i="7" s="1"/>
  <c r="AHK66" i="7" s="1"/>
  <c r="AHM66" i="7" s="1"/>
  <c r="AHO66" i="7" s="1"/>
  <c r="AHQ66" i="7" s="1"/>
  <c r="AHS66" i="7" s="1"/>
  <c r="AHU66" i="7" s="1"/>
  <c r="AHW66" i="7" s="1"/>
  <c r="AHY66" i="7" s="1"/>
  <c r="AIA66" i="7" s="1"/>
  <c r="AIC66" i="7" s="1"/>
  <c r="AIE66" i="7" s="1"/>
  <c r="AIG66" i="7" s="1"/>
  <c r="AII66" i="7" s="1"/>
  <c r="AIK66" i="7" s="1"/>
  <c r="AIM66" i="7" s="1"/>
  <c r="AIO66" i="7" s="1"/>
  <c r="AIQ66" i="7" s="1"/>
  <c r="AIS66" i="7" s="1"/>
  <c r="AIU66" i="7" s="1"/>
  <c r="AIW66" i="7" s="1"/>
  <c r="AIY66" i="7" s="1"/>
  <c r="AJA66" i="7" s="1"/>
  <c r="AJC66" i="7" s="1"/>
  <c r="AJE66" i="7" s="1"/>
  <c r="AJG66" i="7" s="1"/>
  <c r="AJI66" i="7" s="1"/>
  <c r="AJK66" i="7" s="1"/>
  <c r="AJM66" i="7" s="1"/>
  <c r="AJO66" i="7" s="1"/>
  <c r="AJQ66" i="7" s="1"/>
  <c r="AJS66" i="7" s="1"/>
  <c r="AJU66" i="7" s="1"/>
  <c r="AJW66" i="7" s="1"/>
  <c r="AJY66" i="7" s="1"/>
  <c r="AKA66" i="7" s="1"/>
  <c r="AKC66" i="7" s="1"/>
  <c r="AKE66" i="7" s="1"/>
  <c r="AKG66" i="7" s="1"/>
  <c r="AKI66" i="7" s="1"/>
  <c r="AKK66" i="7" s="1"/>
  <c r="AKM66" i="7" s="1"/>
  <c r="AKO66" i="7" s="1"/>
  <c r="AKQ66" i="7" s="1"/>
  <c r="AKS66" i="7" s="1"/>
  <c r="AKU66" i="7" s="1"/>
  <c r="AKW66" i="7" s="1"/>
  <c r="AKY66" i="7" s="1"/>
  <c r="ALA66" i="7" s="1"/>
  <c r="ALC66" i="7" s="1"/>
  <c r="ALE66" i="7" s="1"/>
  <c r="ALG66" i="7" s="1"/>
  <c r="ALI66" i="7" s="1"/>
  <c r="ALK66" i="7" s="1"/>
  <c r="ALM66" i="7" s="1"/>
  <c r="ALO66" i="7" s="1"/>
  <c r="ALQ66" i="7" s="1"/>
  <c r="ALS66" i="7" s="1"/>
  <c r="ALU66" i="7" s="1"/>
  <c r="ALW66" i="7" s="1"/>
  <c r="ALY66" i="7" s="1"/>
  <c r="AMA66" i="7" s="1"/>
  <c r="AMC66" i="7" s="1"/>
  <c r="AME66" i="7" s="1"/>
  <c r="AMG66" i="7" s="1"/>
  <c r="AMI66" i="7" s="1"/>
  <c r="AMK66" i="7" s="1"/>
  <c r="AMM66" i="7" s="1"/>
  <c r="AMO66" i="7" s="1"/>
  <c r="AMQ66" i="7" s="1"/>
  <c r="AMS66" i="7" s="1"/>
  <c r="AMU66" i="7" s="1"/>
  <c r="AMW66" i="7" s="1"/>
  <c r="AMY66" i="7" s="1"/>
  <c r="ANA66" i="7" s="1"/>
  <c r="ANC66" i="7" s="1"/>
  <c r="ANE66" i="7" s="1"/>
  <c r="ANG66" i="7" s="1"/>
  <c r="ANI66" i="7" s="1"/>
  <c r="ANK66" i="7" s="1"/>
  <c r="ANM66" i="7" s="1"/>
  <c r="ANO66" i="7" s="1"/>
  <c r="ANQ66" i="7" s="1"/>
  <c r="ANS66" i="7" s="1"/>
  <c r="ANU66" i="7" s="1"/>
  <c r="ANW66" i="7" s="1"/>
  <c r="ANY66" i="7" s="1"/>
  <c r="AOA66" i="7" s="1"/>
  <c r="AOC66" i="7" s="1"/>
  <c r="AOE66" i="7" s="1"/>
  <c r="AOG66" i="7" s="1"/>
  <c r="AOI66" i="7" s="1"/>
  <c r="AOK66" i="7" s="1"/>
  <c r="AOM66" i="7" s="1"/>
  <c r="AOO66" i="7" s="1"/>
  <c r="AOQ66" i="7" s="1"/>
  <c r="AOS66" i="7" s="1"/>
  <c r="AOU66" i="7" s="1"/>
  <c r="AOW66" i="7" s="1"/>
  <c r="AOY66" i="7" s="1"/>
  <c r="APA66" i="7" s="1"/>
  <c r="APC66" i="7" s="1"/>
  <c r="APE66" i="7" s="1"/>
  <c r="APG66" i="7" s="1"/>
  <c r="API66" i="7" s="1"/>
  <c r="APK66" i="7" s="1"/>
  <c r="APM66" i="7" s="1"/>
  <c r="APO66" i="7" s="1"/>
  <c r="APQ66" i="7" s="1"/>
  <c r="APS66" i="7" s="1"/>
  <c r="APU66" i="7" s="1"/>
  <c r="APW66" i="7" s="1"/>
  <c r="APY66" i="7" s="1"/>
  <c r="AQA66" i="7" s="1"/>
  <c r="AQC66" i="7" s="1"/>
  <c r="AQE66" i="7" s="1"/>
  <c r="AQG66" i="7" s="1"/>
  <c r="AQI66" i="7" s="1"/>
  <c r="AQK66" i="7" s="1"/>
  <c r="AQM66" i="7" s="1"/>
  <c r="AQO66" i="7" s="1"/>
  <c r="AQQ66" i="7" s="1"/>
  <c r="AQS66" i="7" s="1"/>
  <c r="AQU66" i="7" s="1"/>
  <c r="AQW66" i="7" s="1"/>
  <c r="AQY66" i="7" s="1"/>
  <c r="ARA66" i="7" s="1"/>
  <c r="ARC66" i="7" s="1"/>
  <c r="ARE66" i="7" s="1"/>
  <c r="ARG66" i="7" s="1"/>
  <c r="ARI66" i="7" s="1"/>
  <c r="ARK66" i="7" s="1"/>
  <c r="ARM66" i="7" s="1"/>
  <c r="ARO66" i="7" s="1"/>
  <c r="ARQ66" i="7" s="1"/>
  <c r="ARS66" i="7" s="1"/>
  <c r="ARU66" i="7" s="1"/>
  <c r="ARW66" i="7" s="1"/>
  <c r="ARY66" i="7" s="1"/>
  <c r="ASA66" i="7" s="1"/>
  <c r="ASC66" i="7" s="1"/>
  <c r="ASE66" i="7" s="1"/>
  <c r="ASG66" i="7" s="1"/>
  <c r="ASI66" i="7" s="1"/>
  <c r="ASK66" i="7" s="1"/>
  <c r="ASM66" i="7" s="1"/>
  <c r="ASO66" i="7" s="1"/>
  <c r="ASQ66" i="7" s="1"/>
  <c r="ASS66" i="7" s="1"/>
  <c r="ASU66" i="7" s="1"/>
  <c r="ASW66" i="7" s="1"/>
  <c r="ASY66" i="7" s="1"/>
  <c r="ATA66" i="7" s="1"/>
  <c r="ATC66" i="7" s="1"/>
  <c r="ATE66" i="7" s="1"/>
  <c r="ATG66" i="7" s="1"/>
  <c r="ATI66" i="7" s="1"/>
  <c r="ATK66" i="7" s="1"/>
  <c r="ATM66" i="7" s="1"/>
  <c r="ATO66" i="7" s="1"/>
  <c r="ATQ66" i="7" s="1"/>
  <c r="ATS66" i="7" s="1"/>
  <c r="ATU66" i="7" s="1"/>
  <c r="ATW66" i="7" s="1"/>
  <c r="ATY66" i="7" s="1"/>
  <c r="AUA66" i="7" s="1"/>
  <c r="AUC66" i="7" s="1"/>
  <c r="AUE66" i="7" s="1"/>
  <c r="AUG66" i="7" s="1"/>
  <c r="AUI66" i="7" s="1"/>
  <c r="AUK66" i="7" s="1"/>
  <c r="AUM66" i="7" s="1"/>
  <c r="AUO66" i="7" s="1"/>
  <c r="AUQ66" i="7" s="1"/>
  <c r="AUS66" i="7" s="1"/>
  <c r="AUU66" i="7" s="1"/>
  <c r="AUW66" i="7" s="1"/>
  <c r="AUY66" i="7" s="1"/>
  <c r="AVA66" i="7" s="1"/>
  <c r="AVC66" i="7" s="1"/>
  <c r="AVE66" i="7" s="1"/>
  <c r="AVG66" i="7" s="1"/>
  <c r="AVI66" i="7" s="1"/>
  <c r="AVK66" i="7" s="1"/>
  <c r="AVM66" i="7" s="1"/>
  <c r="AVO66" i="7" s="1"/>
  <c r="AVQ66" i="7" s="1"/>
  <c r="AVS66" i="7" s="1"/>
  <c r="AVU66" i="7" s="1"/>
  <c r="AVW66" i="7" s="1"/>
  <c r="AVY66" i="7" s="1"/>
  <c r="AWA66" i="7" s="1"/>
  <c r="AWC66" i="7" s="1"/>
  <c r="AWE66" i="7" s="1"/>
  <c r="AWG66" i="7" s="1"/>
  <c r="AWI66" i="7" s="1"/>
  <c r="AWK66" i="7" s="1"/>
  <c r="AWM66" i="7" s="1"/>
  <c r="AWO66" i="7" s="1"/>
  <c r="AWQ66" i="7" s="1"/>
  <c r="AWS66" i="7" s="1"/>
  <c r="AWU66" i="7" s="1"/>
  <c r="AWW66" i="7" s="1"/>
  <c r="AWY66" i="7" s="1"/>
  <c r="AXA66" i="7" s="1"/>
  <c r="AXC66" i="7" s="1"/>
  <c r="AXE66" i="7" s="1"/>
  <c r="AXG66" i="7" s="1"/>
  <c r="AXI66" i="7" s="1"/>
  <c r="AXK66" i="7" s="1"/>
  <c r="AXM66" i="7" s="1"/>
  <c r="AXO66" i="7" s="1"/>
  <c r="AXQ66" i="7" s="1"/>
  <c r="AXS66" i="7" s="1"/>
  <c r="AXU66" i="7" s="1"/>
  <c r="AXW66" i="7" s="1"/>
  <c r="AXY66" i="7" s="1"/>
  <c r="AYA66" i="7" s="1"/>
  <c r="AYC66" i="7" s="1"/>
  <c r="AYE66" i="7" s="1"/>
  <c r="AYG66" i="7" s="1"/>
  <c r="AYI66" i="7" s="1"/>
  <c r="AYK66" i="7" s="1"/>
  <c r="AYM66" i="7" s="1"/>
  <c r="AYO66" i="7" s="1"/>
  <c r="AYQ66" i="7" s="1"/>
  <c r="AYS66" i="7" s="1"/>
  <c r="AYU66" i="7" s="1"/>
  <c r="AYW66" i="7" s="1"/>
  <c r="AYY66" i="7" s="1"/>
  <c r="AZA66" i="7" s="1"/>
  <c r="AZC66" i="7" s="1"/>
  <c r="AZE66" i="7" s="1"/>
  <c r="AZG66" i="7" s="1"/>
  <c r="AZI66" i="7" s="1"/>
  <c r="AZK66" i="7" s="1"/>
  <c r="AZM66" i="7" s="1"/>
  <c r="AZO66" i="7" s="1"/>
  <c r="AZQ66" i="7" s="1"/>
  <c r="AZS66" i="7" s="1"/>
  <c r="AZU66" i="7" s="1"/>
  <c r="AZW66" i="7" s="1"/>
  <c r="AZY66" i="7" s="1"/>
  <c r="BAA66" i="7" s="1"/>
  <c r="BAC66" i="7" s="1"/>
  <c r="BAE66" i="7" s="1"/>
  <c r="BAG66" i="7" s="1"/>
  <c r="BAI66" i="7" s="1"/>
  <c r="BAK66" i="7" s="1"/>
  <c r="BAM66" i="7" s="1"/>
  <c r="BAO66" i="7" s="1"/>
  <c r="BAQ66" i="7" s="1"/>
  <c r="BAS66" i="7" s="1"/>
  <c r="BAU66" i="7" s="1"/>
  <c r="BAW66" i="7" s="1"/>
  <c r="BAY66" i="7" s="1"/>
  <c r="BBA66" i="7" s="1"/>
  <c r="BBC66" i="7" s="1"/>
  <c r="BBE66" i="7" s="1"/>
  <c r="BBG66" i="7" s="1"/>
  <c r="BBI66" i="7" s="1"/>
  <c r="BBK66" i="7" s="1"/>
  <c r="BBM66" i="7" s="1"/>
  <c r="BBO66" i="7" s="1"/>
  <c r="BBQ66" i="7" s="1"/>
  <c r="BBS66" i="7" s="1"/>
  <c r="BBU66" i="7" s="1"/>
  <c r="BBW66" i="7" s="1"/>
  <c r="BBY66" i="7" s="1"/>
  <c r="BCA66" i="7" s="1"/>
  <c r="BCC66" i="7" s="1"/>
  <c r="BCE66" i="7" s="1"/>
  <c r="BCG66" i="7" s="1"/>
  <c r="BCI66" i="7" s="1"/>
  <c r="BCK66" i="7" s="1"/>
  <c r="BCM66" i="7" s="1"/>
  <c r="BCO66" i="7" s="1"/>
  <c r="BCQ66" i="7" s="1"/>
  <c r="BCS66" i="7" s="1"/>
  <c r="BCU66" i="7" s="1"/>
  <c r="BCW66" i="7" s="1"/>
  <c r="BCY66" i="7" s="1"/>
  <c r="BDA66" i="7" s="1"/>
  <c r="BDC66" i="7" s="1"/>
  <c r="BDE66" i="7" s="1"/>
  <c r="BDG66" i="7" s="1"/>
  <c r="BDI66" i="7" s="1"/>
  <c r="BDK66" i="7" s="1"/>
  <c r="BDM66" i="7" s="1"/>
  <c r="BDO66" i="7" s="1"/>
  <c r="BDQ66" i="7" s="1"/>
  <c r="BDS66" i="7" s="1"/>
  <c r="BDU66" i="7" s="1"/>
  <c r="BDW66" i="7" s="1"/>
  <c r="BDY66" i="7" s="1"/>
  <c r="BEA66" i="7" s="1"/>
  <c r="BEC66" i="7" s="1"/>
  <c r="BEE66" i="7" s="1"/>
  <c r="BEG66" i="7" s="1"/>
  <c r="BEI66" i="7" s="1"/>
  <c r="BEK66" i="7" s="1"/>
  <c r="BEM66" i="7" s="1"/>
  <c r="BEO66" i="7" s="1"/>
  <c r="BEQ66" i="7" s="1"/>
  <c r="BES66" i="7" s="1"/>
  <c r="BEU66" i="7" s="1"/>
  <c r="BEW66" i="7" s="1"/>
  <c r="BEY66" i="7" s="1"/>
  <c r="BFA66" i="7" s="1"/>
  <c r="BFC66" i="7" s="1"/>
  <c r="BFE66" i="7" s="1"/>
  <c r="BFG66" i="7" s="1"/>
  <c r="BFI66" i="7" s="1"/>
  <c r="BFK66" i="7" s="1"/>
  <c r="BFM66" i="7" s="1"/>
  <c r="BFO66" i="7" s="1"/>
  <c r="BFQ66" i="7" s="1"/>
  <c r="BFS66" i="7" s="1"/>
  <c r="BFU66" i="7" s="1"/>
  <c r="BFW66" i="7" s="1"/>
  <c r="BFY66" i="7" s="1"/>
  <c r="BGA66" i="7" s="1"/>
  <c r="BGC66" i="7" s="1"/>
  <c r="BGE66" i="7" s="1"/>
  <c r="BGG66" i="7" s="1"/>
  <c r="BGI66" i="7" s="1"/>
  <c r="BGK66" i="7" s="1"/>
  <c r="BGM66" i="7" s="1"/>
  <c r="BGO66" i="7" s="1"/>
  <c r="BGQ66" i="7" s="1"/>
  <c r="BGS66" i="7" s="1"/>
  <c r="BGU66" i="7" s="1"/>
  <c r="BGW66" i="7" s="1"/>
  <c r="BGY66" i="7" s="1"/>
  <c r="BHA66" i="7" s="1"/>
  <c r="BHC66" i="7" s="1"/>
  <c r="BHE66" i="7" s="1"/>
  <c r="BHG66" i="7" s="1"/>
  <c r="BHI66" i="7" s="1"/>
  <c r="BHK66" i="7" s="1"/>
  <c r="BHM66" i="7" s="1"/>
  <c r="BHO66" i="7" s="1"/>
  <c r="BHQ66" i="7" s="1"/>
  <c r="BHS66" i="7" s="1"/>
  <c r="BHU66" i="7" s="1"/>
  <c r="BHW66" i="7" s="1"/>
  <c r="BHY66" i="7" s="1"/>
  <c r="BIA66" i="7" s="1"/>
  <c r="BIC66" i="7" s="1"/>
  <c r="BIE66" i="7" s="1"/>
  <c r="BIG66" i="7" s="1"/>
  <c r="BII66" i="7" s="1"/>
  <c r="BIK66" i="7" s="1"/>
  <c r="BIM66" i="7" s="1"/>
  <c r="BIO66" i="7" s="1"/>
  <c r="BIQ66" i="7" s="1"/>
  <c r="BIS66" i="7" s="1"/>
  <c r="BIU66" i="7" s="1"/>
  <c r="BIW66" i="7" s="1"/>
  <c r="BIY66" i="7" s="1"/>
  <c r="BJA66" i="7" s="1"/>
  <c r="BJC66" i="7" s="1"/>
  <c r="BJE66" i="7" s="1"/>
  <c r="BJG66" i="7" s="1"/>
  <c r="BJI66" i="7" s="1"/>
  <c r="BJK66" i="7" s="1"/>
  <c r="BJM66" i="7" s="1"/>
  <c r="BJO66" i="7" s="1"/>
  <c r="BJQ66" i="7" s="1"/>
  <c r="BJS66" i="7" s="1"/>
  <c r="BJU66" i="7" s="1"/>
  <c r="BJW66" i="7" s="1"/>
  <c r="BJY66" i="7" s="1"/>
  <c r="BKA66" i="7" s="1"/>
  <c r="BKC66" i="7" s="1"/>
  <c r="BKE66" i="7" s="1"/>
  <c r="BKG66" i="7" s="1"/>
  <c r="BKI66" i="7" s="1"/>
  <c r="BKK66" i="7" s="1"/>
  <c r="BKM66" i="7" s="1"/>
  <c r="BKO66" i="7" s="1"/>
  <c r="BKQ66" i="7" s="1"/>
  <c r="BKS66" i="7" s="1"/>
  <c r="BKU66" i="7" s="1"/>
  <c r="BKW66" i="7" s="1"/>
  <c r="BKY66" i="7" s="1"/>
  <c r="BLA66" i="7" s="1"/>
  <c r="BLC66" i="7" s="1"/>
  <c r="BLE66" i="7" s="1"/>
  <c r="BLG66" i="7" s="1"/>
  <c r="BLI66" i="7" s="1"/>
  <c r="BLK66" i="7" s="1"/>
  <c r="BLM66" i="7" s="1"/>
  <c r="BLO66" i="7" s="1"/>
  <c r="BLQ66" i="7" s="1"/>
  <c r="BLS66" i="7" s="1"/>
  <c r="BLU66" i="7" s="1"/>
  <c r="BLW66" i="7" s="1"/>
  <c r="BLY66" i="7" s="1"/>
  <c r="BMA66" i="7" s="1"/>
  <c r="BMC66" i="7" s="1"/>
  <c r="BME66" i="7" s="1"/>
  <c r="BMG66" i="7" s="1"/>
  <c r="BMI66" i="7" s="1"/>
  <c r="BMK66" i="7" s="1"/>
  <c r="BMM66" i="7" s="1"/>
  <c r="BMO66" i="7" s="1"/>
  <c r="BMQ66" i="7" s="1"/>
  <c r="BMS66" i="7" s="1"/>
  <c r="BMU66" i="7" s="1"/>
  <c r="BMW66" i="7" s="1"/>
  <c r="BMY66" i="7" s="1"/>
  <c r="BNA66" i="7" s="1"/>
  <c r="BNC66" i="7" s="1"/>
  <c r="BNE66" i="7" s="1"/>
  <c r="BNG66" i="7" s="1"/>
  <c r="BNI66" i="7" s="1"/>
  <c r="BNK66" i="7" s="1"/>
  <c r="BNM66" i="7" s="1"/>
  <c r="BNO66" i="7" s="1"/>
  <c r="BNQ66" i="7" s="1"/>
  <c r="BNS66" i="7" s="1"/>
  <c r="BNU66" i="7" s="1"/>
  <c r="BNW66" i="7" s="1"/>
  <c r="BNY66" i="7" s="1"/>
  <c r="BOA66" i="7" s="1"/>
  <c r="BOC66" i="7" s="1"/>
  <c r="BOE66" i="7" s="1"/>
  <c r="BOG66" i="7" s="1"/>
  <c r="BOI66" i="7" s="1"/>
  <c r="BOK66" i="7" s="1"/>
  <c r="BOM66" i="7" s="1"/>
  <c r="BOO66" i="7" s="1"/>
  <c r="BOQ66" i="7" s="1"/>
  <c r="BOS66" i="7" s="1"/>
  <c r="BOU66" i="7" s="1"/>
  <c r="BOW66" i="7" s="1"/>
  <c r="BOY66" i="7" s="1"/>
  <c r="BPA66" i="7" s="1"/>
  <c r="BPC66" i="7" s="1"/>
  <c r="BPE66" i="7" s="1"/>
  <c r="BPG66" i="7" s="1"/>
  <c r="BPI66" i="7" s="1"/>
  <c r="BPK66" i="7" s="1"/>
  <c r="BPM66" i="7" s="1"/>
  <c r="BPO66" i="7" s="1"/>
  <c r="BPQ66" i="7" s="1"/>
  <c r="BPS66" i="7" s="1"/>
  <c r="BPU66" i="7" s="1"/>
  <c r="BPW66" i="7" s="1"/>
  <c r="BPY66" i="7" s="1"/>
  <c r="BQA66" i="7" s="1"/>
  <c r="BQC66" i="7" s="1"/>
  <c r="BQE66" i="7" s="1"/>
  <c r="BQG66" i="7" s="1"/>
  <c r="BQI66" i="7" s="1"/>
  <c r="BQK66" i="7" s="1"/>
  <c r="BQM66" i="7" s="1"/>
  <c r="BQO66" i="7" s="1"/>
  <c r="BQQ66" i="7" s="1"/>
  <c r="BQS66" i="7" s="1"/>
  <c r="BQU66" i="7" s="1"/>
  <c r="BQW66" i="7" s="1"/>
  <c r="BQY66" i="7" s="1"/>
  <c r="BRA66" i="7" s="1"/>
  <c r="BRC66" i="7" s="1"/>
  <c r="BRE66" i="7" s="1"/>
  <c r="BRG66" i="7" s="1"/>
  <c r="BRI66" i="7" s="1"/>
  <c r="BRK66" i="7" s="1"/>
  <c r="BRM66" i="7" s="1"/>
  <c r="BRO66" i="7" s="1"/>
  <c r="BRQ66" i="7" s="1"/>
  <c r="BRS66" i="7" s="1"/>
  <c r="BRU66" i="7" s="1"/>
  <c r="BRW66" i="7" s="1"/>
  <c r="BRY66" i="7" s="1"/>
  <c r="BSA66" i="7" s="1"/>
  <c r="BSC66" i="7" s="1"/>
  <c r="BSE66" i="7" s="1"/>
  <c r="BSG66" i="7" s="1"/>
  <c r="BSI66" i="7" s="1"/>
  <c r="BSK66" i="7" s="1"/>
  <c r="BSM66" i="7" s="1"/>
  <c r="BSO66" i="7" s="1"/>
  <c r="BSQ66" i="7" s="1"/>
  <c r="BSS66" i="7" s="1"/>
  <c r="BSU66" i="7" s="1"/>
  <c r="BSW66" i="7" s="1"/>
  <c r="BSY66" i="7" s="1"/>
  <c r="BTA66" i="7" s="1"/>
  <c r="BTC66" i="7" s="1"/>
  <c r="BTE66" i="7" s="1"/>
  <c r="BTG66" i="7" s="1"/>
  <c r="BTI66" i="7" s="1"/>
  <c r="BTK66" i="7" s="1"/>
  <c r="BTM66" i="7" s="1"/>
  <c r="BTO66" i="7" s="1"/>
  <c r="BTQ66" i="7" s="1"/>
  <c r="BTS66" i="7" s="1"/>
  <c r="BTU66" i="7" s="1"/>
  <c r="BTW66" i="7" s="1"/>
  <c r="BTY66" i="7" s="1"/>
  <c r="BUA66" i="7" s="1"/>
  <c r="BUC66" i="7" s="1"/>
  <c r="BUE66" i="7" s="1"/>
  <c r="BUG66" i="7" s="1"/>
  <c r="BUI66" i="7" s="1"/>
  <c r="BUK66" i="7" s="1"/>
  <c r="BUM66" i="7" s="1"/>
  <c r="BUO66" i="7" s="1"/>
  <c r="BUQ66" i="7" s="1"/>
  <c r="BUS66" i="7" s="1"/>
  <c r="BUU66" i="7" s="1"/>
  <c r="BUW66" i="7" s="1"/>
  <c r="BUY66" i="7" s="1"/>
  <c r="BVA66" i="7" s="1"/>
  <c r="BVC66" i="7" s="1"/>
  <c r="BVE66" i="7" s="1"/>
  <c r="BVG66" i="7" s="1"/>
  <c r="BVI66" i="7" s="1"/>
  <c r="BVK66" i="7" s="1"/>
  <c r="BVM66" i="7" s="1"/>
  <c r="BVO66" i="7" s="1"/>
  <c r="BVQ66" i="7" s="1"/>
  <c r="BVS66" i="7" s="1"/>
  <c r="BVU66" i="7" s="1"/>
  <c r="BVW66" i="7" s="1"/>
  <c r="BVY66" i="7" s="1"/>
  <c r="BWA66" i="7" s="1"/>
  <c r="BWC66" i="7" s="1"/>
  <c r="BWE66" i="7" s="1"/>
  <c r="BWG66" i="7" s="1"/>
  <c r="BWI66" i="7" s="1"/>
  <c r="BWK66" i="7" s="1"/>
  <c r="BWM66" i="7" s="1"/>
  <c r="BWO66" i="7" s="1"/>
  <c r="BWQ66" i="7" s="1"/>
  <c r="BWS66" i="7" s="1"/>
  <c r="BWU66" i="7" s="1"/>
  <c r="BWW66" i="7" s="1"/>
  <c r="BWY66" i="7" s="1"/>
  <c r="BXA66" i="7" s="1"/>
  <c r="BXC66" i="7" s="1"/>
  <c r="BXE66" i="7" s="1"/>
  <c r="BXG66" i="7" s="1"/>
  <c r="BXI66" i="7" s="1"/>
  <c r="BXK66" i="7" s="1"/>
  <c r="BXM66" i="7" s="1"/>
  <c r="BXO66" i="7" s="1"/>
  <c r="BXQ66" i="7" s="1"/>
  <c r="BXS66" i="7" s="1"/>
  <c r="BXU66" i="7" s="1"/>
  <c r="BXW66" i="7" s="1"/>
  <c r="BXY66" i="7" s="1"/>
  <c r="BYA66" i="7" s="1"/>
  <c r="BYC66" i="7" s="1"/>
  <c r="BYE66" i="7" s="1"/>
  <c r="BYG66" i="7" s="1"/>
  <c r="BYI66" i="7" s="1"/>
  <c r="BYK66" i="7" s="1"/>
  <c r="BYM66" i="7" s="1"/>
  <c r="BYO66" i="7" s="1"/>
  <c r="BYQ66" i="7" s="1"/>
  <c r="BYS66" i="7" s="1"/>
  <c r="BYU66" i="7" s="1"/>
  <c r="BYW66" i="7" s="1"/>
  <c r="BYY66" i="7" s="1"/>
  <c r="BZA66" i="7" s="1"/>
  <c r="BZC66" i="7" s="1"/>
  <c r="BZE66" i="7" s="1"/>
  <c r="BZG66" i="7" s="1"/>
  <c r="BZI66" i="7" s="1"/>
  <c r="BZK66" i="7" s="1"/>
  <c r="BZM66" i="7" s="1"/>
  <c r="BZO66" i="7" s="1"/>
  <c r="BZQ66" i="7" s="1"/>
  <c r="BZS66" i="7" s="1"/>
  <c r="BZU66" i="7" s="1"/>
  <c r="BZW66" i="7" s="1"/>
  <c r="BZY66" i="7" s="1"/>
  <c r="CAA66" i="7" s="1"/>
  <c r="CAC66" i="7" s="1"/>
  <c r="CAE66" i="7" s="1"/>
  <c r="CAG66" i="7" s="1"/>
  <c r="CAI66" i="7" s="1"/>
  <c r="CAK66" i="7" s="1"/>
  <c r="CAM66" i="7" s="1"/>
  <c r="CAO66" i="7" s="1"/>
  <c r="CAQ66" i="7" s="1"/>
  <c r="CAS66" i="7" s="1"/>
  <c r="CAU66" i="7" s="1"/>
  <c r="CAW66" i="7" s="1"/>
  <c r="CAY66" i="7" s="1"/>
  <c r="CBA66" i="7" s="1"/>
  <c r="CBC66" i="7" s="1"/>
  <c r="CBE66" i="7" s="1"/>
  <c r="CBG66" i="7" s="1"/>
  <c r="CBI66" i="7" s="1"/>
  <c r="CBK66" i="7" s="1"/>
  <c r="CBM66" i="7" s="1"/>
  <c r="CBO66" i="7" s="1"/>
  <c r="CBQ66" i="7" s="1"/>
  <c r="CBS66" i="7" s="1"/>
  <c r="CBU66" i="7" s="1"/>
  <c r="CBW66" i="7" s="1"/>
  <c r="CBY66" i="7" s="1"/>
  <c r="CCA66" i="7" s="1"/>
  <c r="CCC66" i="7" s="1"/>
  <c r="CCE66" i="7" s="1"/>
  <c r="CCG66" i="7" s="1"/>
  <c r="CCI66" i="7" s="1"/>
  <c r="CCK66" i="7" s="1"/>
  <c r="CCM66" i="7" s="1"/>
  <c r="CCO66" i="7" s="1"/>
  <c r="CCQ66" i="7" s="1"/>
  <c r="CCS66" i="7" s="1"/>
  <c r="CCU66" i="7" s="1"/>
  <c r="CCW66" i="7" s="1"/>
  <c r="CCY66" i="7" s="1"/>
  <c r="CDA66" i="7" s="1"/>
  <c r="CDC66" i="7" s="1"/>
  <c r="CDE66" i="7" s="1"/>
  <c r="CDG66" i="7" s="1"/>
  <c r="CDI66" i="7" s="1"/>
  <c r="CDK66" i="7" s="1"/>
  <c r="CDM66" i="7" s="1"/>
  <c r="CDO66" i="7" s="1"/>
  <c r="CDQ66" i="7" s="1"/>
  <c r="CDS66" i="7" s="1"/>
  <c r="CDU66" i="7" s="1"/>
  <c r="CDW66" i="7" s="1"/>
  <c r="CDY66" i="7" s="1"/>
  <c r="CEA66" i="7" s="1"/>
  <c r="CEC66" i="7" s="1"/>
  <c r="CEE66" i="7" s="1"/>
  <c r="CEG66" i="7" s="1"/>
  <c r="CEI66" i="7" s="1"/>
  <c r="CEK66" i="7" s="1"/>
  <c r="CEM66" i="7" s="1"/>
  <c r="CEO66" i="7" s="1"/>
  <c r="CEQ66" i="7" s="1"/>
  <c r="CES66" i="7" s="1"/>
  <c r="CEU66" i="7" s="1"/>
  <c r="CEW66" i="7" s="1"/>
  <c r="CEY66" i="7" s="1"/>
  <c r="CFA66" i="7" s="1"/>
  <c r="CFC66" i="7" s="1"/>
  <c r="CFE66" i="7" s="1"/>
  <c r="CFG66" i="7" s="1"/>
  <c r="CFI66" i="7" s="1"/>
  <c r="CFK66" i="7" s="1"/>
  <c r="CFM66" i="7" s="1"/>
  <c r="CFO66" i="7" s="1"/>
  <c r="CFQ66" i="7" s="1"/>
  <c r="CFS66" i="7" s="1"/>
  <c r="CFU66" i="7" s="1"/>
  <c r="CFW66" i="7" s="1"/>
  <c r="CFY66" i="7" s="1"/>
  <c r="CGA66" i="7" s="1"/>
  <c r="CGC66" i="7" s="1"/>
  <c r="CGE66" i="7" s="1"/>
  <c r="CGG66" i="7" s="1"/>
  <c r="CGI66" i="7" s="1"/>
  <c r="CGK66" i="7" s="1"/>
  <c r="CGM66" i="7" s="1"/>
  <c r="CGO66" i="7" s="1"/>
  <c r="CGQ66" i="7" s="1"/>
  <c r="CGS66" i="7" s="1"/>
  <c r="CGU66" i="7" s="1"/>
  <c r="CGW66" i="7" s="1"/>
  <c r="CGY66" i="7" s="1"/>
  <c r="CHA66" i="7" s="1"/>
  <c r="CHC66" i="7" s="1"/>
  <c r="CHE66" i="7" s="1"/>
  <c r="CHG66" i="7" s="1"/>
  <c r="CHI66" i="7" s="1"/>
  <c r="CHK66" i="7" s="1"/>
  <c r="CHM66" i="7" s="1"/>
  <c r="CHO66" i="7" s="1"/>
  <c r="CHQ66" i="7" s="1"/>
  <c r="CHS66" i="7" s="1"/>
  <c r="CHU66" i="7" s="1"/>
  <c r="CHW66" i="7" s="1"/>
  <c r="CHY66" i="7" s="1"/>
  <c r="CIA66" i="7" s="1"/>
  <c r="CIC66" i="7" s="1"/>
  <c r="CIE66" i="7" s="1"/>
  <c r="CIG66" i="7" s="1"/>
  <c r="CII66" i="7" s="1"/>
  <c r="CIK66" i="7" s="1"/>
  <c r="CIM66" i="7" s="1"/>
  <c r="CIO66" i="7" s="1"/>
  <c r="CIQ66" i="7" s="1"/>
  <c r="CIS66" i="7" s="1"/>
  <c r="CIU66" i="7" s="1"/>
  <c r="CIW66" i="7" s="1"/>
  <c r="CIY66" i="7" s="1"/>
  <c r="CJA66" i="7" s="1"/>
  <c r="CJC66" i="7" s="1"/>
  <c r="CJE66" i="7" s="1"/>
  <c r="CJG66" i="7" s="1"/>
  <c r="CJI66" i="7" s="1"/>
  <c r="CJK66" i="7" s="1"/>
  <c r="CJM66" i="7" s="1"/>
  <c r="CJO66" i="7" s="1"/>
  <c r="CJQ66" i="7" s="1"/>
  <c r="CJS66" i="7" s="1"/>
  <c r="CJU66" i="7" s="1"/>
  <c r="CJW66" i="7" s="1"/>
  <c r="CJY66" i="7" s="1"/>
  <c r="CKA66" i="7" s="1"/>
  <c r="CKC66" i="7" s="1"/>
  <c r="CKE66" i="7" s="1"/>
  <c r="CKG66" i="7" s="1"/>
  <c r="CKI66" i="7" s="1"/>
  <c r="CKK66" i="7" s="1"/>
  <c r="CKM66" i="7" s="1"/>
  <c r="CKO66" i="7" s="1"/>
  <c r="CKQ66" i="7" s="1"/>
  <c r="CKS66" i="7" s="1"/>
  <c r="CKU66" i="7" s="1"/>
  <c r="CKW66" i="7" s="1"/>
  <c r="CKY66" i="7" s="1"/>
  <c r="CLA66" i="7" s="1"/>
  <c r="CLC66" i="7" s="1"/>
  <c r="CLE66" i="7" s="1"/>
  <c r="CLG66" i="7" s="1"/>
  <c r="CLI66" i="7" s="1"/>
  <c r="CLK66" i="7" s="1"/>
  <c r="CLM66" i="7" s="1"/>
  <c r="CLO66" i="7" s="1"/>
  <c r="CLQ66" i="7" s="1"/>
  <c r="CLS66" i="7" s="1"/>
  <c r="CLU66" i="7" s="1"/>
  <c r="CLW66" i="7" s="1"/>
  <c r="CLY66" i="7" s="1"/>
  <c r="CMA66" i="7" s="1"/>
  <c r="CMC66" i="7" s="1"/>
  <c r="CME66" i="7" s="1"/>
  <c r="CMG66" i="7" s="1"/>
  <c r="CMI66" i="7" s="1"/>
  <c r="CMK66" i="7" s="1"/>
  <c r="CMM66" i="7" s="1"/>
  <c r="CMO66" i="7" s="1"/>
  <c r="CMQ66" i="7" s="1"/>
  <c r="CMS66" i="7" s="1"/>
  <c r="CMU66" i="7" s="1"/>
  <c r="CMW66" i="7" s="1"/>
  <c r="CMY66" i="7" s="1"/>
  <c r="CNA66" i="7" s="1"/>
  <c r="CNC66" i="7" s="1"/>
  <c r="CNE66" i="7" s="1"/>
  <c r="CNG66" i="7" s="1"/>
  <c r="CNI66" i="7" s="1"/>
  <c r="CNK66" i="7" s="1"/>
  <c r="CNM66" i="7" s="1"/>
  <c r="CNO66" i="7" s="1"/>
  <c r="CNQ66" i="7" s="1"/>
  <c r="CNS66" i="7" s="1"/>
  <c r="CNU66" i="7" s="1"/>
  <c r="CNW66" i="7" s="1"/>
  <c r="CNY66" i="7" s="1"/>
  <c r="COA66" i="7" s="1"/>
  <c r="COC66" i="7" s="1"/>
  <c r="COE66" i="7" s="1"/>
  <c r="COG66" i="7" s="1"/>
  <c r="COI66" i="7" s="1"/>
  <c r="COK66" i="7" s="1"/>
  <c r="COM66" i="7" s="1"/>
  <c r="COO66" i="7" s="1"/>
  <c r="COQ66" i="7" s="1"/>
  <c r="COS66" i="7" s="1"/>
  <c r="COU66" i="7" s="1"/>
  <c r="COW66" i="7" s="1"/>
  <c r="COY66" i="7" s="1"/>
  <c r="CPA66" i="7" s="1"/>
  <c r="CPC66" i="7" s="1"/>
  <c r="CPE66" i="7" s="1"/>
  <c r="CPG66" i="7" s="1"/>
  <c r="CPI66" i="7" s="1"/>
  <c r="CPK66" i="7" s="1"/>
  <c r="CPM66" i="7" s="1"/>
  <c r="CPO66" i="7" s="1"/>
  <c r="CPQ66" i="7" s="1"/>
  <c r="CPS66" i="7" s="1"/>
  <c r="CPU66" i="7" s="1"/>
  <c r="CPW66" i="7" s="1"/>
  <c r="CPY66" i="7" s="1"/>
  <c r="CQA66" i="7" s="1"/>
  <c r="CQC66" i="7" s="1"/>
  <c r="CQE66" i="7" s="1"/>
  <c r="CQG66" i="7" s="1"/>
  <c r="CQI66" i="7" s="1"/>
  <c r="CQK66" i="7" s="1"/>
  <c r="CQM66" i="7" s="1"/>
  <c r="CQO66" i="7" s="1"/>
  <c r="CQQ66" i="7" s="1"/>
  <c r="CQS66" i="7" s="1"/>
  <c r="CQU66" i="7" s="1"/>
  <c r="CQW66" i="7" s="1"/>
  <c r="CQY66" i="7" s="1"/>
  <c r="CRA66" i="7" s="1"/>
  <c r="CRC66" i="7" s="1"/>
  <c r="CRE66" i="7" s="1"/>
  <c r="CRG66" i="7" s="1"/>
  <c r="CRI66" i="7" s="1"/>
  <c r="CRK66" i="7" s="1"/>
  <c r="CRM66" i="7" s="1"/>
  <c r="CRO66" i="7" s="1"/>
  <c r="CRQ66" i="7" s="1"/>
  <c r="CRS66" i="7" s="1"/>
  <c r="CRU66" i="7" s="1"/>
  <c r="CRW66" i="7" s="1"/>
  <c r="CRY66" i="7" s="1"/>
  <c r="CSA66" i="7" s="1"/>
  <c r="CSC66" i="7" s="1"/>
  <c r="CSE66" i="7" s="1"/>
  <c r="CSG66" i="7" s="1"/>
  <c r="CSI66" i="7" s="1"/>
  <c r="CSK66" i="7" s="1"/>
  <c r="CSM66" i="7" s="1"/>
  <c r="CSO66" i="7" s="1"/>
  <c r="CSQ66" i="7" s="1"/>
  <c r="CSS66" i="7" s="1"/>
  <c r="CSU66" i="7" s="1"/>
  <c r="CSW66" i="7" s="1"/>
  <c r="CSY66" i="7" s="1"/>
  <c r="CTA66" i="7" s="1"/>
  <c r="CTC66" i="7" s="1"/>
  <c r="CTE66" i="7" s="1"/>
  <c r="CTG66" i="7" s="1"/>
  <c r="CTI66" i="7" s="1"/>
  <c r="CTK66" i="7" s="1"/>
  <c r="CTM66" i="7" s="1"/>
  <c r="CTO66" i="7" s="1"/>
  <c r="CTQ66" i="7" s="1"/>
  <c r="CTS66" i="7" s="1"/>
  <c r="CTU66" i="7" s="1"/>
  <c r="CTW66" i="7" s="1"/>
  <c r="CTY66" i="7" s="1"/>
  <c r="CUA66" i="7" s="1"/>
  <c r="CUC66" i="7" s="1"/>
  <c r="CUE66" i="7" s="1"/>
  <c r="CUG66" i="7" s="1"/>
  <c r="CUI66" i="7" s="1"/>
  <c r="CUK66" i="7" s="1"/>
  <c r="CUM66" i="7" s="1"/>
  <c r="CUO66" i="7" s="1"/>
  <c r="CUQ66" i="7" s="1"/>
  <c r="CUS66" i="7" s="1"/>
  <c r="CUU66" i="7" s="1"/>
  <c r="CUW66" i="7" s="1"/>
  <c r="CUY66" i="7" s="1"/>
  <c r="CVA66" i="7" s="1"/>
  <c r="CVC66" i="7" s="1"/>
  <c r="CVE66" i="7" s="1"/>
  <c r="CVG66" i="7" s="1"/>
  <c r="CVI66" i="7" s="1"/>
  <c r="CVK66" i="7" s="1"/>
  <c r="CVM66" i="7" s="1"/>
  <c r="CVO66" i="7" s="1"/>
  <c r="CVQ66" i="7" s="1"/>
  <c r="CVS66" i="7" s="1"/>
  <c r="CVU66" i="7" s="1"/>
  <c r="CVW66" i="7" s="1"/>
  <c r="CVY66" i="7" s="1"/>
  <c r="CWA66" i="7" s="1"/>
  <c r="CWC66" i="7" s="1"/>
  <c r="CWE66" i="7" s="1"/>
  <c r="CWG66" i="7" s="1"/>
  <c r="CWI66" i="7" s="1"/>
  <c r="CWK66" i="7" s="1"/>
  <c r="CWM66" i="7" s="1"/>
  <c r="CWO66" i="7" s="1"/>
  <c r="CWQ66" i="7" s="1"/>
  <c r="CWS66" i="7" s="1"/>
  <c r="CWU66" i="7" s="1"/>
  <c r="CWW66" i="7" s="1"/>
  <c r="CWY66" i="7" s="1"/>
  <c r="CXA66" i="7" s="1"/>
  <c r="CXC66" i="7" s="1"/>
  <c r="CXE66" i="7" s="1"/>
  <c r="CXG66" i="7" s="1"/>
  <c r="CXI66" i="7" s="1"/>
  <c r="CXK66" i="7" s="1"/>
  <c r="CXM66" i="7" s="1"/>
  <c r="CXO66" i="7" s="1"/>
  <c r="CXQ66" i="7" s="1"/>
  <c r="CXS66" i="7" s="1"/>
  <c r="CXU66" i="7" s="1"/>
  <c r="CXW66" i="7" s="1"/>
  <c r="CXY66" i="7" s="1"/>
  <c r="CYA66" i="7" s="1"/>
  <c r="CYC66" i="7" s="1"/>
  <c r="CYE66" i="7" s="1"/>
  <c r="CYG66" i="7" s="1"/>
  <c r="CYI66" i="7" s="1"/>
  <c r="CYK66" i="7" s="1"/>
  <c r="CYM66" i="7" s="1"/>
  <c r="CYO66" i="7" s="1"/>
  <c r="CYQ66" i="7" s="1"/>
  <c r="CYS66" i="7" s="1"/>
  <c r="CYU66" i="7" s="1"/>
  <c r="CYW66" i="7" s="1"/>
  <c r="CYY66" i="7" s="1"/>
  <c r="CZA66" i="7" s="1"/>
  <c r="CZC66" i="7" s="1"/>
  <c r="CZE66" i="7" s="1"/>
  <c r="CZG66" i="7" s="1"/>
  <c r="CZI66" i="7" s="1"/>
  <c r="CZK66" i="7" s="1"/>
  <c r="CZM66" i="7" s="1"/>
  <c r="CZO66" i="7" s="1"/>
  <c r="CZQ66" i="7" s="1"/>
  <c r="CZS66" i="7" s="1"/>
  <c r="CZU66" i="7" s="1"/>
  <c r="CZW66" i="7" s="1"/>
  <c r="CZY66" i="7" s="1"/>
  <c r="DAA66" i="7" s="1"/>
  <c r="DAC66" i="7" s="1"/>
  <c r="DAE66" i="7" s="1"/>
  <c r="DAG66" i="7" s="1"/>
  <c r="DAI66" i="7" s="1"/>
  <c r="DAK66" i="7" s="1"/>
  <c r="DAM66" i="7" s="1"/>
  <c r="DAO66" i="7" s="1"/>
  <c r="DAQ66" i="7" s="1"/>
  <c r="DAS66" i="7" s="1"/>
  <c r="DAU66" i="7" s="1"/>
  <c r="DAW66" i="7" s="1"/>
  <c r="DAY66" i="7" s="1"/>
  <c r="DBA66" i="7" s="1"/>
  <c r="DBC66" i="7" s="1"/>
  <c r="DBE66" i="7" s="1"/>
  <c r="DBG66" i="7" s="1"/>
  <c r="DBI66" i="7" s="1"/>
  <c r="DBK66" i="7" s="1"/>
  <c r="DBM66" i="7" s="1"/>
  <c r="DBO66" i="7" s="1"/>
  <c r="DBQ66" i="7" s="1"/>
  <c r="DBS66" i="7" s="1"/>
  <c r="DBU66" i="7" s="1"/>
  <c r="DBW66" i="7" s="1"/>
  <c r="DBY66" i="7" s="1"/>
  <c r="DCA66" i="7" s="1"/>
  <c r="DCC66" i="7" s="1"/>
  <c r="DCE66" i="7" s="1"/>
  <c r="DCG66" i="7" s="1"/>
  <c r="DCI66" i="7" s="1"/>
  <c r="DCK66" i="7" s="1"/>
  <c r="DCM66" i="7" s="1"/>
  <c r="DCO66" i="7" s="1"/>
  <c r="DCQ66" i="7" s="1"/>
  <c r="DCS66" i="7" s="1"/>
  <c r="DCU66" i="7" s="1"/>
  <c r="DCW66" i="7" s="1"/>
  <c r="DCY66" i="7" s="1"/>
  <c r="DDA66" i="7" s="1"/>
  <c r="DDC66" i="7" s="1"/>
  <c r="DDE66" i="7" s="1"/>
  <c r="DDG66" i="7" s="1"/>
  <c r="DDI66" i="7" s="1"/>
  <c r="DDK66" i="7" s="1"/>
  <c r="DDM66" i="7" s="1"/>
  <c r="DDO66" i="7" s="1"/>
  <c r="DDQ66" i="7" s="1"/>
  <c r="DDS66" i="7" s="1"/>
  <c r="DDU66" i="7" s="1"/>
  <c r="DDW66" i="7" s="1"/>
  <c r="DDY66" i="7" s="1"/>
  <c r="DEA66" i="7" s="1"/>
  <c r="DEC66" i="7" s="1"/>
  <c r="DEE66" i="7" s="1"/>
  <c r="DEG66" i="7" s="1"/>
  <c r="DEI66" i="7" s="1"/>
  <c r="DEK66" i="7" s="1"/>
  <c r="DEM66" i="7" s="1"/>
  <c r="DEO66" i="7" s="1"/>
  <c r="DEQ66" i="7" s="1"/>
  <c r="DES66" i="7" s="1"/>
  <c r="DEU66" i="7" s="1"/>
  <c r="DEW66" i="7" s="1"/>
  <c r="DEY66" i="7" s="1"/>
  <c r="DFA66" i="7" s="1"/>
  <c r="DFC66" i="7" s="1"/>
  <c r="DFE66" i="7" s="1"/>
  <c r="DFG66" i="7" s="1"/>
  <c r="DFI66" i="7" s="1"/>
  <c r="DFK66" i="7" s="1"/>
  <c r="DFM66" i="7" s="1"/>
  <c r="DFO66" i="7" s="1"/>
  <c r="DFQ66" i="7" s="1"/>
  <c r="DFS66" i="7" s="1"/>
  <c r="DFU66" i="7" s="1"/>
  <c r="DFW66" i="7" s="1"/>
  <c r="DFY66" i="7" s="1"/>
  <c r="DGA66" i="7" s="1"/>
  <c r="DGC66" i="7" s="1"/>
  <c r="DGE66" i="7" s="1"/>
  <c r="DGG66" i="7" s="1"/>
  <c r="DGI66" i="7" s="1"/>
  <c r="DGK66" i="7" s="1"/>
  <c r="DGM66" i="7" s="1"/>
  <c r="DGO66" i="7" s="1"/>
  <c r="DGQ66" i="7" s="1"/>
  <c r="DGS66" i="7" s="1"/>
  <c r="DGU66" i="7" s="1"/>
  <c r="DGW66" i="7" s="1"/>
  <c r="DGY66" i="7" s="1"/>
  <c r="DHA66" i="7" s="1"/>
  <c r="DHC66" i="7" s="1"/>
  <c r="DHE66" i="7" s="1"/>
  <c r="DHG66" i="7" s="1"/>
  <c r="DHI66" i="7" s="1"/>
  <c r="DHK66" i="7" s="1"/>
  <c r="DHM66" i="7" s="1"/>
  <c r="DHO66" i="7" s="1"/>
  <c r="DHQ66" i="7" s="1"/>
  <c r="DHS66" i="7" s="1"/>
  <c r="DHU66" i="7" s="1"/>
  <c r="DHW66" i="7" s="1"/>
  <c r="DHY66" i="7" s="1"/>
  <c r="DIA66" i="7" s="1"/>
  <c r="DIC66" i="7" s="1"/>
  <c r="DIE66" i="7" s="1"/>
  <c r="DIG66" i="7" s="1"/>
  <c r="DII66" i="7" s="1"/>
  <c r="DIK66" i="7" s="1"/>
  <c r="DIM66" i="7" s="1"/>
  <c r="DIO66" i="7" s="1"/>
  <c r="DIQ66" i="7" s="1"/>
  <c r="DIS66" i="7" s="1"/>
  <c r="DIU66" i="7" s="1"/>
  <c r="DIW66" i="7" s="1"/>
  <c r="DIY66" i="7" s="1"/>
  <c r="DJA66" i="7" s="1"/>
  <c r="DJC66" i="7" s="1"/>
  <c r="DJE66" i="7" s="1"/>
  <c r="DJG66" i="7" s="1"/>
  <c r="DJI66" i="7" s="1"/>
  <c r="DJK66" i="7" s="1"/>
  <c r="DJM66" i="7" s="1"/>
  <c r="DJO66" i="7" s="1"/>
  <c r="DJQ66" i="7" s="1"/>
  <c r="DJS66" i="7" s="1"/>
  <c r="DJU66" i="7" s="1"/>
  <c r="DJW66" i="7" s="1"/>
  <c r="DJY66" i="7" s="1"/>
  <c r="DKA66" i="7" s="1"/>
  <c r="DKC66" i="7" s="1"/>
  <c r="DKE66" i="7" s="1"/>
  <c r="DKG66" i="7" s="1"/>
  <c r="DKI66" i="7" s="1"/>
  <c r="DKK66" i="7" s="1"/>
  <c r="DKM66" i="7" s="1"/>
  <c r="DKO66" i="7" s="1"/>
  <c r="DKQ66" i="7" s="1"/>
  <c r="DKS66" i="7" s="1"/>
  <c r="DKU66" i="7" s="1"/>
  <c r="DKW66" i="7" s="1"/>
  <c r="DKY66" i="7" s="1"/>
  <c r="DLA66" i="7" s="1"/>
  <c r="DLC66" i="7" s="1"/>
  <c r="DLE66" i="7" s="1"/>
  <c r="DLG66" i="7" s="1"/>
  <c r="DLI66" i="7" s="1"/>
  <c r="DLK66" i="7" s="1"/>
  <c r="DLM66" i="7" s="1"/>
  <c r="DLO66" i="7" s="1"/>
  <c r="DLQ66" i="7" s="1"/>
  <c r="DLS66" i="7" s="1"/>
  <c r="DLU66" i="7" s="1"/>
  <c r="DLW66" i="7" s="1"/>
  <c r="DLY66" i="7" s="1"/>
  <c r="DMA66" i="7" s="1"/>
  <c r="DMC66" i="7" s="1"/>
  <c r="DME66" i="7" s="1"/>
  <c r="DMG66" i="7" s="1"/>
  <c r="DMI66" i="7" s="1"/>
  <c r="DMK66" i="7" s="1"/>
  <c r="DMM66" i="7" s="1"/>
  <c r="DMO66" i="7" s="1"/>
  <c r="DMQ66" i="7" s="1"/>
  <c r="DMS66" i="7" s="1"/>
  <c r="DMU66" i="7" s="1"/>
  <c r="DMW66" i="7" s="1"/>
  <c r="DMY66" i="7" s="1"/>
  <c r="DNA66" i="7" s="1"/>
  <c r="DNC66" i="7" s="1"/>
  <c r="DNE66" i="7" s="1"/>
  <c r="DNG66" i="7" s="1"/>
  <c r="DNI66" i="7" s="1"/>
  <c r="DNK66" i="7" s="1"/>
  <c r="DNM66" i="7" s="1"/>
  <c r="DNO66" i="7" s="1"/>
  <c r="DNQ66" i="7" s="1"/>
  <c r="DNS66" i="7" s="1"/>
  <c r="DNU66" i="7" s="1"/>
  <c r="DNW66" i="7" s="1"/>
  <c r="DNY66" i="7" s="1"/>
  <c r="DOA66" i="7" s="1"/>
  <c r="DOC66" i="7" s="1"/>
  <c r="DOE66" i="7" s="1"/>
  <c r="DOG66" i="7" s="1"/>
  <c r="DOI66" i="7" s="1"/>
  <c r="DOK66" i="7" s="1"/>
  <c r="DOM66" i="7" s="1"/>
  <c r="DOO66" i="7" s="1"/>
  <c r="DOQ66" i="7" s="1"/>
  <c r="DOS66" i="7" s="1"/>
  <c r="DOU66" i="7" s="1"/>
  <c r="DOW66" i="7" s="1"/>
  <c r="DOY66" i="7" s="1"/>
  <c r="DPA66" i="7" s="1"/>
  <c r="DPC66" i="7" s="1"/>
  <c r="DPE66" i="7" s="1"/>
  <c r="DPG66" i="7" s="1"/>
  <c r="DPI66" i="7" s="1"/>
  <c r="DPK66" i="7" s="1"/>
  <c r="DPM66" i="7" s="1"/>
  <c r="DPO66" i="7" s="1"/>
  <c r="DPQ66" i="7" s="1"/>
  <c r="DPS66" i="7" s="1"/>
  <c r="DPU66" i="7" s="1"/>
  <c r="DPW66" i="7" s="1"/>
  <c r="DPY66" i="7" s="1"/>
  <c r="DQA66" i="7" s="1"/>
  <c r="DQC66" i="7" s="1"/>
  <c r="DQE66" i="7" s="1"/>
  <c r="DQG66" i="7" s="1"/>
  <c r="DQI66" i="7" s="1"/>
  <c r="DQK66" i="7" s="1"/>
  <c r="DQM66" i="7" s="1"/>
  <c r="DQO66" i="7" s="1"/>
  <c r="DQQ66" i="7" s="1"/>
  <c r="DQS66" i="7" s="1"/>
  <c r="DQU66" i="7" s="1"/>
  <c r="DQW66" i="7" s="1"/>
  <c r="DQY66" i="7" s="1"/>
  <c r="DRA66" i="7" s="1"/>
  <c r="DRC66" i="7" s="1"/>
  <c r="DRE66" i="7" s="1"/>
  <c r="DRG66" i="7" s="1"/>
  <c r="DRI66" i="7" s="1"/>
  <c r="DRK66" i="7" s="1"/>
  <c r="DRM66" i="7" s="1"/>
  <c r="DRO66" i="7" s="1"/>
  <c r="DRQ66" i="7" s="1"/>
  <c r="DRS66" i="7" s="1"/>
  <c r="DRU66" i="7" s="1"/>
  <c r="DRW66" i="7" s="1"/>
  <c r="DRY66" i="7" s="1"/>
  <c r="DSA66" i="7" s="1"/>
  <c r="DSC66" i="7" s="1"/>
  <c r="DSE66" i="7" s="1"/>
  <c r="DSG66" i="7" s="1"/>
  <c r="DSI66" i="7" s="1"/>
  <c r="DSK66" i="7" s="1"/>
  <c r="DSM66" i="7" s="1"/>
  <c r="DSO66" i="7" s="1"/>
  <c r="DSQ66" i="7" s="1"/>
  <c r="DSS66" i="7" s="1"/>
  <c r="DSU66" i="7" s="1"/>
  <c r="DSW66" i="7" s="1"/>
  <c r="DSY66" i="7" s="1"/>
  <c r="DTA66" i="7" s="1"/>
  <c r="DTC66" i="7" s="1"/>
  <c r="DTE66" i="7" s="1"/>
  <c r="DTG66" i="7" s="1"/>
  <c r="DTI66" i="7" s="1"/>
  <c r="DTK66" i="7" s="1"/>
  <c r="DTM66" i="7" s="1"/>
  <c r="DTO66" i="7" s="1"/>
  <c r="DTQ66" i="7" s="1"/>
  <c r="DTS66" i="7" s="1"/>
  <c r="DTU66" i="7" s="1"/>
  <c r="DTW66" i="7" s="1"/>
  <c r="DTY66" i="7" s="1"/>
  <c r="DUA66" i="7" s="1"/>
  <c r="DUC66" i="7" s="1"/>
  <c r="DUE66" i="7" s="1"/>
  <c r="DUG66" i="7" s="1"/>
  <c r="DUI66" i="7" s="1"/>
  <c r="DUK66" i="7" s="1"/>
  <c r="DUM66" i="7" s="1"/>
  <c r="DUO66" i="7" s="1"/>
  <c r="DUQ66" i="7" s="1"/>
  <c r="DUS66" i="7" s="1"/>
  <c r="DUU66" i="7" s="1"/>
  <c r="DUW66" i="7" s="1"/>
  <c r="DUY66" i="7" s="1"/>
  <c r="DVA66" i="7" s="1"/>
  <c r="DVC66" i="7" s="1"/>
  <c r="DVE66" i="7" s="1"/>
  <c r="DVG66" i="7" s="1"/>
  <c r="DVI66" i="7" s="1"/>
  <c r="DVK66" i="7" s="1"/>
  <c r="DVM66" i="7" s="1"/>
  <c r="DVO66" i="7" s="1"/>
  <c r="DVQ66" i="7" s="1"/>
  <c r="DVS66" i="7" s="1"/>
  <c r="DVU66" i="7" s="1"/>
  <c r="DVW66" i="7" s="1"/>
  <c r="DVY66" i="7" s="1"/>
  <c r="DWA66" i="7" s="1"/>
  <c r="DWC66" i="7" s="1"/>
  <c r="DWE66" i="7" s="1"/>
  <c r="DWG66" i="7" s="1"/>
  <c r="DWI66" i="7" s="1"/>
  <c r="DWK66" i="7" s="1"/>
  <c r="DWM66" i="7" s="1"/>
  <c r="DWO66" i="7" s="1"/>
  <c r="DWQ66" i="7" s="1"/>
  <c r="DWS66" i="7" s="1"/>
  <c r="DWU66" i="7" s="1"/>
  <c r="DWW66" i="7" s="1"/>
  <c r="DWY66" i="7" s="1"/>
  <c r="DXA66" i="7" s="1"/>
  <c r="DXC66" i="7" s="1"/>
  <c r="DXE66" i="7" s="1"/>
  <c r="DXG66" i="7" s="1"/>
  <c r="DXI66" i="7" s="1"/>
  <c r="DXK66" i="7" s="1"/>
  <c r="DXM66" i="7" s="1"/>
  <c r="DXO66" i="7" s="1"/>
  <c r="DXQ66" i="7" s="1"/>
  <c r="DXS66" i="7" s="1"/>
  <c r="DXU66" i="7" s="1"/>
  <c r="DXW66" i="7" s="1"/>
  <c r="DXY66" i="7" s="1"/>
  <c r="DYA66" i="7" s="1"/>
  <c r="DYC66" i="7" s="1"/>
  <c r="DYE66" i="7" s="1"/>
  <c r="DYG66" i="7" s="1"/>
  <c r="DYI66" i="7" s="1"/>
  <c r="DYK66" i="7" s="1"/>
  <c r="DYM66" i="7" s="1"/>
  <c r="DYO66" i="7" s="1"/>
  <c r="DYQ66" i="7" s="1"/>
  <c r="DYS66" i="7" s="1"/>
  <c r="DYU66" i="7" s="1"/>
  <c r="DYW66" i="7" s="1"/>
  <c r="DYY66" i="7" s="1"/>
  <c r="DZA66" i="7" s="1"/>
  <c r="DZC66" i="7" s="1"/>
  <c r="DZE66" i="7" s="1"/>
  <c r="DZG66" i="7" s="1"/>
  <c r="DZI66" i="7" s="1"/>
  <c r="DZK66" i="7" s="1"/>
  <c r="DZM66" i="7" s="1"/>
  <c r="DZO66" i="7" s="1"/>
  <c r="DZQ66" i="7" s="1"/>
  <c r="DZS66" i="7" s="1"/>
  <c r="DZU66" i="7" s="1"/>
  <c r="DZW66" i="7" s="1"/>
  <c r="DZY66" i="7" s="1"/>
  <c r="EAA66" i="7" s="1"/>
  <c r="EAC66" i="7" s="1"/>
  <c r="EAE66" i="7" s="1"/>
  <c r="EAG66" i="7" s="1"/>
  <c r="EAI66" i="7" s="1"/>
  <c r="EAK66" i="7" s="1"/>
  <c r="EAM66" i="7" s="1"/>
  <c r="EAO66" i="7" s="1"/>
  <c r="EAQ66" i="7" s="1"/>
  <c r="EAS66" i="7" s="1"/>
  <c r="EAU66" i="7" s="1"/>
  <c r="EAW66" i="7" s="1"/>
  <c r="EAY66" i="7" s="1"/>
  <c r="EBA66" i="7" s="1"/>
  <c r="EBC66" i="7" s="1"/>
  <c r="EBE66" i="7" s="1"/>
  <c r="EBG66" i="7" s="1"/>
  <c r="EBI66" i="7" s="1"/>
  <c r="EBK66" i="7" s="1"/>
  <c r="EBM66" i="7" s="1"/>
  <c r="EBO66" i="7" s="1"/>
  <c r="EBQ66" i="7" s="1"/>
  <c r="EBS66" i="7" s="1"/>
  <c r="EBU66" i="7" s="1"/>
  <c r="EBW66" i="7" s="1"/>
  <c r="EBY66" i="7" s="1"/>
  <c r="ECA66" i="7" s="1"/>
  <c r="ECC66" i="7" s="1"/>
  <c r="ECE66" i="7" s="1"/>
  <c r="ECG66" i="7" s="1"/>
  <c r="ECI66" i="7" s="1"/>
  <c r="ECK66" i="7" s="1"/>
  <c r="ECM66" i="7" s="1"/>
  <c r="ECO66" i="7" s="1"/>
  <c r="ECQ66" i="7" s="1"/>
  <c r="ECS66" i="7" s="1"/>
  <c r="ECU66" i="7" s="1"/>
  <c r="ECW66" i="7" s="1"/>
  <c r="ECY66" i="7" s="1"/>
  <c r="EDA66" i="7" s="1"/>
  <c r="EDC66" i="7" s="1"/>
  <c r="EDE66" i="7" s="1"/>
  <c r="EDG66" i="7" s="1"/>
  <c r="EDI66" i="7" s="1"/>
  <c r="EDK66" i="7" s="1"/>
  <c r="EDM66" i="7" s="1"/>
  <c r="EDO66" i="7" s="1"/>
  <c r="EDQ66" i="7" s="1"/>
  <c r="EDS66" i="7" s="1"/>
  <c r="EDU66" i="7" s="1"/>
  <c r="EDW66" i="7" s="1"/>
  <c r="EDY66" i="7" s="1"/>
  <c r="EEA66" i="7" s="1"/>
  <c r="EEC66" i="7" s="1"/>
  <c r="EEE66" i="7" s="1"/>
  <c r="EEG66" i="7" s="1"/>
  <c r="EEI66" i="7" s="1"/>
  <c r="EEK66" i="7" s="1"/>
  <c r="EEM66" i="7" s="1"/>
  <c r="EEO66" i="7" s="1"/>
  <c r="EEQ66" i="7" s="1"/>
  <c r="EES66" i="7" s="1"/>
  <c r="EEU66" i="7" s="1"/>
  <c r="EEW66" i="7" s="1"/>
  <c r="EEY66" i="7" s="1"/>
  <c r="EFA66" i="7" s="1"/>
  <c r="EFC66" i="7" s="1"/>
  <c r="EFE66" i="7" s="1"/>
  <c r="EFG66" i="7" s="1"/>
  <c r="EFI66" i="7" s="1"/>
  <c r="EFK66" i="7" s="1"/>
  <c r="EFM66" i="7" s="1"/>
  <c r="EFO66" i="7" s="1"/>
  <c r="EFQ66" i="7" s="1"/>
  <c r="EFS66" i="7" s="1"/>
  <c r="EFU66" i="7" s="1"/>
  <c r="EFW66" i="7" s="1"/>
  <c r="EFY66" i="7" s="1"/>
  <c r="EGA66" i="7" s="1"/>
  <c r="EGC66" i="7" s="1"/>
  <c r="EGE66" i="7" s="1"/>
  <c r="EGG66" i="7" s="1"/>
  <c r="EGI66" i="7" s="1"/>
  <c r="EGK66" i="7" s="1"/>
  <c r="EGM66" i="7" s="1"/>
  <c r="EGO66" i="7" s="1"/>
  <c r="EGQ66" i="7" s="1"/>
  <c r="EGS66" i="7" s="1"/>
  <c r="EGU66" i="7" s="1"/>
  <c r="EGW66" i="7" s="1"/>
  <c r="EGY66" i="7" s="1"/>
  <c r="EHA66" i="7" s="1"/>
  <c r="EHC66" i="7" s="1"/>
  <c r="EHE66" i="7" s="1"/>
  <c r="EHG66" i="7" s="1"/>
  <c r="EHI66" i="7" s="1"/>
  <c r="EHK66" i="7" s="1"/>
  <c r="EHM66" i="7" s="1"/>
  <c r="EHO66" i="7" s="1"/>
  <c r="EHQ66" i="7" s="1"/>
  <c r="EHS66" i="7" s="1"/>
  <c r="EHU66" i="7" s="1"/>
  <c r="EHW66" i="7" s="1"/>
  <c r="EHY66" i="7" s="1"/>
  <c r="EIA66" i="7" s="1"/>
  <c r="EIC66" i="7" s="1"/>
  <c r="EIE66" i="7" s="1"/>
  <c r="EIG66" i="7" s="1"/>
  <c r="EII66" i="7" s="1"/>
  <c r="EIK66" i="7" s="1"/>
  <c r="EIM66" i="7" s="1"/>
  <c r="EIO66" i="7" s="1"/>
  <c r="EIQ66" i="7" s="1"/>
  <c r="EIS66" i="7" s="1"/>
  <c r="EIU66" i="7" s="1"/>
  <c r="EIW66" i="7" s="1"/>
  <c r="EIY66" i="7" s="1"/>
  <c r="EJA66" i="7" s="1"/>
  <c r="EJC66" i="7" s="1"/>
  <c r="EJE66" i="7" s="1"/>
  <c r="EJG66" i="7" s="1"/>
  <c r="EJI66" i="7" s="1"/>
  <c r="EJK66" i="7" s="1"/>
  <c r="EJM66" i="7" s="1"/>
  <c r="EJO66" i="7" s="1"/>
  <c r="EJQ66" i="7" s="1"/>
  <c r="EJS66" i="7" s="1"/>
  <c r="EJU66" i="7" s="1"/>
  <c r="EJW66" i="7" s="1"/>
  <c r="EJY66" i="7" s="1"/>
  <c r="EKA66" i="7" s="1"/>
  <c r="EKC66" i="7" s="1"/>
  <c r="EKE66" i="7" s="1"/>
  <c r="EKG66" i="7" s="1"/>
  <c r="EKI66" i="7" s="1"/>
  <c r="EKK66" i="7" s="1"/>
  <c r="EKM66" i="7" s="1"/>
  <c r="EKO66" i="7" s="1"/>
  <c r="EKQ66" i="7" s="1"/>
  <c r="EKS66" i="7" s="1"/>
  <c r="EKU66" i="7" s="1"/>
  <c r="EKW66" i="7" s="1"/>
  <c r="EKY66" i="7" s="1"/>
  <c r="ELA66" i="7" s="1"/>
  <c r="ELC66" i="7" s="1"/>
  <c r="ELE66" i="7" s="1"/>
  <c r="ELG66" i="7" s="1"/>
  <c r="ELI66" i="7" s="1"/>
  <c r="ELK66" i="7" s="1"/>
  <c r="ELM66" i="7" s="1"/>
  <c r="ELO66" i="7" s="1"/>
  <c r="ELQ66" i="7" s="1"/>
  <c r="ELS66" i="7" s="1"/>
  <c r="ELU66" i="7" s="1"/>
  <c r="ELW66" i="7" s="1"/>
  <c r="ELY66" i="7" s="1"/>
  <c r="EMA66" i="7" s="1"/>
  <c r="EMC66" i="7" s="1"/>
  <c r="EME66" i="7" s="1"/>
  <c r="EMG66" i="7" s="1"/>
  <c r="EMI66" i="7" s="1"/>
  <c r="EMK66" i="7" s="1"/>
  <c r="EMM66" i="7" s="1"/>
  <c r="EMO66" i="7" s="1"/>
  <c r="EMQ66" i="7" s="1"/>
  <c r="EMS66" i="7" s="1"/>
  <c r="EMU66" i="7" s="1"/>
  <c r="EMW66" i="7" s="1"/>
  <c r="EMY66" i="7" s="1"/>
  <c r="ENA66" i="7" s="1"/>
  <c r="ENC66" i="7" s="1"/>
  <c r="ENE66" i="7" s="1"/>
  <c r="ENG66" i="7" s="1"/>
  <c r="ENI66" i="7" s="1"/>
  <c r="ENK66" i="7" s="1"/>
  <c r="ENM66" i="7" s="1"/>
  <c r="ENO66" i="7" s="1"/>
  <c r="ENQ66" i="7" s="1"/>
  <c r="ENS66" i="7" s="1"/>
  <c r="ENU66" i="7" s="1"/>
  <c r="ENW66" i="7" s="1"/>
  <c r="ENY66" i="7" s="1"/>
  <c r="EOA66" i="7" s="1"/>
  <c r="EOC66" i="7" s="1"/>
  <c r="EOE66" i="7" s="1"/>
  <c r="EOG66" i="7" s="1"/>
  <c r="EOI66" i="7" s="1"/>
  <c r="EOK66" i="7" s="1"/>
  <c r="EOM66" i="7" s="1"/>
  <c r="EOO66" i="7" s="1"/>
  <c r="EOQ66" i="7" s="1"/>
  <c r="EOS66" i="7" s="1"/>
  <c r="EOU66" i="7" s="1"/>
  <c r="EOW66" i="7" s="1"/>
  <c r="EOY66" i="7" s="1"/>
  <c r="EPA66" i="7" s="1"/>
  <c r="EPC66" i="7" s="1"/>
  <c r="EPE66" i="7" s="1"/>
  <c r="EPG66" i="7" s="1"/>
  <c r="EPI66" i="7" s="1"/>
  <c r="EPK66" i="7" s="1"/>
  <c r="EPM66" i="7" s="1"/>
  <c r="EPO66" i="7" s="1"/>
  <c r="EPQ66" i="7" s="1"/>
  <c r="EPS66" i="7" s="1"/>
  <c r="EPU66" i="7" s="1"/>
  <c r="EPW66" i="7" s="1"/>
  <c r="EPY66" i="7" s="1"/>
  <c r="EQA66" i="7" s="1"/>
  <c r="EQC66" i="7" s="1"/>
  <c r="EQE66" i="7" s="1"/>
  <c r="EQG66" i="7" s="1"/>
  <c r="EQI66" i="7" s="1"/>
  <c r="EQK66" i="7" s="1"/>
  <c r="EQM66" i="7" s="1"/>
  <c r="EQO66" i="7" s="1"/>
  <c r="EQQ66" i="7" s="1"/>
  <c r="EQS66" i="7" s="1"/>
  <c r="EQU66" i="7" s="1"/>
  <c r="EQW66" i="7" s="1"/>
  <c r="EQY66" i="7" s="1"/>
  <c r="ERA66" i="7" s="1"/>
  <c r="ERC66" i="7" s="1"/>
  <c r="ERE66" i="7" s="1"/>
  <c r="ERG66" i="7" s="1"/>
  <c r="ERI66" i="7" s="1"/>
  <c r="ERK66" i="7" s="1"/>
  <c r="ERM66" i="7" s="1"/>
  <c r="ERO66" i="7" s="1"/>
  <c r="ERQ66" i="7" s="1"/>
  <c r="ERS66" i="7" s="1"/>
  <c r="ERU66" i="7" s="1"/>
  <c r="ERW66" i="7" s="1"/>
  <c r="ERY66" i="7" s="1"/>
  <c r="ESA66" i="7" s="1"/>
  <c r="ESC66" i="7" s="1"/>
  <c r="ESE66" i="7" s="1"/>
  <c r="ESG66" i="7" s="1"/>
  <c r="ESI66" i="7" s="1"/>
  <c r="ESK66" i="7" s="1"/>
  <c r="ESM66" i="7" s="1"/>
  <c r="ESO66" i="7" s="1"/>
  <c r="ESQ66" i="7" s="1"/>
  <c r="ESS66" i="7" s="1"/>
  <c r="ESU66" i="7" s="1"/>
  <c r="ESW66" i="7" s="1"/>
  <c r="ESY66" i="7" s="1"/>
  <c r="ETA66" i="7" s="1"/>
  <c r="ETC66" i="7" s="1"/>
  <c r="ETE66" i="7" s="1"/>
  <c r="ETG66" i="7" s="1"/>
  <c r="ETI66" i="7" s="1"/>
  <c r="ETK66" i="7" s="1"/>
  <c r="ETM66" i="7" s="1"/>
  <c r="ETO66" i="7" s="1"/>
  <c r="ETQ66" i="7" s="1"/>
  <c r="ETS66" i="7" s="1"/>
  <c r="ETU66" i="7" s="1"/>
  <c r="ETW66" i="7" s="1"/>
  <c r="ETY66" i="7" s="1"/>
  <c r="EUA66" i="7" s="1"/>
  <c r="EUC66" i="7" s="1"/>
  <c r="EUE66" i="7" s="1"/>
  <c r="EUG66" i="7" s="1"/>
  <c r="EUI66" i="7" s="1"/>
  <c r="EUK66" i="7" s="1"/>
  <c r="EUM66" i="7" s="1"/>
  <c r="EUO66" i="7" s="1"/>
  <c r="EUQ66" i="7" s="1"/>
  <c r="EUS66" i="7" s="1"/>
  <c r="EUU66" i="7" s="1"/>
  <c r="EUW66" i="7" s="1"/>
  <c r="EUY66" i="7" s="1"/>
  <c r="EVA66" i="7" s="1"/>
  <c r="EVC66" i="7" s="1"/>
  <c r="EVE66" i="7" s="1"/>
  <c r="EVG66" i="7" s="1"/>
  <c r="EVI66" i="7" s="1"/>
  <c r="EVK66" i="7" s="1"/>
  <c r="EVM66" i="7" s="1"/>
  <c r="EVO66" i="7" s="1"/>
  <c r="EVQ66" i="7" s="1"/>
  <c r="EVS66" i="7" s="1"/>
  <c r="EVU66" i="7" s="1"/>
  <c r="EVW66" i="7" s="1"/>
  <c r="EVY66" i="7" s="1"/>
  <c r="EWA66" i="7" s="1"/>
  <c r="EWC66" i="7" s="1"/>
  <c r="EWE66" i="7" s="1"/>
  <c r="EWG66" i="7" s="1"/>
  <c r="EWI66" i="7" s="1"/>
  <c r="EWK66" i="7" s="1"/>
  <c r="EWM66" i="7" s="1"/>
  <c r="EWO66" i="7" s="1"/>
  <c r="EWQ66" i="7" s="1"/>
  <c r="EWS66" i="7" s="1"/>
  <c r="EWU66" i="7" s="1"/>
  <c r="EWW66" i="7" s="1"/>
  <c r="EWY66" i="7" s="1"/>
  <c r="EXA66" i="7" s="1"/>
  <c r="EXC66" i="7" s="1"/>
  <c r="EXE66" i="7" s="1"/>
  <c r="EXG66" i="7" s="1"/>
  <c r="EXI66" i="7" s="1"/>
  <c r="EXK66" i="7" s="1"/>
  <c r="EXM66" i="7" s="1"/>
  <c r="EXO66" i="7" s="1"/>
  <c r="EXQ66" i="7" s="1"/>
  <c r="EXS66" i="7" s="1"/>
  <c r="EXU66" i="7" s="1"/>
  <c r="EXW66" i="7" s="1"/>
  <c r="EXY66" i="7" s="1"/>
  <c r="EYA66" i="7" s="1"/>
  <c r="EYC66" i="7" s="1"/>
  <c r="EYE66" i="7" s="1"/>
  <c r="EYG66" i="7" s="1"/>
  <c r="EYI66" i="7" s="1"/>
  <c r="EYK66" i="7" s="1"/>
  <c r="EYM66" i="7" s="1"/>
  <c r="EYO66" i="7" s="1"/>
  <c r="EYQ66" i="7" s="1"/>
  <c r="EYS66" i="7" s="1"/>
  <c r="EYU66" i="7" s="1"/>
  <c r="EYW66" i="7" s="1"/>
  <c r="EYY66" i="7" s="1"/>
  <c r="EZA66" i="7" s="1"/>
  <c r="EZC66" i="7" s="1"/>
  <c r="EZE66" i="7" s="1"/>
  <c r="EZG66" i="7" s="1"/>
  <c r="EZI66" i="7" s="1"/>
  <c r="EZK66" i="7" s="1"/>
  <c r="EZM66" i="7" s="1"/>
  <c r="EZO66" i="7" s="1"/>
  <c r="EZQ66" i="7" s="1"/>
  <c r="EZS66" i="7" s="1"/>
  <c r="EZU66" i="7" s="1"/>
  <c r="EZW66" i="7" s="1"/>
  <c r="EZY66" i="7" s="1"/>
  <c r="FAA66" i="7" s="1"/>
  <c r="FAC66" i="7" s="1"/>
  <c r="FAE66" i="7" s="1"/>
  <c r="FAG66" i="7" s="1"/>
  <c r="FAI66" i="7" s="1"/>
  <c r="FAK66" i="7" s="1"/>
  <c r="FAM66" i="7" s="1"/>
  <c r="FAO66" i="7" s="1"/>
  <c r="FAQ66" i="7" s="1"/>
  <c r="FAS66" i="7" s="1"/>
  <c r="FAU66" i="7" s="1"/>
  <c r="FAW66" i="7" s="1"/>
  <c r="FAY66" i="7" s="1"/>
  <c r="FBA66" i="7" s="1"/>
  <c r="FBC66" i="7" s="1"/>
  <c r="FBE66" i="7" s="1"/>
  <c r="FBG66" i="7" s="1"/>
  <c r="FBI66" i="7" s="1"/>
  <c r="FBK66" i="7" s="1"/>
  <c r="FBM66" i="7" s="1"/>
  <c r="FBO66" i="7" s="1"/>
  <c r="FBQ66" i="7" s="1"/>
  <c r="FBS66" i="7" s="1"/>
  <c r="FBU66" i="7" s="1"/>
  <c r="FBW66" i="7" s="1"/>
  <c r="FBY66" i="7" s="1"/>
  <c r="FCA66" i="7" s="1"/>
  <c r="FCC66" i="7" s="1"/>
  <c r="FCE66" i="7" s="1"/>
  <c r="FCG66" i="7" s="1"/>
  <c r="FCI66" i="7" s="1"/>
  <c r="FCK66" i="7" s="1"/>
  <c r="FCM66" i="7" s="1"/>
  <c r="FCO66" i="7" s="1"/>
  <c r="FCQ66" i="7" s="1"/>
  <c r="FCS66" i="7" s="1"/>
  <c r="FCU66" i="7" s="1"/>
  <c r="FCW66" i="7" s="1"/>
  <c r="FCY66" i="7" s="1"/>
  <c r="FDA66" i="7" s="1"/>
  <c r="FDC66" i="7" s="1"/>
  <c r="FDE66" i="7" s="1"/>
  <c r="FDG66" i="7" s="1"/>
  <c r="FDI66" i="7" s="1"/>
  <c r="FDK66" i="7" s="1"/>
  <c r="FDM66" i="7" s="1"/>
  <c r="FDO66" i="7" s="1"/>
  <c r="FDQ66" i="7" s="1"/>
  <c r="FDS66" i="7" s="1"/>
  <c r="FDU66" i="7" s="1"/>
  <c r="FDW66" i="7" s="1"/>
  <c r="FDY66" i="7" s="1"/>
  <c r="FEA66" i="7" s="1"/>
  <c r="FEC66" i="7" s="1"/>
  <c r="FEE66" i="7" s="1"/>
  <c r="FEG66" i="7" s="1"/>
  <c r="FEI66" i="7" s="1"/>
  <c r="FEK66" i="7" s="1"/>
  <c r="FEM66" i="7" s="1"/>
  <c r="FEO66" i="7" s="1"/>
  <c r="FEQ66" i="7" s="1"/>
  <c r="FES66" i="7" s="1"/>
  <c r="FEU66" i="7" s="1"/>
  <c r="FEW66" i="7" s="1"/>
  <c r="FEY66" i="7" s="1"/>
  <c r="FFA66" i="7" s="1"/>
  <c r="FFC66" i="7" s="1"/>
  <c r="FFE66" i="7" s="1"/>
  <c r="FFG66" i="7" s="1"/>
  <c r="FFI66" i="7" s="1"/>
  <c r="FFK66" i="7" s="1"/>
  <c r="FFM66" i="7" s="1"/>
  <c r="FFO66" i="7" s="1"/>
  <c r="FFQ66" i="7" s="1"/>
  <c r="FFS66" i="7" s="1"/>
  <c r="FFU66" i="7" s="1"/>
  <c r="FFW66" i="7" s="1"/>
  <c r="FFY66" i="7" s="1"/>
  <c r="FGA66" i="7" s="1"/>
  <c r="FGC66" i="7" s="1"/>
  <c r="FGE66" i="7" s="1"/>
  <c r="FGG66" i="7" s="1"/>
  <c r="FGI66" i="7" s="1"/>
  <c r="FGK66" i="7" s="1"/>
  <c r="FGM66" i="7" s="1"/>
  <c r="FGO66" i="7" s="1"/>
  <c r="FGQ66" i="7" s="1"/>
  <c r="FGS66" i="7" s="1"/>
  <c r="FGU66" i="7" s="1"/>
  <c r="FGW66" i="7" s="1"/>
  <c r="FGY66" i="7" s="1"/>
  <c r="FHA66" i="7" s="1"/>
  <c r="FHC66" i="7" s="1"/>
  <c r="FHE66" i="7" s="1"/>
  <c r="FHG66" i="7" s="1"/>
  <c r="FHI66" i="7" s="1"/>
  <c r="FHK66" i="7" s="1"/>
  <c r="FHM66" i="7" s="1"/>
  <c r="FHO66" i="7" s="1"/>
  <c r="FHQ66" i="7" s="1"/>
  <c r="FHS66" i="7" s="1"/>
  <c r="FHU66" i="7" s="1"/>
  <c r="FHW66" i="7" s="1"/>
  <c r="FHY66" i="7" s="1"/>
  <c r="FIA66" i="7" s="1"/>
  <c r="FIC66" i="7" s="1"/>
  <c r="FIE66" i="7" s="1"/>
  <c r="FIG66" i="7" s="1"/>
  <c r="FII66" i="7" s="1"/>
  <c r="FIK66" i="7" s="1"/>
  <c r="FIM66" i="7" s="1"/>
  <c r="FIO66" i="7" s="1"/>
  <c r="FIQ66" i="7" s="1"/>
  <c r="FIS66" i="7" s="1"/>
  <c r="FIU66" i="7" s="1"/>
  <c r="FIW66" i="7" s="1"/>
  <c r="FIY66" i="7" s="1"/>
  <c r="FJA66" i="7" s="1"/>
  <c r="FJC66" i="7" s="1"/>
  <c r="FJE66" i="7" s="1"/>
  <c r="FJG66" i="7" s="1"/>
  <c r="FJI66" i="7" s="1"/>
  <c r="FJK66" i="7" s="1"/>
  <c r="FJM66" i="7" s="1"/>
  <c r="FJO66" i="7" s="1"/>
  <c r="FJQ66" i="7" s="1"/>
  <c r="FJS66" i="7" s="1"/>
  <c r="FJU66" i="7" s="1"/>
  <c r="FJW66" i="7" s="1"/>
  <c r="FJY66" i="7" s="1"/>
  <c r="FKA66" i="7" s="1"/>
  <c r="FKC66" i="7" s="1"/>
  <c r="FKE66" i="7" s="1"/>
  <c r="FKG66" i="7" s="1"/>
  <c r="FKI66" i="7" s="1"/>
  <c r="FKK66" i="7" s="1"/>
  <c r="FKM66" i="7" s="1"/>
  <c r="FKO66" i="7" s="1"/>
  <c r="FKQ66" i="7" s="1"/>
  <c r="FKS66" i="7" s="1"/>
  <c r="FKU66" i="7" s="1"/>
  <c r="FKW66" i="7" s="1"/>
  <c r="FKY66" i="7" s="1"/>
  <c r="FLA66" i="7" s="1"/>
  <c r="FLC66" i="7" s="1"/>
  <c r="FLE66" i="7" s="1"/>
  <c r="FLG66" i="7" s="1"/>
  <c r="FLI66" i="7" s="1"/>
  <c r="FLK66" i="7" s="1"/>
  <c r="FLM66" i="7" s="1"/>
  <c r="FLO66" i="7" s="1"/>
  <c r="FLQ66" i="7" s="1"/>
  <c r="FLS66" i="7" s="1"/>
  <c r="FLU66" i="7" s="1"/>
  <c r="FLW66" i="7" s="1"/>
  <c r="FLY66" i="7" s="1"/>
  <c r="FMA66" i="7" s="1"/>
  <c r="FMC66" i="7" s="1"/>
  <c r="FME66" i="7" s="1"/>
  <c r="FMG66" i="7" s="1"/>
  <c r="FMI66" i="7" s="1"/>
  <c r="FMK66" i="7" s="1"/>
  <c r="FMM66" i="7" s="1"/>
  <c r="FMO66" i="7" s="1"/>
  <c r="FMQ66" i="7" s="1"/>
  <c r="FMS66" i="7" s="1"/>
  <c r="FMU66" i="7" s="1"/>
  <c r="FMW66" i="7" s="1"/>
  <c r="FMY66" i="7" s="1"/>
  <c r="FNA66" i="7" s="1"/>
  <c r="FNC66" i="7" s="1"/>
  <c r="FNE66" i="7" s="1"/>
  <c r="FNG66" i="7" s="1"/>
  <c r="FNI66" i="7" s="1"/>
  <c r="FNK66" i="7" s="1"/>
  <c r="FNM66" i="7" s="1"/>
  <c r="FNO66" i="7" s="1"/>
  <c r="FNQ66" i="7" s="1"/>
  <c r="FNS66" i="7" s="1"/>
  <c r="FNU66" i="7" s="1"/>
  <c r="FNW66" i="7" s="1"/>
  <c r="FNY66" i="7" s="1"/>
  <c r="FOA66" i="7" s="1"/>
  <c r="FOC66" i="7" s="1"/>
  <c r="FOE66" i="7" s="1"/>
  <c r="FOG66" i="7" s="1"/>
  <c r="FOI66" i="7" s="1"/>
  <c r="FOK66" i="7" s="1"/>
  <c r="FOM66" i="7" s="1"/>
  <c r="FOO66" i="7" s="1"/>
  <c r="FOQ66" i="7" s="1"/>
  <c r="FOS66" i="7" s="1"/>
  <c r="FOU66" i="7" s="1"/>
  <c r="FOW66" i="7" s="1"/>
  <c r="FOY66" i="7" s="1"/>
  <c r="FPA66" i="7" s="1"/>
  <c r="FPC66" i="7" s="1"/>
  <c r="FPE66" i="7" s="1"/>
  <c r="FPG66" i="7" s="1"/>
  <c r="FPI66" i="7" s="1"/>
  <c r="FPK66" i="7" s="1"/>
  <c r="FPM66" i="7" s="1"/>
  <c r="FPO66" i="7" s="1"/>
  <c r="FPQ66" i="7" s="1"/>
  <c r="FPS66" i="7" s="1"/>
  <c r="FPU66" i="7" s="1"/>
  <c r="FPW66" i="7" s="1"/>
  <c r="FPY66" i="7" s="1"/>
  <c r="FQA66" i="7" s="1"/>
  <c r="FQC66" i="7" s="1"/>
  <c r="FQE66" i="7" s="1"/>
  <c r="FQG66" i="7" s="1"/>
  <c r="FQI66" i="7" s="1"/>
  <c r="FQK66" i="7" s="1"/>
  <c r="FQM66" i="7" s="1"/>
  <c r="FQO66" i="7" s="1"/>
  <c r="FQQ66" i="7" s="1"/>
  <c r="FQS66" i="7" s="1"/>
  <c r="FQU66" i="7" s="1"/>
  <c r="FQW66" i="7" s="1"/>
  <c r="FQY66" i="7" s="1"/>
  <c r="FRA66" i="7" s="1"/>
  <c r="FRC66" i="7" s="1"/>
  <c r="FRE66" i="7" s="1"/>
  <c r="FRG66" i="7" s="1"/>
  <c r="FRI66" i="7" s="1"/>
  <c r="FRK66" i="7" s="1"/>
  <c r="FRM66" i="7" s="1"/>
  <c r="FRO66" i="7" s="1"/>
  <c r="FRQ66" i="7" s="1"/>
  <c r="FRS66" i="7" s="1"/>
  <c r="FRU66" i="7" s="1"/>
  <c r="FRW66" i="7" s="1"/>
  <c r="FRY66" i="7" s="1"/>
  <c r="FSA66" i="7" s="1"/>
  <c r="FSC66" i="7" s="1"/>
  <c r="FSE66" i="7" s="1"/>
  <c r="FSG66" i="7" s="1"/>
  <c r="FSI66" i="7" s="1"/>
  <c r="FSK66" i="7" s="1"/>
  <c r="FSM66" i="7" s="1"/>
  <c r="FSO66" i="7" s="1"/>
  <c r="FSQ66" i="7" s="1"/>
  <c r="FSS66" i="7" s="1"/>
  <c r="FSU66" i="7" s="1"/>
  <c r="FSW66" i="7" s="1"/>
  <c r="FSY66" i="7" s="1"/>
  <c r="FTA66" i="7" s="1"/>
  <c r="FTC66" i="7" s="1"/>
  <c r="FTE66" i="7" s="1"/>
  <c r="FTG66" i="7" s="1"/>
  <c r="FTI66" i="7" s="1"/>
  <c r="FTK66" i="7" s="1"/>
  <c r="FTM66" i="7" s="1"/>
  <c r="FTO66" i="7" s="1"/>
  <c r="FTQ66" i="7" s="1"/>
  <c r="FTS66" i="7" s="1"/>
  <c r="FTU66" i="7" s="1"/>
  <c r="FTW66" i="7" s="1"/>
  <c r="FTY66" i="7" s="1"/>
  <c r="FUA66" i="7" s="1"/>
  <c r="FUC66" i="7" s="1"/>
  <c r="FUE66" i="7" s="1"/>
  <c r="FUG66" i="7" s="1"/>
  <c r="FUI66" i="7" s="1"/>
  <c r="FUK66" i="7" s="1"/>
  <c r="FUM66" i="7" s="1"/>
  <c r="FUO66" i="7" s="1"/>
  <c r="FUQ66" i="7" s="1"/>
  <c r="FUS66" i="7" s="1"/>
  <c r="FUU66" i="7" s="1"/>
  <c r="FUW66" i="7" s="1"/>
  <c r="FUY66" i="7" s="1"/>
  <c r="FVA66" i="7" s="1"/>
  <c r="FVC66" i="7" s="1"/>
  <c r="FVE66" i="7" s="1"/>
  <c r="FVG66" i="7" s="1"/>
  <c r="FVI66" i="7" s="1"/>
  <c r="FVK66" i="7" s="1"/>
  <c r="FVM66" i="7" s="1"/>
  <c r="FVO66" i="7" s="1"/>
  <c r="FVQ66" i="7" s="1"/>
  <c r="FVS66" i="7" s="1"/>
  <c r="FVU66" i="7" s="1"/>
  <c r="FVW66" i="7" s="1"/>
  <c r="FVY66" i="7" s="1"/>
  <c r="FWA66" i="7" s="1"/>
  <c r="FWC66" i="7" s="1"/>
  <c r="FWE66" i="7" s="1"/>
  <c r="FWG66" i="7" s="1"/>
  <c r="FWI66" i="7" s="1"/>
  <c r="FWK66" i="7" s="1"/>
  <c r="FWM66" i="7" s="1"/>
  <c r="FWO66" i="7" s="1"/>
  <c r="FWQ66" i="7" s="1"/>
  <c r="FWS66" i="7" s="1"/>
  <c r="FWU66" i="7" s="1"/>
  <c r="FWW66" i="7" s="1"/>
  <c r="FWY66" i="7" s="1"/>
  <c r="FXA66" i="7" s="1"/>
  <c r="FXC66" i="7" s="1"/>
  <c r="FXE66" i="7" s="1"/>
  <c r="FXG66" i="7" s="1"/>
  <c r="FXI66" i="7" s="1"/>
  <c r="FXK66" i="7" s="1"/>
  <c r="FXM66" i="7" s="1"/>
  <c r="FXO66" i="7" s="1"/>
  <c r="FXQ66" i="7" s="1"/>
  <c r="FXS66" i="7" s="1"/>
  <c r="FXU66" i="7" s="1"/>
  <c r="FXW66" i="7" s="1"/>
  <c r="FXY66" i="7" s="1"/>
  <c r="FYA66" i="7" s="1"/>
  <c r="FYC66" i="7" s="1"/>
  <c r="FYE66" i="7" s="1"/>
  <c r="FYG66" i="7" s="1"/>
  <c r="FYI66" i="7" s="1"/>
  <c r="FYK66" i="7" s="1"/>
  <c r="FYM66" i="7" s="1"/>
  <c r="FYO66" i="7" s="1"/>
  <c r="FYQ66" i="7" s="1"/>
  <c r="FYS66" i="7" s="1"/>
  <c r="FYU66" i="7" s="1"/>
  <c r="FYW66" i="7" s="1"/>
  <c r="FYY66" i="7" s="1"/>
  <c r="FZA66" i="7" s="1"/>
  <c r="FZC66" i="7" s="1"/>
  <c r="FZE66" i="7" s="1"/>
  <c r="FZG66" i="7" s="1"/>
  <c r="FZI66" i="7" s="1"/>
  <c r="FZK66" i="7" s="1"/>
  <c r="FZM66" i="7" s="1"/>
  <c r="FZO66" i="7" s="1"/>
  <c r="FZQ66" i="7" s="1"/>
  <c r="FZS66" i="7" s="1"/>
  <c r="FZU66" i="7" s="1"/>
  <c r="FZW66" i="7" s="1"/>
  <c r="FZY66" i="7" s="1"/>
  <c r="GAA66" i="7" s="1"/>
  <c r="GAC66" i="7" s="1"/>
  <c r="GAE66" i="7" s="1"/>
  <c r="GAG66" i="7" s="1"/>
  <c r="GAI66" i="7" s="1"/>
  <c r="GAK66" i="7" s="1"/>
  <c r="GAM66" i="7" s="1"/>
  <c r="GAO66" i="7" s="1"/>
  <c r="GAQ66" i="7" s="1"/>
  <c r="GAS66" i="7" s="1"/>
  <c r="GAU66" i="7" s="1"/>
  <c r="GAW66" i="7" s="1"/>
  <c r="GAY66" i="7" s="1"/>
  <c r="GBA66" i="7" s="1"/>
  <c r="GBC66" i="7" s="1"/>
  <c r="GBE66" i="7" s="1"/>
  <c r="GBG66" i="7" s="1"/>
  <c r="GBI66" i="7" s="1"/>
  <c r="GBK66" i="7" s="1"/>
  <c r="GBM66" i="7" s="1"/>
  <c r="GBO66" i="7" s="1"/>
  <c r="GBQ66" i="7" s="1"/>
  <c r="GBS66" i="7" s="1"/>
  <c r="GBU66" i="7" s="1"/>
  <c r="GBW66" i="7" s="1"/>
  <c r="GBY66" i="7" s="1"/>
  <c r="GCA66" i="7" s="1"/>
  <c r="GCC66" i="7" s="1"/>
  <c r="GCE66" i="7" s="1"/>
  <c r="GCG66" i="7" s="1"/>
  <c r="GCI66" i="7" s="1"/>
  <c r="GCK66" i="7" s="1"/>
  <c r="GCM66" i="7" s="1"/>
  <c r="GCO66" i="7" s="1"/>
  <c r="GCQ66" i="7" s="1"/>
  <c r="GCS66" i="7" s="1"/>
  <c r="GCU66" i="7" s="1"/>
  <c r="GCW66" i="7" s="1"/>
  <c r="GCY66" i="7" s="1"/>
  <c r="GDA66" i="7" s="1"/>
  <c r="GDC66" i="7" s="1"/>
  <c r="GDE66" i="7" s="1"/>
  <c r="GDG66" i="7" s="1"/>
  <c r="GDI66" i="7" s="1"/>
  <c r="GDK66" i="7" s="1"/>
  <c r="GDM66" i="7" s="1"/>
  <c r="GDO66" i="7" s="1"/>
  <c r="GDQ66" i="7" s="1"/>
  <c r="GDS66" i="7" s="1"/>
  <c r="GDU66" i="7" s="1"/>
  <c r="GDW66" i="7" s="1"/>
  <c r="GDY66" i="7" s="1"/>
  <c r="GEA66" i="7" s="1"/>
  <c r="GEC66" i="7" s="1"/>
  <c r="GEE66" i="7" s="1"/>
  <c r="GEG66" i="7" s="1"/>
  <c r="GEI66" i="7" s="1"/>
  <c r="GEK66" i="7" s="1"/>
  <c r="GEM66" i="7" s="1"/>
  <c r="GEO66" i="7" s="1"/>
  <c r="GEQ66" i="7" s="1"/>
  <c r="GES66" i="7" s="1"/>
  <c r="GEU66" i="7" s="1"/>
  <c r="GEW66" i="7" s="1"/>
  <c r="GEY66" i="7" s="1"/>
  <c r="GFA66" i="7" s="1"/>
  <c r="GFC66" i="7" s="1"/>
  <c r="GFE66" i="7" s="1"/>
  <c r="GFG66" i="7" s="1"/>
  <c r="GFI66" i="7" s="1"/>
  <c r="GFK66" i="7" s="1"/>
  <c r="GFM66" i="7" s="1"/>
  <c r="GFO66" i="7" s="1"/>
  <c r="GFQ66" i="7" s="1"/>
  <c r="GFS66" i="7" s="1"/>
  <c r="GFU66" i="7" s="1"/>
  <c r="GFW66" i="7" s="1"/>
  <c r="GFY66" i="7" s="1"/>
  <c r="GGA66" i="7" s="1"/>
  <c r="GGC66" i="7" s="1"/>
  <c r="GGE66" i="7" s="1"/>
  <c r="GGG66" i="7" s="1"/>
  <c r="GGI66" i="7" s="1"/>
  <c r="GGK66" i="7" s="1"/>
  <c r="GGM66" i="7" s="1"/>
  <c r="GGO66" i="7" s="1"/>
  <c r="GGQ66" i="7" s="1"/>
  <c r="GGS66" i="7" s="1"/>
  <c r="GGU66" i="7" s="1"/>
  <c r="GGW66" i="7" s="1"/>
  <c r="GGY66" i="7" s="1"/>
  <c r="GHA66" i="7" s="1"/>
  <c r="GHC66" i="7" s="1"/>
  <c r="GHE66" i="7" s="1"/>
  <c r="GHG66" i="7" s="1"/>
  <c r="GHI66" i="7" s="1"/>
  <c r="GHK66" i="7" s="1"/>
  <c r="GHM66" i="7" s="1"/>
  <c r="GHO66" i="7" s="1"/>
  <c r="GHQ66" i="7" s="1"/>
  <c r="GHS66" i="7" s="1"/>
  <c r="GHU66" i="7" s="1"/>
  <c r="GHW66" i="7" s="1"/>
  <c r="GHY66" i="7" s="1"/>
  <c r="GIA66" i="7" s="1"/>
  <c r="GIC66" i="7" s="1"/>
  <c r="GIE66" i="7" s="1"/>
  <c r="GIG66" i="7" s="1"/>
  <c r="GII66" i="7" s="1"/>
  <c r="GIK66" i="7" s="1"/>
  <c r="GIM66" i="7" s="1"/>
  <c r="GIO66" i="7" s="1"/>
  <c r="GIQ66" i="7" s="1"/>
  <c r="GIS66" i="7" s="1"/>
  <c r="GIU66" i="7" s="1"/>
  <c r="GIW66" i="7" s="1"/>
  <c r="GIY66" i="7" s="1"/>
  <c r="GJA66" i="7" s="1"/>
  <c r="GJC66" i="7" s="1"/>
  <c r="GJE66" i="7" s="1"/>
  <c r="GJG66" i="7" s="1"/>
  <c r="GJI66" i="7" s="1"/>
  <c r="GJK66" i="7" s="1"/>
  <c r="GJM66" i="7" s="1"/>
  <c r="GJO66" i="7" s="1"/>
  <c r="GJQ66" i="7" s="1"/>
  <c r="GJS66" i="7" s="1"/>
  <c r="GJU66" i="7" s="1"/>
  <c r="GJW66" i="7" s="1"/>
  <c r="GJY66" i="7" s="1"/>
  <c r="GKA66" i="7" s="1"/>
  <c r="GKC66" i="7" s="1"/>
  <c r="GKE66" i="7" s="1"/>
  <c r="GKG66" i="7" s="1"/>
  <c r="GKI66" i="7" s="1"/>
  <c r="GKK66" i="7" s="1"/>
  <c r="GKM66" i="7" s="1"/>
  <c r="GKO66" i="7" s="1"/>
  <c r="GKQ66" i="7" s="1"/>
  <c r="GKS66" i="7" s="1"/>
  <c r="GKU66" i="7" s="1"/>
  <c r="GKW66" i="7" s="1"/>
  <c r="GKY66" i="7" s="1"/>
  <c r="GLA66" i="7" s="1"/>
  <c r="GLC66" i="7" s="1"/>
  <c r="GLE66" i="7" s="1"/>
  <c r="GLG66" i="7" s="1"/>
  <c r="GLI66" i="7" s="1"/>
  <c r="GLK66" i="7" s="1"/>
  <c r="GLM66" i="7" s="1"/>
  <c r="GLO66" i="7" s="1"/>
  <c r="GLQ66" i="7" s="1"/>
  <c r="GLS66" i="7" s="1"/>
  <c r="GLU66" i="7" s="1"/>
  <c r="GLW66" i="7" s="1"/>
  <c r="GLY66" i="7" s="1"/>
  <c r="GMA66" i="7" s="1"/>
  <c r="GMC66" i="7" s="1"/>
  <c r="GME66" i="7" s="1"/>
  <c r="GMG66" i="7" s="1"/>
  <c r="GMI66" i="7" s="1"/>
  <c r="GMK66" i="7" s="1"/>
  <c r="GMM66" i="7" s="1"/>
  <c r="GMO66" i="7" s="1"/>
  <c r="GMQ66" i="7" s="1"/>
  <c r="GMS66" i="7" s="1"/>
  <c r="GMU66" i="7" s="1"/>
  <c r="GMW66" i="7" s="1"/>
  <c r="GMY66" i="7" s="1"/>
  <c r="GNA66" i="7" s="1"/>
  <c r="GNC66" i="7" s="1"/>
  <c r="GNE66" i="7" s="1"/>
  <c r="GNG66" i="7" s="1"/>
  <c r="GNI66" i="7" s="1"/>
  <c r="GNK66" i="7" s="1"/>
  <c r="GNM66" i="7" s="1"/>
  <c r="GNO66" i="7" s="1"/>
  <c r="GNQ66" i="7" s="1"/>
  <c r="GNS66" i="7" s="1"/>
  <c r="GNU66" i="7" s="1"/>
  <c r="GNW66" i="7" s="1"/>
  <c r="GNY66" i="7" s="1"/>
  <c r="GOA66" i="7" s="1"/>
  <c r="GOC66" i="7" s="1"/>
  <c r="GOE66" i="7" s="1"/>
  <c r="GOG66" i="7" s="1"/>
  <c r="GOI66" i="7" s="1"/>
  <c r="GOK66" i="7" s="1"/>
  <c r="GOM66" i="7" s="1"/>
  <c r="GOO66" i="7" s="1"/>
  <c r="GOQ66" i="7" s="1"/>
  <c r="GOS66" i="7" s="1"/>
  <c r="GOU66" i="7" s="1"/>
  <c r="GOW66" i="7" s="1"/>
  <c r="GOY66" i="7" s="1"/>
  <c r="GPA66" i="7" s="1"/>
  <c r="GPC66" i="7" s="1"/>
  <c r="GPE66" i="7" s="1"/>
  <c r="GPG66" i="7" s="1"/>
  <c r="GPI66" i="7" s="1"/>
  <c r="GPK66" i="7" s="1"/>
  <c r="GPM66" i="7" s="1"/>
  <c r="GPO66" i="7" s="1"/>
  <c r="GPQ66" i="7" s="1"/>
  <c r="GPS66" i="7" s="1"/>
  <c r="GPU66" i="7" s="1"/>
  <c r="GPW66" i="7" s="1"/>
  <c r="GPY66" i="7" s="1"/>
  <c r="GQA66" i="7" s="1"/>
  <c r="GQC66" i="7" s="1"/>
  <c r="GQE66" i="7" s="1"/>
  <c r="GQG66" i="7" s="1"/>
  <c r="GQI66" i="7" s="1"/>
  <c r="GQK66" i="7" s="1"/>
  <c r="GQM66" i="7" s="1"/>
  <c r="GQO66" i="7" s="1"/>
  <c r="GQQ66" i="7" s="1"/>
  <c r="GQS66" i="7" s="1"/>
  <c r="GQU66" i="7" s="1"/>
  <c r="GQW66" i="7" s="1"/>
  <c r="GQY66" i="7" s="1"/>
  <c r="GRA66" i="7" s="1"/>
  <c r="GRC66" i="7" s="1"/>
  <c r="GRE66" i="7" s="1"/>
  <c r="GRG66" i="7" s="1"/>
  <c r="GRI66" i="7" s="1"/>
  <c r="GRK66" i="7" s="1"/>
  <c r="GRM66" i="7" s="1"/>
  <c r="GRO66" i="7" s="1"/>
  <c r="GRQ66" i="7" s="1"/>
  <c r="GRS66" i="7" s="1"/>
  <c r="GRU66" i="7" s="1"/>
  <c r="GRW66" i="7" s="1"/>
  <c r="GRY66" i="7" s="1"/>
  <c r="GSA66" i="7" s="1"/>
  <c r="GSC66" i="7" s="1"/>
  <c r="GSE66" i="7" s="1"/>
  <c r="GSG66" i="7" s="1"/>
  <c r="GSI66" i="7" s="1"/>
  <c r="GSK66" i="7" s="1"/>
  <c r="GSM66" i="7" s="1"/>
  <c r="GSO66" i="7" s="1"/>
  <c r="GSQ66" i="7" s="1"/>
  <c r="GSS66" i="7" s="1"/>
  <c r="GSU66" i="7" s="1"/>
  <c r="GSW66" i="7" s="1"/>
  <c r="GSY66" i="7" s="1"/>
  <c r="GTA66" i="7" s="1"/>
  <c r="GTC66" i="7" s="1"/>
  <c r="GTE66" i="7" s="1"/>
  <c r="GTG66" i="7" s="1"/>
  <c r="GTI66" i="7" s="1"/>
  <c r="GTK66" i="7" s="1"/>
  <c r="GTM66" i="7" s="1"/>
  <c r="GTO66" i="7" s="1"/>
  <c r="GTQ66" i="7" s="1"/>
  <c r="GTS66" i="7" s="1"/>
  <c r="GTU66" i="7" s="1"/>
  <c r="GTW66" i="7" s="1"/>
  <c r="GTY66" i="7" s="1"/>
  <c r="GUA66" i="7" s="1"/>
  <c r="GUC66" i="7" s="1"/>
  <c r="GUE66" i="7" s="1"/>
  <c r="GUG66" i="7" s="1"/>
  <c r="GUI66" i="7" s="1"/>
  <c r="GUK66" i="7" s="1"/>
  <c r="GUM66" i="7" s="1"/>
  <c r="GUO66" i="7" s="1"/>
  <c r="GUQ66" i="7" s="1"/>
  <c r="GUS66" i="7" s="1"/>
  <c r="GUU66" i="7" s="1"/>
  <c r="GUW66" i="7" s="1"/>
  <c r="GUY66" i="7" s="1"/>
  <c r="GVA66" i="7" s="1"/>
  <c r="GVC66" i="7" s="1"/>
  <c r="GVE66" i="7" s="1"/>
  <c r="GVG66" i="7" s="1"/>
  <c r="GVI66" i="7" s="1"/>
  <c r="GVK66" i="7" s="1"/>
  <c r="GVM66" i="7" s="1"/>
  <c r="GVO66" i="7" s="1"/>
  <c r="GVQ66" i="7" s="1"/>
  <c r="GVS66" i="7" s="1"/>
  <c r="GVU66" i="7" s="1"/>
  <c r="GVW66" i="7" s="1"/>
  <c r="GVY66" i="7" s="1"/>
  <c r="GWA66" i="7" s="1"/>
  <c r="GWC66" i="7" s="1"/>
  <c r="GWE66" i="7" s="1"/>
  <c r="GWG66" i="7" s="1"/>
  <c r="GWI66" i="7" s="1"/>
  <c r="GWK66" i="7" s="1"/>
  <c r="GWM66" i="7" s="1"/>
  <c r="GWO66" i="7" s="1"/>
  <c r="GWQ66" i="7" s="1"/>
  <c r="GWS66" i="7" s="1"/>
  <c r="GWU66" i="7" s="1"/>
  <c r="GWW66" i="7" s="1"/>
  <c r="GWY66" i="7" s="1"/>
  <c r="GXA66" i="7" s="1"/>
  <c r="GXC66" i="7" s="1"/>
  <c r="GXE66" i="7" s="1"/>
  <c r="GXG66" i="7" s="1"/>
  <c r="GXI66" i="7" s="1"/>
  <c r="GXK66" i="7" s="1"/>
  <c r="GXM66" i="7" s="1"/>
  <c r="GXO66" i="7" s="1"/>
  <c r="GXQ66" i="7" s="1"/>
  <c r="GXS66" i="7" s="1"/>
  <c r="GXU66" i="7" s="1"/>
  <c r="GXW66" i="7" s="1"/>
  <c r="GXY66" i="7" s="1"/>
  <c r="GYA66" i="7" s="1"/>
  <c r="GYC66" i="7" s="1"/>
  <c r="GYE66" i="7" s="1"/>
  <c r="GYG66" i="7" s="1"/>
  <c r="GYI66" i="7" s="1"/>
  <c r="GYK66" i="7" s="1"/>
  <c r="GYM66" i="7" s="1"/>
  <c r="GYO66" i="7" s="1"/>
  <c r="GYQ66" i="7" s="1"/>
  <c r="GYS66" i="7" s="1"/>
  <c r="GYU66" i="7" s="1"/>
  <c r="GYW66" i="7" s="1"/>
  <c r="GYY66" i="7" s="1"/>
  <c r="GZA66" i="7" s="1"/>
  <c r="GZC66" i="7" s="1"/>
  <c r="GZE66" i="7" s="1"/>
  <c r="GZG66" i="7" s="1"/>
  <c r="GZI66" i="7" s="1"/>
  <c r="GZK66" i="7" s="1"/>
  <c r="GZM66" i="7" s="1"/>
  <c r="GZO66" i="7" s="1"/>
  <c r="GZQ66" i="7" s="1"/>
  <c r="GZS66" i="7" s="1"/>
  <c r="GZU66" i="7" s="1"/>
  <c r="GZW66" i="7" s="1"/>
  <c r="GZY66" i="7" s="1"/>
  <c r="HAA66" i="7" s="1"/>
  <c r="HAC66" i="7" s="1"/>
  <c r="HAE66" i="7" s="1"/>
  <c r="HAG66" i="7" s="1"/>
  <c r="HAI66" i="7" s="1"/>
  <c r="HAK66" i="7" s="1"/>
  <c r="HAM66" i="7" s="1"/>
  <c r="HAO66" i="7" s="1"/>
  <c r="HAQ66" i="7" s="1"/>
  <c r="HAS66" i="7" s="1"/>
  <c r="HAU66" i="7" s="1"/>
  <c r="HAW66" i="7" s="1"/>
  <c r="HAY66" i="7" s="1"/>
  <c r="HBA66" i="7" s="1"/>
  <c r="HBC66" i="7" s="1"/>
  <c r="HBE66" i="7" s="1"/>
  <c r="HBG66" i="7" s="1"/>
  <c r="HBI66" i="7" s="1"/>
  <c r="HBK66" i="7" s="1"/>
  <c r="HBM66" i="7" s="1"/>
  <c r="HBO66" i="7" s="1"/>
  <c r="HBQ66" i="7" s="1"/>
  <c r="HBS66" i="7" s="1"/>
  <c r="HBU66" i="7" s="1"/>
  <c r="HBW66" i="7" s="1"/>
  <c r="HBY66" i="7" s="1"/>
  <c r="HCA66" i="7" s="1"/>
  <c r="HCC66" i="7" s="1"/>
  <c r="HCE66" i="7" s="1"/>
  <c r="HCG66" i="7" s="1"/>
  <c r="HCI66" i="7" s="1"/>
  <c r="HCK66" i="7" s="1"/>
  <c r="HCM66" i="7" s="1"/>
  <c r="HCO66" i="7" s="1"/>
  <c r="HCQ66" i="7" s="1"/>
  <c r="HCS66" i="7" s="1"/>
  <c r="HCU66" i="7" s="1"/>
  <c r="HCW66" i="7" s="1"/>
  <c r="HCY66" i="7" s="1"/>
  <c r="HDA66" i="7" s="1"/>
  <c r="HDC66" i="7" s="1"/>
  <c r="HDE66" i="7" s="1"/>
  <c r="HDG66" i="7" s="1"/>
  <c r="HDI66" i="7" s="1"/>
  <c r="HDK66" i="7" s="1"/>
  <c r="HDM66" i="7" s="1"/>
  <c r="HDO66" i="7" s="1"/>
  <c r="HDQ66" i="7" s="1"/>
  <c r="HDS66" i="7" s="1"/>
  <c r="HDU66" i="7" s="1"/>
  <c r="HDW66" i="7" s="1"/>
  <c r="HDY66" i="7" s="1"/>
  <c r="HEA66" i="7" s="1"/>
  <c r="HEC66" i="7" s="1"/>
  <c r="HEE66" i="7" s="1"/>
  <c r="HEG66" i="7" s="1"/>
  <c r="HEI66" i="7" s="1"/>
  <c r="HEK66" i="7" s="1"/>
  <c r="HEM66" i="7" s="1"/>
  <c r="HEO66" i="7" s="1"/>
  <c r="HEQ66" i="7" s="1"/>
  <c r="HES66" i="7" s="1"/>
  <c r="HEU66" i="7" s="1"/>
  <c r="HEW66" i="7" s="1"/>
  <c r="HEY66" i="7" s="1"/>
  <c r="HFA66" i="7" s="1"/>
  <c r="HFC66" i="7" s="1"/>
  <c r="HFE66" i="7" s="1"/>
  <c r="HFG66" i="7" s="1"/>
  <c r="HFI66" i="7" s="1"/>
  <c r="HFK66" i="7" s="1"/>
  <c r="HFM66" i="7" s="1"/>
  <c r="HFO66" i="7" s="1"/>
  <c r="HFQ66" i="7" s="1"/>
  <c r="HFS66" i="7" s="1"/>
  <c r="HFU66" i="7" s="1"/>
  <c r="HFW66" i="7" s="1"/>
  <c r="HFY66" i="7" s="1"/>
  <c r="HGA66" i="7" s="1"/>
  <c r="HGC66" i="7" s="1"/>
  <c r="HGE66" i="7" s="1"/>
  <c r="HGG66" i="7" s="1"/>
  <c r="HGI66" i="7" s="1"/>
  <c r="HGK66" i="7" s="1"/>
  <c r="HGM66" i="7" s="1"/>
  <c r="HGO66" i="7" s="1"/>
  <c r="HGQ66" i="7" s="1"/>
  <c r="HGS66" i="7" s="1"/>
  <c r="HGU66" i="7" s="1"/>
  <c r="HGW66" i="7" s="1"/>
  <c r="HGY66" i="7" s="1"/>
  <c r="HHA66" i="7" s="1"/>
  <c r="HHC66" i="7" s="1"/>
  <c r="HHE66" i="7" s="1"/>
  <c r="HHG66" i="7" s="1"/>
  <c r="HHI66" i="7" s="1"/>
  <c r="HHK66" i="7" s="1"/>
  <c r="HHM66" i="7" s="1"/>
  <c r="HHO66" i="7" s="1"/>
  <c r="HHQ66" i="7" s="1"/>
  <c r="HHS66" i="7" s="1"/>
  <c r="HHU66" i="7" s="1"/>
  <c r="HHW66" i="7" s="1"/>
  <c r="HHY66" i="7" s="1"/>
  <c r="HIA66" i="7" s="1"/>
  <c r="HIC66" i="7" s="1"/>
  <c r="HIE66" i="7" s="1"/>
  <c r="HIG66" i="7" s="1"/>
  <c r="HII66" i="7" s="1"/>
  <c r="HIK66" i="7" s="1"/>
  <c r="HIM66" i="7" s="1"/>
  <c r="HIO66" i="7" s="1"/>
  <c r="HIQ66" i="7" s="1"/>
  <c r="HIS66" i="7" s="1"/>
  <c r="HIU66" i="7" s="1"/>
  <c r="HIW66" i="7" s="1"/>
  <c r="HIY66" i="7" s="1"/>
  <c r="HJA66" i="7" s="1"/>
  <c r="HJC66" i="7" s="1"/>
  <c r="HJE66" i="7" s="1"/>
  <c r="HJG66" i="7" s="1"/>
  <c r="HJI66" i="7" s="1"/>
  <c r="HJK66" i="7" s="1"/>
  <c r="HJM66" i="7" s="1"/>
  <c r="HJO66" i="7" s="1"/>
  <c r="HJQ66" i="7" s="1"/>
  <c r="HJS66" i="7" s="1"/>
  <c r="HJU66" i="7" s="1"/>
  <c r="HJW66" i="7" s="1"/>
  <c r="HJY66" i="7" s="1"/>
  <c r="HKA66" i="7" s="1"/>
  <c r="HKC66" i="7" s="1"/>
  <c r="HKE66" i="7" s="1"/>
  <c r="HKG66" i="7" s="1"/>
  <c r="HKI66" i="7" s="1"/>
  <c r="HKK66" i="7" s="1"/>
  <c r="HKM66" i="7" s="1"/>
  <c r="HKO66" i="7" s="1"/>
  <c r="HKQ66" i="7" s="1"/>
  <c r="HKS66" i="7" s="1"/>
  <c r="HKU66" i="7" s="1"/>
  <c r="HKW66" i="7" s="1"/>
  <c r="HKY66" i="7" s="1"/>
  <c r="HLA66" i="7" s="1"/>
  <c r="HLC66" i="7" s="1"/>
  <c r="HLE66" i="7" s="1"/>
  <c r="HLG66" i="7" s="1"/>
  <c r="HLI66" i="7" s="1"/>
  <c r="HLK66" i="7" s="1"/>
  <c r="HLM66" i="7" s="1"/>
  <c r="HLO66" i="7" s="1"/>
  <c r="HLQ66" i="7" s="1"/>
  <c r="HLS66" i="7" s="1"/>
  <c r="HLU66" i="7" s="1"/>
  <c r="HLW66" i="7" s="1"/>
  <c r="HLY66" i="7" s="1"/>
  <c r="HMA66" i="7" s="1"/>
  <c r="HMC66" i="7" s="1"/>
  <c r="HME66" i="7" s="1"/>
  <c r="HMG66" i="7" s="1"/>
  <c r="HMI66" i="7" s="1"/>
  <c r="HMK66" i="7" s="1"/>
  <c r="HMM66" i="7" s="1"/>
  <c r="HMO66" i="7" s="1"/>
  <c r="HMQ66" i="7" s="1"/>
  <c r="HMS66" i="7" s="1"/>
  <c r="HMU66" i="7" s="1"/>
  <c r="HMW66" i="7" s="1"/>
  <c r="HMY66" i="7" s="1"/>
  <c r="HNA66" i="7" s="1"/>
  <c r="HNC66" i="7" s="1"/>
  <c r="HNE66" i="7" s="1"/>
  <c r="HNG66" i="7" s="1"/>
  <c r="HNI66" i="7" s="1"/>
  <c r="HNK66" i="7" s="1"/>
  <c r="HNM66" i="7" s="1"/>
  <c r="HNO66" i="7" s="1"/>
  <c r="HNQ66" i="7" s="1"/>
  <c r="HNS66" i="7" s="1"/>
  <c r="HNU66" i="7" s="1"/>
  <c r="HNW66" i="7" s="1"/>
  <c r="HNY66" i="7" s="1"/>
  <c r="HOA66" i="7" s="1"/>
  <c r="HOC66" i="7" s="1"/>
  <c r="HOE66" i="7" s="1"/>
  <c r="HOG66" i="7" s="1"/>
  <c r="HOI66" i="7" s="1"/>
  <c r="HOK66" i="7" s="1"/>
  <c r="HOM66" i="7" s="1"/>
  <c r="HOO66" i="7" s="1"/>
  <c r="HOQ66" i="7" s="1"/>
  <c r="HOS66" i="7" s="1"/>
  <c r="HOU66" i="7" s="1"/>
  <c r="HOW66" i="7" s="1"/>
  <c r="HOY66" i="7" s="1"/>
  <c r="HPA66" i="7" s="1"/>
  <c r="HPC66" i="7" s="1"/>
  <c r="HPE66" i="7" s="1"/>
  <c r="HPG66" i="7" s="1"/>
  <c r="HPI66" i="7" s="1"/>
  <c r="HPK66" i="7" s="1"/>
  <c r="HPM66" i="7" s="1"/>
  <c r="HPO66" i="7" s="1"/>
  <c r="HPQ66" i="7" s="1"/>
  <c r="HPS66" i="7" s="1"/>
  <c r="HPU66" i="7" s="1"/>
  <c r="HPW66" i="7" s="1"/>
  <c r="HPY66" i="7" s="1"/>
  <c r="HQA66" i="7" s="1"/>
  <c r="HQC66" i="7" s="1"/>
  <c r="HQE66" i="7" s="1"/>
  <c r="HQG66" i="7" s="1"/>
  <c r="HQI66" i="7" s="1"/>
  <c r="HQK66" i="7" s="1"/>
  <c r="HQM66" i="7" s="1"/>
  <c r="HQO66" i="7" s="1"/>
  <c r="HQQ66" i="7" s="1"/>
  <c r="HQS66" i="7" s="1"/>
  <c r="HQU66" i="7" s="1"/>
  <c r="HQW66" i="7" s="1"/>
  <c r="HQY66" i="7" s="1"/>
  <c r="HRA66" i="7" s="1"/>
  <c r="HRC66" i="7" s="1"/>
  <c r="HRE66" i="7" s="1"/>
  <c r="HRG66" i="7" s="1"/>
  <c r="HRI66" i="7" s="1"/>
  <c r="HRK66" i="7" s="1"/>
  <c r="HRM66" i="7" s="1"/>
  <c r="HRO66" i="7" s="1"/>
  <c r="HRQ66" i="7" s="1"/>
  <c r="HRS66" i="7" s="1"/>
  <c r="HRU66" i="7" s="1"/>
  <c r="HRW66" i="7" s="1"/>
  <c r="HRY66" i="7" s="1"/>
  <c r="HSA66" i="7" s="1"/>
  <c r="HSC66" i="7" s="1"/>
  <c r="HSE66" i="7" s="1"/>
  <c r="HSG66" i="7" s="1"/>
  <c r="HSI66" i="7" s="1"/>
  <c r="HSK66" i="7" s="1"/>
  <c r="HSM66" i="7" s="1"/>
  <c r="HSO66" i="7" s="1"/>
  <c r="HSQ66" i="7" s="1"/>
  <c r="HSS66" i="7" s="1"/>
  <c r="HSU66" i="7" s="1"/>
  <c r="HSW66" i="7" s="1"/>
  <c r="HSY66" i="7" s="1"/>
  <c r="HTA66" i="7" s="1"/>
  <c r="HTC66" i="7" s="1"/>
  <c r="HTE66" i="7" s="1"/>
  <c r="HTG66" i="7" s="1"/>
  <c r="HTI66" i="7" s="1"/>
  <c r="HTK66" i="7" s="1"/>
  <c r="HTM66" i="7" s="1"/>
  <c r="HTO66" i="7" s="1"/>
  <c r="HTQ66" i="7" s="1"/>
  <c r="HTS66" i="7" s="1"/>
  <c r="HTU66" i="7" s="1"/>
  <c r="HTW66" i="7" s="1"/>
  <c r="HTY66" i="7" s="1"/>
  <c r="HUA66" i="7" s="1"/>
  <c r="HUC66" i="7" s="1"/>
  <c r="HUE66" i="7" s="1"/>
  <c r="HUG66" i="7" s="1"/>
  <c r="HUI66" i="7" s="1"/>
  <c r="HUK66" i="7" s="1"/>
  <c r="HUM66" i="7" s="1"/>
  <c r="HUO66" i="7" s="1"/>
  <c r="HUQ66" i="7" s="1"/>
  <c r="HUS66" i="7" s="1"/>
  <c r="HUU66" i="7" s="1"/>
  <c r="HUW66" i="7" s="1"/>
  <c r="HUY66" i="7" s="1"/>
  <c r="HVA66" i="7" s="1"/>
  <c r="HVC66" i="7" s="1"/>
  <c r="HVE66" i="7" s="1"/>
  <c r="HVG66" i="7" s="1"/>
  <c r="HVI66" i="7" s="1"/>
  <c r="HVK66" i="7" s="1"/>
  <c r="HVM66" i="7" s="1"/>
  <c r="HVO66" i="7" s="1"/>
  <c r="HVQ66" i="7" s="1"/>
  <c r="HVS66" i="7" s="1"/>
  <c r="HVU66" i="7" s="1"/>
  <c r="HVW66" i="7" s="1"/>
  <c r="HVY66" i="7" s="1"/>
  <c r="HWA66" i="7" s="1"/>
  <c r="HWC66" i="7" s="1"/>
  <c r="HWE66" i="7" s="1"/>
  <c r="HWG66" i="7" s="1"/>
  <c r="HWI66" i="7" s="1"/>
  <c r="HWK66" i="7" s="1"/>
  <c r="HWM66" i="7" s="1"/>
  <c r="HWO66" i="7" s="1"/>
  <c r="HWQ66" i="7" s="1"/>
  <c r="HWS66" i="7" s="1"/>
  <c r="HWU66" i="7" s="1"/>
  <c r="HWW66" i="7" s="1"/>
  <c r="HWY66" i="7" s="1"/>
  <c r="HXA66" i="7" s="1"/>
  <c r="HXC66" i="7" s="1"/>
  <c r="HXE66" i="7" s="1"/>
  <c r="HXG66" i="7" s="1"/>
  <c r="HXI66" i="7" s="1"/>
  <c r="HXK66" i="7" s="1"/>
  <c r="HXM66" i="7" s="1"/>
  <c r="HXO66" i="7" s="1"/>
  <c r="HXQ66" i="7" s="1"/>
  <c r="HXS66" i="7" s="1"/>
  <c r="HXU66" i="7" s="1"/>
  <c r="HXW66" i="7" s="1"/>
  <c r="HXY66" i="7" s="1"/>
  <c r="HYA66" i="7" s="1"/>
  <c r="HYC66" i="7" s="1"/>
  <c r="HYE66" i="7" s="1"/>
  <c r="HYG66" i="7" s="1"/>
  <c r="HYI66" i="7" s="1"/>
  <c r="HYK66" i="7" s="1"/>
  <c r="HYM66" i="7" s="1"/>
  <c r="HYO66" i="7" s="1"/>
  <c r="HYQ66" i="7" s="1"/>
  <c r="HYS66" i="7" s="1"/>
  <c r="HYU66" i="7" s="1"/>
  <c r="HYW66" i="7" s="1"/>
  <c r="HYY66" i="7" s="1"/>
  <c r="HZA66" i="7" s="1"/>
  <c r="HZC66" i="7" s="1"/>
  <c r="HZE66" i="7" s="1"/>
  <c r="HZG66" i="7" s="1"/>
  <c r="HZI66" i="7" s="1"/>
  <c r="HZK66" i="7" s="1"/>
  <c r="HZM66" i="7" s="1"/>
  <c r="HZO66" i="7" s="1"/>
  <c r="HZQ66" i="7" s="1"/>
  <c r="HZS66" i="7" s="1"/>
  <c r="HZU66" i="7" s="1"/>
  <c r="HZW66" i="7" s="1"/>
  <c r="HZY66" i="7" s="1"/>
  <c r="IAA66" i="7" s="1"/>
  <c r="IAC66" i="7" s="1"/>
  <c r="IAE66" i="7" s="1"/>
  <c r="IAG66" i="7" s="1"/>
  <c r="IAI66" i="7" s="1"/>
  <c r="IAK66" i="7" s="1"/>
  <c r="IAM66" i="7" s="1"/>
  <c r="IAO66" i="7" s="1"/>
  <c r="IAQ66" i="7" s="1"/>
  <c r="IAS66" i="7" s="1"/>
  <c r="IAU66" i="7" s="1"/>
  <c r="IAW66" i="7" s="1"/>
  <c r="IAY66" i="7" s="1"/>
  <c r="IBA66" i="7" s="1"/>
  <c r="IBC66" i="7" s="1"/>
  <c r="IBE66" i="7" s="1"/>
  <c r="IBG66" i="7" s="1"/>
  <c r="IBI66" i="7" s="1"/>
  <c r="IBK66" i="7" s="1"/>
  <c r="IBM66" i="7" s="1"/>
  <c r="IBO66" i="7" s="1"/>
  <c r="IBQ66" i="7" s="1"/>
  <c r="IBS66" i="7" s="1"/>
  <c r="IBU66" i="7" s="1"/>
  <c r="IBW66" i="7" s="1"/>
  <c r="IBY66" i="7" s="1"/>
  <c r="ICA66" i="7" s="1"/>
  <c r="ICC66" i="7" s="1"/>
  <c r="ICE66" i="7" s="1"/>
  <c r="ICG66" i="7" s="1"/>
  <c r="ICI66" i="7" s="1"/>
  <c r="ICK66" i="7" s="1"/>
  <c r="ICM66" i="7" s="1"/>
  <c r="ICO66" i="7" s="1"/>
  <c r="ICQ66" i="7" s="1"/>
  <c r="ICS66" i="7" s="1"/>
  <c r="ICU66" i="7" s="1"/>
  <c r="ICW66" i="7" s="1"/>
  <c r="ICY66" i="7" s="1"/>
  <c r="IDA66" i="7" s="1"/>
  <c r="IDC66" i="7" s="1"/>
  <c r="IDE66" i="7" s="1"/>
  <c r="IDG66" i="7" s="1"/>
  <c r="IDI66" i="7" s="1"/>
  <c r="IDK66" i="7" s="1"/>
  <c r="IDM66" i="7" s="1"/>
  <c r="IDO66" i="7" s="1"/>
  <c r="IDQ66" i="7" s="1"/>
  <c r="IDS66" i="7" s="1"/>
  <c r="IDU66" i="7" s="1"/>
  <c r="IDW66" i="7" s="1"/>
  <c r="IDY66" i="7" s="1"/>
  <c r="IEA66" i="7" s="1"/>
  <c r="IEC66" i="7" s="1"/>
  <c r="IEE66" i="7" s="1"/>
  <c r="IEG66" i="7" s="1"/>
  <c r="IEI66" i="7" s="1"/>
  <c r="IEK66" i="7" s="1"/>
  <c r="IEM66" i="7" s="1"/>
  <c r="IEO66" i="7" s="1"/>
  <c r="IEQ66" i="7" s="1"/>
  <c r="IES66" i="7" s="1"/>
  <c r="IEU66" i="7" s="1"/>
  <c r="IEW66" i="7" s="1"/>
  <c r="IEY66" i="7" s="1"/>
  <c r="IFA66" i="7" s="1"/>
  <c r="IFC66" i="7" s="1"/>
  <c r="IFE66" i="7" s="1"/>
  <c r="IFG66" i="7" s="1"/>
  <c r="IFI66" i="7" s="1"/>
  <c r="IFK66" i="7" s="1"/>
  <c r="IFM66" i="7" s="1"/>
  <c r="IFO66" i="7" s="1"/>
  <c r="IFQ66" i="7" s="1"/>
  <c r="IFS66" i="7" s="1"/>
  <c r="IFU66" i="7" s="1"/>
  <c r="IFW66" i="7" s="1"/>
  <c r="IFY66" i="7" s="1"/>
  <c r="IGA66" i="7" s="1"/>
  <c r="IGC66" i="7" s="1"/>
  <c r="IGE66" i="7" s="1"/>
  <c r="IGG66" i="7" s="1"/>
  <c r="IGI66" i="7" s="1"/>
  <c r="IGK66" i="7" s="1"/>
  <c r="IGM66" i="7" s="1"/>
  <c r="IGO66" i="7" s="1"/>
  <c r="IGQ66" i="7" s="1"/>
  <c r="IGS66" i="7" s="1"/>
  <c r="IGU66" i="7" s="1"/>
  <c r="IGW66" i="7" s="1"/>
  <c r="IGY66" i="7" s="1"/>
  <c r="IHA66" i="7" s="1"/>
  <c r="IHC66" i="7" s="1"/>
  <c r="IHE66" i="7" s="1"/>
  <c r="IHG66" i="7" s="1"/>
  <c r="IHI66" i="7" s="1"/>
  <c r="IHK66" i="7" s="1"/>
  <c r="IHM66" i="7" s="1"/>
  <c r="IHO66" i="7" s="1"/>
  <c r="IHQ66" i="7" s="1"/>
  <c r="IHS66" i="7" s="1"/>
  <c r="IHU66" i="7" s="1"/>
  <c r="IHW66" i="7" s="1"/>
  <c r="IHY66" i="7" s="1"/>
  <c r="IIA66" i="7" s="1"/>
  <c r="IIC66" i="7" s="1"/>
  <c r="IIE66" i="7" s="1"/>
  <c r="IIG66" i="7" s="1"/>
  <c r="III66" i="7" s="1"/>
  <c r="IIK66" i="7" s="1"/>
  <c r="IIM66" i="7" s="1"/>
  <c r="IIO66" i="7" s="1"/>
  <c r="IIQ66" i="7" s="1"/>
  <c r="IIS66" i="7" s="1"/>
  <c r="IIU66" i="7" s="1"/>
  <c r="IIW66" i="7" s="1"/>
  <c r="IIY66" i="7" s="1"/>
  <c r="IJA66" i="7" s="1"/>
  <c r="IJC66" i="7" s="1"/>
  <c r="IJE66" i="7" s="1"/>
  <c r="IJG66" i="7" s="1"/>
  <c r="IJI66" i="7" s="1"/>
  <c r="IJK66" i="7" s="1"/>
  <c r="IJM66" i="7" s="1"/>
  <c r="IJO66" i="7" s="1"/>
  <c r="IJQ66" i="7" s="1"/>
  <c r="IJS66" i="7" s="1"/>
  <c r="IJU66" i="7" s="1"/>
  <c r="IJW66" i="7" s="1"/>
  <c r="IJY66" i="7" s="1"/>
  <c r="IKA66" i="7" s="1"/>
  <c r="IKC66" i="7" s="1"/>
  <c r="IKE66" i="7" s="1"/>
  <c r="IKG66" i="7" s="1"/>
  <c r="IKI66" i="7" s="1"/>
  <c r="IKK66" i="7" s="1"/>
  <c r="IKM66" i="7" s="1"/>
  <c r="IKO66" i="7" s="1"/>
  <c r="IKQ66" i="7" s="1"/>
  <c r="IKS66" i="7" s="1"/>
  <c r="IKU66" i="7" s="1"/>
  <c r="IKW66" i="7" s="1"/>
  <c r="IKY66" i="7" s="1"/>
  <c r="ILA66" i="7" s="1"/>
  <c r="ILC66" i="7" s="1"/>
  <c r="ILE66" i="7" s="1"/>
  <c r="ILG66" i="7" s="1"/>
  <c r="ILI66" i="7" s="1"/>
  <c r="ILK66" i="7" s="1"/>
  <c r="ILM66" i="7" s="1"/>
  <c r="ILO66" i="7" s="1"/>
  <c r="ILQ66" i="7" s="1"/>
  <c r="ILS66" i="7" s="1"/>
  <c r="ILU66" i="7" s="1"/>
  <c r="ILW66" i="7" s="1"/>
  <c r="ILY66" i="7" s="1"/>
  <c r="IMA66" i="7" s="1"/>
  <c r="IMC66" i="7" s="1"/>
  <c r="IME66" i="7" s="1"/>
  <c r="IMG66" i="7" s="1"/>
  <c r="IMI66" i="7" s="1"/>
  <c r="IMK66" i="7" s="1"/>
  <c r="IMM66" i="7" s="1"/>
  <c r="IMO66" i="7" s="1"/>
  <c r="IMQ66" i="7" s="1"/>
  <c r="IMS66" i="7" s="1"/>
  <c r="IMU66" i="7" s="1"/>
  <c r="IMW66" i="7" s="1"/>
  <c r="IMY66" i="7" s="1"/>
  <c r="INA66" i="7" s="1"/>
  <c r="INC66" i="7" s="1"/>
  <c r="INE66" i="7" s="1"/>
  <c r="ING66" i="7" s="1"/>
  <c r="INI66" i="7" s="1"/>
  <c r="INK66" i="7" s="1"/>
  <c r="INM66" i="7" s="1"/>
  <c r="INO66" i="7" s="1"/>
  <c r="INQ66" i="7" s="1"/>
  <c r="INS66" i="7" s="1"/>
  <c r="INU66" i="7" s="1"/>
  <c r="INW66" i="7" s="1"/>
  <c r="INY66" i="7" s="1"/>
  <c r="IOA66" i="7" s="1"/>
  <c r="IOC66" i="7" s="1"/>
  <c r="IOE66" i="7" s="1"/>
  <c r="IOG66" i="7" s="1"/>
  <c r="IOI66" i="7" s="1"/>
  <c r="IOK66" i="7" s="1"/>
  <c r="IOM66" i="7" s="1"/>
  <c r="IOO66" i="7" s="1"/>
  <c r="IOQ66" i="7" s="1"/>
  <c r="IOS66" i="7" s="1"/>
  <c r="IOU66" i="7" s="1"/>
  <c r="IOW66" i="7" s="1"/>
  <c r="IOY66" i="7" s="1"/>
  <c r="IPA66" i="7" s="1"/>
  <c r="IPC66" i="7" s="1"/>
  <c r="IPE66" i="7" s="1"/>
  <c r="IPG66" i="7" s="1"/>
  <c r="IPI66" i="7" s="1"/>
  <c r="IPK66" i="7" s="1"/>
  <c r="IPM66" i="7" s="1"/>
  <c r="IPO66" i="7" s="1"/>
  <c r="IPQ66" i="7" s="1"/>
  <c r="IPS66" i="7" s="1"/>
  <c r="IPU66" i="7" s="1"/>
  <c r="IPW66" i="7" s="1"/>
  <c r="IPY66" i="7" s="1"/>
  <c r="IQA66" i="7" s="1"/>
  <c r="IQC66" i="7" s="1"/>
  <c r="IQE66" i="7" s="1"/>
  <c r="IQG66" i="7" s="1"/>
  <c r="IQI66" i="7" s="1"/>
  <c r="IQK66" i="7" s="1"/>
  <c r="IQM66" i="7" s="1"/>
  <c r="IQO66" i="7" s="1"/>
  <c r="IQQ66" i="7" s="1"/>
  <c r="IQS66" i="7" s="1"/>
  <c r="IQU66" i="7" s="1"/>
  <c r="IQW66" i="7" s="1"/>
  <c r="IQY66" i="7" s="1"/>
  <c r="IRA66" i="7" s="1"/>
  <c r="IRC66" i="7" s="1"/>
  <c r="IRE66" i="7" s="1"/>
  <c r="IRG66" i="7" s="1"/>
  <c r="IRI66" i="7" s="1"/>
  <c r="IRK66" i="7" s="1"/>
  <c r="IRM66" i="7" s="1"/>
  <c r="IRO66" i="7" s="1"/>
  <c r="IRQ66" i="7" s="1"/>
  <c r="IRS66" i="7" s="1"/>
  <c r="IRU66" i="7" s="1"/>
  <c r="IRW66" i="7" s="1"/>
  <c r="IRY66" i="7" s="1"/>
  <c r="ISA66" i="7" s="1"/>
  <c r="ISC66" i="7" s="1"/>
  <c r="ISE66" i="7" s="1"/>
  <c r="ISG66" i="7" s="1"/>
  <c r="ISI66" i="7" s="1"/>
  <c r="ISK66" i="7" s="1"/>
  <c r="ISM66" i="7" s="1"/>
  <c r="ISO66" i="7" s="1"/>
  <c r="ISQ66" i="7" s="1"/>
  <c r="ISS66" i="7" s="1"/>
  <c r="ISU66" i="7" s="1"/>
  <c r="ISW66" i="7" s="1"/>
  <c r="ISY66" i="7" s="1"/>
  <c r="ITA66" i="7" s="1"/>
  <c r="ITC66" i="7" s="1"/>
  <c r="ITE66" i="7" s="1"/>
  <c r="ITG66" i="7" s="1"/>
  <c r="ITI66" i="7" s="1"/>
  <c r="ITK66" i="7" s="1"/>
  <c r="ITM66" i="7" s="1"/>
  <c r="ITO66" i="7" s="1"/>
  <c r="ITQ66" i="7" s="1"/>
  <c r="ITS66" i="7" s="1"/>
  <c r="ITU66" i="7" s="1"/>
  <c r="ITW66" i="7" s="1"/>
  <c r="ITY66" i="7" s="1"/>
  <c r="IUA66" i="7" s="1"/>
  <c r="IUC66" i="7" s="1"/>
  <c r="IUE66" i="7" s="1"/>
  <c r="IUG66" i="7" s="1"/>
  <c r="IUI66" i="7" s="1"/>
  <c r="IUK66" i="7" s="1"/>
  <c r="IUM66" i="7" s="1"/>
  <c r="IUO66" i="7" s="1"/>
  <c r="IUQ66" i="7" s="1"/>
  <c r="IUS66" i="7" s="1"/>
  <c r="IUU66" i="7" s="1"/>
  <c r="IUW66" i="7" s="1"/>
  <c r="IUY66" i="7" s="1"/>
  <c r="IVA66" i="7" s="1"/>
  <c r="IVC66" i="7" s="1"/>
  <c r="IVE66" i="7" s="1"/>
  <c r="IVG66" i="7" s="1"/>
  <c r="IVI66" i="7" s="1"/>
  <c r="IVK66" i="7" s="1"/>
  <c r="IVM66" i="7" s="1"/>
  <c r="IVO66" i="7" s="1"/>
  <c r="IVQ66" i="7" s="1"/>
  <c r="IVS66" i="7" s="1"/>
  <c r="IVU66" i="7" s="1"/>
  <c r="IVW66" i="7" s="1"/>
  <c r="IVY66" i="7" s="1"/>
  <c r="IWA66" i="7" s="1"/>
  <c r="IWC66" i="7" s="1"/>
  <c r="IWE66" i="7" s="1"/>
  <c r="IWG66" i="7" s="1"/>
  <c r="IWI66" i="7" s="1"/>
  <c r="IWK66" i="7" s="1"/>
  <c r="IWM66" i="7" s="1"/>
  <c r="IWO66" i="7" s="1"/>
  <c r="IWQ66" i="7" s="1"/>
  <c r="IWS66" i="7" s="1"/>
  <c r="IWU66" i="7" s="1"/>
  <c r="IWW66" i="7" s="1"/>
  <c r="IWY66" i="7" s="1"/>
  <c r="IXA66" i="7" s="1"/>
  <c r="IXC66" i="7" s="1"/>
  <c r="IXE66" i="7" s="1"/>
  <c r="IXG66" i="7" s="1"/>
  <c r="IXI66" i="7" s="1"/>
  <c r="IXK66" i="7" s="1"/>
  <c r="IXM66" i="7" s="1"/>
  <c r="IXO66" i="7" s="1"/>
  <c r="IXQ66" i="7" s="1"/>
  <c r="IXS66" i="7" s="1"/>
  <c r="IXU66" i="7" s="1"/>
  <c r="IXW66" i="7" s="1"/>
  <c r="IXY66" i="7" s="1"/>
  <c r="IYA66" i="7" s="1"/>
  <c r="IYC66" i="7" s="1"/>
  <c r="IYE66" i="7" s="1"/>
  <c r="IYG66" i="7" s="1"/>
  <c r="IYI66" i="7" s="1"/>
  <c r="IYK66" i="7" s="1"/>
  <c r="IYM66" i="7" s="1"/>
  <c r="IYO66" i="7" s="1"/>
  <c r="IYQ66" i="7" s="1"/>
  <c r="IYS66" i="7" s="1"/>
  <c r="IYU66" i="7" s="1"/>
  <c r="IYW66" i="7" s="1"/>
  <c r="IYY66" i="7" s="1"/>
  <c r="IZA66" i="7" s="1"/>
  <c r="IZC66" i="7" s="1"/>
  <c r="IZE66" i="7" s="1"/>
  <c r="IZG66" i="7" s="1"/>
  <c r="IZI66" i="7" s="1"/>
  <c r="IZK66" i="7" s="1"/>
  <c r="IZM66" i="7" s="1"/>
  <c r="IZO66" i="7" s="1"/>
  <c r="IZQ66" i="7" s="1"/>
  <c r="IZS66" i="7" s="1"/>
  <c r="IZU66" i="7" s="1"/>
  <c r="IZW66" i="7" s="1"/>
  <c r="IZY66" i="7" s="1"/>
  <c r="JAA66" i="7" s="1"/>
  <c r="JAC66" i="7" s="1"/>
  <c r="JAE66" i="7" s="1"/>
  <c r="JAG66" i="7" s="1"/>
  <c r="JAI66" i="7" s="1"/>
  <c r="JAK66" i="7" s="1"/>
  <c r="JAM66" i="7" s="1"/>
  <c r="JAO66" i="7" s="1"/>
  <c r="JAQ66" i="7" s="1"/>
  <c r="JAS66" i="7" s="1"/>
  <c r="JAU66" i="7" s="1"/>
  <c r="JAW66" i="7" s="1"/>
  <c r="JAY66" i="7" s="1"/>
  <c r="JBA66" i="7" s="1"/>
  <c r="JBC66" i="7" s="1"/>
  <c r="JBE66" i="7" s="1"/>
  <c r="JBG66" i="7" s="1"/>
  <c r="JBI66" i="7" s="1"/>
  <c r="JBK66" i="7" s="1"/>
  <c r="JBM66" i="7" s="1"/>
  <c r="JBO66" i="7" s="1"/>
  <c r="JBQ66" i="7" s="1"/>
  <c r="JBS66" i="7" s="1"/>
  <c r="JBU66" i="7" s="1"/>
  <c r="JBW66" i="7" s="1"/>
  <c r="JBY66" i="7" s="1"/>
  <c r="JCA66" i="7" s="1"/>
  <c r="JCC66" i="7" s="1"/>
  <c r="JCE66" i="7" s="1"/>
  <c r="JCG66" i="7" s="1"/>
  <c r="JCI66" i="7" s="1"/>
  <c r="JCK66" i="7" s="1"/>
  <c r="JCM66" i="7" s="1"/>
  <c r="JCO66" i="7" s="1"/>
  <c r="JCQ66" i="7" s="1"/>
  <c r="JCS66" i="7" s="1"/>
  <c r="JCU66" i="7" s="1"/>
  <c r="JCW66" i="7" s="1"/>
  <c r="JCY66" i="7" s="1"/>
  <c r="JDA66" i="7" s="1"/>
  <c r="JDC66" i="7" s="1"/>
  <c r="JDE66" i="7" s="1"/>
  <c r="JDG66" i="7" s="1"/>
  <c r="JDI66" i="7" s="1"/>
  <c r="JDK66" i="7" s="1"/>
  <c r="JDM66" i="7" s="1"/>
  <c r="JDO66" i="7" s="1"/>
  <c r="JDQ66" i="7" s="1"/>
  <c r="JDS66" i="7" s="1"/>
  <c r="JDU66" i="7" s="1"/>
  <c r="JDW66" i="7" s="1"/>
  <c r="JDY66" i="7" s="1"/>
  <c r="JEA66" i="7" s="1"/>
  <c r="JEC66" i="7" s="1"/>
  <c r="JEE66" i="7" s="1"/>
  <c r="JEG66" i="7" s="1"/>
  <c r="JEI66" i="7" s="1"/>
  <c r="JEK66" i="7" s="1"/>
  <c r="JEM66" i="7" s="1"/>
  <c r="JEO66" i="7" s="1"/>
  <c r="JEQ66" i="7" s="1"/>
  <c r="JES66" i="7" s="1"/>
  <c r="JEU66" i="7" s="1"/>
  <c r="JEW66" i="7" s="1"/>
  <c r="JEY66" i="7" s="1"/>
  <c r="JFA66" i="7" s="1"/>
  <c r="JFC66" i="7" s="1"/>
  <c r="JFE66" i="7" s="1"/>
  <c r="JFG66" i="7" s="1"/>
  <c r="JFI66" i="7" s="1"/>
  <c r="JFK66" i="7" s="1"/>
  <c r="JFM66" i="7" s="1"/>
  <c r="JFO66" i="7" s="1"/>
  <c r="JFQ66" i="7" s="1"/>
  <c r="JFS66" i="7" s="1"/>
  <c r="JFU66" i="7" s="1"/>
  <c r="JFW66" i="7" s="1"/>
  <c r="JFY66" i="7" s="1"/>
  <c r="JGA66" i="7" s="1"/>
  <c r="JGC66" i="7" s="1"/>
  <c r="JGE66" i="7" s="1"/>
  <c r="JGG66" i="7" s="1"/>
  <c r="JGI66" i="7" s="1"/>
  <c r="JGK66" i="7" s="1"/>
  <c r="JGM66" i="7" s="1"/>
  <c r="JGO66" i="7" s="1"/>
  <c r="JGQ66" i="7" s="1"/>
  <c r="JGS66" i="7" s="1"/>
  <c r="JGU66" i="7" s="1"/>
  <c r="JGW66" i="7" s="1"/>
  <c r="JGY66" i="7" s="1"/>
  <c r="JHA66" i="7" s="1"/>
  <c r="JHC66" i="7" s="1"/>
  <c r="JHE66" i="7" s="1"/>
  <c r="JHG66" i="7" s="1"/>
  <c r="JHI66" i="7" s="1"/>
  <c r="JHK66" i="7" s="1"/>
  <c r="JHM66" i="7" s="1"/>
  <c r="JHO66" i="7" s="1"/>
  <c r="JHQ66" i="7" s="1"/>
  <c r="JHS66" i="7" s="1"/>
  <c r="JHU66" i="7" s="1"/>
  <c r="JHW66" i="7" s="1"/>
  <c r="JHY66" i="7" s="1"/>
  <c r="JIA66" i="7" s="1"/>
  <c r="JIC66" i="7" s="1"/>
  <c r="JIE66" i="7" s="1"/>
  <c r="JIG66" i="7" s="1"/>
  <c r="JII66" i="7" s="1"/>
  <c r="JIK66" i="7" s="1"/>
  <c r="JIM66" i="7" s="1"/>
  <c r="JIO66" i="7" s="1"/>
  <c r="JIQ66" i="7" s="1"/>
  <c r="JIS66" i="7" s="1"/>
  <c r="JIU66" i="7" s="1"/>
  <c r="JIW66" i="7" s="1"/>
  <c r="JIY66" i="7" s="1"/>
  <c r="JJA66" i="7" s="1"/>
  <c r="JJC66" i="7" s="1"/>
  <c r="JJE66" i="7" s="1"/>
  <c r="JJG66" i="7" s="1"/>
  <c r="JJI66" i="7" s="1"/>
  <c r="JJK66" i="7" s="1"/>
  <c r="JJM66" i="7" s="1"/>
  <c r="JJO66" i="7" s="1"/>
  <c r="JJQ66" i="7" s="1"/>
  <c r="JJS66" i="7" s="1"/>
  <c r="JJU66" i="7" s="1"/>
  <c r="JJW66" i="7" s="1"/>
  <c r="JJY66" i="7" s="1"/>
  <c r="JKA66" i="7" s="1"/>
  <c r="JKC66" i="7" s="1"/>
  <c r="JKE66" i="7" s="1"/>
  <c r="JKG66" i="7" s="1"/>
  <c r="JKI66" i="7" s="1"/>
  <c r="JKK66" i="7" s="1"/>
  <c r="JKM66" i="7" s="1"/>
  <c r="JKO66" i="7" s="1"/>
  <c r="JKQ66" i="7" s="1"/>
  <c r="JKS66" i="7" s="1"/>
  <c r="JKU66" i="7" s="1"/>
  <c r="JKW66" i="7" s="1"/>
  <c r="JKY66" i="7" s="1"/>
  <c r="JLA66" i="7" s="1"/>
  <c r="JLC66" i="7" s="1"/>
  <c r="JLE66" i="7" s="1"/>
  <c r="JLG66" i="7" s="1"/>
  <c r="JLI66" i="7" s="1"/>
  <c r="JLK66" i="7" s="1"/>
  <c r="JLM66" i="7" s="1"/>
  <c r="JLO66" i="7" s="1"/>
  <c r="JLQ66" i="7" s="1"/>
  <c r="JLS66" i="7" s="1"/>
  <c r="JLU66" i="7" s="1"/>
  <c r="JLW66" i="7" s="1"/>
  <c r="JLY66" i="7" s="1"/>
  <c r="JMA66" i="7" s="1"/>
  <c r="JMC66" i="7" s="1"/>
  <c r="JME66" i="7" s="1"/>
  <c r="JMG66" i="7" s="1"/>
  <c r="JMI66" i="7" s="1"/>
  <c r="JMK66" i="7" s="1"/>
  <c r="JMM66" i="7" s="1"/>
  <c r="JMO66" i="7" s="1"/>
  <c r="JMQ66" i="7" s="1"/>
  <c r="JMS66" i="7" s="1"/>
  <c r="JMU66" i="7" s="1"/>
  <c r="JMW66" i="7" s="1"/>
  <c r="JMY66" i="7" s="1"/>
  <c r="JNA66" i="7" s="1"/>
  <c r="JNC66" i="7" s="1"/>
  <c r="JNE66" i="7" s="1"/>
  <c r="JNG66" i="7" s="1"/>
  <c r="JNI66" i="7" s="1"/>
  <c r="JNK66" i="7" s="1"/>
  <c r="JNM66" i="7" s="1"/>
  <c r="JNO66" i="7" s="1"/>
  <c r="JNQ66" i="7" s="1"/>
  <c r="JNS66" i="7" s="1"/>
  <c r="JNU66" i="7" s="1"/>
  <c r="JNW66" i="7" s="1"/>
  <c r="JNY66" i="7" s="1"/>
  <c r="JOA66" i="7" s="1"/>
  <c r="JOC66" i="7" s="1"/>
  <c r="JOE66" i="7" s="1"/>
  <c r="JOG66" i="7" s="1"/>
  <c r="JOI66" i="7" s="1"/>
  <c r="JOK66" i="7" s="1"/>
  <c r="JOM66" i="7" s="1"/>
  <c r="JOO66" i="7" s="1"/>
  <c r="JOQ66" i="7" s="1"/>
  <c r="JOS66" i="7" s="1"/>
  <c r="JOU66" i="7" s="1"/>
  <c r="JOW66" i="7" s="1"/>
  <c r="JOY66" i="7" s="1"/>
  <c r="JPA66" i="7" s="1"/>
  <c r="JPC66" i="7" s="1"/>
  <c r="JPE66" i="7" s="1"/>
  <c r="JPG66" i="7" s="1"/>
  <c r="JPI66" i="7" s="1"/>
  <c r="JPK66" i="7" s="1"/>
  <c r="JPM66" i="7" s="1"/>
  <c r="JPO66" i="7" s="1"/>
  <c r="JPQ66" i="7" s="1"/>
  <c r="JPS66" i="7" s="1"/>
  <c r="JPU66" i="7" s="1"/>
  <c r="JPW66" i="7" s="1"/>
  <c r="JPY66" i="7" s="1"/>
  <c r="JQA66" i="7" s="1"/>
  <c r="JQC66" i="7" s="1"/>
  <c r="JQE66" i="7" s="1"/>
  <c r="JQG66" i="7" s="1"/>
  <c r="JQI66" i="7" s="1"/>
  <c r="JQK66" i="7" s="1"/>
  <c r="JQM66" i="7" s="1"/>
  <c r="JQO66" i="7" s="1"/>
  <c r="JQQ66" i="7" s="1"/>
  <c r="JQS66" i="7" s="1"/>
  <c r="JQU66" i="7" s="1"/>
  <c r="JQW66" i="7" s="1"/>
  <c r="JQY66" i="7" s="1"/>
  <c r="JRA66" i="7" s="1"/>
  <c r="JRC66" i="7" s="1"/>
  <c r="JRE66" i="7" s="1"/>
  <c r="JRG66" i="7" s="1"/>
  <c r="JRI66" i="7" s="1"/>
  <c r="JRK66" i="7" s="1"/>
  <c r="JRM66" i="7" s="1"/>
  <c r="JRO66" i="7" s="1"/>
  <c r="JRQ66" i="7" s="1"/>
  <c r="JRS66" i="7" s="1"/>
  <c r="JRU66" i="7" s="1"/>
  <c r="JRW66" i="7" s="1"/>
  <c r="JRY66" i="7" s="1"/>
  <c r="JSA66" i="7" s="1"/>
  <c r="JSC66" i="7" s="1"/>
  <c r="JSE66" i="7" s="1"/>
  <c r="JSG66" i="7" s="1"/>
  <c r="JSI66" i="7" s="1"/>
  <c r="JSK66" i="7" s="1"/>
  <c r="JSM66" i="7" s="1"/>
  <c r="JSO66" i="7" s="1"/>
  <c r="JSQ66" i="7" s="1"/>
  <c r="JSS66" i="7" s="1"/>
  <c r="JSU66" i="7" s="1"/>
  <c r="JSW66" i="7" s="1"/>
  <c r="JSY66" i="7" s="1"/>
  <c r="JTA66" i="7" s="1"/>
  <c r="JTC66" i="7" s="1"/>
  <c r="JTE66" i="7" s="1"/>
  <c r="JTG66" i="7" s="1"/>
  <c r="JTI66" i="7" s="1"/>
  <c r="JTK66" i="7" s="1"/>
  <c r="JTM66" i="7" s="1"/>
  <c r="JTO66" i="7" s="1"/>
  <c r="JTQ66" i="7" s="1"/>
  <c r="JTS66" i="7" s="1"/>
  <c r="JTU66" i="7" s="1"/>
  <c r="JTW66" i="7" s="1"/>
  <c r="JTY66" i="7" s="1"/>
  <c r="JUA66" i="7" s="1"/>
  <c r="JUC66" i="7" s="1"/>
  <c r="JUE66" i="7" s="1"/>
  <c r="JUG66" i="7" s="1"/>
  <c r="JUI66" i="7" s="1"/>
  <c r="JUK66" i="7" s="1"/>
  <c r="JUM66" i="7" s="1"/>
  <c r="JUO66" i="7" s="1"/>
  <c r="JUQ66" i="7" s="1"/>
  <c r="JUS66" i="7" s="1"/>
  <c r="JUU66" i="7" s="1"/>
  <c r="JUW66" i="7" s="1"/>
  <c r="JUY66" i="7" s="1"/>
  <c r="JVA66" i="7" s="1"/>
  <c r="JVC66" i="7" s="1"/>
  <c r="JVE66" i="7" s="1"/>
  <c r="JVG66" i="7" s="1"/>
  <c r="JVI66" i="7" s="1"/>
  <c r="JVK66" i="7" s="1"/>
  <c r="JVM66" i="7" s="1"/>
  <c r="JVO66" i="7" s="1"/>
  <c r="JVQ66" i="7" s="1"/>
  <c r="JVS66" i="7" s="1"/>
  <c r="JVU66" i="7" s="1"/>
  <c r="JVW66" i="7" s="1"/>
  <c r="JVY66" i="7" s="1"/>
  <c r="JWA66" i="7" s="1"/>
  <c r="JWC66" i="7" s="1"/>
  <c r="JWE66" i="7" s="1"/>
  <c r="JWG66" i="7" s="1"/>
  <c r="JWI66" i="7" s="1"/>
  <c r="JWK66" i="7" s="1"/>
  <c r="JWM66" i="7" s="1"/>
  <c r="JWO66" i="7" s="1"/>
  <c r="JWQ66" i="7" s="1"/>
  <c r="JWS66" i="7" s="1"/>
  <c r="JWU66" i="7" s="1"/>
  <c r="JWW66" i="7" s="1"/>
  <c r="JWY66" i="7" s="1"/>
  <c r="JXA66" i="7" s="1"/>
  <c r="JXC66" i="7" s="1"/>
  <c r="JXE66" i="7" s="1"/>
  <c r="JXG66" i="7" s="1"/>
  <c r="JXI66" i="7" s="1"/>
  <c r="JXK66" i="7" s="1"/>
  <c r="JXM66" i="7" s="1"/>
  <c r="JXO66" i="7" s="1"/>
  <c r="JXQ66" i="7" s="1"/>
  <c r="JXS66" i="7" s="1"/>
  <c r="JXU66" i="7" s="1"/>
  <c r="JXW66" i="7" s="1"/>
  <c r="JXY66" i="7" s="1"/>
  <c r="JYA66" i="7" s="1"/>
  <c r="JYC66" i="7" s="1"/>
  <c r="JYE66" i="7" s="1"/>
  <c r="JYG66" i="7" s="1"/>
  <c r="JYI66" i="7" s="1"/>
  <c r="JYK66" i="7" s="1"/>
  <c r="JYM66" i="7" s="1"/>
  <c r="JYO66" i="7" s="1"/>
  <c r="JYQ66" i="7" s="1"/>
  <c r="JYS66" i="7" s="1"/>
  <c r="JYU66" i="7" s="1"/>
  <c r="JYW66" i="7" s="1"/>
  <c r="JYY66" i="7" s="1"/>
  <c r="JZA66" i="7" s="1"/>
  <c r="JZC66" i="7" s="1"/>
  <c r="JZE66" i="7" s="1"/>
  <c r="JZG66" i="7" s="1"/>
  <c r="JZI66" i="7" s="1"/>
  <c r="JZK66" i="7" s="1"/>
  <c r="JZM66" i="7" s="1"/>
  <c r="JZO66" i="7" s="1"/>
  <c r="JZQ66" i="7" s="1"/>
  <c r="JZS66" i="7" s="1"/>
  <c r="JZU66" i="7" s="1"/>
  <c r="JZW66" i="7" s="1"/>
  <c r="JZY66" i="7" s="1"/>
  <c r="KAA66" i="7" s="1"/>
  <c r="KAC66" i="7" s="1"/>
  <c r="KAE66" i="7" s="1"/>
  <c r="KAG66" i="7" s="1"/>
  <c r="KAI66" i="7" s="1"/>
  <c r="KAK66" i="7" s="1"/>
  <c r="KAM66" i="7" s="1"/>
  <c r="KAO66" i="7" s="1"/>
  <c r="KAQ66" i="7" s="1"/>
  <c r="KAS66" i="7" s="1"/>
  <c r="KAU66" i="7" s="1"/>
  <c r="KAW66" i="7" s="1"/>
  <c r="KAY66" i="7" s="1"/>
  <c r="KBA66" i="7" s="1"/>
  <c r="KBC66" i="7" s="1"/>
  <c r="KBE66" i="7" s="1"/>
  <c r="KBG66" i="7" s="1"/>
  <c r="KBI66" i="7" s="1"/>
  <c r="KBK66" i="7" s="1"/>
  <c r="KBM66" i="7" s="1"/>
  <c r="KBO66" i="7" s="1"/>
  <c r="KBQ66" i="7" s="1"/>
  <c r="KBS66" i="7" s="1"/>
  <c r="KBU66" i="7" s="1"/>
  <c r="KBW66" i="7" s="1"/>
  <c r="KBY66" i="7" s="1"/>
  <c r="KCA66" i="7" s="1"/>
  <c r="KCC66" i="7" s="1"/>
  <c r="KCE66" i="7" s="1"/>
  <c r="KCG66" i="7" s="1"/>
  <c r="KCI66" i="7" s="1"/>
  <c r="KCK66" i="7" s="1"/>
  <c r="KCM66" i="7" s="1"/>
  <c r="KCO66" i="7" s="1"/>
  <c r="KCQ66" i="7" s="1"/>
  <c r="KCS66" i="7" s="1"/>
  <c r="KCU66" i="7" s="1"/>
  <c r="KCW66" i="7" s="1"/>
  <c r="KCY66" i="7" s="1"/>
  <c r="KDA66" i="7" s="1"/>
  <c r="KDC66" i="7" s="1"/>
  <c r="KDE66" i="7" s="1"/>
  <c r="KDG66" i="7" s="1"/>
  <c r="KDI66" i="7" s="1"/>
  <c r="KDK66" i="7" s="1"/>
  <c r="KDM66" i="7" s="1"/>
  <c r="KDO66" i="7" s="1"/>
  <c r="KDQ66" i="7" s="1"/>
  <c r="KDS66" i="7" s="1"/>
  <c r="KDU66" i="7" s="1"/>
  <c r="KDW66" i="7" s="1"/>
  <c r="KDY66" i="7" s="1"/>
  <c r="KEA66" i="7" s="1"/>
  <c r="KEC66" i="7" s="1"/>
  <c r="KEE66" i="7" s="1"/>
  <c r="KEG66" i="7" s="1"/>
  <c r="KEI66" i="7" s="1"/>
  <c r="KEK66" i="7" s="1"/>
  <c r="KEM66" i="7" s="1"/>
  <c r="KEO66" i="7" s="1"/>
  <c r="KEQ66" i="7" s="1"/>
  <c r="KES66" i="7" s="1"/>
  <c r="KEU66" i="7" s="1"/>
  <c r="KEW66" i="7" s="1"/>
  <c r="KEY66" i="7" s="1"/>
  <c r="KFA66" i="7" s="1"/>
  <c r="KFC66" i="7" s="1"/>
  <c r="KFE66" i="7" s="1"/>
  <c r="KFG66" i="7" s="1"/>
  <c r="KFI66" i="7" s="1"/>
  <c r="KFK66" i="7" s="1"/>
  <c r="KFM66" i="7" s="1"/>
  <c r="KFO66" i="7" s="1"/>
  <c r="KFQ66" i="7" s="1"/>
  <c r="KFS66" i="7" s="1"/>
  <c r="KFU66" i="7" s="1"/>
  <c r="KFW66" i="7" s="1"/>
  <c r="KFY66" i="7" s="1"/>
  <c r="KGA66" i="7" s="1"/>
  <c r="KGC66" i="7" s="1"/>
  <c r="KGE66" i="7" s="1"/>
  <c r="KGG66" i="7" s="1"/>
  <c r="KGI66" i="7" s="1"/>
  <c r="KGK66" i="7" s="1"/>
  <c r="KGM66" i="7" s="1"/>
  <c r="KGO66" i="7" s="1"/>
  <c r="KGQ66" i="7" s="1"/>
  <c r="KGS66" i="7" s="1"/>
  <c r="KGU66" i="7" s="1"/>
  <c r="KGW66" i="7" s="1"/>
  <c r="KGY66" i="7" s="1"/>
  <c r="KHA66" i="7" s="1"/>
  <c r="KHC66" i="7" s="1"/>
  <c r="KHE66" i="7" s="1"/>
  <c r="KHG66" i="7" s="1"/>
  <c r="KHI66" i="7" s="1"/>
  <c r="KHK66" i="7" s="1"/>
  <c r="KHM66" i="7" s="1"/>
  <c r="KHO66" i="7" s="1"/>
  <c r="KHQ66" i="7" s="1"/>
  <c r="KHS66" i="7" s="1"/>
  <c r="KHU66" i="7" s="1"/>
  <c r="KHW66" i="7" s="1"/>
  <c r="KHY66" i="7" s="1"/>
  <c r="KIA66" i="7" s="1"/>
  <c r="KIC66" i="7" s="1"/>
  <c r="KIE66" i="7" s="1"/>
  <c r="KIG66" i="7" s="1"/>
  <c r="KII66" i="7" s="1"/>
  <c r="KIK66" i="7" s="1"/>
  <c r="KIM66" i="7" s="1"/>
  <c r="KIO66" i="7" s="1"/>
  <c r="KIQ66" i="7" s="1"/>
  <c r="KIS66" i="7" s="1"/>
  <c r="KIU66" i="7" s="1"/>
  <c r="KIW66" i="7" s="1"/>
  <c r="KIY66" i="7" s="1"/>
  <c r="KJA66" i="7" s="1"/>
  <c r="KJC66" i="7" s="1"/>
  <c r="KJE66" i="7" s="1"/>
  <c r="KJG66" i="7" s="1"/>
  <c r="KJI66" i="7" s="1"/>
  <c r="KJK66" i="7" s="1"/>
  <c r="KJM66" i="7" s="1"/>
  <c r="KJO66" i="7" s="1"/>
  <c r="KJQ66" i="7" s="1"/>
  <c r="KJS66" i="7" s="1"/>
  <c r="KJU66" i="7" s="1"/>
  <c r="KJW66" i="7" s="1"/>
  <c r="KJY66" i="7" s="1"/>
  <c r="KKA66" i="7" s="1"/>
  <c r="KKC66" i="7" s="1"/>
  <c r="KKE66" i="7" s="1"/>
  <c r="KKG66" i="7" s="1"/>
  <c r="KKI66" i="7" s="1"/>
  <c r="KKK66" i="7" s="1"/>
  <c r="KKM66" i="7" s="1"/>
  <c r="KKO66" i="7" s="1"/>
  <c r="KKQ66" i="7" s="1"/>
  <c r="KKS66" i="7" s="1"/>
  <c r="KKU66" i="7" s="1"/>
  <c r="KKW66" i="7" s="1"/>
  <c r="KKY66" i="7" s="1"/>
  <c r="KLA66" i="7" s="1"/>
  <c r="KLC66" i="7" s="1"/>
  <c r="KLE66" i="7" s="1"/>
  <c r="KLG66" i="7" s="1"/>
  <c r="KLI66" i="7" s="1"/>
  <c r="KLK66" i="7" s="1"/>
  <c r="KLM66" i="7" s="1"/>
  <c r="KLO66" i="7" s="1"/>
  <c r="KLQ66" i="7" s="1"/>
  <c r="KLS66" i="7" s="1"/>
  <c r="KLU66" i="7" s="1"/>
  <c r="KLW66" i="7" s="1"/>
  <c r="KLY66" i="7" s="1"/>
  <c r="KMA66" i="7" s="1"/>
  <c r="KMC66" i="7" s="1"/>
  <c r="KME66" i="7" s="1"/>
  <c r="KMG66" i="7" s="1"/>
  <c r="KMI66" i="7" s="1"/>
  <c r="KMK66" i="7" s="1"/>
  <c r="KMM66" i="7" s="1"/>
  <c r="KMO66" i="7" s="1"/>
  <c r="KMQ66" i="7" s="1"/>
  <c r="KMS66" i="7" s="1"/>
  <c r="KMU66" i="7" s="1"/>
  <c r="KMW66" i="7" s="1"/>
  <c r="KMY66" i="7" s="1"/>
  <c r="KNA66" i="7" s="1"/>
  <c r="KNC66" i="7" s="1"/>
  <c r="KNE66" i="7" s="1"/>
  <c r="KNG66" i="7" s="1"/>
  <c r="KNI66" i="7" s="1"/>
  <c r="KNK66" i="7" s="1"/>
  <c r="KNM66" i="7" s="1"/>
  <c r="KNO66" i="7" s="1"/>
  <c r="KNQ66" i="7" s="1"/>
  <c r="KNS66" i="7" s="1"/>
  <c r="KNU66" i="7" s="1"/>
  <c r="KNW66" i="7" s="1"/>
  <c r="KNY66" i="7" s="1"/>
  <c r="KOA66" i="7" s="1"/>
  <c r="KOC66" i="7" s="1"/>
  <c r="KOE66" i="7" s="1"/>
  <c r="KOG66" i="7" s="1"/>
  <c r="KOI66" i="7" s="1"/>
  <c r="KOK66" i="7" s="1"/>
  <c r="KOM66" i="7" s="1"/>
  <c r="KOO66" i="7" s="1"/>
  <c r="KOQ66" i="7" s="1"/>
  <c r="KOS66" i="7" s="1"/>
  <c r="KOU66" i="7" s="1"/>
  <c r="KOW66" i="7" s="1"/>
  <c r="KOY66" i="7" s="1"/>
  <c r="KPA66" i="7" s="1"/>
  <c r="KPC66" i="7" s="1"/>
  <c r="KPE66" i="7" s="1"/>
  <c r="KPG66" i="7" s="1"/>
  <c r="KPI66" i="7" s="1"/>
  <c r="KPK66" i="7" s="1"/>
  <c r="KPM66" i="7" s="1"/>
  <c r="KPO66" i="7" s="1"/>
  <c r="KPQ66" i="7" s="1"/>
  <c r="KPS66" i="7" s="1"/>
  <c r="KPU66" i="7" s="1"/>
  <c r="KPW66" i="7" s="1"/>
  <c r="KPY66" i="7" s="1"/>
  <c r="KQA66" i="7" s="1"/>
  <c r="KQC66" i="7" s="1"/>
  <c r="KQE66" i="7" s="1"/>
  <c r="KQG66" i="7" s="1"/>
  <c r="KQI66" i="7" s="1"/>
  <c r="KQK66" i="7" s="1"/>
  <c r="KQM66" i="7" s="1"/>
  <c r="KQO66" i="7" s="1"/>
  <c r="KQQ66" i="7" s="1"/>
  <c r="KQS66" i="7" s="1"/>
  <c r="KQU66" i="7" s="1"/>
  <c r="KQW66" i="7" s="1"/>
  <c r="KQY66" i="7" s="1"/>
  <c r="KRA66" i="7" s="1"/>
  <c r="KRC66" i="7" s="1"/>
  <c r="KRE66" i="7" s="1"/>
  <c r="KRG66" i="7" s="1"/>
  <c r="KRI66" i="7" s="1"/>
  <c r="KRK66" i="7" s="1"/>
  <c r="KRM66" i="7" s="1"/>
  <c r="KRO66" i="7" s="1"/>
  <c r="KRQ66" i="7" s="1"/>
  <c r="KRS66" i="7" s="1"/>
  <c r="KRU66" i="7" s="1"/>
  <c r="KRW66" i="7" s="1"/>
  <c r="KRY66" i="7" s="1"/>
  <c r="KSA66" i="7" s="1"/>
  <c r="KSC66" i="7" s="1"/>
  <c r="KSE66" i="7" s="1"/>
  <c r="KSG66" i="7" s="1"/>
  <c r="KSI66" i="7" s="1"/>
  <c r="KSK66" i="7" s="1"/>
  <c r="KSM66" i="7" s="1"/>
  <c r="KSO66" i="7" s="1"/>
  <c r="KSQ66" i="7" s="1"/>
  <c r="KSS66" i="7" s="1"/>
  <c r="KSU66" i="7" s="1"/>
  <c r="KSW66" i="7" s="1"/>
  <c r="KSY66" i="7" s="1"/>
  <c r="KTA66" i="7" s="1"/>
  <c r="KTC66" i="7" s="1"/>
  <c r="KTE66" i="7" s="1"/>
  <c r="KTG66" i="7" s="1"/>
  <c r="KTI66" i="7" s="1"/>
  <c r="KTK66" i="7" s="1"/>
  <c r="KTM66" i="7" s="1"/>
  <c r="KTO66" i="7" s="1"/>
  <c r="KTQ66" i="7" s="1"/>
  <c r="KTS66" i="7" s="1"/>
  <c r="KTU66" i="7" s="1"/>
  <c r="KTW66" i="7" s="1"/>
  <c r="KTY66" i="7" s="1"/>
  <c r="KUA66" i="7" s="1"/>
  <c r="KUC66" i="7" s="1"/>
  <c r="KUE66" i="7" s="1"/>
  <c r="KUG66" i="7" s="1"/>
  <c r="KUI66" i="7" s="1"/>
  <c r="KUK66" i="7" s="1"/>
  <c r="KUM66" i="7" s="1"/>
  <c r="KUO66" i="7" s="1"/>
  <c r="KUQ66" i="7" s="1"/>
  <c r="KUS66" i="7" s="1"/>
  <c r="KUU66" i="7" s="1"/>
  <c r="KUW66" i="7" s="1"/>
  <c r="KUY66" i="7" s="1"/>
  <c r="KVA66" i="7" s="1"/>
  <c r="KVC66" i="7" s="1"/>
  <c r="KVE66" i="7" s="1"/>
  <c r="KVG66" i="7" s="1"/>
  <c r="KVI66" i="7" s="1"/>
  <c r="KVK66" i="7" s="1"/>
  <c r="KVM66" i="7" s="1"/>
  <c r="KVO66" i="7" s="1"/>
  <c r="KVQ66" i="7" s="1"/>
  <c r="KVS66" i="7" s="1"/>
  <c r="KVU66" i="7" s="1"/>
  <c r="KVW66" i="7" s="1"/>
  <c r="KVY66" i="7" s="1"/>
  <c r="KWA66" i="7" s="1"/>
  <c r="KWC66" i="7" s="1"/>
  <c r="KWE66" i="7" s="1"/>
  <c r="KWG66" i="7" s="1"/>
  <c r="KWI66" i="7" s="1"/>
  <c r="KWK66" i="7" s="1"/>
  <c r="KWM66" i="7" s="1"/>
  <c r="KWO66" i="7" s="1"/>
  <c r="KWQ66" i="7" s="1"/>
  <c r="KWS66" i="7" s="1"/>
  <c r="KWU66" i="7" s="1"/>
  <c r="KWW66" i="7" s="1"/>
  <c r="KWY66" i="7" s="1"/>
  <c r="KXA66" i="7" s="1"/>
  <c r="KXC66" i="7" s="1"/>
  <c r="KXE66" i="7" s="1"/>
  <c r="KXG66" i="7" s="1"/>
  <c r="KXI66" i="7" s="1"/>
  <c r="KXK66" i="7" s="1"/>
  <c r="KXM66" i="7" s="1"/>
  <c r="KXO66" i="7" s="1"/>
  <c r="KXQ66" i="7" s="1"/>
  <c r="KXS66" i="7" s="1"/>
  <c r="KXU66" i="7" s="1"/>
  <c r="KXW66" i="7" s="1"/>
  <c r="KXY66" i="7" s="1"/>
  <c r="KYA66" i="7" s="1"/>
  <c r="KYC66" i="7" s="1"/>
  <c r="KYE66" i="7" s="1"/>
  <c r="KYG66" i="7" s="1"/>
  <c r="KYI66" i="7" s="1"/>
  <c r="KYK66" i="7" s="1"/>
  <c r="KYM66" i="7" s="1"/>
  <c r="KYO66" i="7" s="1"/>
  <c r="KYQ66" i="7" s="1"/>
  <c r="KYS66" i="7" s="1"/>
  <c r="KYU66" i="7" s="1"/>
  <c r="KYW66" i="7" s="1"/>
  <c r="KYY66" i="7" s="1"/>
  <c r="KZA66" i="7" s="1"/>
  <c r="KZC66" i="7" s="1"/>
  <c r="KZE66" i="7" s="1"/>
  <c r="KZG66" i="7" s="1"/>
  <c r="KZI66" i="7" s="1"/>
  <c r="KZK66" i="7" s="1"/>
  <c r="KZM66" i="7" s="1"/>
  <c r="KZO66" i="7" s="1"/>
  <c r="KZQ66" i="7" s="1"/>
  <c r="KZS66" i="7" s="1"/>
  <c r="KZU66" i="7" s="1"/>
  <c r="KZW66" i="7" s="1"/>
  <c r="KZY66" i="7" s="1"/>
  <c r="LAA66" i="7" s="1"/>
  <c r="LAC66" i="7" s="1"/>
  <c r="LAE66" i="7" s="1"/>
  <c r="LAG66" i="7" s="1"/>
  <c r="LAI66" i="7" s="1"/>
  <c r="LAK66" i="7" s="1"/>
  <c r="LAM66" i="7" s="1"/>
  <c r="LAO66" i="7" s="1"/>
  <c r="LAQ66" i="7" s="1"/>
  <c r="LAS66" i="7" s="1"/>
  <c r="LAU66" i="7" s="1"/>
  <c r="LAW66" i="7" s="1"/>
  <c r="LAY66" i="7" s="1"/>
  <c r="LBA66" i="7" s="1"/>
  <c r="LBC66" i="7" s="1"/>
  <c r="LBE66" i="7" s="1"/>
  <c r="LBG66" i="7" s="1"/>
  <c r="LBI66" i="7" s="1"/>
  <c r="LBK66" i="7" s="1"/>
  <c r="LBM66" i="7" s="1"/>
  <c r="LBO66" i="7" s="1"/>
  <c r="LBQ66" i="7" s="1"/>
  <c r="LBS66" i="7" s="1"/>
  <c r="LBU66" i="7" s="1"/>
  <c r="LBW66" i="7" s="1"/>
  <c r="LBY66" i="7" s="1"/>
  <c r="LCA66" i="7" s="1"/>
  <c r="LCC66" i="7" s="1"/>
  <c r="LCE66" i="7" s="1"/>
  <c r="LCG66" i="7" s="1"/>
  <c r="LCI66" i="7" s="1"/>
  <c r="LCK66" i="7" s="1"/>
  <c r="LCM66" i="7" s="1"/>
  <c r="LCO66" i="7" s="1"/>
  <c r="LCQ66" i="7" s="1"/>
  <c r="LCS66" i="7" s="1"/>
  <c r="LCU66" i="7" s="1"/>
  <c r="LCW66" i="7" s="1"/>
  <c r="LCY66" i="7" s="1"/>
  <c r="LDA66" i="7" s="1"/>
  <c r="LDC66" i="7" s="1"/>
  <c r="LDE66" i="7" s="1"/>
  <c r="LDG66" i="7" s="1"/>
  <c r="LDI66" i="7" s="1"/>
  <c r="LDK66" i="7" s="1"/>
  <c r="LDM66" i="7" s="1"/>
  <c r="LDO66" i="7" s="1"/>
  <c r="LDQ66" i="7" s="1"/>
  <c r="LDS66" i="7" s="1"/>
  <c r="LDU66" i="7" s="1"/>
  <c r="LDW66" i="7" s="1"/>
  <c r="LDY66" i="7" s="1"/>
  <c r="LEA66" i="7" s="1"/>
  <c r="LEC66" i="7" s="1"/>
  <c r="LEE66" i="7" s="1"/>
  <c r="LEG66" i="7" s="1"/>
  <c r="LEI66" i="7" s="1"/>
  <c r="LEK66" i="7" s="1"/>
  <c r="LEM66" i="7" s="1"/>
  <c r="LEO66" i="7" s="1"/>
  <c r="LEQ66" i="7" s="1"/>
  <c r="LES66" i="7" s="1"/>
  <c r="LEU66" i="7" s="1"/>
  <c r="LEW66" i="7" s="1"/>
  <c r="LEY66" i="7" s="1"/>
  <c r="LFA66" i="7" s="1"/>
  <c r="LFC66" i="7" s="1"/>
  <c r="LFE66" i="7" s="1"/>
  <c r="LFG66" i="7" s="1"/>
  <c r="LFI66" i="7" s="1"/>
  <c r="LFK66" i="7" s="1"/>
  <c r="LFM66" i="7" s="1"/>
  <c r="LFO66" i="7" s="1"/>
  <c r="LFQ66" i="7" s="1"/>
  <c r="LFS66" i="7" s="1"/>
  <c r="LFU66" i="7" s="1"/>
  <c r="LFW66" i="7" s="1"/>
  <c r="LFY66" i="7" s="1"/>
  <c r="LGA66" i="7" s="1"/>
  <c r="LGC66" i="7" s="1"/>
  <c r="LGE66" i="7" s="1"/>
  <c r="LGG66" i="7" s="1"/>
  <c r="LGI66" i="7" s="1"/>
  <c r="LGK66" i="7" s="1"/>
  <c r="LGM66" i="7" s="1"/>
  <c r="LGO66" i="7" s="1"/>
  <c r="LGQ66" i="7" s="1"/>
  <c r="LGS66" i="7" s="1"/>
  <c r="LGU66" i="7" s="1"/>
  <c r="LGW66" i="7" s="1"/>
  <c r="LGY66" i="7" s="1"/>
  <c r="LHA66" i="7" s="1"/>
  <c r="LHC66" i="7" s="1"/>
  <c r="LHE66" i="7" s="1"/>
  <c r="LHG66" i="7" s="1"/>
  <c r="LHI66" i="7" s="1"/>
  <c r="LHK66" i="7" s="1"/>
  <c r="LHM66" i="7" s="1"/>
  <c r="LHO66" i="7" s="1"/>
  <c r="LHQ66" i="7" s="1"/>
  <c r="LHS66" i="7" s="1"/>
  <c r="LHU66" i="7" s="1"/>
  <c r="LHW66" i="7" s="1"/>
  <c r="LHY66" i="7" s="1"/>
  <c r="LIA66" i="7" s="1"/>
  <c r="LIC66" i="7" s="1"/>
  <c r="LIE66" i="7" s="1"/>
  <c r="LIG66" i="7" s="1"/>
  <c r="LII66" i="7" s="1"/>
  <c r="LIK66" i="7" s="1"/>
  <c r="LIM66" i="7" s="1"/>
  <c r="LIO66" i="7" s="1"/>
  <c r="LIQ66" i="7" s="1"/>
  <c r="LIS66" i="7" s="1"/>
  <c r="LIU66" i="7" s="1"/>
  <c r="LIW66" i="7" s="1"/>
  <c r="LIY66" i="7" s="1"/>
  <c r="LJA66" i="7" s="1"/>
  <c r="LJC66" i="7" s="1"/>
  <c r="LJE66" i="7" s="1"/>
  <c r="LJG66" i="7" s="1"/>
  <c r="LJI66" i="7" s="1"/>
  <c r="LJK66" i="7" s="1"/>
  <c r="LJM66" i="7" s="1"/>
  <c r="LJO66" i="7" s="1"/>
  <c r="LJQ66" i="7" s="1"/>
  <c r="LJS66" i="7" s="1"/>
  <c r="LJU66" i="7" s="1"/>
  <c r="LJW66" i="7" s="1"/>
  <c r="LJY66" i="7" s="1"/>
  <c r="LKA66" i="7" s="1"/>
  <c r="LKC66" i="7" s="1"/>
  <c r="LKE66" i="7" s="1"/>
  <c r="LKG66" i="7" s="1"/>
  <c r="LKI66" i="7" s="1"/>
  <c r="LKK66" i="7" s="1"/>
  <c r="LKM66" i="7" s="1"/>
  <c r="LKO66" i="7" s="1"/>
  <c r="LKQ66" i="7" s="1"/>
  <c r="LKS66" i="7" s="1"/>
  <c r="LKU66" i="7" s="1"/>
  <c r="LKW66" i="7" s="1"/>
  <c r="LKY66" i="7" s="1"/>
  <c r="LLA66" i="7" s="1"/>
  <c r="LLC66" i="7" s="1"/>
  <c r="LLE66" i="7" s="1"/>
  <c r="LLG66" i="7" s="1"/>
  <c r="LLI66" i="7" s="1"/>
  <c r="LLK66" i="7" s="1"/>
  <c r="LLM66" i="7" s="1"/>
  <c r="LLO66" i="7" s="1"/>
  <c r="LLQ66" i="7" s="1"/>
  <c r="LLS66" i="7" s="1"/>
  <c r="LLU66" i="7" s="1"/>
  <c r="LLW66" i="7" s="1"/>
  <c r="LLY66" i="7" s="1"/>
  <c r="LMA66" i="7" s="1"/>
  <c r="LMC66" i="7" s="1"/>
  <c r="LME66" i="7" s="1"/>
  <c r="LMG66" i="7" s="1"/>
  <c r="LMI66" i="7" s="1"/>
  <c r="LMK66" i="7" s="1"/>
  <c r="LMM66" i="7" s="1"/>
  <c r="LMO66" i="7" s="1"/>
  <c r="LMQ66" i="7" s="1"/>
  <c r="LMS66" i="7" s="1"/>
  <c r="LMU66" i="7" s="1"/>
  <c r="LMW66" i="7" s="1"/>
  <c r="LMY66" i="7" s="1"/>
  <c r="LNA66" i="7" s="1"/>
  <c r="LNC66" i="7" s="1"/>
  <c r="LNE66" i="7" s="1"/>
  <c r="LNG66" i="7" s="1"/>
  <c r="LNI66" i="7" s="1"/>
  <c r="LNK66" i="7" s="1"/>
  <c r="LNM66" i="7" s="1"/>
  <c r="LNO66" i="7" s="1"/>
  <c r="LNQ66" i="7" s="1"/>
  <c r="LNS66" i="7" s="1"/>
  <c r="LNU66" i="7" s="1"/>
  <c r="LNW66" i="7" s="1"/>
  <c r="LNY66" i="7" s="1"/>
  <c r="LOA66" i="7" s="1"/>
  <c r="LOC66" i="7" s="1"/>
  <c r="LOE66" i="7" s="1"/>
  <c r="LOG66" i="7" s="1"/>
  <c r="LOI66" i="7" s="1"/>
  <c r="LOK66" i="7" s="1"/>
  <c r="LOM66" i="7" s="1"/>
  <c r="LOO66" i="7" s="1"/>
  <c r="LOQ66" i="7" s="1"/>
  <c r="LOS66" i="7" s="1"/>
  <c r="LOU66" i="7" s="1"/>
  <c r="LOW66" i="7" s="1"/>
  <c r="LOY66" i="7" s="1"/>
  <c r="LPA66" i="7" s="1"/>
  <c r="LPC66" i="7" s="1"/>
  <c r="LPE66" i="7" s="1"/>
  <c r="LPG66" i="7" s="1"/>
  <c r="LPI66" i="7" s="1"/>
  <c r="LPK66" i="7" s="1"/>
  <c r="LPM66" i="7" s="1"/>
  <c r="LPO66" i="7" s="1"/>
  <c r="LPQ66" i="7" s="1"/>
  <c r="LPS66" i="7" s="1"/>
  <c r="LPU66" i="7" s="1"/>
  <c r="LPW66" i="7" s="1"/>
  <c r="LPY66" i="7" s="1"/>
  <c r="LQA66" i="7" s="1"/>
  <c r="LQC66" i="7" s="1"/>
  <c r="LQE66" i="7" s="1"/>
  <c r="LQG66" i="7" s="1"/>
  <c r="LQI66" i="7" s="1"/>
  <c r="LQK66" i="7" s="1"/>
  <c r="LQM66" i="7" s="1"/>
  <c r="LQO66" i="7" s="1"/>
  <c r="LQQ66" i="7" s="1"/>
  <c r="LQS66" i="7" s="1"/>
  <c r="LQU66" i="7" s="1"/>
  <c r="LQW66" i="7" s="1"/>
  <c r="LQY66" i="7" s="1"/>
  <c r="LRA66" i="7" s="1"/>
  <c r="LRC66" i="7" s="1"/>
  <c r="LRE66" i="7" s="1"/>
  <c r="LRG66" i="7" s="1"/>
  <c r="LRI66" i="7" s="1"/>
  <c r="LRK66" i="7" s="1"/>
  <c r="LRM66" i="7" s="1"/>
  <c r="LRO66" i="7" s="1"/>
  <c r="LRQ66" i="7" s="1"/>
  <c r="LRS66" i="7" s="1"/>
  <c r="LRU66" i="7" s="1"/>
  <c r="LRW66" i="7" s="1"/>
  <c r="LRY66" i="7" s="1"/>
  <c r="LSA66" i="7" s="1"/>
  <c r="LSC66" i="7" s="1"/>
  <c r="LSE66" i="7" s="1"/>
  <c r="LSG66" i="7" s="1"/>
  <c r="LSI66" i="7" s="1"/>
  <c r="LSK66" i="7" s="1"/>
  <c r="LSM66" i="7" s="1"/>
  <c r="LSO66" i="7" s="1"/>
  <c r="LSQ66" i="7" s="1"/>
  <c r="LSS66" i="7" s="1"/>
  <c r="LSU66" i="7" s="1"/>
  <c r="LSW66" i="7" s="1"/>
  <c r="LSY66" i="7" s="1"/>
  <c r="LTA66" i="7" s="1"/>
  <c r="LTC66" i="7" s="1"/>
  <c r="LTE66" i="7" s="1"/>
  <c r="LTG66" i="7" s="1"/>
  <c r="LTI66" i="7" s="1"/>
  <c r="LTK66" i="7" s="1"/>
  <c r="LTM66" i="7" s="1"/>
  <c r="LTO66" i="7" s="1"/>
  <c r="LTQ66" i="7" s="1"/>
  <c r="LTS66" i="7" s="1"/>
  <c r="LTU66" i="7" s="1"/>
  <c r="LTW66" i="7" s="1"/>
  <c r="LTY66" i="7" s="1"/>
  <c r="LUA66" i="7" s="1"/>
  <c r="LUC66" i="7" s="1"/>
  <c r="LUE66" i="7" s="1"/>
  <c r="LUG66" i="7" s="1"/>
  <c r="LUI66" i="7" s="1"/>
  <c r="LUK66" i="7" s="1"/>
  <c r="LUM66" i="7" s="1"/>
  <c r="LUO66" i="7" s="1"/>
  <c r="LUQ66" i="7" s="1"/>
  <c r="LUS66" i="7" s="1"/>
  <c r="LUU66" i="7" s="1"/>
  <c r="LUW66" i="7" s="1"/>
  <c r="LUY66" i="7" s="1"/>
  <c r="LVA66" i="7" s="1"/>
  <c r="LVC66" i="7" s="1"/>
  <c r="LVE66" i="7" s="1"/>
  <c r="LVG66" i="7" s="1"/>
  <c r="LVI66" i="7" s="1"/>
  <c r="LVK66" i="7" s="1"/>
  <c r="LVM66" i="7" s="1"/>
  <c r="LVO66" i="7" s="1"/>
  <c r="LVQ66" i="7" s="1"/>
  <c r="LVS66" i="7" s="1"/>
  <c r="LVU66" i="7" s="1"/>
  <c r="LVW66" i="7" s="1"/>
  <c r="LVY66" i="7" s="1"/>
  <c r="LWA66" i="7" s="1"/>
  <c r="LWC66" i="7" s="1"/>
  <c r="LWE66" i="7" s="1"/>
  <c r="LWG66" i="7" s="1"/>
  <c r="LWI66" i="7" s="1"/>
  <c r="LWK66" i="7" s="1"/>
  <c r="LWM66" i="7" s="1"/>
  <c r="LWO66" i="7" s="1"/>
  <c r="LWQ66" i="7" s="1"/>
  <c r="LWS66" i="7" s="1"/>
  <c r="LWU66" i="7" s="1"/>
  <c r="LWW66" i="7" s="1"/>
  <c r="LWY66" i="7" s="1"/>
  <c r="LXA66" i="7" s="1"/>
  <c r="LXC66" i="7" s="1"/>
  <c r="LXE66" i="7" s="1"/>
  <c r="LXG66" i="7" s="1"/>
  <c r="LXI66" i="7" s="1"/>
  <c r="LXK66" i="7" s="1"/>
  <c r="LXM66" i="7" s="1"/>
  <c r="LXO66" i="7" s="1"/>
  <c r="LXQ66" i="7" s="1"/>
  <c r="LXS66" i="7" s="1"/>
  <c r="LXU66" i="7" s="1"/>
  <c r="LXW66" i="7" s="1"/>
  <c r="LXY66" i="7" s="1"/>
  <c r="LYA66" i="7" s="1"/>
  <c r="LYC66" i="7" s="1"/>
  <c r="LYE66" i="7" s="1"/>
  <c r="LYG66" i="7" s="1"/>
  <c r="LYI66" i="7" s="1"/>
  <c r="LYK66" i="7" s="1"/>
  <c r="LYM66" i="7" s="1"/>
  <c r="LYO66" i="7" s="1"/>
  <c r="LYQ66" i="7" s="1"/>
  <c r="LYS66" i="7" s="1"/>
  <c r="LYU66" i="7" s="1"/>
  <c r="LYW66" i="7" s="1"/>
  <c r="LYY66" i="7" s="1"/>
  <c r="LZA66" i="7" s="1"/>
  <c r="LZC66" i="7" s="1"/>
  <c r="LZE66" i="7" s="1"/>
  <c r="LZG66" i="7" s="1"/>
  <c r="LZI66" i="7" s="1"/>
  <c r="LZK66" i="7" s="1"/>
  <c r="LZM66" i="7" s="1"/>
  <c r="LZO66" i="7" s="1"/>
  <c r="LZQ66" i="7" s="1"/>
  <c r="LZS66" i="7" s="1"/>
  <c r="LZU66" i="7" s="1"/>
  <c r="LZW66" i="7" s="1"/>
  <c r="LZY66" i="7" s="1"/>
  <c r="MAA66" i="7" s="1"/>
  <c r="MAC66" i="7" s="1"/>
  <c r="MAE66" i="7" s="1"/>
  <c r="MAG66" i="7" s="1"/>
  <c r="MAI66" i="7" s="1"/>
  <c r="MAK66" i="7" s="1"/>
  <c r="MAM66" i="7" s="1"/>
  <c r="MAO66" i="7" s="1"/>
  <c r="MAQ66" i="7" s="1"/>
  <c r="MAS66" i="7" s="1"/>
  <c r="MAU66" i="7" s="1"/>
  <c r="MAW66" i="7" s="1"/>
  <c r="MAY66" i="7" s="1"/>
  <c r="MBA66" i="7" s="1"/>
  <c r="MBC66" i="7" s="1"/>
  <c r="MBE66" i="7" s="1"/>
  <c r="MBG66" i="7" s="1"/>
  <c r="MBI66" i="7" s="1"/>
  <c r="MBK66" i="7" s="1"/>
  <c r="MBM66" i="7" s="1"/>
  <c r="MBO66" i="7" s="1"/>
  <c r="MBQ66" i="7" s="1"/>
  <c r="MBS66" i="7" s="1"/>
  <c r="MBU66" i="7" s="1"/>
  <c r="MBW66" i="7" s="1"/>
  <c r="MBY66" i="7" s="1"/>
  <c r="MCA66" i="7" s="1"/>
  <c r="MCC66" i="7" s="1"/>
  <c r="MCE66" i="7" s="1"/>
  <c r="MCG66" i="7" s="1"/>
  <c r="MCI66" i="7" s="1"/>
  <c r="MCK66" i="7" s="1"/>
  <c r="MCM66" i="7" s="1"/>
  <c r="MCO66" i="7" s="1"/>
  <c r="MCQ66" i="7" s="1"/>
  <c r="MCS66" i="7" s="1"/>
  <c r="MCU66" i="7" s="1"/>
  <c r="MCW66" i="7" s="1"/>
  <c r="MCY66" i="7" s="1"/>
  <c r="MDA66" i="7" s="1"/>
  <c r="MDC66" i="7" s="1"/>
  <c r="MDE66" i="7" s="1"/>
  <c r="MDG66" i="7" s="1"/>
  <c r="MDI66" i="7" s="1"/>
  <c r="MDK66" i="7" s="1"/>
  <c r="MDM66" i="7" s="1"/>
  <c r="MDO66" i="7" s="1"/>
  <c r="MDQ66" i="7" s="1"/>
  <c r="MDS66" i="7" s="1"/>
  <c r="MDU66" i="7" s="1"/>
  <c r="MDW66" i="7" s="1"/>
  <c r="MDY66" i="7" s="1"/>
  <c r="MEA66" i="7" s="1"/>
  <c r="MEC66" i="7" s="1"/>
  <c r="MEE66" i="7" s="1"/>
  <c r="MEG66" i="7" s="1"/>
  <c r="MEI66" i="7" s="1"/>
  <c r="MEK66" i="7" s="1"/>
  <c r="MEM66" i="7" s="1"/>
  <c r="MEO66" i="7" s="1"/>
  <c r="MEQ66" i="7" s="1"/>
  <c r="MES66" i="7" s="1"/>
  <c r="MEU66" i="7" s="1"/>
  <c r="MEW66" i="7" s="1"/>
  <c r="MEY66" i="7" s="1"/>
  <c r="MFA66" i="7" s="1"/>
  <c r="MFC66" i="7" s="1"/>
  <c r="MFE66" i="7" s="1"/>
  <c r="MFG66" i="7" s="1"/>
  <c r="MFI66" i="7" s="1"/>
  <c r="MFK66" i="7" s="1"/>
  <c r="MFM66" i="7" s="1"/>
  <c r="MFO66" i="7" s="1"/>
  <c r="MFQ66" i="7" s="1"/>
  <c r="MFS66" i="7" s="1"/>
  <c r="MFU66" i="7" s="1"/>
  <c r="MFW66" i="7" s="1"/>
  <c r="MFY66" i="7" s="1"/>
  <c r="MGA66" i="7" s="1"/>
  <c r="MGC66" i="7" s="1"/>
  <c r="MGE66" i="7" s="1"/>
  <c r="MGG66" i="7" s="1"/>
  <c r="MGI66" i="7" s="1"/>
  <c r="MGK66" i="7" s="1"/>
  <c r="MGM66" i="7" s="1"/>
  <c r="MGO66" i="7" s="1"/>
  <c r="MGQ66" i="7" s="1"/>
  <c r="MGS66" i="7" s="1"/>
  <c r="MGU66" i="7" s="1"/>
  <c r="MGW66" i="7" s="1"/>
  <c r="MGY66" i="7" s="1"/>
  <c r="MHA66" i="7" s="1"/>
  <c r="MHC66" i="7" s="1"/>
  <c r="MHE66" i="7" s="1"/>
  <c r="MHG66" i="7" s="1"/>
  <c r="MHI66" i="7" s="1"/>
  <c r="MHK66" i="7" s="1"/>
  <c r="MHM66" i="7" s="1"/>
  <c r="MHO66" i="7" s="1"/>
  <c r="MHQ66" i="7" s="1"/>
  <c r="MHS66" i="7" s="1"/>
  <c r="MHU66" i="7" s="1"/>
  <c r="MHW66" i="7" s="1"/>
  <c r="MHY66" i="7" s="1"/>
  <c r="MIA66" i="7" s="1"/>
  <c r="MIC66" i="7" s="1"/>
  <c r="MIE66" i="7" s="1"/>
  <c r="MIG66" i="7" s="1"/>
  <c r="MII66" i="7" s="1"/>
  <c r="MIK66" i="7" s="1"/>
  <c r="MIM66" i="7" s="1"/>
  <c r="MIO66" i="7" s="1"/>
  <c r="MIQ66" i="7" s="1"/>
  <c r="MIS66" i="7" s="1"/>
  <c r="MIU66" i="7" s="1"/>
  <c r="MIW66" i="7" s="1"/>
  <c r="MIY66" i="7" s="1"/>
  <c r="MJA66" i="7" s="1"/>
  <c r="MJC66" i="7" s="1"/>
  <c r="MJE66" i="7" s="1"/>
  <c r="MJG66" i="7" s="1"/>
  <c r="MJI66" i="7" s="1"/>
  <c r="MJK66" i="7" s="1"/>
  <c r="MJM66" i="7" s="1"/>
  <c r="MJO66" i="7" s="1"/>
  <c r="MJQ66" i="7" s="1"/>
  <c r="MJS66" i="7" s="1"/>
  <c r="MJU66" i="7" s="1"/>
  <c r="MJW66" i="7" s="1"/>
  <c r="MJY66" i="7" s="1"/>
  <c r="MKA66" i="7" s="1"/>
  <c r="MKC66" i="7" s="1"/>
  <c r="MKE66" i="7" s="1"/>
  <c r="MKG66" i="7" s="1"/>
  <c r="MKI66" i="7" s="1"/>
  <c r="MKK66" i="7" s="1"/>
  <c r="MKM66" i="7" s="1"/>
  <c r="MKO66" i="7" s="1"/>
  <c r="MKQ66" i="7" s="1"/>
  <c r="MKS66" i="7" s="1"/>
  <c r="MKU66" i="7" s="1"/>
  <c r="MKW66" i="7" s="1"/>
  <c r="MKY66" i="7" s="1"/>
  <c r="MLA66" i="7" s="1"/>
  <c r="MLC66" i="7" s="1"/>
  <c r="MLE66" i="7" s="1"/>
  <c r="MLG66" i="7" s="1"/>
  <c r="MLI66" i="7" s="1"/>
  <c r="MLK66" i="7" s="1"/>
  <c r="MLM66" i="7" s="1"/>
  <c r="MLO66" i="7" s="1"/>
  <c r="MLQ66" i="7" s="1"/>
  <c r="MLS66" i="7" s="1"/>
  <c r="MLU66" i="7" s="1"/>
  <c r="MLW66" i="7" s="1"/>
  <c r="MLY66" i="7" s="1"/>
  <c r="MMA66" i="7" s="1"/>
  <c r="MMC66" i="7" s="1"/>
  <c r="MME66" i="7" s="1"/>
  <c r="MMG66" i="7" s="1"/>
  <c r="MMI66" i="7" s="1"/>
  <c r="MMK66" i="7" s="1"/>
  <c r="MMM66" i="7" s="1"/>
  <c r="MMO66" i="7" s="1"/>
  <c r="MMQ66" i="7" s="1"/>
  <c r="MMS66" i="7" s="1"/>
  <c r="MMU66" i="7" s="1"/>
  <c r="MMW66" i="7" s="1"/>
  <c r="MMY66" i="7" s="1"/>
  <c r="MNA66" i="7" s="1"/>
  <c r="MNC66" i="7" s="1"/>
  <c r="MNE66" i="7" s="1"/>
  <c r="MNG66" i="7" s="1"/>
  <c r="MNI66" i="7" s="1"/>
  <c r="MNK66" i="7" s="1"/>
  <c r="MNM66" i="7" s="1"/>
  <c r="MNO66" i="7" s="1"/>
  <c r="MNQ66" i="7" s="1"/>
  <c r="MNS66" i="7" s="1"/>
  <c r="MNU66" i="7" s="1"/>
  <c r="MNW66" i="7" s="1"/>
  <c r="MNY66" i="7" s="1"/>
  <c r="MOA66" i="7" s="1"/>
  <c r="MOC66" i="7" s="1"/>
  <c r="MOE66" i="7" s="1"/>
  <c r="MOG66" i="7" s="1"/>
  <c r="MOI66" i="7" s="1"/>
  <c r="MOK66" i="7" s="1"/>
  <c r="MOM66" i="7" s="1"/>
  <c r="MOO66" i="7" s="1"/>
  <c r="MOQ66" i="7" s="1"/>
  <c r="MOS66" i="7" s="1"/>
  <c r="MOU66" i="7" s="1"/>
  <c r="MOW66" i="7" s="1"/>
  <c r="MOY66" i="7" s="1"/>
  <c r="MPA66" i="7" s="1"/>
  <c r="MPC66" i="7" s="1"/>
  <c r="MPE66" i="7" s="1"/>
  <c r="MPG66" i="7" s="1"/>
  <c r="MPI66" i="7" s="1"/>
  <c r="MPK66" i="7" s="1"/>
  <c r="MPM66" i="7" s="1"/>
  <c r="MPO66" i="7" s="1"/>
  <c r="MPQ66" i="7" s="1"/>
  <c r="MPS66" i="7" s="1"/>
  <c r="MPU66" i="7" s="1"/>
  <c r="MPW66" i="7" s="1"/>
  <c r="MPY66" i="7" s="1"/>
  <c r="MQA66" i="7" s="1"/>
  <c r="MQC66" i="7" s="1"/>
  <c r="MQE66" i="7" s="1"/>
  <c r="MQG66" i="7" s="1"/>
  <c r="MQI66" i="7" s="1"/>
  <c r="MQK66" i="7" s="1"/>
  <c r="MQM66" i="7" s="1"/>
  <c r="MQO66" i="7" s="1"/>
  <c r="MQQ66" i="7" s="1"/>
  <c r="MQS66" i="7" s="1"/>
  <c r="MQU66" i="7" s="1"/>
  <c r="MQW66" i="7" s="1"/>
  <c r="MQY66" i="7" s="1"/>
  <c r="MRA66" i="7" s="1"/>
  <c r="MRC66" i="7" s="1"/>
  <c r="MRE66" i="7" s="1"/>
  <c r="MRG66" i="7" s="1"/>
  <c r="MRI66" i="7" s="1"/>
  <c r="MRK66" i="7" s="1"/>
  <c r="MRM66" i="7" s="1"/>
  <c r="MRO66" i="7" s="1"/>
  <c r="MRQ66" i="7" s="1"/>
  <c r="MRS66" i="7" s="1"/>
  <c r="MRU66" i="7" s="1"/>
  <c r="MRW66" i="7" s="1"/>
  <c r="MRY66" i="7" s="1"/>
  <c r="MSA66" i="7" s="1"/>
  <c r="MSC66" i="7" s="1"/>
  <c r="MSE66" i="7" s="1"/>
  <c r="MSG66" i="7" s="1"/>
  <c r="MSI66" i="7" s="1"/>
  <c r="MSK66" i="7" s="1"/>
  <c r="MSM66" i="7" s="1"/>
  <c r="MSO66" i="7" s="1"/>
  <c r="MSQ66" i="7" s="1"/>
  <c r="MSS66" i="7" s="1"/>
  <c r="MSU66" i="7" s="1"/>
  <c r="MSW66" i="7" s="1"/>
  <c r="MSY66" i="7" s="1"/>
  <c r="MTA66" i="7" s="1"/>
  <c r="MTC66" i="7" s="1"/>
  <c r="MTE66" i="7" s="1"/>
  <c r="MTG66" i="7" s="1"/>
  <c r="MTI66" i="7" s="1"/>
  <c r="MTK66" i="7" s="1"/>
  <c r="MTM66" i="7" s="1"/>
  <c r="MTO66" i="7" s="1"/>
  <c r="MTQ66" i="7" s="1"/>
  <c r="MTS66" i="7" s="1"/>
  <c r="MTU66" i="7" s="1"/>
  <c r="MTW66" i="7" s="1"/>
  <c r="MTY66" i="7" s="1"/>
  <c r="MUA66" i="7" s="1"/>
  <c r="MUC66" i="7" s="1"/>
  <c r="MUE66" i="7" s="1"/>
  <c r="MUG66" i="7" s="1"/>
  <c r="MUI66" i="7" s="1"/>
  <c r="MUK66" i="7" s="1"/>
  <c r="MUM66" i="7" s="1"/>
  <c r="MUO66" i="7" s="1"/>
  <c r="MUQ66" i="7" s="1"/>
  <c r="MUS66" i="7" s="1"/>
  <c r="MUU66" i="7" s="1"/>
  <c r="MUW66" i="7" s="1"/>
  <c r="MUY66" i="7" s="1"/>
  <c r="MVA66" i="7" s="1"/>
  <c r="MVC66" i="7" s="1"/>
  <c r="MVE66" i="7" s="1"/>
  <c r="MVG66" i="7" s="1"/>
  <c r="MVI66" i="7" s="1"/>
  <c r="MVK66" i="7" s="1"/>
  <c r="MVM66" i="7" s="1"/>
  <c r="MVO66" i="7" s="1"/>
  <c r="MVQ66" i="7" s="1"/>
  <c r="MVS66" i="7" s="1"/>
  <c r="MVU66" i="7" s="1"/>
  <c r="MVW66" i="7" s="1"/>
  <c r="MVY66" i="7" s="1"/>
  <c r="MWA66" i="7" s="1"/>
  <c r="MWC66" i="7" s="1"/>
  <c r="MWE66" i="7" s="1"/>
  <c r="MWG66" i="7" s="1"/>
  <c r="MWI66" i="7" s="1"/>
  <c r="MWK66" i="7" s="1"/>
  <c r="MWM66" i="7" s="1"/>
  <c r="MWO66" i="7" s="1"/>
  <c r="MWQ66" i="7" s="1"/>
  <c r="MWS66" i="7" s="1"/>
  <c r="MWU66" i="7" s="1"/>
  <c r="MWW66" i="7" s="1"/>
  <c r="MWY66" i="7" s="1"/>
  <c r="MXA66" i="7" s="1"/>
  <c r="MXC66" i="7" s="1"/>
  <c r="MXE66" i="7" s="1"/>
  <c r="MXG66" i="7" s="1"/>
  <c r="MXI66" i="7" s="1"/>
  <c r="MXK66" i="7" s="1"/>
  <c r="MXM66" i="7" s="1"/>
  <c r="MXO66" i="7" s="1"/>
  <c r="MXQ66" i="7" s="1"/>
  <c r="MXS66" i="7" s="1"/>
  <c r="MXU66" i="7" s="1"/>
  <c r="MXW66" i="7" s="1"/>
  <c r="MXY66" i="7" s="1"/>
  <c r="MYA66" i="7" s="1"/>
  <c r="MYC66" i="7" s="1"/>
  <c r="MYE66" i="7" s="1"/>
  <c r="MYG66" i="7" s="1"/>
  <c r="MYI66" i="7" s="1"/>
  <c r="MYK66" i="7" s="1"/>
  <c r="MYM66" i="7" s="1"/>
  <c r="MYO66" i="7" s="1"/>
  <c r="MYQ66" i="7" s="1"/>
  <c r="MYS66" i="7" s="1"/>
  <c r="MYU66" i="7" s="1"/>
  <c r="MYW66" i="7" s="1"/>
  <c r="MYY66" i="7" s="1"/>
  <c r="MZA66" i="7" s="1"/>
  <c r="MZC66" i="7" s="1"/>
  <c r="MZE66" i="7" s="1"/>
  <c r="MZG66" i="7" s="1"/>
  <c r="MZI66" i="7" s="1"/>
  <c r="MZK66" i="7" s="1"/>
  <c r="MZM66" i="7" s="1"/>
  <c r="MZO66" i="7" s="1"/>
  <c r="MZQ66" i="7" s="1"/>
  <c r="MZS66" i="7" s="1"/>
  <c r="MZU66" i="7" s="1"/>
  <c r="MZW66" i="7" s="1"/>
  <c r="MZY66" i="7" s="1"/>
  <c r="NAA66" i="7" s="1"/>
  <c r="NAC66" i="7" s="1"/>
  <c r="NAE66" i="7" s="1"/>
  <c r="NAG66" i="7" s="1"/>
  <c r="NAI66" i="7" s="1"/>
  <c r="NAK66" i="7" s="1"/>
  <c r="NAM66" i="7" s="1"/>
  <c r="NAO66" i="7" s="1"/>
  <c r="NAQ66" i="7" s="1"/>
  <c r="NAS66" i="7" s="1"/>
  <c r="NAU66" i="7" s="1"/>
  <c r="NAW66" i="7" s="1"/>
  <c r="NAY66" i="7" s="1"/>
  <c r="NBA66" i="7" s="1"/>
  <c r="NBC66" i="7" s="1"/>
  <c r="NBE66" i="7" s="1"/>
  <c r="NBG66" i="7" s="1"/>
  <c r="NBI66" i="7" s="1"/>
  <c r="NBK66" i="7" s="1"/>
  <c r="NBM66" i="7" s="1"/>
  <c r="NBO66" i="7" s="1"/>
  <c r="NBQ66" i="7" s="1"/>
  <c r="NBS66" i="7" s="1"/>
  <c r="NBU66" i="7" s="1"/>
  <c r="NBW66" i="7" s="1"/>
  <c r="NBY66" i="7" s="1"/>
  <c r="NCA66" i="7" s="1"/>
  <c r="NCC66" i="7" s="1"/>
  <c r="NCE66" i="7" s="1"/>
  <c r="NCG66" i="7" s="1"/>
  <c r="NCI66" i="7" s="1"/>
  <c r="NCK66" i="7" s="1"/>
  <c r="NCM66" i="7" s="1"/>
  <c r="NCO66" i="7" s="1"/>
  <c r="NCQ66" i="7" s="1"/>
  <c r="NCS66" i="7" s="1"/>
  <c r="NCU66" i="7" s="1"/>
  <c r="NCW66" i="7" s="1"/>
  <c r="NCY66" i="7" s="1"/>
  <c r="NDA66" i="7" s="1"/>
  <c r="NDC66" i="7" s="1"/>
  <c r="NDE66" i="7" s="1"/>
  <c r="NDG66" i="7" s="1"/>
  <c r="NDI66" i="7" s="1"/>
  <c r="NDK66" i="7" s="1"/>
  <c r="NDM66" i="7" s="1"/>
  <c r="NDO66" i="7" s="1"/>
  <c r="NDQ66" i="7" s="1"/>
  <c r="NDS66" i="7" s="1"/>
  <c r="NDU66" i="7" s="1"/>
  <c r="NDW66" i="7" s="1"/>
  <c r="NDY66" i="7" s="1"/>
  <c r="NEA66" i="7" s="1"/>
  <c r="NEC66" i="7" s="1"/>
  <c r="NEE66" i="7" s="1"/>
  <c r="NEG66" i="7" s="1"/>
  <c r="NEI66" i="7" s="1"/>
  <c r="NEK66" i="7" s="1"/>
  <c r="NEM66" i="7" s="1"/>
  <c r="NEO66" i="7" s="1"/>
  <c r="NEQ66" i="7" s="1"/>
  <c r="NES66" i="7" s="1"/>
  <c r="NEU66" i="7" s="1"/>
  <c r="NEW66" i="7" s="1"/>
  <c r="NEY66" i="7" s="1"/>
  <c r="NFA66" i="7" s="1"/>
  <c r="NFC66" i="7" s="1"/>
  <c r="NFE66" i="7" s="1"/>
  <c r="NFG66" i="7" s="1"/>
  <c r="NFI66" i="7" s="1"/>
  <c r="NFK66" i="7" s="1"/>
  <c r="NFM66" i="7" s="1"/>
  <c r="NFO66" i="7" s="1"/>
  <c r="NFQ66" i="7" s="1"/>
  <c r="NFS66" i="7" s="1"/>
  <c r="NFU66" i="7" s="1"/>
  <c r="NFW66" i="7" s="1"/>
  <c r="NFY66" i="7" s="1"/>
  <c r="NGA66" i="7" s="1"/>
  <c r="NGC66" i="7" s="1"/>
  <c r="NGE66" i="7" s="1"/>
  <c r="NGG66" i="7" s="1"/>
  <c r="NGI66" i="7" s="1"/>
  <c r="NGK66" i="7" s="1"/>
  <c r="NGM66" i="7" s="1"/>
  <c r="NGO66" i="7" s="1"/>
  <c r="NGQ66" i="7" s="1"/>
  <c r="NGS66" i="7" s="1"/>
  <c r="NGU66" i="7" s="1"/>
  <c r="NGW66" i="7" s="1"/>
  <c r="NGY66" i="7" s="1"/>
  <c r="NHA66" i="7" s="1"/>
  <c r="NHC66" i="7" s="1"/>
  <c r="NHE66" i="7" s="1"/>
  <c r="NHG66" i="7" s="1"/>
  <c r="NHI66" i="7" s="1"/>
  <c r="NHK66" i="7" s="1"/>
  <c r="NHM66" i="7" s="1"/>
  <c r="NHO66" i="7" s="1"/>
  <c r="NHQ66" i="7" s="1"/>
  <c r="NHS66" i="7" s="1"/>
  <c r="NHU66" i="7" s="1"/>
  <c r="NHW66" i="7" s="1"/>
  <c r="NHY66" i="7" s="1"/>
  <c r="NIA66" i="7" s="1"/>
  <c r="NIC66" i="7" s="1"/>
  <c r="NIE66" i="7" s="1"/>
  <c r="NIG66" i="7" s="1"/>
  <c r="NII66" i="7" s="1"/>
  <c r="NIK66" i="7" s="1"/>
  <c r="NIM66" i="7" s="1"/>
  <c r="NIO66" i="7" s="1"/>
  <c r="NIQ66" i="7" s="1"/>
  <c r="NIS66" i="7" s="1"/>
  <c r="NIU66" i="7" s="1"/>
  <c r="NIW66" i="7" s="1"/>
  <c r="NIY66" i="7" s="1"/>
  <c r="NJA66" i="7" s="1"/>
  <c r="NJC66" i="7" s="1"/>
  <c r="NJE66" i="7" s="1"/>
  <c r="NJG66" i="7" s="1"/>
  <c r="NJI66" i="7" s="1"/>
  <c r="NJK66" i="7" s="1"/>
  <c r="NJM66" i="7" s="1"/>
  <c r="NJO66" i="7" s="1"/>
  <c r="NJQ66" i="7" s="1"/>
  <c r="NJS66" i="7" s="1"/>
  <c r="NJU66" i="7" s="1"/>
  <c r="NJW66" i="7" s="1"/>
  <c r="NJY66" i="7" s="1"/>
  <c r="NKA66" i="7" s="1"/>
  <c r="NKC66" i="7" s="1"/>
  <c r="NKE66" i="7" s="1"/>
  <c r="NKG66" i="7" s="1"/>
  <c r="NKI66" i="7" s="1"/>
  <c r="NKK66" i="7" s="1"/>
  <c r="NKM66" i="7" s="1"/>
  <c r="NKO66" i="7" s="1"/>
  <c r="NKQ66" i="7" s="1"/>
  <c r="NKS66" i="7" s="1"/>
  <c r="NKU66" i="7" s="1"/>
  <c r="NKW66" i="7" s="1"/>
  <c r="NKY66" i="7" s="1"/>
  <c r="NLA66" i="7" s="1"/>
  <c r="NLC66" i="7" s="1"/>
  <c r="NLE66" i="7" s="1"/>
  <c r="NLG66" i="7" s="1"/>
  <c r="NLI66" i="7" s="1"/>
  <c r="NLK66" i="7" s="1"/>
  <c r="NLM66" i="7" s="1"/>
  <c r="NLO66" i="7" s="1"/>
  <c r="NLQ66" i="7" s="1"/>
  <c r="NLS66" i="7" s="1"/>
  <c r="NLU66" i="7" s="1"/>
  <c r="NLW66" i="7" s="1"/>
  <c r="NLY66" i="7" s="1"/>
  <c r="NMA66" i="7" s="1"/>
  <c r="NMC66" i="7" s="1"/>
  <c r="NME66" i="7" s="1"/>
  <c r="NMG66" i="7" s="1"/>
  <c r="NMI66" i="7" s="1"/>
  <c r="NMK66" i="7" s="1"/>
  <c r="NMM66" i="7" s="1"/>
  <c r="NMO66" i="7" s="1"/>
  <c r="NMQ66" i="7" s="1"/>
  <c r="NMS66" i="7" s="1"/>
  <c r="NMU66" i="7" s="1"/>
  <c r="NMW66" i="7" s="1"/>
  <c r="NMY66" i="7" s="1"/>
  <c r="NNA66" i="7" s="1"/>
  <c r="NNC66" i="7" s="1"/>
  <c r="NNE66" i="7" s="1"/>
  <c r="NNG66" i="7" s="1"/>
  <c r="NNI66" i="7" s="1"/>
  <c r="NNK66" i="7" s="1"/>
  <c r="NNM66" i="7" s="1"/>
  <c r="NNO66" i="7" s="1"/>
  <c r="NNQ66" i="7" s="1"/>
  <c r="NNS66" i="7" s="1"/>
  <c r="NNU66" i="7" s="1"/>
  <c r="NNW66" i="7" s="1"/>
  <c r="NNY66" i="7" s="1"/>
  <c r="NOA66" i="7" s="1"/>
  <c r="NOC66" i="7" s="1"/>
  <c r="NOE66" i="7" s="1"/>
  <c r="NOG66" i="7" s="1"/>
  <c r="NOI66" i="7" s="1"/>
  <c r="NOK66" i="7" s="1"/>
  <c r="NOM66" i="7" s="1"/>
  <c r="NOO66" i="7" s="1"/>
  <c r="NOQ66" i="7" s="1"/>
  <c r="NOS66" i="7" s="1"/>
  <c r="NOU66" i="7" s="1"/>
  <c r="NOW66" i="7" s="1"/>
  <c r="NOY66" i="7" s="1"/>
  <c r="NPA66" i="7" s="1"/>
  <c r="NPC66" i="7" s="1"/>
  <c r="NPE66" i="7" s="1"/>
  <c r="NPG66" i="7" s="1"/>
  <c r="NPI66" i="7" s="1"/>
  <c r="NPK66" i="7" s="1"/>
  <c r="NPM66" i="7" s="1"/>
  <c r="NPO66" i="7" s="1"/>
  <c r="NPQ66" i="7" s="1"/>
  <c r="NPS66" i="7" s="1"/>
  <c r="NPU66" i="7" s="1"/>
  <c r="NPW66" i="7" s="1"/>
  <c r="NPY66" i="7" s="1"/>
  <c r="NQA66" i="7" s="1"/>
  <c r="NQC66" i="7" s="1"/>
  <c r="NQE66" i="7" s="1"/>
  <c r="NQG66" i="7" s="1"/>
  <c r="NQI66" i="7" s="1"/>
  <c r="NQK66" i="7" s="1"/>
  <c r="NQM66" i="7" s="1"/>
  <c r="NQO66" i="7" s="1"/>
  <c r="NQQ66" i="7" s="1"/>
  <c r="NQS66" i="7" s="1"/>
  <c r="NQU66" i="7" s="1"/>
  <c r="NQW66" i="7" s="1"/>
  <c r="NQY66" i="7" s="1"/>
  <c r="NRA66" i="7" s="1"/>
  <c r="NRC66" i="7" s="1"/>
  <c r="NRE66" i="7" s="1"/>
  <c r="NRG66" i="7" s="1"/>
  <c r="NRI66" i="7" s="1"/>
  <c r="NRK66" i="7" s="1"/>
  <c r="NRM66" i="7" s="1"/>
  <c r="NRO66" i="7" s="1"/>
  <c r="NRQ66" i="7" s="1"/>
  <c r="NRS66" i="7" s="1"/>
  <c r="NRU66" i="7" s="1"/>
  <c r="NRW66" i="7" s="1"/>
  <c r="NRY66" i="7" s="1"/>
  <c r="NSA66" i="7" s="1"/>
  <c r="NSC66" i="7" s="1"/>
  <c r="NSE66" i="7" s="1"/>
  <c r="NSG66" i="7" s="1"/>
  <c r="NSI66" i="7" s="1"/>
  <c r="NSK66" i="7" s="1"/>
  <c r="NSM66" i="7" s="1"/>
  <c r="NSO66" i="7" s="1"/>
  <c r="NSQ66" i="7" s="1"/>
  <c r="NSS66" i="7" s="1"/>
  <c r="NSU66" i="7" s="1"/>
  <c r="NSW66" i="7" s="1"/>
  <c r="NSY66" i="7" s="1"/>
  <c r="NTA66" i="7" s="1"/>
  <c r="NTC66" i="7" s="1"/>
  <c r="NTE66" i="7" s="1"/>
  <c r="NTG66" i="7" s="1"/>
  <c r="NTI66" i="7" s="1"/>
  <c r="NTK66" i="7" s="1"/>
  <c r="NTM66" i="7" s="1"/>
  <c r="NTO66" i="7" s="1"/>
  <c r="NTQ66" i="7" s="1"/>
  <c r="NTS66" i="7" s="1"/>
  <c r="NTU66" i="7" s="1"/>
  <c r="NTW66" i="7" s="1"/>
  <c r="NTY66" i="7" s="1"/>
  <c r="NUA66" i="7" s="1"/>
  <c r="NUC66" i="7" s="1"/>
  <c r="NUE66" i="7" s="1"/>
  <c r="NUG66" i="7" s="1"/>
  <c r="NUI66" i="7" s="1"/>
  <c r="NUK66" i="7" s="1"/>
  <c r="NUM66" i="7" s="1"/>
  <c r="NUO66" i="7" s="1"/>
  <c r="NUQ66" i="7" s="1"/>
  <c r="NUS66" i="7" s="1"/>
  <c r="NUU66" i="7" s="1"/>
  <c r="NUW66" i="7" s="1"/>
  <c r="NUY66" i="7" s="1"/>
  <c r="NVA66" i="7" s="1"/>
  <c r="NVC66" i="7" s="1"/>
  <c r="NVE66" i="7" s="1"/>
  <c r="NVG66" i="7" s="1"/>
  <c r="NVI66" i="7" s="1"/>
  <c r="NVK66" i="7" s="1"/>
  <c r="NVM66" i="7" s="1"/>
  <c r="NVO66" i="7" s="1"/>
  <c r="NVQ66" i="7" s="1"/>
  <c r="NVS66" i="7" s="1"/>
  <c r="NVU66" i="7" s="1"/>
  <c r="NVW66" i="7" s="1"/>
  <c r="NVY66" i="7" s="1"/>
  <c r="NWA66" i="7" s="1"/>
  <c r="NWC66" i="7" s="1"/>
  <c r="NWE66" i="7" s="1"/>
  <c r="NWG66" i="7" s="1"/>
  <c r="NWI66" i="7" s="1"/>
  <c r="NWK66" i="7" s="1"/>
  <c r="NWM66" i="7" s="1"/>
  <c r="NWO66" i="7" s="1"/>
  <c r="NWQ66" i="7" s="1"/>
  <c r="NWS66" i="7" s="1"/>
  <c r="NWU66" i="7" s="1"/>
  <c r="NWW66" i="7" s="1"/>
  <c r="NWY66" i="7" s="1"/>
  <c r="NXA66" i="7" s="1"/>
  <c r="NXC66" i="7" s="1"/>
  <c r="NXE66" i="7" s="1"/>
  <c r="NXG66" i="7" s="1"/>
  <c r="NXI66" i="7" s="1"/>
  <c r="NXK66" i="7" s="1"/>
  <c r="NXM66" i="7" s="1"/>
  <c r="NXO66" i="7" s="1"/>
  <c r="NXQ66" i="7" s="1"/>
  <c r="NXS66" i="7" s="1"/>
  <c r="NXU66" i="7" s="1"/>
  <c r="NXW66" i="7" s="1"/>
  <c r="NXY66" i="7" s="1"/>
  <c r="NYA66" i="7" s="1"/>
  <c r="NYC66" i="7" s="1"/>
  <c r="NYE66" i="7" s="1"/>
  <c r="NYG66" i="7" s="1"/>
  <c r="NYI66" i="7" s="1"/>
  <c r="NYK66" i="7" s="1"/>
  <c r="NYM66" i="7" s="1"/>
  <c r="NYO66" i="7" s="1"/>
  <c r="NYQ66" i="7" s="1"/>
  <c r="NYS66" i="7" s="1"/>
  <c r="NYU66" i="7" s="1"/>
  <c r="NYW66" i="7" s="1"/>
  <c r="NYY66" i="7" s="1"/>
  <c r="NZA66" i="7" s="1"/>
  <c r="NZC66" i="7" s="1"/>
  <c r="NZE66" i="7" s="1"/>
  <c r="NZG66" i="7" s="1"/>
  <c r="NZI66" i="7" s="1"/>
  <c r="NZK66" i="7" s="1"/>
  <c r="NZM66" i="7" s="1"/>
  <c r="NZO66" i="7" s="1"/>
  <c r="NZQ66" i="7" s="1"/>
  <c r="NZS66" i="7" s="1"/>
  <c r="NZU66" i="7" s="1"/>
  <c r="NZW66" i="7" s="1"/>
  <c r="NZY66" i="7" s="1"/>
  <c r="OAA66" i="7" s="1"/>
  <c r="OAC66" i="7" s="1"/>
  <c r="OAE66" i="7" s="1"/>
  <c r="OAG66" i="7" s="1"/>
  <c r="OAI66" i="7" s="1"/>
  <c r="OAK66" i="7" s="1"/>
  <c r="OAM66" i="7" s="1"/>
  <c r="OAO66" i="7" s="1"/>
  <c r="OAQ66" i="7" s="1"/>
  <c r="OAS66" i="7" s="1"/>
  <c r="OAU66" i="7" s="1"/>
  <c r="OAW66" i="7" s="1"/>
  <c r="OAY66" i="7" s="1"/>
  <c r="OBA66" i="7" s="1"/>
  <c r="OBC66" i="7" s="1"/>
  <c r="OBE66" i="7" s="1"/>
  <c r="OBG66" i="7" s="1"/>
  <c r="OBI66" i="7" s="1"/>
  <c r="OBK66" i="7" s="1"/>
  <c r="OBM66" i="7" s="1"/>
  <c r="OBO66" i="7" s="1"/>
  <c r="OBQ66" i="7" s="1"/>
  <c r="OBS66" i="7" s="1"/>
  <c r="OBU66" i="7" s="1"/>
  <c r="OBW66" i="7" s="1"/>
  <c r="OBY66" i="7" s="1"/>
  <c r="OCA66" i="7" s="1"/>
  <c r="OCC66" i="7" s="1"/>
  <c r="OCE66" i="7" s="1"/>
  <c r="OCG66" i="7" s="1"/>
  <c r="OCI66" i="7" s="1"/>
  <c r="OCK66" i="7" s="1"/>
  <c r="OCM66" i="7" s="1"/>
  <c r="OCO66" i="7" s="1"/>
  <c r="OCQ66" i="7" s="1"/>
  <c r="OCS66" i="7" s="1"/>
  <c r="OCU66" i="7" s="1"/>
  <c r="OCW66" i="7" s="1"/>
  <c r="OCY66" i="7" s="1"/>
  <c r="ODA66" i="7" s="1"/>
  <c r="ODC66" i="7" s="1"/>
  <c r="ODE66" i="7" s="1"/>
  <c r="ODG66" i="7" s="1"/>
  <c r="ODI66" i="7" s="1"/>
  <c r="ODK66" i="7" s="1"/>
  <c r="ODM66" i="7" s="1"/>
  <c r="ODO66" i="7" s="1"/>
  <c r="ODQ66" i="7" s="1"/>
  <c r="ODS66" i="7" s="1"/>
  <c r="ODU66" i="7" s="1"/>
  <c r="ODW66" i="7" s="1"/>
  <c r="ODY66" i="7" s="1"/>
  <c r="OEA66" i="7" s="1"/>
  <c r="OEC66" i="7" s="1"/>
  <c r="OEE66" i="7" s="1"/>
  <c r="OEG66" i="7" s="1"/>
  <c r="OEI66" i="7" s="1"/>
  <c r="OEK66" i="7" s="1"/>
  <c r="OEM66" i="7" s="1"/>
  <c r="OEO66" i="7" s="1"/>
  <c r="OEQ66" i="7" s="1"/>
  <c r="OES66" i="7" s="1"/>
  <c r="OEU66" i="7" s="1"/>
  <c r="OEW66" i="7" s="1"/>
  <c r="OEY66" i="7" s="1"/>
  <c r="OFA66" i="7" s="1"/>
  <c r="OFC66" i="7" s="1"/>
  <c r="OFE66" i="7" s="1"/>
  <c r="OFG66" i="7" s="1"/>
  <c r="OFI66" i="7" s="1"/>
  <c r="OFK66" i="7" s="1"/>
  <c r="OFM66" i="7" s="1"/>
  <c r="OFO66" i="7" s="1"/>
  <c r="OFQ66" i="7" s="1"/>
  <c r="OFS66" i="7" s="1"/>
  <c r="OFU66" i="7" s="1"/>
  <c r="OFW66" i="7" s="1"/>
  <c r="OFY66" i="7" s="1"/>
  <c r="OGA66" i="7" s="1"/>
  <c r="OGC66" i="7" s="1"/>
  <c r="OGE66" i="7" s="1"/>
  <c r="OGG66" i="7" s="1"/>
  <c r="OGI66" i="7" s="1"/>
  <c r="OGK66" i="7" s="1"/>
  <c r="OGM66" i="7" s="1"/>
  <c r="OGO66" i="7" s="1"/>
  <c r="OGQ66" i="7" s="1"/>
  <c r="OGS66" i="7" s="1"/>
  <c r="OGU66" i="7" s="1"/>
  <c r="OGW66" i="7" s="1"/>
  <c r="OGY66" i="7" s="1"/>
  <c r="OHA66" i="7" s="1"/>
  <c r="OHC66" i="7" s="1"/>
  <c r="OHE66" i="7" s="1"/>
  <c r="OHG66" i="7" s="1"/>
  <c r="OHI66" i="7" s="1"/>
  <c r="OHK66" i="7" s="1"/>
  <c r="OHM66" i="7" s="1"/>
  <c r="OHO66" i="7" s="1"/>
  <c r="OHQ66" i="7" s="1"/>
  <c r="OHS66" i="7" s="1"/>
  <c r="OHU66" i="7" s="1"/>
  <c r="OHW66" i="7" s="1"/>
  <c r="OHY66" i="7" s="1"/>
  <c r="OIA66" i="7" s="1"/>
  <c r="OIC66" i="7" s="1"/>
  <c r="OIE66" i="7" s="1"/>
  <c r="OIG66" i="7" s="1"/>
  <c r="OII66" i="7" s="1"/>
  <c r="OIK66" i="7" s="1"/>
  <c r="OIM66" i="7" s="1"/>
  <c r="OIO66" i="7" s="1"/>
  <c r="OIQ66" i="7" s="1"/>
  <c r="OIS66" i="7" s="1"/>
  <c r="OIU66" i="7" s="1"/>
  <c r="OIW66" i="7" s="1"/>
  <c r="OIY66" i="7" s="1"/>
  <c r="OJA66" i="7" s="1"/>
  <c r="OJC66" i="7" s="1"/>
  <c r="OJE66" i="7" s="1"/>
  <c r="OJG66" i="7" s="1"/>
  <c r="OJI66" i="7" s="1"/>
  <c r="OJK66" i="7" s="1"/>
  <c r="OJM66" i="7" s="1"/>
  <c r="OJO66" i="7" s="1"/>
  <c r="OJQ66" i="7" s="1"/>
  <c r="OJS66" i="7" s="1"/>
  <c r="OJU66" i="7" s="1"/>
  <c r="OJW66" i="7" s="1"/>
  <c r="OJY66" i="7" s="1"/>
  <c r="OKA66" i="7" s="1"/>
  <c r="OKC66" i="7" s="1"/>
  <c r="OKE66" i="7" s="1"/>
  <c r="OKG66" i="7" s="1"/>
  <c r="OKI66" i="7" s="1"/>
  <c r="OKK66" i="7" s="1"/>
  <c r="OKM66" i="7" s="1"/>
  <c r="OKO66" i="7" s="1"/>
  <c r="OKQ66" i="7" s="1"/>
  <c r="OKS66" i="7" s="1"/>
  <c r="OKU66" i="7" s="1"/>
  <c r="OKW66" i="7" s="1"/>
  <c r="OKY66" i="7" s="1"/>
  <c r="OLA66" i="7" s="1"/>
  <c r="OLC66" i="7" s="1"/>
  <c r="OLE66" i="7" s="1"/>
  <c r="OLG66" i="7" s="1"/>
  <c r="OLI66" i="7" s="1"/>
  <c r="OLK66" i="7" s="1"/>
  <c r="OLM66" i="7" s="1"/>
  <c r="OLO66" i="7" s="1"/>
  <c r="OLQ66" i="7" s="1"/>
  <c r="OLS66" i="7" s="1"/>
  <c r="OLU66" i="7" s="1"/>
  <c r="OLW66" i="7" s="1"/>
  <c r="OLY66" i="7" s="1"/>
  <c r="OMA66" i="7" s="1"/>
  <c r="OMC66" i="7" s="1"/>
  <c r="OME66" i="7" s="1"/>
  <c r="OMG66" i="7" s="1"/>
  <c r="OMI66" i="7" s="1"/>
  <c r="OMK66" i="7" s="1"/>
  <c r="OMM66" i="7" s="1"/>
  <c r="OMO66" i="7" s="1"/>
  <c r="OMQ66" i="7" s="1"/>
  <c r="OMS66" i="7" s="1"/>
  <c r="OMU66" i="7" s="1"/>
  <c r="OMW66" i="7" s="1"/>
  <c r="OMY66" i="7" s="1"/>
  <c r="ONA66" i="7" s="1"/>
  <c r="ONC66" i="7" s="1"/>
  <c r="ONE66" i="7" s="1"/>
  <c r="ONG66" i="7" s="1"/>
  <c r="ONI66" i="7" s="1"/>
  <c r="ONK66" i="7" s="1"/>
  <c r="ONM66" i="7" s="1"/>
  <c r="ONO66" i="7" s="1"/>
  <c r="ONQ66" i="7" s="1"/>
  <c r="ONS66" i="7" s="1"/>
  <c r="ONU66" i="7" s="1"/>
  <c r="ONW66" i="7" s="1"/>
  <c r="ONY66" i="7" s="1"/>
  <c r="OOA66" i="7" s="1"/>
  <c r="OOC66" i="7" s="1"/>
  <c r="OOE66" i="7" s="1"/>
  <c r="OOG66" i="7" s="1"/>
  <c r="OOI66" i="7" s="1"/>
  <c r="OOK66" i="7" s="1"/>
  <c r="OOM66" i="7" s="1"/>
  <c r="OOO66" i="7" s="1"/>
  <c r="OOQ66" i="7" s="1"/>
  <c r="OOS66" i="7" s="1"/>
  <c r="OOU66" i="7" s="1"/>
  <c r="OOW66" i="7" s="1"/>
  <c r="OOY66" i="7" s="1"/>
  <c r="OPA66" i="7" s="1"/>
  <c r="OPC66" i="7" s="1"/>
  <c r="OPE66" i="7" s="1"/>
  <c r="OPG66" i="7" s="1"/>
  <c r="OPI66" i="7" s="1"/>
  <c r="OPK66" i="7" s="1"/>
  <c r="OPM66" i="7" s="1"/>
  <c r="OPO66" i="7" s="1"/>
  <c r="OPQ66" i="7" s="1"/>
  <c r="OPS66" i="7" s="1"/>
  <c r="OPU66" i="7" s="1"/>
  <c r="OPW66" i="7" s="1"/>
  <c r="OPY66" i="7" s="1"/>
  <c r="OQA66" i="7" s="1"/>
  <c r="OQC66" i="7" s="1"/>
  <c r="OQE66" i="7" s="1"/>
  <c r="OQG66" i="7" s="1"/>
  <c r="OQI66" i="7" s="1"/>
  <c r="OQK66" i="7" s="1"/>
  <c r="OQM66" i="7" s="1"/>
  <c r="OQO66" i="7" s="1"/>
  <c r="OQQ66" i="7" s="1"/>
  <c r="OQS66" i="7" s="1"/>
  <c r="OQU66" i="7" s="1"/>
  <c r="OQW66" i="7" s="1"/>
  <c r="OQY66" i="7" s="1"/>
  <c r="ORA66" i="7" s="1"/>
  <c r="ORC66" i="7" s="1"/>
  <c r="ORE66" i="7" s="1"/>
  <c r="ORG66" i="7" s="1"/>
  <c r="ORI66" i="7" s="1"/>
  <c r="ORK66" i="7" s="1"/>
  <c r="ORM66" i="7" s="1"/>
  <c r="ORO66" i="7" s="1"/>
  <c r="ORQ66" i="7" s="1"/>
  <c r="ORS66" i="7" s="1"/>
  <c r="ORU66" i="7" s="1"/>
  <c r="ORW66" i="7" s="1"/>
  <c r="ORY66" i="7" s="1"/>
  <c r="OSA66" i="7" s="1"/>
  <c r="OSC66" i="7" s="1"/>
  <c r="OSE66" i="7" s="1"/>
  <c r="OSG66" i="7" s="1"/>
  <c r="OSI66" i="7" s="1"/>
  <c r="OSK66" i="7" s="1"/>
  <c r="OSM66" i="7" s="1"/>
  <c r="OSO66" i="7" s="1"/>
  <c r="OSQ66" i="7" s="1"/>
  <c r="OSS66" i="7" s="1"/>
  <c r="OSU66" i="7" s="1"/>
  <c r="OSW66" i="7" s="1"/>
  <c r="OSY66" i="7" s="1"/>
  <c r="OTA66" i="7" s="1"/>
  <c r="OTC66" i="7" s="1"/>
  <c r="OTE66" i="7" s="1"/>
  <c r="OTG66" i="7" s="1"/>
  <c r="OTI66" i="7" s="1"/>
  <c r="OTK66" i="7" s="1"/>
  <c r="OTM66" i="7" s="1"/>
  <c r="OTO66" i="7" s="1"/>
  <c r="OTQ66" i="7" s="1"/>
  <c r="OTS66" i="7" s="1"/>
  <c r="OTU66" i="7" s="1"/>
  <c r="OTW66" i="7" s="1"/>
  <c r="OTY66" i="7" s="1"/>
  <c r="OUA66" i="7" s="1"/>
  <c r="OUC66" i="7" s="1"/>
  <c r="OUE66" i="7" s="1"/>
  <c r="OUG66" i="7" s="1"/>
  <c r="OUI66" i="7" s="1"/>
  <c r="OUK66" i="7" s="1"/>
  <c r="OUM66" i="7" s="1"/>
  <c r="OUO66" i="7" s="1"/>
  <c r="OUQ66" i="7" s="1"/>
  <c r="OUS66" i="7" s="1"/>
  <c r="OUU66" i="7" s="1"/>
  <c r="OUW66" i="7" s="1"/>
  <c r="OUY66" i="7" s="1"/>
  <c r="OVA66" i="7" s="1"/>
  <c r="OVC66" i="7" s="1"/>
  <c r="OVE66" i="7" s="1"/>
  <c r="OVG66" i="7" s="1"/>
  <c r="OVI66" i="7" s="1"/>
  <c r="OVK66" i="7" s="1"/>
  <c r="OVM66" i="7" s="1"/>
  <c r="OVO66" i="7" s="1"/>
  <c r="OVQ66" i="7" s="1"/>
  <c r="OVS66" i="7" s="1"/>
  <c r="OVU66" i="7" s="1"/>
  <c r="OVW66" i="7" s="1"/>
  <c r="OVY66" i="7" s="1"/>
  <c r="OWA66" i="7" s="1"/>
  <c r="OWC66" i="7" s="1"/>
  <c r="OWE66" i="7" s="1"/>
  <c r="OWG66" i="7" s="1"/>
  <c r="OWI66" i="7" s="1"/>
  <c r="OWK66" i="7" s="1"/>
  <c r="OWM66" i="7" s="1"/>
  <c r="OWO66" i="7" s="1"/>
  <c r="OWQ66" i="7" s="1"/>
  <c r="OWS66" i="7" s="1"/>
  <c r="OWU66" i="7" s="1"/>
  <c r="OWW66" i="7" s="1"/>
  <c r="OWY66" i="7" s="1"/>
  <c r="OXA66" i="7" s="1"/>
  <c r="OXC66" i="7" s="1"/>
  <c r="OXE66" i="7" s="1"/>
  <c r="OXG66" i="7" s="1"/>
  <c r="OXI66" i="7" s="1"/>
  <c r="OXK66" i="7" s="1"/>
  <c r="OXM66" i="7" s="1"/>
  <c r="OXO66" i="7" s="1"/>
  <c r="OXQ66" i="7" s="1"/>
  <c r="OXS66" i="7" s="1"/>
  <c r="OXU66" i="7" s="1"/>
  <c r="OXW66" i="7" s="1"/>
  <c r="OXY66" i="7" s="1"/>
  <c r="OYA66" i="7" s="1"/>
  <c r="OYC66" i="7" s="1"/>
  <c r="OYE66" i="7" s="1"/>
  <c r="OYG66" i="7" s="1"/>
  <c r="OYI66" i="7" s="1"/>
  <c r="OYK66" i="7" s="1"/>
  <c r="OYM66" i="7" s="1"/>
  <c r="OYO66" i="7" s="1"/>
  <c r="OYQ66" i="7" s="1"/>
  <c r="OYS66" i="7" s="1"/>
  <c r="OYU66" i="7" s="1"/>
  <c r="OYW66" i="7" s="1"/>
  <c r="OYY66" i="7" s="1"/>
  <c r="OZA66" i="7" s="1"/>
  <c r="OZC66" i="7" s="1"/>
  <c r="OZE66" i="7" s="1"/>
  <c r="OZG66" i="7" s="1"/>
  <c r="OZI66" i="7" s="1"/>
  <c r="OZK66" i="7" s="1"/>
  <c r="OZM66" i="7" s="1"/>
  <c r="OZO66" i="7" s="1"/>
  <c r="OZQ66" i="7" s="1"/>
  <c r="OZS66" i="7" s="1"/>
  <c r="OZU66" i="7" s="1"/>
  <c r="OZW66" i="7" s="1"/>
  <c r="OZY66" i="7" s="1"/>
  <c r="PAA66" i="7" s="1"/>
  <c r="PAC66" i="7" s="1"/>
  <c r="PAE66" i="7" s="1"/>
  <c r="PAG66" i="7" s="1"/>
  <c r="PAI66" i="7" s="1"/>
  <c r="PAK66" i="7" s="1"/>
  <c r="PAM66" i="7" s="1"/>
  <c r="PAO66" i="7" s="1"/>
  <c r="PAQ66" i="7" s="1"/>
  <c r="PAS66" i="7" s="1"/>
  <c r="PAU66" i="7" s="1"/>
  <c r="PAW66" i="7" s="1"/>
  <c r="PAY66" i="7" s="1"/>
  <c r="PBA66" i="7" s="1"/>
  <c r="PBC66" i="7" s="1"/>
  <c r="PBE66" i="7" s="1"/>
  <c r="PBG66" i="7" s="1"/>
  <c r="PBI66" i="7" s="1"/>
  <c r="PBK66" i="7" s="1"/>
  <c r="PBM66" i="7" s="1"/>
  <c r="PBO66" i="7" s="1"/>
  <c r="PBQ66" i="7" s="1"/>
  <c r="PBS66" i="7" s="1"/>
  <c r="PBU66" i="7" s="1"/>
  <c r="PBW66" i="7" s="1"/>
  <c r="PBY66" i="7" s="1"/>
  <c r="PCA66" i="7" s="1"/>
  <c r="PCC66" i="7" s="1"/>
  <c r="PCE66" i="7" s="1"/>
  <c r="PCG66" i="7" s="1"/>
  <c r="PCI66" i="7" s="1"/>
  <c r="PCK66" i="7" s="1"/>
  <c r="PCM66" i="7" s="1"/>
  <c r="PCO66" i="7" s="1"/>
  <c r="PCQ66" i="7" s="1"/>
  <c r="PCS66" i="7" s="1"/>
  <c r="PCU66" i="7" s="1"/>
  <c r="PCW66" i="7" s="1"/>
  <c r="PCY66" i="7" s="1"/>
  <c r="PDA66" i="7" s="1"/>
  <c r="PDC66" i="7" s="1"/>
  <c r="PDE66" i="7" s="1"/>
  <c r="PDG66" i="7" s="1"/>
  <c r="PDI66" i="7" s="1"/>
  <c r="PDK66" i="7" s="1"/>
  <c r="PDM66" i="7" s="1"/>
  <c r="PDO66" i="7" s="1"/>
  <c r="PDQ66" i="7" s="1"/>
  <c r="PDS66" i="7" s="1"/>
  <c r="PDU66" i="7" s="1"/>
  <c r="PDW66" i="7" s="1"/>
  <c r="PDY66" i="7" s="1"/>
  <c r="PEA66" i="7" s="1"/>
  <c r="PEC66" i="7" s="1"/>
  <c r="PEE66" i="7" s="1"/>
  <c r="PEG66" i="7" s="1"/>
  <c r="PEI66" i="7" s="1"/>
  <c r="PEK66" i="7" s="1"/>
  <c r="PEM66" i="7" s="1"/>
  <c r="PEO66" i="7" s="1"/>
  <c r="PEQ66" i="7" s="1"/>
  <c r="PES66" i="7" s="1"/>
  <c r="PEU66" i="7" s="1"/>
  <c r="PEW66" i="7" s="1"/>
  <c r="PEY66" i="7" s="1"/>
  <c r="PFA66" i="7" s="1"/>
  <c r="PFC66" i="7" s="1"/>
  <c r="PFE66" i="7" s="1"/>
  <c r="PFG66" i="7" s="1"/>
  <c r="PFI66" i="7" s="1"/>
  <c r="PFK66" i="7" s="1"/>
  <c r="PFM66" i="7" s="1"/>
  <c r="PFO66" i="7" s="1"/>
  <c r="PFQ66" i="7" s="1"/>
  <c r="PFS66" i="7" s="1"/>
  <c r="PFU66" i="7" s="1"/>
  <c r="PFW66" i="7" s="1"/>
  <c r="PFY66" i="7" s="1"/>
  <c r="PGA66" i="7" s="1"/>
  <c r="PGC66" i="7" s="1"/>
  <c r="PGE66" i="7" s="1"/>
  <c r="PGG66" i="7" s="1"/>
  <c r="PGI66" i="7" s="1"/>
  <c r="PGK66" i="7" s="1"/>
  <c r="PGM66" i="7" s="1"/>
  <c r="PGO66" i="7" s="1"/>
  <c r="PGQ66" i="7" s="1"/>
  <c r="PGS66" i="7" s="1"/>
  <c r="PGU66" i="7" s="1"/>
  <c r="PGW66" i="7" s="1"/>
  <c r="PGY66" i="7" s="1"/>
  <c r="PHA66" i="7" s="1"/>
  <c r="PHC66" i="7" s="1"/>
  <c r="PHE66" i="7" s="1"/>
  <c r="PHG66" i="7" s="1"/>
  <c r="PHI66" i="7" s="1"/>
  <c r="PHK66" i="7" s="1"/>
  <c r="PHM66" i="7" s="1"/>
  <c r="PHO66" i="7" s="1"/>
  <c r="PHQ66" i="7" s="1"/>
  <c r="PHS66" i="7" s="1"/>
  <c r="PHU66" i="7" s="1"/>
  <c r="PHW66" i="7" s="1"/>
  <c r="PHY66" i="7" s="1"/>
  <c r="PIA66" i="7" s="1"/>
  <c r="PIC66" i="7" s="1"/>
  <c r="PIE66" i="7" s="1"/>
  <c r="PIG66" i="7" s="1"/>
  <c r="PII66" i="7" s="1"/>
  <c r="PIK66" i="7" s="1"/>
  <c r="PIM66" i="7" s="1"/>
  <c r="PIO66" i="7" s="1"/>
  <c r="PIQ66" i="7" s="1"/>
  <c r="PIS66" i="7" s="1"/>
  <c r="PIU66" i="7" s="1"/>
  <c r="PIW66" i="7" s="1"/>
  <c r="PIY66" i="7" s="1"/>
  <c r="PJA66" i="7" s="1"/>
  <c r="PJC66" i="7" s="1"/>
  <c r="PJE66" i="7" s="1"/>
  <c r="PJG66" i="7" s="1"/>
  <c r="PJI66" i="7" s="1"/>
  <c r="PJK66" i="7" s="1"/>
  <c r="PJM66" i="7" s="1"/>
  <c r="PJO66" i="7" s="1"/>
  <c r="PJQ66" i="7" s="1"/>
  <c r="PJS66" i="7" s="1"/>
  <c r="PJU66" i="7" s="1"/>
  <c r="PJW66" i="7" s="1"/>
  <c r="PJY66" i="7" s="1"/>
  <c r="PKA66" i="7" s="1"/>
  <c r="PKC66" i="7" s="1"/>
  <c r="PKE66" i="7" s="1"/>
  <c r="PKG66" i="7" s="1"/>
  <c r="PKI66" i="7" s="1"/>
  <c r="PKK66" i="7" s="1"/>
  <c r="PKM66" i="7" s="1"/>
  <c r="PKO66" i="7" s="1"/>
  <c r="PKQ66" i="7" s="1"/>
  <c r="PKS66" i="7" s="1"/>
  <c r="PKU66" i="7" s="1"/>
  <c r="PKW66" i="7" s="1"/>
  <c r="PKY66" i="7" s="1"/>
  <c r="PLA66" i="7" s="1"/>
  <c r="PLC66" i="7" s="1"/>
  <c r="PLE66" i="7" s="1"/>
  <c r="PLG66" i="7" s="1"/>
  <c r="PLI66" i="7" s="1"/>
  <c r="PLK66" i="7" s="1"/>
  <c r="PLM66" i="7" s="1"/>
  <c r="PLO66" i="7" s="1"/>
  <c r="PLQ66" i="7" s="1"/>
  <c r="PLS66" i="7" s="1"/>
  <c r="PLU66" i="7" s="1"/>
  <c r="PLW66" i="7" s="1"/>
  <c r="PLY66" i="7" s="1"/>
  <c r="PMA66" i="7" s="1"/>
  <c r="PMC66" i="7" s="1"/>
  <c r="PME66" i="7" s="1"/>
  <c r="PMG66" i="7" s="1"/>
  <c r="PMI66" i="7" s="1"/>
  <c r="PMK66" i="7" s="1"/>
  <c r="PMM66" i="7" s="1"/>
  <c r="PMO66" i="7" s="1"/>
  <c r="PMQ66" i="7" s="1"/>
  <c r="PMS66" i="7" s="1"/>
  <c r="PMU66" i="7" s="1"/>
  <c r="PMW66" i="7" s="1"/>
  <c r="PMY66" i="7" s="1"/>
  <c r="PNA66" i="7" s="1"/>
  <c r="PNC66" i="7" s="1"/>
  <c r="PNE66" i="7" s="1"/>
  <c r="PNG66" i="7" s="1"/>
  <c r="PNI66" i="7" s="1"/>
  <c r="PNK66" i="7" s="1"/>
  <c r="PNM66" i="7" s="1"/>
  <c r="PNO66" i="7" s="1"/>
  <c r="PNQ66" i="7" s="1"/>
  <c r="PNS66" i="7" s="1"/>
  <c r="PNU66" i="7" s="1"/>
  <c r="PNW66" i="7" s="1"/>
  <c r="PNY66" i="7" s="1"/>
  <c r="POA66" i="7" s="1"/>
  <c r="POC66" i="7" s="1"/>
  <c r="POE66" i="7" s="1"/>
  <c r="POG66" i="7" s="1"/>
  <c r="POI66" i="7" s="1"/>
  <c r="POK66" i="7" s="1"/>
  <c r="POM66" i="7" s="1"/>
  <c r="POO66" i="7" s="1"/>
  <c r="POQ66" i="7" s="1"/>
  <c r="POS66" i="7" s="1"/>
  <c r="POU66" i="7" s="1"/>
  <c r="POW66" i="7" s="1"/>
  <c r="POY66" i="7" s="1"/>
  <c r="PPA66" i="7" s="1"/>
  <c r="PPC66" i="7" s="1"/>
  <c r="PPE66" i="7" s="1"/>
  <c r="PPG66" i="7" s="1"/>
  <c r="PPI66" i="7" s="1"/>
  <c r="PPK66" i="7" s="1"/>
  <c r="PPM66" i="7" s="1"/>
  <c r="PPO66" i="7" s="1"/>
  <c r="PPQ66" i="7" s="1"/>
  <c r="PPS66" i="7" s="1"/>
  <c r="PPU66" i="7" s="1"/>
  <c r="PPW66" i="7" s="1"/>
  <c r="PPY66" i="7" s="1"/>
  <c r="PQA66" i="7" s="1"/>
  <c r="PQC66" i="7" s="1"/>
  <c r="PQE66" i="7" s="1"/>
  <c r="PQG66" i="7" s="1"/>
  <c r="PQI66" i="7" s="1"/>
  <c r="PQK66" i="7" s="1"/>
  <c r="PQM66" i="7" s="1"/>
  <c r="PQO66" i="7" s="1"/>
  <c r="PQQ66" i="7" s="1"/>
  <c r="PQS66" i="7" s="1"/>
  <c r="PQU66" i="7" s="1"/>
  <c r="PQW66" i="7" s="1"/>
  <c r="PQY66" i="7" s="1"/>
  <c r="PRA66" i="7" s="1"/>
  <c r="PRC66" i="7" s="1"/>
  <c r="PRE66" i="7" s="1"/>
  <c r="PRG66" i="7" s="1"/>
  <c r="PRI66" i="7" s="1"/>
  <c r="PRK66" i="7" s="1"/>
  <c r="PRM66" i="7" s="1"/>
  <c r="PRO66" i="7" s="1"/>
  <c r="PRQ66" i="7" s="1"/>
  <c r="PRS66" i="7" s="1"/>
  <c r="PRU66" i="7" s="1"/>
  <c r="PRW66" i="7" s="1"/>
  <c r="PRY66" i="7" s="1"/>
  <c r="PSA66" i="7" s="1"/>
  <c r="PSC66" i="7" s="1"/>
  <c r="PSE66" i="7" s="1"/>
  <c r="PSG66" i="7" s="1"/>
  <c r="PSI66" i="7" s="1"/>
  <c r="PSK66" i="7" s="1"/>
  <c r="PSM66" i="7" s="1"/>
  <c r="PSO66" i="7" s="1"/>
  <c r="PSQ66" i="7" s="1"/>
  <c r="PSS66" i="7" s="1"/>
  <c r="PSU66" i="7" s="1"/>
  <c r="PSW66" i="7" s="1"/>
  <c r="PSY66" i="7" s="1"/>
  <c r="PTA66" i="7" s="1"/>
  <c r="PTC66" i="7" s="1"/>
  <c r="PTE66" i="7" s="1"/>
  <c r="PTG66" i="7" s="1"/>
  <c r="PTI66" i="7" s="1"/>
  <c r="PTK66" i="7" s="1"/>
  <c r="PTM66" i="7" s="1"/>
  <c r="PTO66" i="7" s="1"/>
  <c r="PTQ66" i="7" s="1"/>
  <c r="PTS66" i="7" s="1"/>
  <c r="PTU66" i="7" s="1"/>
  <c r="PTW66" i="7" s="1"/>
  <c r="PTY66" i="7" s="1"/>
  <c r="PUA66" i="7" s="1"/>
  <c r="PUC66" i="7" s="1"/>
  <c r="PUE66" i="7" s="1"/>
  <c r="PUG66" i="7" s="1"/>
  <c r="PUI66" i="7" s="1"/>
  <c r="PUK66" i="7" s="1"/>
  <c r="PUM66" i="7" s="1"/>
  <c r="PUO66" i="7" s="1"/>
  <c r="PUQ66" i="7" s="1"/>
  <c r="PUS66" i="7" s="1"/>
  <c r="PUU66" i="7" s="1"/>
  <c r="PUW66" i="7" s="1"/>
  <c r="PUY66" i="7" s="1"/>
  <c r="PVA66" i="7" s="1"/>
  <c r="PVC66" i="7" s="1"/>
  <c r="PVE66" i="7" s="1"/>
  <c r="PVG66" i="7" s="1"/>
  <c r="PVI66" i="7" s="1"/>
  <c r="PVK66" i="7" s="1"/>
  <c r="PVM66" i="7" s="1"/>
  <c r="PVO66" i="7" s="1"/>
  <c r="PVQ66" i="7" s="1"/>
  <c r="PVS66" i="7" s="1"/>
  <c r="PVU66" i="7" s="1"/>
  <c r="PVW66" i="7" s="1"/>
  <c r="PVY66" i="7" s="1"/>
  <c r="PWA66" i="7" s="1"/>
  <c r="PWC66" i="7" s="1"/>
  <c r="PWE66" i="7" s="1"/>
  <c r="PWG66" i="7" s="1"/>
  <c r="PWI66" i="7" s="1"/>
  <c r="PWK66" i="7" s="1"/>
  <c r="PWM66" i="7" s="1"/>
  <c r="PWO66" i="7" s="1"/>
  <c r="PWQ66" i="7" s="1"/>
  <c r="PWS66" i="7" s="1"/>
  <c r="PWU66" i="7" s="1"/>
  <c r="PWW66" i="7" s="1"/>
  <c r="PWY66" i="7" s="1"/>
  <c r="PXA66" i="7" s="1"/>
  <c r="PXC66" i="7" s="1"/>
  <c r="PXE66" i="7" s="1"/>
  <c r="PXG66" i="7" s="1"/>
  <c r="PXI66" i="7" s="1"/>
  <c r="PXK66" i="7" s="1"/>
  <c r="PXM66" i="7" s="1"/>
  <c r="PXO66" i="7" s="1"/>
  <c r="PXQ66" i="7" s="1"/>
  <c r="PXS66" i="7" s="1"/>
  <c r="PXU66" i="7" s="1"/>
  <c r="PXW66" i="7" s="1"/>
  <c r="PXY66" i="7" s="1"/>
  <c r="PYA66" i="7" s="1"/>
  <c r="PYC66" i="7" s="1"/>
  <c r="PYE66" i="7" s="1"/>
  <c r="PYG66" i="7" s="1"/>
  <c r="PYI66" i="7" s="1"/>
  <c r="PYK66" i="7" s="1"/>
  <c r="PYM66" i="7" s="1"/>
  <c r="PYO66" i="7" s="1"/>
  <c r="PYQ66" i="7" s="1"/>
  <c r="PYS66" i="7" s="1"/>
  <c r="PYU66" i="7" s="1"/>
  <c r="PYW66" i="7" s="1"/>
  <c r="PYY66" i="7" s="1"/>
  <c r="PZA66" i="7" s="1"/>
  <c r="PZC66" i="7" s="1"/>
  <c r="PZE66" i="7" s="1"/>
  <c r="PZG66" i="7" s="1"/>
  <c r="PZI66" i="7" s="1"/>
  <c r="PZK66" i="7" s="1"/>
  <c r="PZM66" i="7" s="1"/>
  <c r="PZO66" i="7" s="1"/>
  <c r="PZQ66" i="7" s="1"/>
  <c r="PZS66" i="7" s="1"/>
  <c r="PZU66" i="7" s="1"/>
  <c r="PZW66" i="7" s="1"/>
  <c r="PZY66" i="7" s="1"/>
  <c r="QAA66" i="7" s="1"/>
  <c r="QAC66" i="7" s="1"/>
  <c r="QAE66" i="7" s="1"/>
  <c r="QAG66" i="7" s="1"/>
  <c r="QAI66" i="7" s="1"/>
  <c r="QAK66" i="7" s="1"/>
  <c r="QAM66" i="7" s="1"/>
  <c r="QAO66" i="7" s="1"/>
  <c r="QAQ66" i="7" s="1"/>
  <c r="QAS66" i="7" s="1"/>
  <c r="QAU66" i="7" s="1"/>
  <c r="QAW66" i="7" s="1"/>
  <c r="QAY66" i="7" s="1"/>
  <c r="QBA66" i="7" s="1"/>
  <c r="QBC66" i="7" s="1"/>
  <c r="QBE66" i="7" s="1"/>
  <c r="QBG66" i="7" s="1"/>
  <c r="QBI66" i="7" s="1"/>
  <c r="QBK66" i="7" s="1"/>
  <c r="QBM66" i="7" s="1"/>
  <c r="QBO66" i="7" s="1"/>
  <c r="QBQ66" i="7" s="1"/>
  <c r="QBS66" i="7" s="1"/>
  <c r="QBU66" i="7" s="1"/>
  <c r="QBW66" i="7" s="1"/>
  <c r="QBY66" i="7" s="1"/>
  <c r="QCA66" i="7" s="1"/>
  <c r="QCC66" i="7" s="1"/>
  <c r="QCE66" i="7" s="1"/>
  <c r="QCG66" i="7" s="1"/>
  <c r="QCI66" i="7" s="1"/>
  <c r="QCK66" i="7" s="1"/>
  <c r="QCM66" i="7" s="1"/>
  <c r="QCO66" i="7" s="1"/>
  <c r="QCQ66" i="7" s="1"/>
  <c r="QCS66" i="7" s="1"/>
  <c r="QCU66" i="7" s="1"/>
  <c r="QCW66" i="7" s="1"/>
  <c r="QCY66" i="7" s="1"/>
  <c r="QDA66" i="7" s="1"/>
  <c r="QDC66" i="7" s="1"/>
  <c r="QDE66" i="7" s="1"/>
  <c r="QDG66" i="7" s="1"/>
  <c r="QDI66" i="7" s="1"/>
  <c r="QDK66" i="7" s="1"/>
  <c r="QDM66" i="7" s="1"/>
  <c r="QDO66" i="7" s="1"/>
  <c r="QDQ66" i="7" s="1"/>
  <c r="QDS66" i="7" s="1"/>
  <c r="QDU66" i="7" s="1"/>
  <c r="QDW66" i="7" s="1"/>
  <c r="QDY66" i="7" s="1"/>
  <c r="QEA66" i="7" s="1"/>
  <c r="QEC66" i="7" s="1"/>
  <c r="QEE66" i="7" s="1"/>
  <c r="QEG66" i="7" s="1"/>
  <c r="QEI66" i="7" s="1"/>
  <c r="QEK66" i="7" s="1"/>
  <c r="QEM66" i="7" s="1"/>
  <c r="QEO66" i="7" s="1"/>
  <c r="QEQ66" i="7" s="1"/>
  <c r="QES66" i="7" s="1"/>
  <c r="QEU66" i="7" s="1"/>
  <c r="QEW66" i="7" s="1"/>
  <c r="QEY66" i="7" s="1"/>
  <c r="QFA66" i="7" s="1"/>
  <c r="QFC66" i="7" s="1"/>
  <c r="QFE66" i="7" s="1"/>
  <c r="QFG66" i="7" s="1"/>
  <c r="QFI66" i="7" s="1"/>
  <c r="QFK66" i="7" s="1"/>
  <c r="QFM66" i="7" s="1"/>
  <c r="QFO66" i="7" s="1"/>
  <c r="QFQ66" i="7" s="1"/>
  <c r="QFS66" i="7" s="1"/>
  <c r="QFU66" i="7" s="1"/>
  <c r="QFW66" i="7" s="1"/>
  <c r="QFY66" i="7" s="1"/>
  <c r="QGA66" i="7" s="1"/>
  <c r="QGC66" i="7" s="1"/>
  <c r="QGE66" i="7" s="1"/>
  <c r="QGG66" i="7" s="1"/>
  <c r="QGI66" i="7" s="1"/>
  <c r="QGK66" i="7" s="1"/>
  <c r="QGM66" i="7" s="1"/>
  <c r="QGO66" i="7" s="1"/>
  <c r="QGQ66" i="7" s="1"/>
  <c r="QGS66" i="7" s="1"/>
  <c r="QGU66" i="7" s="1"/>
  <c r="QGW66" i="7" s="1"/>
  <c r="QGY66" i="7" s="1"/>
  <c r="QHA66" i="7" s="1"/>
  <c r="QHC66" i="7" s="1"/>
  <c r="QHE66" i="7" s="1"/>
  <c r="QHG66" i="7" s="1"/>
  <c r="QHI66" i="7" s="1"/>
  <c r="QHK66" i="7" s="1"/>
  <c r="QHM66" i="7" s="1"/>
  <c r="QHO66" i="7" s="1"/>
  <c r="QHQ66" i="7" s="1"/>
  <c r="QHS66" i="7" s="1"/>
  <c r="QHU66" i="7" s="1"/>
  <c r="QHW66" i="7" s="1"/>
  <c r="QHY66" i="7" s="1"/>
  <c r="QIA66" i="7" s="1"/>
  <c r="QIC66" i="7" s="1"/>
  <c r="QIE66" i="7" s="1"/>
  <c r="QIG66" i="7" s="1"/>
  <c r="QII66" i="7" s="1"/>
  <c r="QIK66" i="7" s="1"/>
  <c r="QIM66" i="7" s="1"/>
  <c r="QIO66" i="7" s="1"/>
  <c r="QIQ66" i="7" s="1"/>
  <c r="QIS66" i="7" s="1"/>
  <c r="QIU66" i="7" s="1"/>
  <c r="QIW66" i="7" s="1"/>
  <c r="QIY66" i="7" s="1"/>
  <c r="QJA66" i="7" s="1"/>
  <c r="QJC66" i="7" s="1"/>
  <c r="QJE66" i="7" s="1"/>
  <c r="QJG66" i="7" s="1"/>
  <c r="QJI66" i="7" s="1"/>
  <c r="QJK66" i="7" s="1"/>
  <c r="QJM66" i="7" s="1"/>
  <c r="QJO66" i="7" s="1"/>
  <c r="QJQ66" i="7" s="1"/>
  <c r="QJS66" i="7" s="1"/>
  <c r="QJU66" i="7" s="1"/>
  <c r="QJW66" i="7" s="1"/>
  <c r="QJY66" i="7" s="1"/>
  <c r="QKA66" i="7" s="1"/>
  <c r="QKC66" i="7" s="1"/>
  <c r="QKE66" i="7" s="1"/>
  <c r="QKG66" i="7" s="1"/>
  <c r="QKI66" i="7" s="1"/>
  <c r="QKK66" i="7" s="1"/>
  <c r="QKM66" i="7" s="1"/>
  <c r="QKO66" i="7" s="1"/>
  <c r="QKQ66" i="7" s="1"/>
  <c r="QKS66" i="7" s="1"/>
  <c r="QKU66" i="7" s="1"/>
  <c r="QKW66" i="7" s="1"/>
  <c r="QKY66" i="7" s="1"/>
  <c r="QLA66" i="7" s="1"/>
  <c r="QLC66" i="7" s="1"/>
  <c r="QLE66" i="7" s="1"/>
  <c r="QLG66" i="7" s="1"/>
  <c r="QLI66" i="7" s="1"/>
  <c r="QLK66" i="7" s="1"/>
  <c r="QLM66" i="7" s="1"/>
  <c r="QLO66" i="7" s="1"/>
  <c r="QLQ66" i="7" s="1"/>
  <c r="QLS66" i="7" s="1"/>
  <c r="QLU66" i="7" s="1"/>
  <c r="QLW66" i="7" s="1"/>
  <c r="QLY66" i="7" s="1"/>
  <c r="QMA66" i="7" s="1"/>
  <c r="QMC66" i="7" s="1"/>
  <c r="QME66" i="7" s="1"/>
  <c r="QMG66" i="7" s="1"/>
  <c r="QMI66" i="7" s="1"/>
  <c r="QMK66" i="7" s="1"/>
  <c r="QMM66" i="7" s="1"/>
  <c r="QMO66" i="7" s="1"/>
  <c r="QMQ66" i="7" s="1"/>
  <c r="QMS66" i="7" s="1"/>
  <c r="QMU66" i="7" s="1"/>
  <c r="QMW66" i="7" s="1"/>
  <c r="QMY66" i="7" s="1"/>
  <c r="QNA66" i="7" s="1"/>
  <c r="QNC66" i="7" s="1"/>
  <c r="QNE66" i="7" s="1"/>
  <c r="QNG66" i="7" s="1"/>
  <c r="QNI66" i="7" s="1"/>
  <c r="QNK66" i="7" s="1"/>
  <c r="QNM66" i="7" s="1"/>
  <c r="QNO66" i="7" s="1"/>
  <c r="QNQ66" i="7" s="1"/>
  <c r="QNS66" i="7" s="1"/>
  <c r="QNU66" i="7" s="1"/>
  <c r="QNW66" i="7" s="1"/>
  <c r="QNY66" i="7" s="1"/>
  <c r="QOA66" i="7" s="1"/>
  <c r="QOC66" i="7" s="1"/>
  <c r="QOE66" i="7" s="1"/>
  <c r="QOG66" i="7" s="1"/>
  <c r="QOI66" i="7" s="1"/>
  <c r="QOK66" i="7" s="1"/>
  <c r="QOM66" i="7" s="1"/>
  <c r="QOO66" i="7" s="1"/>
  <c r="QOQ66" i="7" s="1"/>
  <c r="QOS66" i="7" s="1"/>
  <c r="QOU66" i="7" s="1"/>
  <c r="QOW66" i="7" s="1"/>
  <c r="QOY66" i="7" s="1"/>
  <c r="QPA66" i="7" s="1"/>
  <c r="QPC66" i="7" s="1"/>
  <c r="QPE66" i="7" s="1"/>
  <c r="QPG66" i="7" s="1"/>
  <c r="QPI66" i="7" s="1"/>
  <c r="QPK66" i="7" s="1"/>
  <c r="QPM66" i="7" s="1"/>
  <c r="QPO66" i="7" s="1"/>
  <c r="QPQ66" i="7" s="1"/>
  <c r="QPS66" i="7" s="1"/>
  <c r="QPU66" i="7" s="1"/>
  <c r="QPW66" i="7" s="1"/>
  <c r="QPY66" i="7" s="1"/>
  <c r="QQA66" i="7" s="1"/>
  <c r="QQC66" i="7" s="1"/>
  <c r="QQE66" i="7" s="1"/>
  <c r="QQG66" i="7" s="1"/>
  <c r="QQI66" i="7" s="1"/>
  <c r="QQK66" i="7" s="1"/>
  <c r="QQM66" i="7" s="1"/>
  <c r="QQO66" i="7" s="1"/>
  <c r="QQQ66" i="7" s="1"/>
  <c r="QQS66" i="7" s="1"/>
  <c r="QQU66" i="7" s="1"/>
  <c r="QQW66" i="7" s="1"/>
  <c r="QQY66" i="7" s="1"/>
  <c r="QRA66" i="7" s="1"/>
  <c r="QRC66" i="7" s="1"/>
  <c r="QRE66" i="7" s="1"/>
  <c r="QRG66" i="7" s="1"/>
  <c r="QRI66" i="7" s="1"/>
  <c r="QRK66" i="7" s="1"/>
  <c r="QRM66" i="7" s="1"/>
  <c r="QRO66" i="7" s="1"/>
  <c r="QRQ66" i="7" s="1"/>
  <c r="QRS66" i="7" s="1"/>
  <c r="QRU66" i="7" s="1"/>
  <c r="QRW66" i="7" s="1"/>
  <c r="QRY66" i="7" s="1"/>
  <c r="QSA66" i="7" s="1"/>
  <c r="QSC66" i="7" s="1"/>
  <c r="QSE66" i="7" s="1"/>
  <c r="QSG66" i="7" s="1"/>
  <c r="QSI66" i="7" s="1"/>
  <c r="QSK66" i="7" s="1"/>
  <c r="QSM66" i="7" s="1"/>
  <c r="QSO66" i="7" s="1"/>
  <c r="QSQ66" i="7" s="1"/>
  <c r="QSS66" i="7" s="1"/>
  <c r="QSU66" i="7" s="1"/>
  <c r="QSW66" i="7" s="1"/>
  <c r="QSY66" i="7" s="1"/>
  <c r="QTA66" i="7" s="1"/>
  <c r="QTC66" i="7" s="1"/>
  <c r="QTE66" i="7" s="1"/>
  <c r="QTG66" i="7" s="1"/>
  <c r="QTI66" i="7" s="1"/>
  <c r="QTK66" i="7" s="1"/>
  <c r="QTM66" i="7" s="1"/>
  <c r="QTO66" i="7" s="1"/>
  <c r="QTQ66" i="7" s="1"/>
  <c r="QTS66" i="7" s="1"/>
  <c r="QTU66" i="7" s="1"/>
  <c r="QTW66" i="7" s="1"/>
  <c r="QTY66" i="7" s="1"/>
  <c r="QUA66" i="7" s="1"/>
  <c r="QUC66" i="7" s="1"/>
  <c r="QUE66" i="7" s="1"/>
  <c r="QUG66" i="7" s="1"/>
  <c r="QUI66" i="7" s="1"/>
  <c r="QUK66" i="7" s="1"/>
  <c r="QUM66" i="7" s="1"/>
  <c r="QUO66" i="7" s="1"/>
  <c r="QUQ66" i="7" s="1"/>
  <c r="QUS66" i="7" s="1"/>
  <c r="QUU66" i="7" s="1"/>
  <c r="QUW66" i="7" s="1"/>
  <c r="QUY66" i="7" s="1"/>
  <c r="QVA66" i="7" s="1"/>
  <c r="QVC66" i="7" s="1"/>
  <c r="QVE66" i="7" s="1"/>
  <c r="QVG66" i="7" s="1"/>
  <c r="QVI66" i="7" s="1"/>
  <c r="QVK66" i="7" s="1"/>
  <c r="QVM66" i="7" s="1"/>
  <c r="QVO66" i="7" s="1"/>
  <c r="QVQ66" i="7" s="1"/>
  <c r="QVS66" i="7" s="1"/>
  <c r="QVU66" i="7" s="1"/>
  <c r="QVW66" i="7" s="1"/>
  <c r="QVY66" i="7" s="1"/>
  <c r="QWA66" i="7" s="1"/>
  <c r="QWC66" i="7" s="1"/>
  <c r="QWE66" i="7" s="1"/>
  <c r="QWG66" i="7" s="1"/>
  <c r="QWI66" i="7" s="1"/>
  <c r="QWK66" i="7" s="1"/>
  <c r="QWM66" i="7" s="1"/>
  <c r="QWO66" i="7" s="1"/>
  <c r="QWQ66" i="7" s="1"/>
  <c r="QWS66" i="7" s="1"/>
  <c r="QWU66" i="7" s="1"/>
  <c r="QWW66" i="7" s="1"/>
  <c r="QWY66" i="7" s="1"/>
  <c r="QXA66" i="7" s="1"/>
  <c r="QXC66" i="7" s="1"/>
  <c r="QXE66" i="7" s="1"/>
  <c r="QXG66" i="7" s="1"/>
  <c r="QXI66" i="7" s="1"/>
  <c r="QXK66" i="7" s="1"/>
  <c r="QXM66" i="7" s="1"/>
  <c r="QXO66" i="7" s="1"/>
  <c r="QXQ66" i="7" s="1"/>
  <c r="QXS66" i="7" s="1"/>
  <c r="QXU66" i="7" s="1"/>
  <c r="QXW66" i="7" s="1"/>
  <c r="QXY66" i="7" s="1"/>
  <c r="QYA66" i="7" s="1"/>
  <c r="QYC66" i="7" s="1"/>
  <c r="QYE66" i="7" s="1"/>
  <c r="QYG66" i="7" s="1"/>
  <c r="QYI66" i="7" s="1"/>
  <c r="QYK66" i="7" s="1"/>
  <c r="QYM66" i="7" s="1"/>
  <c r="QYO66" i="7" s="1"/>
  <c r="QYQ66" i="7" s="1"/>
  <c r="QYS66" i="7" s="1"/>
  <c r="QYU66" i="7" s="1"/>
  <c r="QYW66" i="7" s="1"/>
  <c r="QYY66" i="7" s="1"/>
  <c r="QZA66" i="7" s="1"/>
  <c r="QZC66" i="7" s="1"/>
  <c r="QZE66" i="7" s="1"/>
  <c r="QZG66" i="7" s="1"/>
  <c r="QZI66" i="7" s="1"/>
  <c r="QZK66" i="7" s="1"/>
  <c r="QZM66" i="7" s="1"/>
  <c r="QZO66" i="7" s="1"/>
  <c r="QZQ66" i="7" s="1"/>
  <c r="QZS66" i="7" s="1"/>
  <c r="QZU66" i="7" s="1"/>
  <c r="QZW66" i="7" s="1"/>
  <c r="QZY66" i="7" s="1"/>
  <c r="RAA66" i="7" s="1"/>
  <c r="RAC66" i="7" s="1"/>
  <c r="RAE66" i="7" s="1"/>
  <c r="RAG66" i="7" s="1"/>
  <c r="RAI66" i="7" s="1"/>
  <c r="RAK66" i="7" s="1"/>
  <c r="RAM66" i="7" s="1"/>
  <c r="RAO66" i="7" s="1"/>
  <c r="RAQ66" i="7" s="1"/>
  <c r="RAS66" i="7" s="1"/>
  <c r="RAU66" i="7" s="1"/>
  <c r="RAW66" i="7" s="1"/>
  <c r="RAY66" i="7" s="1"/>
  <c r="RBA66" i="7" s="1"/>
  <c r="RBC66" i="7" s="1"/>
  <c r="RBE66" i="7" s="1"/>
  <c r="RBG66" i="7" s="1"/>
  <c r="RBI66" i="7" s="1"/>
  <c r="RBK66" i="7" s="1"/>
  <c r="RBM66" i="7" s="1"/>
  <c r="RBO66" i="7" s="1"/>
  <c r="RBQ66" i="7" s="1"/>
  <c r="RBS66" i="7" s="1"/>
  <c r="RBU66" i="7" s="1"/>
  <c r="RBW66" i="7" s="1"/>
  <c r="RBY66" i="7" s="1"/>
  <c r="RCA66" i="7" s="1"/>
  <c r="RCC66" i="7" s="1"/>
  <c r="RCE66" i="7" s="1"/>
  <c r="RCG66" i="7" s="1"/>
  <c r="RCI66" i="7" s="1"/>
  <c r="RCK66" i="7" s="1"/>
  <c r="RCM66" i="7" s="1"/>
  <c r="RCO66" i="7" s="1"/>
  <c r="RCQ66" i="7" s="1"/>
  <c r="RCS66" i="7" s="1"/>
  <c r="RCU66" i="7" s="1"/>
  <c r="RCW66" i="7" s="1"/>
  <c r="RCY66" i="7" s="1"/>
  <c r="RDA66" i="7" s="1"/>
  <c r="RDC66" i="7" s="1"/>
  <c r="RDE66" i="7" s="1"/>
  <c r="RDG66" i="7" s="1"/>
  <c r="RDI66" i="7" s="1"/>
  <c r="RDK66" i="7" s="1"/>
  <c r="RDM66" i="7" s="1"/>
  <c r="RDO66" i="7" s="1"/>
  <c r="RDQ66" i="7" s="1"/>
  <c r="RDS66" i="7" s="1"/>
  <c r="RDU66" i="7" s="1"/>
  <c r="RDW66" i="7" s="1"/>
  <c r="RDY66" i="7" s="1"/>
  <c r="REA66" i="7" s="1"/>
  <c r="REC66" i="7" s="1"/>
  <c r="REE66" i="7" s="1"/>
  <c r="REG66" i="7" s="1"/>
  <c r="REI66" i="7" s="1"/>
  <c r="REK66" i="7" s="1"/>
  <c r="REM66" i="7" s="1"/>
  <c r="REO66" i="7" s="1"/>
  <c r="REQ66" i="7" s="1"/>
  <c r="RES66" i="7" s="1"/>
  <c r="REU66" i="7" s="1"/>
  <c r="REW66" i="7" s="1"/>
  <c r="REY66" i="7" s="1"/>
  <c r="RFA66" i="7" s="1"/>
  <c r="RFC66" i="7" s="1"/>
  <c r="RFE66" i="7" s="1"/>
  <c r="RFG66" i="7" s="1"/>
  <c r="RFI66" i="7" s="1"/>
  <c r="RFK66" i="7" s="1"/>
  <c r="RFM66" i="7" s="1"/>
  <c r="RFO66" i="7" s="1"/>
  <c r="RFQ66" i="7" s="1"/>
  <c r="RFS66" i="7" s="1"/>
  <c r="RFU66" i="7" s="1"/>
  <c r="RFW66" i="7" s="1"/>
  <c r="RFY66" i="7" s="1"/>
  <c r="RGA66" i="7" s="1"/>
  <c r="RGC66" i="7" s="1"/>
  <c r="RGE66" i="7" s="1"/>
  <c r="RGG66" i="7" s="1"/>
  <c r="RGI66" i="7" s="1"/>
  <c r="RGK66" i="7" s="1"/>
  <c r="RGM66" i="7" s="1"/>
  <c r="RGO66" i="7" s="1"/>
  <c r="RGQ66" i="7" s="1"/>
  <c r="RGS66" i="7" s="1"/>
  <c r="RGU66" i="7" s="1"/>
  <c r="RGW66" i="7" s="1"/>
  <c r="RGY66" i="7" s="1"/>
  <c r="RHA66" i="7" s="1"/>
  <c r="RHC66" i="7" s="1"/>
  <c r="RHE66" i="7" s="1"/>
  <c r="RHG66" i="7" s="1"/>
  <c r="RHI66" i="7" s="1"/>
  <c r="RHK66" i="7" s="1"/>
  <c r="RHM66" i="7" s="1"/>
  <c r="RHO66" i="7" s="1"/>
  <c r="RHQ66" i="7" s="1"/>
  <c r="RHS66" i="7" s="1"/>
  <c r="RHU66" i="7" s="1"/>
  <c r="RHW66" i="7" s="1"/>
  <c r="RHY66" i="7" s="1"/>
  <c r="RIA66" i="7" s="1"/>
  <c r="RIC66" i="7" s="1"/>
  <c r="RIE66" i="7" s="1"/>
  <c r="RIG66" i="7" s="1"/>
  <c r="RII66" i="7" s="1"/>
  <c r="RIK66" i="7" s="1"/>
  <c r="RIM66" i="7" s="1"/>
  <c r="RIO66" i="7" s="1"/>
  <c r="RIQ66" i="7" s="1"/>
  <c r="RIS66" i="7" s="1"/>
  <c r="RIU66" i="7" s="1"/>
  <c r="RIW66" i="7" s="1"/>
  <c r="RIY66" i="7" s="1"/>
  <c r="RJA66" i="7" s="1"/>
  <c r="RJC66" i="7" s="1"/>
  <c r="RJE66" i="7" s="1"/>
  <c r="RJG66" i="7" s="1"/>
  <c r="RJI66" i="7" s="1"/>
  <c r="RJK66" i="7" s="1"/>
  <c r="RJM66" i="7" s="1"/>
  <c r="RJO66" i="7" s="1"/>
  <c r="RJQ66" i="7" s="1"/>
  <c r="RJS66" i="7" s="1"/>
  <c r="RJU66" i="7" s="1"/>
  <c r="RJW66" i="7" s="1"/>
  <c r="RJY66" i="7" s="1"/>
  <c r="RKA66" i="7" s="1"/>
  <c r="RKC66" i="7" s="1"/>
  <c r="RKE66" i="7" s="1"/>
  <c r="RKG66" i="7" s="1"/>
  <c r="RKI66" i="7" s="1"/>
  <c r="RKK66" i="7" s="1"/>
  <c r="RKM66" i="7" s="1"/>
  <c r="RKO66" i="7" s="1"/>
  <c r="RKQ66" i="7" s="1"/>
  <c r="RKS66" i="7" s="1"/>
  <c r="RKU66" i="7" s="1"/>
  <c r="RKW66" i="7" s="1"/>
  <c r="RKY66" i="7" s="1"/>
  <c r="RLA66" i="7" s="1"/>
  <c r="RLC66" i="7" s="1"/>
  <c r="RLE66" i="7" s="1"/>
  <c r="RLG66" i="7" s="1"/>
  <c r="RLI66" i="7" s="1"/>
  <c r="RLK66" i="7" s="1"/>
  <c r="RLM66" i="7" s="1"/>
  <c r="RLO66" i="7" s="1"/>
  <c r="RLQ66" i="7" s="1"/>
  <c r="RLS66" i="7" s="1"/>
  <c r="RLU66" i="7" s="1"/>
  <c r="RLW66" i="7" s="1"/>
  <c r="RLY66" i="7" s="1"/>
  <c r="RMA66" i="7" s="1"/>
  <c r="RMC66" i="7" s="1"/>
  <c r="RME66" i="7" s="1"/>
  <c r="RMG66" i="7" s="1"/>
  <c r="RMI66" i="7" s="1"/>
  <c r="RMK66" i="7" s="1"/>
  <c r="RMM66" i="7" s="1"/>
  <c r="RMO66" i="7" s="1"/>
  <c r="RMQ66" i="7" s="1"/>
  <c r="RMS66" i="7" s="1"/>
  <c r="RMU66" i="7" s="1"/>
  <c r="RMW66" i="7" s="1"/>
  <c r="RMY66" i="7" s="1"/>
  <c r="RNA66" i="7" s="1"/>
  <c r="RNC66" i="7" s="1"/>
  <c r="RNE66" i="7" s="1"/>
  <c r="RNG66" i="7" s="1"/>
  <c r="RNI66" i="7" s="1"/>
  <c r="RNK66" i="7" s="1"/>
  <c r="RNM66" i="7" s="1"/>
  <c r="RNO66" i="7" s="1"/>
  <c r="RNQ66" i="7" s="1"/>
  <c r="RNS66" i="7" s="1"/>
  <c r="RNU66" i="7" s="1"/>
  <c r="RNW66" i="7" s="1"/>
  <c r="RNY66" i="7" s="1"/>
  <c r="ROA66" i="7" s="1"/>
  <c r="ROC66" i="7" s="1"/>
  <c r="ROE66" i="7" s="1"/>
  <c r="ROG66" i="7" s="1"/>
  <c r="ROI66" i="7" s="1"/>
  <c r="ROK66" i="7" s="1"/>
  <c r="ROM66" i="7" s="1"/>
  <c r="ROO66" i="7" s="1"/>
  <c r="ROQ66" i="7" s="1"/>
  <c r="ROS66" i="7" s="1"/>
  <c r="ROU66" i="7" s="1"/>
  <c r="ROW66" i="7" s="1"/>
  <c r="ROY66" i="7" s="1"/>
  <c r="RPA66" i="7" s="1"/>
  <c r="RPC66" i="7" s="1"/>
  <c r="RPE66" i="7" s="1"/>
  <c r="RPG66" i="7" s="1"/>
  <c r="RPI66" i="7" s="1"/>
  <c r="RPK66" i="7" s="1"/>
  <c r="RPM66" i="7" s="1"/>
  <c r="RPO66" i="7" s="1"/>
  <c r="RPQ66" i="7" s="1"/>
  <c r="RPS66" i="7" s="1"/>
  <c r="RPU66" i="7" s="1"/>
  <c r="RPW66" i="7" s="1"/>
  <c r="RPY66" i="7" s="1"/>
  <c r="RQA66" i="7" s="1"/>
  <c r="RQC66" i="7" s="1"/>
  <c r="RQE66" i="7" s="1"/>
  <c r="RQG66" i="7" s="1"/>
  <c r="RQI66" i="7" s="1"/>
  <c r="RQK66" i="7" s="1"/>
  <c r="RQM66" i="7" s="1"/>
  <c r="RQO66" i="7" s="1"/>
  <c r="RQQ66" i="7" s="1"/>
  <c r="RQS66" i="7" s="1"/>
  <c r="RQU66" i="7" s="1"/>
  <c r="RQW66" i="7" s="1"/>
  <c r="RQY66" i="7" s="1"/>
  <c r="RRA66" i="7" s="1"/>
  <c r="RRC66" i="7" s="1"/>
  <c r="RRE66" i="7" s="1"/>
  <c r="RRG66" i="7" s="1"/>
  <c r="RRI66" i="7" s="1"/>
  <c r="RRK66" i="7" s="1"/>
  <c r="RRM66" i="7" s="1"/>
  <c r="RRO66" i="7" s="1"/>
  <c r="RRQ66" i="7" s="1"/>
  <c r="RRS66" i="7" s="1"/>
  <c r="RRU66" i="7" s="1"/>
  <c r="RRW66" i="7" s="1"/>
  <c r="RRY66" i="7" s="1"/>
  <c r="RSA66" i="7" s="1"/>
  <c r="RSC66" i="7" s="1"/>
  <c r="RSE66" i="7" s="1"/>
  <c r="RSG66" i="7" s="1"/>
  <c r="RSI66" i="7" s="1"/>
  <c r="RSK66" i="7" s="1"/>
  <c r="RSM66" i="7" s="1"/>
  <c r="RSO66" i="7" s="1"/>
  <c r="RSQ66" i="7" s="1"/>
  <c r="RSS66" i="7" s="1"/>
  <c r="RSU66" i="7" s="1"/>
  <c r="RSW66" i="7" s="1"/>
  <c r="RSY66" i="7" s="1"/>
  <c r="RTA66" i="7" s="1"/>
  <c r="RTC66" i="7" s="1"/>
  <c r="RTE66" i="7" s="1"/>
  <c r="RTG66" i="7" s="1"/>
  <c r="RTI66" i="7" s="1"/>
  <c r="RTK66" i="7" s="1"/>
  <c r="RTM66" i="7" s="1"/>
  <c r="RTO66" i="7" s="1"/>
  <c r="RTQ66" i="7" s="1"/>
  <c r="RTS66" i="7" s="1"/>
  <c r="RTU66" i="7" s="1"/>
  <c r="RTW66" i="7" s="1"/>
  <c r="RTY66" i="7" s="1"/>
  <c r="RUA66" i="7" s="1"/>
  <c r="RUC66" i="7" s="1"/>
  <c r="RUE66" i="7" s="1"/>
  <c r="RUG66" i="7" s="1"/>
  <c r="RUI66" i="7" s="1"/>
  <c r="RUK66" i="7" s="1"/>
  <c r="RUM66" i="7" s="1"/>
  <c r="RUO66" i="7" s="1"/>
  <c r="RUQ66" i="7" s="1"/>
  <c r="RUS66" i="7" s="1"/>
  <c r="RUU66" i="7" s="1"/>
  <c r="RUW66" i="7" s="1"/>
  <c r="RUY66" i="7" s="1"/>
  <c r="RVA66" i="7" s="1"/>
  <c r="RVC66" i="7" s="1"/>
  <c r="RVE66" i="7" s="1"/>
  <c r="RVG66" i="7" s="1"/>
  <c r="RVI66" i="7" s="1"/>
  <c r="RVK66" i="7" s="1"/>
  <c r="RVM66" i="7" s="1"/>
  <c r="RVO66" i="7" s="1"/>
  <c r="RVQ66" i="7" s="1"/>
  <c r="RVS66" i="7" s="1"/>
  <c r="RVU66" i="7" s="1"/>
  <c r="RVW66" i="7" s="1"/>
  <c r="RVY66" i="7" s="1"/>
  <c r="RWA66" i="7" s="1"/>
  <c r="RWC66" i="7" s="1"/>
  <c r="RWE66" i="7" s="1"/>
  <c r="RWG66" i="7" s="1"/>
  <c r="RWI66" i="7" s="1"/>
  <c r="RWK66" i="7" s="1"/>
  <c r="RWM66" i="7" s="1"/>
  <c r="RWO66" i="7" s="1"/>
  <c r="RWQ66" i="7" s="1"/>
  <c r="RWS66" i="7" s="1"/>
  <c r="RWU66" i="7" s="1"/>
  <c r="RWW66" i="7" s="1"/>
  <c r="RWY66" i="7" s="1"/>
  <c r="RXA66" i="7" s="1"/>
  <c r="RXC66" i="7" s="1"/>
  <c r="RXE66" i="7" s="1"/>
  <c r="RXG66" i="7" s="1"/>
  <c r="RXI66" i="7" s="1"/>
  <c r="RXK66" i="7" s="1"/>
  <c r="RXM66" i="7" s="1"/>
  <c r="RXO66" i="7" s="1"/>
  <c r="RXQ66" i="7" s="1"/>
  <c r="RXS66" i="7" s="1"/>
  <c r="RXU66" i="7" s="1"/>
  <c r="RXW66" i="7" s="1"/>
  <c r="RXY66" i="7" s="1"/>
  <c r="RYA66" i="7" s="1"/>
  <c r="RYC66" i="7" s="1"/>
  <c r="RYE66" i="7" s="1"/>
  <c r="RYG66" i="7" s="1"/>
  <c r="RYI66" i="7" s="1"/>
  <c r="RYK66" i="7" s="1"/>
  <c r="RYM66" i="7" s="1"/>
  <c r="RYO66" i="7" s="1"/>
  <c r="RYQ66" i="7" s="1"/>
  <c r="RYS66" i="7" s="1"/>
  <c r="RYU66" i="7" s="1"/>
  <c r="RYW66" i="7" s="1"/>
  <c r="RYY66" i="7" s="1"/>
  <c r="RZA66" i="7" s="1"/>
  <c r="RZC66" i="7" s="1"/>
  <c r="RZE66" i="7" s="1"/>
  <c r="RZG66" i="7" s="1"/>
  <c r="RZI66" i="7" s="1"/>
  <c r="RZK66" i="7" s="1"/>
  <c r="RZM66" i="7" s="1"/>
  <c r="RZO66" i="7" s="1"/>
  <c r="RZQ66" i="7" s="1"/>
  <c r="RZS66" i="7" s="1"/>
  <c r="RZU66" i="7" s="1"/>
  <c r="RZW66" i="7" s="1"/>
  <c r="RZY66" i="7" s="1"/>
  <c r="SAA66" i="7" s="1"/>
  <c r="SAC66" i="7" s="1"/>
  <c r="SAE66" i="7" s="1"/>
  <c r="SAG66" i="7" s="1"/>
  <c r="SAI66" i="7" s="1"/>
  <c r="SAK66" i="7" s="1"/>
  <c r="SAM66" i="7" s="1"/>
  <c r="SAO66" i="7" s="1"/>
  <c r="SAQ66" i="7" s="1"/>
  <c r="SAS66" i="7" s="1"/>
  <c r="SAU66" i="7" s="1"/>
  <c r="SAW66" i="7" s="1"/>
  <c r="SAY66" i="7" s="1"/>
  <c r="SBA66" i="7" s="1"/>
  <c r="SBC66" i="7" s="1"/>
  <c r="SBE66" i="7" s="1"/>
  <c r="SBG66" i="7" s="1"/>
  <c r="SBI66" i="7" s="1"/>
  <c r="SBK66" i="7" s="1"/>
  <c r="SBM66" i="7" s="1"/>
  <c r="SBO66" i="7" s="1"/>
  <c r="SBQ66" i="7" s="1"/>
  <c r="SBS66" i="7" s="1"/>
  <c r="SBU66" i="7" s="1"/>
  <c r="SBW66" i="7" s="1"/>
  <c r="SBY66" i="7" s="1"/>
  <c r="SCA66" i="7" s="1"/>
  <c r="SCC66" i="7" s="1"/>
  <c r="SCE66" i="7" s="1"/>
  <c r="SCG66" i="7" s="1"/>
  <c r="SCI66" i="7" s="1"/>
  <c r="SCK66" i="7" s="1"/>
  <c r="SCM66" i="7" s="1"/>
  <c r="SCO66" i="7" s="1"/>
  <c r="SCQ66" i="7" s="1"/>
  <c r="SCS66" i="7" s="1"/>
  <c r="SCU66" i="7" s="1"/>
  <c r="SCW66" i="7" s="1"/>
  <c r="SCY66" i="7" s="1"/>
  <c r="SDA66" i="7" s="1"/>
  <c r="SDC66" i="7" s="1"/>
  <c r="SDE66" i="7" s="1"/>
  <c r="SDG66" i="7" s="1"/>
  <c r="SDI66" i="7" s="1"/>
  <c r="SDK66" i="7" s="1"/>
  <c r="SDM66" i="7" s="1"/>
  <c r="SDO66" i="7" s="1"/>
  <c r="SDQ66" i="7" s="1"/>
  <c r="SDS66" i="7" s="1"/>
  <c r="SDU66" i="7" s="1"/>
  <c r="SDW66" i="7" s="1"/>
  <c r="SDY66" i="7" s="1"/>
  <c r="SEA66" i="7" s="1"/>
  <c r="SEC66" i="7" s="1"/>
  <c r="SEE66" i="7" s="1"/>
  <c r="SEG66" i="7" s="1"/>
  <c r="SEI66" i="7" s="1"/>
  <c r="SEK66" i="7" s="1"/>
  <c r="SEM66" i="7" s="1"/>
  <c r="SEO66" i="7" s="1"/>
  <c r="SEQ66" i="7" s="1"/>
  <c r="SES66" i="7" s="1"/>
  <c r="SEU66" i="7" s="1"/>
  <c r="SEW66" i="7" s="1"/>
  <c r="SEY66" i="7" s="1"/>
  <c r="SFA66" i="7" s="1"/>
  <c r="SFC66" i="7" s="1"/>
  <c r="SFE66" i="7" s="1"/>
  <c r="SFG66" i="7" s="1"/>
  <c r="SFI66" i="7" s="1"/>
  <c r="SFK66" i="7" s="1"/>
  <c r="SFM66" i="7" s="1"/>
  <c r="SFO66" i="7" s="1"/>
  <c r="SFQ66" i="7" s="1"/>
  <c r="SFS66" i="7" s="1"/>
  <c r="SFU66" i="7" s="1"/>
  <c r="SFW66" i="7" s="1"/>
  <c r="SFY66" i="7" s="1"/>
  <c r="SGA66" i="7" s="1"/>
  <c r="SGC66" i="7" s="1"/>
  <c r="SGE66" i="7" s="1"/>
  <c r="SGG66" i="7" s="1"/>
  <c r="SGI66" i="7" s="1"/>
  <c r="SGK66" i="7" s="1"/>
  <c r="SGM66" i="7" s="1"/>
  <c r="SGO66" i="7" s="1"/>
  <c r="SGQ66" i="7" s="1"/>
  <c r="SGS66" i="7" s="1"/>
  <c r="SGU66" i="7" s="1"/>
  <c r="SGW66" i="7" s="1"/>
  <c r="SGY66" i="7" s="1"/>
  <c r="SHA66" i="7" s="1"/>
  <c r="SHC66" i="7" s="1"/>
  <c r="SHE66" i="7" s="1"/>
  <c r="SHG66" i="7" s="1"/>
  <c r="SHI66" i="7" s="1"/>
  <c r="SHK66" i="7" s="1"/>
  <c r="SHM66" i="7" s="1"/>
  <c r="SHO66" i="7" s="1"/>
  <c r="SHQ66" i="7" s="1"/>
  <c r="SHS66" i="7" s="1"/>
  <c r="SHU66" i="7" s="1"/>
  <c r="SHW66" i="7" s="1"/>
  <c r="SHY66" i="7" s="1"/>
  <c r="SIA66" i="7" s="1"/>
  <c r="SIC66" i="7" s="1"/>
  <c r="SIE66" i="7" s="1"/>
  <c r="SIG66" i="7" s="1"/>
  <c r="SII66" i="7" s="1"/>
  <c r="SIK66" i="7" s="1"/>
  <c r="SIM66" i="7" s="1"/>
  <c r="SIO66" i="7" s="1"/>
  <c r="SIQ66" i="7" s="1"/>
  <c r="SIS66" i="7" s="1"/>
  <c r="SIU66" i="7" s="1"/>
  <c r="SIW66" i="7" s="1"/>
  <c r="SIY66" i="7" s="1"/>
  <c r="SJA66" i="7" s="1"/>
  <c r="SJC66" i="7" s="1"/>
  <c r="SJE66" i="7" s="1"/>
  <c r="SJG66" i="7" s="1"/>
  <c r="SJI66" i="7" s="1"/>
  <c r="SJK66" i="7" s="1"/>
  <c r="SJM66" i="7" s="1"/>
  <c r="SJO66" i="7" s="1"/>
  <c r="SJQ66" i="7" s="1"/>
  <c r="SJS66" i="7" s="1"/>
  <c r="SJU66" i="7" s="1"/>
  <c r="SJW66" i="7" s="1"/>
  <c r="SJY66" i="7" s="1"/>
  <c r="SKA66" i="7" s="1"/>
  <c r="SKC66" i="7" s="1"/>
  <c r="SKE66" i="7" s="1"/>
  <c r="SKG66" i="7" s="1"/>
  <c r="SKI66" i="7" s="1"/>
  <c r="SKK66" i="7" s="1"/>
  <c r="SKM66" i="7" s="1"/>
  <c r="SKO66" i="7" s="1"/>
  <c r="SKQ66" i="7" s="1"/>
  <c r="SKS66" i="7" s="1"/>
  <c r="SKU66" i="7" s="1"/>
  <c r="SKW66" i="7" s="1"/>
  <c r="SKY66" i="7" s="1"/>
  <c r="SLA66" i="7" s="1"/>
  <c r="SLC66" i="7" s="1"/>
  <c r="SLE66" i="7" s="1"/>
  <c r="SLG66" i="7" s="1"/>
  <c r="SLI66" i="7" s="1"/>
  <c r="SLK66" i="7" s="1"/>
  <c r="SLM66" i="7" s="1"/>
  <c r="SLO66" i="7" s="1"/>
  <c r="SLQ66" i="7" s="1"/>
  <c r="SLS66" i="7" s="1"/>
  <c r="SLU66" i="7" s="1"/>
  <c r="SLW66" i="7" s="1"/>
  <c r="SLY66" i="7" s="1"/>
  <c r="SMA66" i="7" s="1"/>
  <c r="SMC66" i="7" s="1"/>
  <c r="SME66" i="7" s="1"/>
  <c r="SMG66" i="7" s="1"/>
  <c r="SMI66" i="7" s="1"/>
  <c r="SMK66" i="7" s="1"/>
  <c r="SMM66" i="7" s="1"/>
  <c r="SMO66" i="7" s="1"/>
  <c r="SMQ66" i="7" s="1"/>
  <c r="SMS66" i="7" s="1"/>
  <c r="SMU66" i="7" s="1"/>
  <c r="SMW66" i="7" s="1"/>
  <c r="SMY66" i="7" s="1"/>
  <c r="SNA66" i="7" s="1"/>
  <c r="SNC66" i="7" s="1"/>
  <c r="SNE66" i="7" s="1"/>
  <c r="SNG66" i="7" s="1"/>
  <c r="SNI66" i="7" s="1"/>
  <c r="SNK66" i="7" s="1"/>
  <c r="SNM66" i="7" s="1"/>
  <c r="SNO66" i="7" s="1"/>
  <c r="SNQ66" i="7" s="1"/>
  <c r="SNS66" i="7" s="1"/>
  <c r="SNU66" i="7" s="1"/>
  <c r="SNW66" i="7" s="1"/>
  <c r="SNY66" i="7" s="1"/>
  <c r="SOA66" i="7" s="1"/>
  <c r="SOC66" i="7" s="1"/>
  <c r="SOE66" i="7" s="1"/>
  <c r="SOG66" i="7" s="1"/>
  <c r="SOI66" i="7" s="1"/>
  <c r="SOK66" i="7" s="1"/>
  <c r="SOM66" i="7" s="1"/>
  <c r="SOO66" i="7" s="1"/>
  <c r="SOQ66" i="7" s="1"/>
  <c r="SOS66" i="7" s="1"/>
  <c r="SOU66" i="7" s="1"/>
  <c r="SOW66" i="7" s="1"/>
  <c r="SOY66" i="7" s="1"/>
  <c r="SPA66" i="7" s="1"/>
  <c r="SPC66" i="7" s="1"/>
  <c r="SPE66" i="7" s="1"/>
  <c r="SPG66" i="7" s="1"/>
  <c r="SPI66" i="7" s="1"/>
  <c r="SPK66" i="7" s="1"/>
  <c r="SPM66" i="7" s="1"/>
  <c r="SPO66" i="7" s="1"/>
  <c r="SPQ66" i="7" s="1"/>
  <c r="SPS66" i="7" s="1"/>
  <c r="SPU66" i="7" s="1"/>
  <c r="SPW66" i="7" s="1"/>
  <c r="SPY66" i="7" s="1"/>
  <c r="SQA66" i="7" s="1"/>
  <c r="SQC66" i="7" s="1"/>
  <c r="SQE66" i="7" s="1"/>
  <c r="SQG66" i="7" s="1"/>
  <c r="SQI66" i="7" s="1"/>
  <c r="SQK66" i="7" s="1"/>
  <c r="SQM66" i="7" s="1"/>
  <c r="SQO66" i="7" s="1"/>
  <c r="SQQ66" i="7" s="1"/>
  <c r="SQS66" i="7" s="1"/>
  <c r="SQU66" i="7" s="1"/>
  <c r="SQW66" i="7" s="1"/>
  <c r="SQY66" i="7" s="1"/>
  <c r="SRA66" i="7" s="1"/>
  <c r="SRC66" i="7" s="1"/>
  <c r="SRE66" i="7" s="1"/>
  <c r="SRG66" i="7" s="1"/>
  <c r="SRI66" i="7" s="1"/>
  <c r="SRK66" i="7" s="1"/>
  <c r="SRM66" i="7" s="1"/>
  <c r="SRO66" i="7" s="1"/>
  <c r="SRQ66" i="7" s="1"/>
  <c r="SRS66" i="7" s="1"/>
  <c r="SRU66" i="7" s="1"/>
  <c r="SRW66" i="7" s="1"/>
  <c r="SRY66" i="7" s="1"/>
  <c r="SSA66" i="7" s="1"/>
  <c r="SSC66" i="7" s="1"/>
  <c r="SSE66" i="7" s="1"/>
  <c r="SSG66" i="7" s="1"/>
  <c r="SSI66" i="7" s="1"/>
  <c r="SSK66" i="7" s="1"/>
  <c r="SSM66" i="7" s="1"/>
  <c r="SSO66" i="7" s="1"/>
  <c r="SSQ66" i="7" s="1"/>
  <c r="SSS66" i="7" s="1"/>
  <c r="SSU66" i="7" s="1"/>
  <c r="SSW66" i="7" s="1"/>
  <c r="SSY66" i="7" s="1"/>
  <c r="STA66" i="7" s="1"/>
  <c r="STC66" i="7" s="1"/>
  <c r="STE66" i="7" s="1"/>
  <c r="STG66" i="7" s="1"/>
  <c r="STI66" i="7" s="1"/>
  <c r="STK66" i="7" s="1"/>
  <c r="STM66" i="7" s="1"/>
  <c r="STO66" i="7" s="1"/>
  <c r="STQ66" i="7" s="1"/>
  <c r="STS66" i="7" s="1"/>
  <c r="STU66" i="7" s="1"/>
  <c r="STW66" i="7" s="1"/>
  <c r="STY66" i="7" s="1"/>
  <c r="SUA66" i="7" s="1"/>
  <c r="SUC66" i="7" s="1"/>
  <c r="SUE66" i="7" s="1"/>
  <c r="SUG66" i="7" s="1"/>
  <c r="SUI66" i="7" s="1"/>
  <c r="SUK66" i="7" s="1"/>
  <c r="SUM66" i="7" s="1"/>
  <c r="SUO66" i="7" s="1"/>
  <c r="SUQ66" i="7" s="1"/>
  <c r="SUS66" i="7" s="1"/>
  <c r="SUU66" i="7" s="1"/>
  <c r="SUW66" i="7" s="1"/>
  <c r="SUY66" i="7" s="1"/>
  <c r="SVA66" i="7" s="1"/>
  <c r="SVC66" i="7" s="1"/>
  <c r="SVE66" i="7" s="1"/>
  <c r="SVG66" i="7" s="1"/>
  <c r="SVI66" i="7" s="1"/>
  <c r="SVK66" i="7" s="1"/>
  <c r="SVM66" i="7" s="1"/>
  <c r="SVO66" i="7" s="1"/>
  <c r="SVQ66" i="7" s="1"/>
  <c r="SVS66" i="7" s="1"/>
  <c r="SVU66" i="7" s="1"/>
  <c r="SVW66" i="7" s="1"/>
  <c r="SVY66" i="7" s="1"/>
  <c r="SWA66" i="7" s="1"/>
  <c r="SWC66" i="7" s="1"/>
  <c r="SWE66" i="7" s="1"/>
  <c r="SWG66" i="7" s="1"/>
  <c r="SWI66" i="7" s="1"/>
  <c r="SWK66" i="7" s="1"/>
  <c r="SWM66" i="7" s="1"/>
  <c r="SWO66" i="7" s="1"/>
  <c r="SWQ66" i="7" s="1"/>
  <c r="SWS66" i="7" s="1"/>
  <c r="SWU66" i="7" s="1"/>
  <c r="SWW66" i="7" s="1"/>
  <c r="SWY66" i="7" s="1"/>
  <c r="SXA66" i="7" s="1"/>
  <c r="SXC66" i="7" s="1"/>
  <c r="SXE66" i="7" s="1"/>
  <c r="SXG66" i="7" s="1"/>
  <c r="SXI66" i="7" s="1"/>
  <c r="SXK66" i="7" s="1"/>
  <c r="SXM66" i="7" s="1"/>
  <c r="SXO66" i="7" s="1"/>
  <c r="SXQ66" i="7" s="1"/>
  <c r="SXS66" i="7" s="1"/>
  <c r="SXU66" i="7" s="1"/>
  <c r="SXW66" i="7" s="1"/>
  <c r="SXY66" i="7" s="1"/>
  <c r="SYA66" i="7" s="1"/>
  <c r="SYC66" i="7" s="1"/>
  <c r="SYE66" i="7" s="1"/>
  <c r="SYG66" i="7" s="1"/>
  <c r="SYI66" i="7" s="1"/>
  <c r="SYK66" i="7" s="1"/>
  <c r="SYM66" i="7" s="1"/>
  <c r="SYO66" i="7" s="1"/>
  <c r="SYQ66" i="7" s="1"/>
  <c r="SYS66" i="7" s="1"/>
  <c r="SYU66" i="7" s="1"/>
  <c r="SYW66" i="7" s="1"/>
  <c r="SYY66" i="7" s="1"/>
  <c r="SZA66" i="7" s="1"/>
  <c r="SZC66" i="7" s="1"/>
  <c r="SZE66" i="7" s="1"/>
  <c r="SZG66" i="7" s="1"/>
  <c r="SZI66" i="7" s="1"/>
  <c r="SZK66" i="7" s="1"/>
  <c r="SZM66" i="7" s="1"/>
  <c r="SZO66" i="7" s="1"/>
  <c r="SZQ66" i="7" s="1"/>
  <c r="SZS66" i="7" s="1"/>
  <c r="SZU66" i="7" s="1"/>
  <c r="SZW66" i="7" s="1"/>
  <c r="SZY66" i="7" s="1"/>
  <c r="TAA66" i="7" s="1"/>
  <c r="TAC66" i="7" s="1"/>
  <c r="TAE66" i="7" s="1"/>
  <c r="TAG66" i="7" s="1"/>
  <c r="TAI66" i="7" s="1"/>
  <c r="TAK66" i="7" s="1"/>
  <c r="TAM66" i="7" s="1"/>
  <c r="TAO66" i="7" s="1"/>
  <c r="TAQ66" i="7" s="1"/>
  <c r="TAS66" i="7" s="1"/>
  <c r="TAU66" i="7" s="1"/>
  <c r="TAW66" i="7" s="1"/>
  <c r="TAY66" i="7" s="1"/>
  <c r="TBA66" i="7" s="1"/>
  <c r="TBC66" i="7" s="1"/>
  <c r="TBE66" i="7" s="1"/>
  <c r="TBG66" i="7" s="1"/>
  <c r="TBI66" i="7" s="1"/>
  <c r="TBK66" i="7" s="1"/>
  <c r="TBM66" i="7" s="1"/>
  <c r="TBO66" i="7" s="1"/>
  <c r="TBQ66" i="7" s="1"/>
  <c r="TBS66" i="7" s="1"/>
  <c r="TBU66" i="7" s="1"/>
  <c r="TBW66" i="7" s="1"/>
  <c r="TBY66" i="7" s="1"/>
  <c r="TCA66" i="7" s="1"/>
  <c r="TCC66" i="7" s="1"/>
  <c r="TCE66" i="7" s="1"/>
  <c r="TCG66" i="7" s="1"/>
  <c r="TCI66" i="7" s="1"/>
  <c r="TCK66" i="7" s="1"/>
  <c r="TCM66" i="7" s="1"/>
  <c r="TCO66" i="7" s="1"/>
  <c r="TCQ66" i="7" s="1"/>
  <c r="TCS66" i="7" s="1"/>
  <c r="TCU66" i="7" s="1"/>
  <c r="TCW66" i="7" s="1"/>
  <c r="TCY66" i="7" s="1"/>
  <c r="TDA66" i="7" s="1"/>
  <c r="TDC66" i="7" s="1"/>
  <c r="TDE66" i="7" s="1"/>
  <c r="TDG66" i="7" s="1"/>
  <c r="TDI66" i="7" s="1"/>
  <c r="TDK66" i="7" s="1"/>
  <c r="TDM66" i="7" s="1"/>
  <c r="TDO66" i="7" s="1"/>
  <c r="TDQ66" i="7" s="1"/>
  <c r="TDS66" i="7" s="1"/>
  <c r="TDU66" i="7" s="1"/>
  <c r="TDW66" i="7" s="1"/>
  <c r="TDY66" i="7" s="1"/>
  <c r="TEA66" i="7" s="1"/>
  <c r="TEC66" i="7" s="1"/>
  <c r="TEE66" i="7" s="1"/>
  <c r="TEG66" i="7" s="1"/>
  <c r="TEI66" i="7" s="1"/>
  <c r="TEK66" i="7" s="1"/>
  <c r="TEM66" i="7" s="1"/>
  <c r="TEO66" i="7" s="1"/>
  <c r="TEQ66" i="7" s="1"/>
  <c r="TES66" i="7" s="1"/>
  <c r="TEU66" i="7" s="1"/>
  <c r="TEW66" i="7" s="1"/>
  <c r="TEY66" i="7" s="1"/>
  <c r="TFA66" i="7" s="1"/>
  <c r="TFC66" i="7" s="1"/>
  <c r="TFE66" i="7" s="1"/>
  <c r="TFG66" i="7" s="1"/>
  <c r="TFI66" i="7" s="1"/>
  <c r="TFK66" i="7" s="1"/>
  <c r="TFM66" i="7" s="1"/>
  <c r="TFO66" i="7" s="1"/>
  <c r="TFQ66" i="7" s="1"/>
  <c r="TFS66" i="7" s="1"/>
  <c r="TFU66" i="7" s="1"/>
  <c r="TFW66" i="7" s="1"/>
  <c r="TFY66" i="7" s="1"/>
  <c r="TGA66" i="7" s="1"/>
  <c r="TGC66" i="7" s="1"/>
  <c r="TGE66" i="7" s="1"/>
  <c r="TGG66" i="7" s="1"/>
  <c r="TGI66" i="7" s="1"/>
  <c r="TGK66" i="7" s="1"/>
  <c r="TGM66" i="7" s="1"/>
  <c r="TGO66" i="7" s="1"/>
  <c r="TGQ66" i="7" s="1"/>
  <c r="TGS66" i="7" s="1"/>
  <c r="TGU66" i="7" s="1"/>
  <c r="TGW66" i="7" s="1"/>
  <c r="TGY66" i="7" s="1"/>
  <c r="THA66" i="7" s="1"/>
  <c r="THC66" i="7" s="1"/>
  <c r="THE66" i="7" s="1"/>
  <c r="THG66" i="7" s="1"/>
  <c r="THI66" i="7" s="1"/>
  <c r="THK66" i="7" s="1"/>
  <c r="THM66" i="7" s="1"/>
  <c r="THO66" i="7" s="1"/>
  <c r="THQ66" i="7" s="1"/>
  <c r="THS66" i="7" s="1"/>
  <c r="THU66" i="7" s="1"/>
  <c r="THW66" i="7" s="1"/>
  <c r="THY66" i="7" s="1"/>
  <c r="TIA66" i="7" s="1"/>
  <c r="TIC66" i="7" s="1"/>
  <c r="TIE66" i="7" s="1"/>
  <c r="TIG66" i="7" s="1"/>
  <c r="TII66" i="7" s="1"/>
  <c r="TIK66" i="7" s="1"/>
  <c r="TIM66" i="7" s="1"/>
  <c r="TIO66" i="7" s="1"/>
  <c r="TIQ66" i="7" s="1"/>
  <c r="TIS66" i="7" s="1"/>
  <c r="TIU66" i="7" s="1"/>
  <c r="TIW66" i="7" s="1"/>
  <c r="TIY66" i="7" s="1"/>
  <c r="TJA66" i="7" s="1"/>
  <c r="TJC66" i="7" s="1"/>
  <c r="TJE66" i="7" s="1"/>
  <c r="TJG66" i="7" s="1"/>
  <c r="TJI66" i="7" s="1"/>
  <c r="TJK66" i="7" s="1"/>
  <c r="TJM66" i="7" s="1"/>
  <c r="TJO66" i="7" s="1"/>
  <c r="TJQ66" i="7" s="1"/>
  <c r="TJS66" i="7" s="1"/>
  <c r="TJU66" i="7" s="1"/>
  <c r="TJW66" i="7" s="1"/>
  <c r="TJY66" i="7" s="1"/>
  <c r="TKA66" i="7" s="1"/>
  <c r="TKC66" i="7" s="1"/>
  <c r="TKE66" i="7" s="1"/>
  <c r="TKG66" i="7" s="1"/>
  <c r="TKI66" i="7" s="1"/>
  <c r="TKK66" i="7" s="1"/>
  <c r="TKM66" i="7" s="1"/>
  <c r="TKO66" i="7" s="1"/>
  <c r="TKQ66" i="7" s="1"/>
  <c r="TKS66" i="7" s="1"/>
  <c r="TKU66" i="7" s="1"/>
  <c r="TKW66" i="7" s="1"/>
  <c r="TKY66" i="7" s="1"/>
  <c r="TLA66" i="7" s="1"/>
  <c r="TLC66" i="7" s="1"/>
  <c r="TLE66" i="7" s="1"/>
  <c r="TLG66" i="7" s="1"/>
  <c r="TLI66" i="7" s="1"/>
  <c r="TLK66" i="7" s="1"/>
  <c r="TLM66" i="7" s="1"/>
  <c r="TLO66" i="7" s="1"/>
  <c r="TLQ66" i="7" s="1"/>
  <c r="TLS66" i="7" s="1"/>
  <c r="TLU66" i="7" s="1"/>
  <c r="TLW66" i="7" s="1"/>
  <c r="TLY66" i="7" s="1"/>
  <c r="TMA66" i="7" s="1"/>
  <c r="TMC66" i="7" s="1"/>
  <c r="TME66" i="7" s="1"/>
  <c r="TMG66" i="7" s="1"/>
  <c r="TMI66" i="7" s="1"/>
  <c r="TMK66" i="7" s="1"/>
  <c r="TMM66" i="7" s="1"/>
  <c r="TMO66" i="7" s="1"/>
  <c r="TMQ66" i="7" s="1"/>
  <c r="TMS66" i="7" s="1"/>
  <c r="TMU66" i="7" s="1"/>
  <c r="TMW66" i="7" s="1"/>
  <c r="TMY66" i="7" s="1"/>
  <c r="TNA66" i="7" s="1"/>
  <c r="TNC66" i="7" s="1"/>
  <c r="TNE66" i="7" s="1"/>
  <c r="TNG66" i="7" s="1"/>
  <c r="TNI66" i="7" s="1"/>
  <c r="TNK66" i="7" s="1"/>
  <c r="TNM66" i="7" s="1"/>
  <c r="TNO66" i="7" s="1"/>
  <c r="TNQ66" i="7" s="1"/>
  <c r="TNS66" i="7" s="1"/>
  <c r="TNU66" i="7" s="1"/>
  <c r="TNW66" i="7" s="1"/>
  <c r="TNY66" i="7" s="1"/>
  <c r="TOA66" i="7" s="1"/>
  <c r="TOC66" i="7" s="1"/>
  <c r="TOE66" i="7" s="1"/>
  <c r="TOG66" i="7" s="1"/>
  <c r="TOI66" i="7" s="1"/>
  <c r="TOK66" i="7" s="1"/>
  <c r="TOM66" i="7" s="1"/>
  <c r="TOO66" i="7" s="1"/>
  <c r="TOQ66" i="7" s="1"/>
  <c r="TOS66" i="7" s="1"/>
  <c r="TOU66" i="7" s="1"/>
  <c r="TOW66" i="7" s="1"/>
  <c r="TOY66" i="7" s="1"/>
  <c r="TPA66" i="7" s="1"/>
  <c r="TPC66" i="7" s="1"/>
  <c r="TPE66" i="7" s="1"/>
  <c r="TPG66" i="7" s="1"/>
  <c r="TPI66" i="7" s="1"/>
  <c r="TPK66" i="7" s="1"/>
  <c r="TPM66" i="7" s="1"/>
  <c r="TPO66" i="7" s="1"/>
  <c r="TPQ66" i="7" s="1"/>
  <c r="TPS66" i="7" s="1"/>
  <c r="TPU66" i="7" s="1"/>
  <c r="TPW66" i="7" s="1"/>
  <c r="TPY66" i="7" s="1"/>
  <c r="TQA66" i="7" s="1"/>
  <c r="TQC66" i="7" s="1"/>
  <c r="TQE66" i="7" s="1"/>
  <c r="TQG66" i="7" s="1"/>
  <c r="TQI66" i="7" s="1"/>
  <c r="TQK66" i="7" s="1"/>
  <c r="TQM66" i="7" s="1"/>
  <c r="TQO66" i="7" s="1"/>
  <c r="TQQ66" i="7" s="1"/>
  <c r="TQS66" i="7" s="1"/>
  <c r="TQU66" i="7" s="1"/>
  <c r="TQW66" i="7" s="1"/>
  <c r="TQY66" i="7" s="1"/>
  <c r="TRA66" i="7" s="1"/>
  <c r="TRC66" i="7" s="1"/>
  <c r="TRE66" i="7" s="1"/>
  <c r="TRG66" i="7" s="1"/>
  <c r="TRI66" i="7" s="1"/>
  <c r="TRK66" i="7" s="1"/>
  <c r="TRM66" i="7" s="1"/>
  <c r="TRO66" i="7" s="1"/>
  <c r="TRQ66" i="7" s="1"/>
  <c r="TRS66" i="7" s="1"/>
  <c r="TRU66" i="7" s="1"/>
  <c r="TRW66" i="7" s="1"/>
  <c r="TRY66" i="7" s="1"/>
  <c r="TSA66" i="7" s="1"/>
  <c r="TSC66" i="7" s="1"/>
  <c r="TSE66" i="7" s="1"/>
  <c r="TSG66" i="7" s="1"/>
  <c r="TSI66" i="7" s="1"/>
  <c r="TSK66" i="7" s="1"/>
  <c r="TSM66" i="7" s="1"/>
  <c r="TSO66" i="7" s="1"/>
  <c r="TSQ66" i="7" s="1"/>
  <c r="TSS66" i="7" s="1"/>
  <c r="TSU66" i="7" s="1"/>
  <c r="TSW66" i="7" s="1"/>
  <c r="TSY66" i="7" s="1"/>
  <c r="TTA66" i="7" s="1"/>
  <c r="TTC66" i="7" s="1"/>
  <c r="TTE66" i="7" s="1"/>
  <c r="TTG66" i="7" s="1"/>
  <c r="TTI66" i="7" s="1"/>
  <c r="TTK66" i="7" s="1"/>
  <c r="TTM66" i="7" s="1"/>
  <c r="TTO66" i="7" s="1"/>
  <c r="TTQ66" i="7" s="1"/>
  <c r="TTS66" i="7" s="1"/>
  <c r="TTU66" i="7" s="1"/>
  <c r="TTW66" i="7" s="1"/>
  <c r="TTY66" i="7" s="1"/>
  <c r="TUA66" i="7" s="1"/>
  <c r="TUC66" i="7" s="1"/>
  <c r="TUE66" i="7" s="1"/>
  <c r="TUG66" i="7" s="1"/>
  <c r="TUI66" i="7" s="1"/>
  <c r="TUK66" i="7" s="1"/>
  <c r="TUM66" i="7" s="1"/>
  <c r="TUO66" i="7" s="1"/>
  <c r="TUQ66" i="7" s="1"/>
  <c r="TUS66" i="7" s="1"/>
  <c r="TUU66" i="7" s="1"/>
  <c r="TUW66" i="7" s="1"/>
  <c r="TUY66" i="7" s="1"/>
  <c r="TVA66" i="7" s="1"/>
  <c r="TVC66" i="7" s="1"/>
  <c r="TVE66" i="7" s="1"/>
  <c r="TVG66" i="7" s="1"/>
  <c r="TVI66" i="7" s="1"/>
  <c r="TVK66" i="7" s="1"/>
  <c r="TVM66" i="7" s="1"/>
  <c r="TVO66" i="7" s="1"/>
  <c r="TVQ66" i="7" s="1"/>
  <c r="TVS66" i="7" s="1"/>
  <c r="TVU66" i="7" s="1"/>
  <c r="TVW66" i="7" s="1"/>
  <c r="TVY66" i="7" s="1"/>
  <c r="TWA66" i="7" s="1"/>
  <c r="TWC66" i="7" s="1"/>
  <c r="TWE66" i="7" s="1"/>
  <c r="TWG66" i="7" s="1"/>
  <c r="TWI66" i="7" s="1"/>
  <c r="TWK66" i="7" s="1"/>
  <c r="TWM66" i="7" s="1"/>
  <c r="TWO66" i="7" s="1"/>
  <c r="TWQ66" i="7" s="1"/>
  <c r="TWS66" i="7" s="1"/>
  <c r="TWU66" i="7" s="1"/>
  <c r="TWW66" i="7" s="1"/>
  <c r="TWY66" i="7" s="1"/>
  <c r="TXA66" i="7" s="1"/>
  <c r="TXC66" i="7" s="1"/>
  <c r="TXE66" i="7" s="1"/>
  <c r="TXG66" i="7" s="1"/>
  <c r="TXI66" i="7" s="1"/>
  <c r="TXK66" i="7" s="1"/>
  <c r="TXM66" i="7" s="1"/>
  <c r="TXO66" i="7" s="1"/>
  <c r="TXQ66" i="7" s="1"/>
  <c r="TXS66" i="7" s="1"/>
  <c r="TXU66" i="7" s="1"/>
  <c r="TXW66" i="7" s="1"/>
  <c r="TXY66" i="7" s="1"/>
  <c r="TYA66" i="7" s="1"/>
  <c r="TYC66" i="7" s="1"/>
  <c r="TYE66" i="7" s="1"/>
  <c r="TYG66" i="7" s="1"/>
  <c r="TYI66" i="7" s="1"/>
  <c r="TYK66" i="7" s="1"/>
  <c r="TYM66" i="7" s="1"/>
  <c r="TYO66" i="7" s="1"/>
  <c r="TYQ66" i="7" s="1"/>
  <c r="TYS66" i="7" s="1"/>
  <c r="TYU66" i="7" s="1"/>
  <c r="TYW66" i="7" s="1"/>
  <c r="TYY66" i="7" s="1"/>
  <c r="TZA66" i="7" s="1"/>
  <c r="TZC66" i="7" s="1"/>
  <c r="TZE66" i="7" s="1"/>
  <c r="TZG66" i="7" s="1"/>
  <c r="TZI66" i="7" s="1"/>
  <c r="TZK66" i="7" s="1"/>
  <c r="TZM66" i="7" s="1"/>
  <c r="TZO66" i="7" s="1"/>
  <c r="TZQ66" i="7" s="1"/>
  <c r="TZS66" i="7" s="1"/>
  <c r="TZU66" i="7" s="1"/>
  <c r="TZW66" i="7" s="1"/>
  <c r="TZY66" i="7" s="1"/>
  <c r="UAA66" i="7" s="1"/>
  <c r="UAC66" i="7" s="1"/>
  <c r="UAE66" i="7" s="1"/>
  <c r="UAG66" i="7" s="1"/>
  <c r="UAI66" i="7" s="1"/>
  <c r="UAK66" i="7" s="1"/>
  <c r="UAM66" i="7" s="1"/>
  <c r="UAO66" i="7" s="1"/>
  <c r="UAQ66" i="7" s="1"/>
  <c r="UAS66" i="7" s="1"/>
  <c r="UAU66" i="7" s="1"/>
  <c r="UAW66" i="7" s="1"/>
  <c r="UAY66" i="7" s="1"/>
  <c r="UBA66" i="7" s="1"/>
  <c r="UBC66" i="7" s="1"/>
  <c r="UBE66" i="7" s="1"/>
  <c r="UBG66" i="7" s="1"/>
  <c r="UBI66" i="7" s="1"/>
  <c r="UBK66" i="7" s="1"/>
  <c r="UBM66" i="7" s="1"/>
  <c r="UBO66" i="7" s="1"/>
  <c r="UBQ66" i="7" s="1"/>
  <c r="UBS66" i="7" s="1"/>
  <c r="UBU66" i="7" s="1"/>
  <c r="UBW66" i="7" s="1"/>
  <c r="UBY66" i="7" s="1"/>
  <c r="UCA66" i="7" s="1"/>
  <c r="UCC66" i="7" s="1"/>
  <c r="UCE66" i="7" s="1"/>
  <c r="UCG66" i="7" s="1"/>
  <c r="UCI66" i="7" s="1"/>
  <c r="UCK66" i="7" s="1"/>
  <c r="UCM66" i="7" s="1"/>
  <c r="UCO66" i="7" s="1"/>
  <c r="UCQ66" i="7" s="1"/>
  <c r="UCS66" i="7" s="1"/>
  <c r="UCU66" i="7" s="1"/>
  <c r="UCW66" i="7" s="1"/>
  <c r="UCY66" i="7" s="1"/>
  <c r="UDA66" i="7" s="1"/>
  <c r="UDC66" i="7" s="1"/>
  <c r="UDE66" i="7" s="1"/>
  <c r="UDG66" i="7" s="1"/>
  <c r="UDI66" i="7" s="1"/>
  <c r="UDK66" i="7" s="1"/>
  <c r="UDM66" i="7" s="1"/>
  <c r="UDO66" i="7" s="1"/>
  <c r="UDQ66" i="7" s="1"/>
  <c r="UDS66" i="7" s="1"/>
  <c r="UDU66" i="7" s="1"/>
  <c r="UDW66" i="7" s="1"/>
  <c r="UDY66" i="7" s="1"/>
  <c r="UEA66" i="7" s="1"/>
  <c r="UEC66" i="7" s="1"/>
  <c r="UEE66" i="7" s="1"/>
  <c r="UEG66" i="7" s="1"/>
  <c r="UEI66" i="7" s="1"/>
  <c r="UEK66" i="7" s="1"/>
  <c r="UEM66" i="7" s="1"/>
  <c r="UEO66" i="7" s="1"/>
  <c r="UEQ66" i="7" s="1"/>
  <c r="UES66" i="7" s="1"/>
  <c r="UEU66" i="7" s="1"/>
  <c r="UEW66" i="7" s="1"/>
  <c r="UEY66" i="7" s="1"/>
  <c r="UFA66" i="7" s="1"/>
  <c r="UFC66" i="7" s="1"/>
  <c r="UFE66" i="7" s="1"/>
  <c r="UFG66" i="7" s="1"/>
  <c r="UFI66" i="7" s="1"/>
  <c r="UFK66" i="7" s="1"/>
  <c r="UFM66" i="7" s="1"/>
  <c r="UFO66" i="7" s="1"/>
  <c r="UFQ66" i="7" s="1"/>
  <c r="UFS66" i="7" s="1"/>
  <c r="UFU66" i="7" s="1"/>
  <c r="UFW66" i="7" s="1"/>
  <c r="UFY66" i="7" s="1"/>
  <c r="UGA66" i="7" s="1"/>
  <c r="UGC66" i="7" s="1"/>
  <c r="UGE66" i="7" s="1"/>
  <c r="UGG66" i="7" s="1"/>
  <c r="UGI66" i="7" s="1"/>
  <c r="UGK66" i="7" s="1"/>
  <c r="UGM66" i="7" s="1"/>
  <c r="UGO66" i="7" s="1"/>
  <c r="UGQ66" i="7" s="1"/>
  <c r="UGS66" i="7" s="1"/>
  <c r="UGU66" i="7" s="1"/>
  <c r="UGW66" i="7" s="1"/>
  <c r="UGY66" i="7" s="1"/>
  <c r="UHA66" i="7" s="1"/>
  <c r="UHC66" i="7" s="1"/>
  <c r="UHE66" i="7" s="1"/>
  <c r="UHG66" i="7" s="1"/>
  <c r="UHI66" i="7" s="1"/>
  <c r="UHK66" i="7" s="1"/>
  <c r="UHM66" i="7" s="1"/>
  <c r="UHO66" i="7" s="1"/>
  <c r="UHQ66" i="7" s="1"/>
  <c r="UHS66" i="7" s="1"/>
  <c r="UHU66" i="7" s="1"/>
  <c r="UHW66" i="7" s="1"/>
  <c r="UHY66" i="7" s="1"/>
  <c r="UIA66" i="7" s="1"/>
  <c r="UIC66" i="7" s="1"/>
  <c r="UIE66" i="7" s="1"/>
  <c r="UIG66" i="7" s="1"/>
  <c r="UII66" i="7" s="1"/>
  <c r="UIK66" i="7" s="1"/>
  <c r="UIM66" i="7" s="1"/>
  <c r="UIO66" i="7" s="1"/>
  <c r="UIQ66" i="7" s="1"/>
  <c r="UIS66" i="7" s="1"/>
  <c r="UIU66" i="7" s="1"/>
  <c r="UIW66" i="7" s="1"/>
  <c r="UIY66" i="7" s="1"/>
  <c r="UJA66" i="7" s="1"/>
  <c r="UJC66" i="7" s="1"/>
  <c r="UJE66" i="7" s="1"/>
  <c r="UJG66" i="7" s="1"/>
  <c r="UJI66" i="7" s="1"/>
  <c r="UJK66" i="7" s="1"/>
  <c r="UJM66" i="7" s="1"/>
  <c r="UJO66" i="7" s="1"/>
  <c r="UJQ66" i="7" s="1"/>
  <c r="UJS66" i="7" s="1"/>
  <c r="UJU66" i="7" s="1"/>
  <c r="UJW66" i="7" s="1"/>
  <c r="UJY66" i="7" s="1"/>
  <c r="UKA66" i="7" s="1"/>
  <c r="UKC66" i="7" s="1"/>
  <c r="UKE66" i="7" s="1"/>
  <c r="UKG66" i="7" s="1"/>
  <c r="UKI66" i="7" s="1"/>
  <c r="UKK66" i="7" s="1"/>
  <c r="UKM66" i="7" s="1"/>
  <c r="UKO66" i="7" s="1"/>
  <c r="UKQ66" i="7" s="1"/>
  <c r="UKS66" i="7" s="1"/>
  <c r="UKU66" i="7" s="1"/>
  <c r="UKW66" i="7" s="1"/>
  <c r="UKY66" i="7" s="1"/>
  <c r="ULA66" i="7" s="1"/>
  <c r="ULC66" i="7" s="1"/>
  <c r="ULE66" i="7" s="1"/>
  <c r="ULG66" i="7" s="1"/>
  <c r="ULI66" i="7" s="1"/>
  <c r="ULK66" i="7" s="1"/>
  <c r="ULM66" i="7" s="1"/>
  <c r="ULO66" i="7" s="1"/>
  <c r="ULQ66" i="7" s="1"/>
  <c r="ULS66" i="7" s="1"/>
  <c r="ULU66" i="7" s="1"/>
  <c r="ULW66" i="7" s="1"/>
  <c r="ULY66" i="7" s="1"/>
  <c r="UMA66" i="7" s="1"/>
  <c r="UMC66" i="7" s="1"/>
  <c r="UME66" i="7" s="1"/>
  <c r="UMG66" i="7" s="1"/>
  <c r="UMI66" i="7" s="1"/>
  <c r="UMK66" i="7" s="1"/>
  <c r="UMM66" i="7" s="1"/>
  <c r="UMO66" i="7" s="1"/>
  <c r="UMQ66" i="7" s="1"/>
  <c r="UMS66" i="7" s="1"/>
  <c r="UMU66" i="7" s="1"/>
  <c r="UMW66" i="7" s="1"/>
  <c r="UMY66" i="7" s="1"/>
  <c r="UNA66" i="7" s="1"/>
  <c r="UNC66" i="7" s="1"/>
  <c r="UNE66" i="7" s="1"/>
  <c r="UNG66" i="7" s="1"/>
  <c r="UNI66" i="7" s="1"/>
  <c r="UNK66" i="7" s="1"/>
  <c r="UNM66" i="7" s="1"/>
  <c r="UNO66" i="7" s="1"/>
  <c r="UNQ66" i="7" s="1"/>
  <c r="UNS66" i="7" s="1"/>
  <c r="UNU66" i="7" s="1"/>
  <c r="UNW66" i="7" s="1"/>
  <c r="UNY66" i="7" s="1"/>
  <c r="UOA66" i="7" s="1"/>
  <c r="UOC66" i="7" s="1"/>
  <c r="UOE66" i="7" s="1"/>
  <c r="UOG66" i="7" s="1"/>
  <c r="UOI66" i="7" s="1"/>
  <c r="UOK66" i="7" s="1"/>
  <c r="UOM66" i="7" s="1"/>
  <c r="UOO66" i="7" s="1"/>
  <c r="UOQ66" i="7" s="1"/>
  <c r="UOS66" i="7" s="1"/>
  <c r="UOU66" i="7" s="1"/>
  <c r="UOW66" i="7" s="1"/>
  <c r="UOY66" i="7" s="1"/>
  <c r="UPA66" i="7" s="1"/>
  <c r="UPC66" i="7" s="1"/>
  <c r="UPE66" i="7" s="1"/>
  <c r="UPG66" i="7" s="1"/>
  <c r="UPI66" i="7" s="1"/>
  <c r="UPK66" i="7" s="1"/>
  <c r="UPM66" i="7" s="1"/>
  <c r="UPO66" i="7" s="1"/>
  <c r="UPQ66" i="7" s="1"/>
  <c r="UPS66" i="7" s="1"/>
  <c r="UPU66" i="7" s="1"/>
  <c r="UPW66" i="7" s="1"/>
  <c r="UPY66" i="7" s="1"/>
  <c r="UQA66" i="7" s="1"/>
  <c r="UQC66" i="7" s="1"/>
  <c r="UQE66" i="7" s="1"/>
  <c r="UQG66" i="7" s="1"/>
  <c r="UQI66" i="7" s="1"/>
  <c r="UQK66" i="7" s="1"/>
  <c r="UQM66" i="7" s="1"/>
  <c r="UQO66" i="7" s="1"/>
  <c r="UQQ66" i="7" s="1"/>
  <c r="UQS66" i="7" s="1"/>
  <c r="UQU66" i="7" s="1"/>
  <c r="UQW66" i="7" s="1"/>
  <c r="UQY66" i="7" s="1"/>
  <c r="URA66" i="7" s="1"/>
  <c r="URC66" i="7" s="1"/>
  <c r="URE66" i="7" s="1"/>
  <c r="URG66" i="7" s="1"/>
  <c r="URI66" i="7" s="1"/>
  <c r="URK66" i="7" s="1"/>
  <c r="URM66" i="7" s="1"/>
  <c r="URO66" i="7" s="1"/>
  <c r="URQ66" i="7" s="1"/>
  <c r="URS66" i="7" s="1"/>
  <c r="URU66" i="7" s="1"/>
  <c r="URW66" i="7" s="1"/>
  <c r="URY66" i="7" s="1"/>
  <c r="USA66" i="7" s="1"/>
  <c r="USC66" i="7" s="1"/>
  <c r="USE66" i="7" s="1"/>
  <c r="USG66" i="7" s="1"/>
  <c r="USI66" i="7" s="1"/>
  <c r="USK66" i="7" s="1"/>
  <c r="USM66" i="7" s="1"/>
  <c r="USO66" i="7" s="1"/>
  <c r="USQ66" i="7" s="1"/>
  <c r="USS66" i="7" s="1"/>
  <c r="USU66" i="7" s="1"/>
  <c r="USW66" i="7" s="1"/>
  <c r="USY66" i="7" s="1"/>
  <c r="UTA66" i="7" s="1"/>
  <c r="UTC66" i="7" s="1"/>
  <c r="UTE66" i="7" s="1"/>
  <c r="UTG66" i="7" s="1"/>
  <c r="UTI66" i="7" s="1"/>
  <c r="UTK66" i="7" s="1"/>
  <c r="UTM66" i="7" s="1"/>
  <c r="UTO66" i="7" s="1"/>
  <c r="UTQ66" i="7" s="1"/>
  <c r="UTS66" i="7" s="1"/>
  <c r="UTU66" i="7" s="1"/>
  <c r="UTW66" i="7" s="1"/>
  <c r="UTY66" i="7" s="1"/>
  <c r="UUA66" i="7" s="1"/>
  <c r="UUC66" i="7" s="1"/>
  <c r="UUE66" i="7" s="1"/>
  <c r="UUG66" i="7" s="1"/>
  <c r="UUI66" i="7" s="1"/>
  <c r="UUK66" i="7" s="1"/>
  <c r="UUM66" i="7" s="1"/>
  <c r="UUO66" i="7" s="1"/>
  <c r="UUQ66" i="7" s="1"/>
  <c r="UUS66" i="7" s="1"/>
  <c r="UUU66" i="7" s="1"/>
  <c r="UUW66" i="7" s="1"/>
  <c r="UUY66" i="7" s="1"/>
  <c r="UVA66" i="7" s="1"/>
  <c r="UVC66" i="7" s="1"/>
  <c r="UVE66" i="7" s="1"/>
  <c r="UVG66" i="7" s="1"/>
  <c r="UVI66" i="7" s="1"/>
  <c r="UVK66" i="7" s="1"/>
  <c r="UVM66" i="7" s="1"/>
  <c r="UVO66" i="7" s="1"/>
  <c r="UVQ66" i="7" s="1"/>
  <c r="UVS66" i="7" s="1"/>
  <c r="UVU66" i="7" s="1"/>
  <c r="UVW66" i="7" s="1"/>
  <c r="UVY66" i="7" s="1"/>
  <c r="UWA66" i="7" s="1"/>
  <c r="UWC66" i="7" s="1"/>
  <c r="UWE66" i="7" s="1"/>
  <c r="UWG66" i="7" s="1"/>
  <c r="UWI66" i="7" s="1"/>
  <c r="UWK66" i="7" s="1"/>
  <c r="UWM66" i="7" s="1"/>
  <c r="UWO66" i="7" s="1"/>
  <c r="UWQ66" i="7" s="1"/>
  <c r="UWS66" i="7" s="1"/>
  <c r="UWU66" i="7" s="1"/>
  <c r="UWW66" i="7" s="1"/>
  <c r="UWY66" i="7" s="1"/>
  <c r="UXA66" i="7" s="1"/>
  <c r="UXC66" i="7" s="1"/>
  <c r="UXE66" i="7" s="1"/>
  <c r="UXG66" i="7" s="1"/>
  <c r="UXI66" i="7" s="1"/>
  <c r="UXK66" i="7" s="1"/>
  <c r="UXM66" i="7" s="1"/>
  <c r="UXO66" i="7" s="1"/>
  <c r="UXQ66" i="7" s="1"/>
  <c r="UXS66" i="7" s="1"/>
  <c r="UXU66" i="7" s="1"/>
  <c r="UXW66" i="7" s="1"/>
  <c r="UXY66" i="7" s="1"/>
  <c r="UYA66" i="7" s="1"/>
  <c r="UYC66" i="7" s="1"/>
  <c r="UYE66" i="7" s="1"/>
  <c r="UYG66" i="7" s="1"/>
  <c r="UYI66" i="7" s="1"/>
  <c r="UYK66" i="7" s="1"/>
  <c r="UYM66" i="7" s="1"/>
  <c r="UYO66" i="7" s="1"/>
  <c r="UYQ66" i="7" s="1"/>
  <c r="UYS66" i="7" s="1"/>
  <c r="UYU66" i="7" s="1"/>
  <c r="UYW66" i="7" s="1"/>
  <c r="UYY66" i="7" s="1"/>
  <c r="UZA66" i="7" s="1"/>
  <c r="UZC66" i="7" s="1"/>
  <c r="UZE66" i="7" s="1"/>
  <c r="UZG66" i="7" s="1"/>
  <c r="UZI66" i="7" s="1"/>
  <c r="UZK66" i="7" s="1"/>
  <c r="UZM66" i="7" s="1"/>
  <c r="UZO66" i="7" s="1"/>
  <c r="UZQ66" i="7" s="1"/>
  <c r="UZS66" i="7" s="1"/>
  <c r="UZU66" i="7" s="1"/>
  <c r="UZW66" i="7" s="1"/>
  <c r="UZY66" i="7" s="1"/>
  <c r="VAA66" i="7" s="1"/>
  <c r="VAC66" i="7" s="1"/>
  <c r="VAE66" i="7" s="1"/>
  <c r="VAG66" i="7" s="1"/>
  <c r="VAI66" i="7" s="1"/>
  <c r="VAK66" i="7" s="1"/>
  <c r="VAM66" i="7" s="1"/>
  <c r="VAO66" i="7" s="1"/>
  <c r="VAQ66" i="7" s="1"/>
  <c r="VAS66" i="7" s="1"/>
  <c r="VAU66" i="7" s="1"/>
  <c r="VAW66" i="7" s="1"/>
  <c r="VAY66" i="7" s="1"/>
  <c r="VBA66" i="7" s="1"/>
  <c r="VBC66" i="7" s="1"/>
  <c r="VBE66" i="7" s="1"/>
  <c r="VBG66" i="7" s="1"/>
  <c r="VBI66" i="7" s="1"/>
  <c r="VBK66" i="7" s="1"/>
  <c r="VBM66" i="7" s="1"/>
  <c r="VBO66" i="7" s="1"/>
  <c r="VBQ66" i="7" s="1"/>
  <c r="VBS66" i="7" s="1"/>
  <c r="VBU66" i="7" s="1"/>
  <c r="VBW66" i="7" s="1"/>
  <c r="VBY66" i="7" s="1"/>
  <c r="VCA66" i="7" s="1"/>
  <c r="VCC66" i="7" s="1"/>
  <c r="VCE66" i="7" s="1"/>
  <c r="VCG66" i="7" s="1"/>
  <c r="VCI66" i="7" s="1"/>
  <c r="VCK66" i="7" s="1"/>
  <c r="VCM66" i="7" s="1"/>
  <c r="VCO66" i="7" s="1"/>
  <c r="VCQ66" i="7" s="1"/>
  <c r="VCS66" i="7" s="1"/>
  <c r="VCU66" i="7" s="1"/>
  <c r="VCW66" i="7" s="1"/>
  <c r="VCY66" i="7" s="1"/>
  <c r="VDA66" i="7" s="1"/>
  <c r="VDC66" i="7" s="1"/>
  <c r="VDE66" i="7" s="1"/>
  <c r="VDG66" i="7" s="1"/>
  <c r="VDI66" i="7" s="1"/>
  <c r="VDK66" i="7" s="1"/>
  <c r="VDM66" i="7" s="1"/>
  <c r="VDO66" i="7" s="1"/>
  <c r="VDQ66" i="7" s="1"/>
  <c r="VDS66" i="7" s="1"/>
  <c r="VDU66" i="7" s="1"/>
  <c r="VDW66" i="7" s="1"/>
  <c r="VDY66" i="7" s="1"/>
  <c r="VEA66" i="7" s="1"/>
  <c r="VEC66" i="7" s="1"/>
  <c r="VEE66" i="7" s="1"/>
  <c r="VEG66" i="7" s="1"/>
  <c r="VEI66" i="7" s="1"/>
  <c r="VEK66" i="7" s="1"/>
  <c r="VEM66" i="7" s="1"/>
  <c r="VEO66" i="7" s="1"/>
  <c r="VEQ66" i="7" s="1"/>
  <c r="VES66" i="7" s="1"/>
  <c r="VEU66" i="7" s="1"/>
  <c r="VEW66" i="7" s="1"/>
  <c r="VEY66" i="7" s="1"/>
  <c r="VFA66" i="7" s="1"/>
  <c r="VFC66" i="7" s="1"/>
  <c r="VFE66" i="7" s="1"/>
  <c r="VFG66" i="7" s="1"/>
  <c r="VFI66" i="7" s="1"/>
  <c r="VFK66" i="7" s="1"/>
  <c r="VFM66" i="7" s="1"/>
  <c r="VFO66" i="7" s="1"/>
  <c r="VFQ66" i="7" s="1"/>
  <c r="VFS66" i="7" s="1"/>
  <c r="VFU66" i="7" s="1"/>
  <c r="VFW66" i="7" s="1"/>
  <c r="VFY66" i="7" s="1"/>
  <c r="VGA66" i="7" s="1"/>
  <c r="VGC66" i="7" s="1"/>
  <c r="VGE66" i="7" s="1"/>
  <c r="VGG66" i="7" s="1"/>
  <c r="VGI66" i="7" s="1"/>
  <c r="VGK66" i="7" s="1"/>
  <c r="VGM66" i="7" s="1"/>
  <c r="VGO66" i="7" s="1"/>
  <c r="VGQ66" i="7" s="1"/>
  <c r="VGS66" i="7" s="1"/>
  <c r="VGU66" i="7" s="1"/>
  <c r="VGW66" i="7" s="1"/>
  <c r="VGY66" i="7" s="1"/>
  <c r="VHA66" i="7" s="1"/>
  <c r="VHC66" i="7" s="1"/>
  <c r="VHE66" i="7" s="1"/>
  <c r="VHG66" i="7" s="1"/>
  <c r="VHI66" i="7" s="1"/>
  <c r="VHK66" i="7" s="1"/>
  <c r="VHM66" i="7" s="1"/>
  <c r="VHO66" i="7" s="1"/>
  <c r="VHQ66" i="7" s="1"/>
  <c r="VHS66" i="7" s="1"/>
  <c r="VHU66" i="7" s="1"/>
  <c r="VHW66" i="7" s="1"/>
  <c r="VHY66" i="7" s="1"/>
  <c r="VIA66" i="7" s="1"/>
  <c r="VIC66" i="7" s="1"/>
  <c r="VIE66" i="7" s="1"/>
  <c r="VIG66" i="7" s="1"/>
  <c r="VII66" i="7" s="1"/>
  <c r="VIK66" i="7" s="1"/>
  <c r="VIM66" i="7" s="1"/>
  <c r="VIO66" i="7" s="1"/>
  <c r="VIQ66" i="7" s="1"/>
  <c r="VIS66" i="7" s="1"/>
  <c r="VIU66" i="7" s="1"/>
  <c r="VIW66" i="7" s="1"/>
  <c r="VIY66" i="7" s="1"/>
  <c r="VJA66" i="7" s="1"/>
  <c r="VJC66" i="7" s="1"/>
  <c r="VJE66" i="7" s="1"/>
  <c r="VJG66" i="7" s="1"/>
  <c r="VJI66" i="7" s="1"/>
  <c r="VJK66" i="7" s="1"/>
  <c r="VJM66" i="7" s="1"/>
  <c r="VJO66" i="7" s="1"/>
  <c r="VJQ66" i="7" s="1"/>
  <c r="VJS66" i="7" s="1"/>
  <c r="VJU66" i="7" s="1"/>
  <c r="VJW66" i="7" s="1"/>
  <c r="VJY66" i="7" s="1"/>
  <c r="VKA66" i="7" s="1"/>
  <c r="VKC66" i="7" s="1"/>
  <c r="VKE66" i="7" s="1"/>
  <c r="VKG66" i="7" s="1"/>
  <c r="VKI66" i="7" s="1"/>
  <c r="VKK66" i="7" s="1"/>
  <c r="VKM66" i="7" s="1"/>
  <c r="VKO66" i="7" s="1"/>
  <c r="VKQ66" i="7" s="1"/>
  <c r="VKS66" i="7" s="1"/>
  <c r="VKU66" i="7" s="1"/>
  <c r="VKW66" i="7" s="1"/>
  <c r="VKY66" i="7" s="1"/>
  <c r="VLA66" i="7" s="1"/>
  <c r="VLC66" i="7" s="1"/>
  <c r="VLE66" i="7" s="1"/>
  <c r="VLG66" i="7" s="1"/>
  <c r="VLI66" i="7" s="1"/>
  <c r="VLK66" i="7" s="1"/>
  <c r="VLM66" i="7" s="1"/>
  <c r="VLO66" i="7" s="1"/>
  <c r="VLQ66" i="7" s="1"/>
  <c r="VLS66" i="7" s="1"/>
  <c r="VLU66" i="7" s="1"/>
  <c r="VLW66" i="7" s="1"/>
  <c r="VLY66" i="7" s="1"/>
  <c r="VMA66" i="7" s="1"/>
  <c r="VMC66" i="7" s="1"/>
  <c r="VME66" i="7" s="1"/>
  <c r="VMG66" i="7" s="1"/>
  <c r="VMI66" i="7" s="1"/>
  <c r="VMK66" i="7" s="1"/>
  <c r="VMM66" i="7" s="1"/>
  <c r="VMO66" i="7" s="1"/>
  <c r="VMQ66" i="7" s="1"/>
  <c r="VMS66" i="7" s="1"/>
  <c r="VMU66" i="7" s="1"/>
  <c r="VMW66" i="7" s="1"/>
  <c r="VMY66" i="7" s="1"/>
  <c r="VNA66" i="7" s="1"/>
  <c r="VNC66" i="7" s="1"/>
  <c r="VNE66" i="7" s="1"/>
  <c r="VNG66" i="7" s="1"/>
  <c r="VNI66" i="7" s="1"/>
  <c r="VNK66" i="7" s="1"/>
  <c r="VNM66" i="7" s="1"/>
  <c r="VNO66" i="7" s="1"/>
  <c r="VNQ66" i="7" s="1"/>
  <c r="VNS66" i="7" s="1"/>
  <c r="VNU66" i="7" s="1"/>
  <c r="VNW66" i="7" s="1"/>
  <c r="VNY66" i="7" s="1"/>
  <c r="VOA66" i="7" s="1"/>
  <c r="VOC66" i="7" s="1"/>
  <c r="VOE66" i="7" s="1"/>
  <c r="VOG66" i="7" s="1"/>
  <c r="VOI66" i="7" s="1"/>
  <c r="VOK66" i="7" s="1"/>
  <c r="VOM66" i="7" s="1"/>
  <c r="VOO66" i="7" s="1"/>
  <c r="VOQ66" i="7" s="1"/>
  <c r="VOS66" i="7" s="1"/>
  <c r="VOU66" i="7" s="1"/>
  <c r="VOW66" i="7" s="1"/>
  <c r="VOY66" i="7" s="1"/>
  <c r="VPA66" i="7" s="1"/>
  <c r="VPC66" i="7" s="1"/>
  <c r="VPE66" i="7" s="1"/>
  <c r="VPG66" i="7" s="1"/>
  <c r="VPI66" i="7" s="1"/>
  <c r="VPK66" i="7" s="1"/>
  <c r="VPM66" i="7" s="1"/>
  <c r="VPO66" i="7" s="1"/>
  <c r="VPQ66" i="7" s="1"/>
  <c r="VPS66" i="7" s="1"/>
  <c r="VPU66" i="7" s="1"/>
  <c r="VPW66" i="7" s="1"/>
  <c r="VPY66" i="7" s="1"/>
  <c r="VQA66" i="7" s="1"/>
  <c r="VQC66" i="7" s="1"/>
  <c r="VQE66" i="7" s="1"/>
  <c r="VQG66" i="7" s="1"/>
  <c r="VQI66" i="7" s="1"/>
  <c r="VQK66" i="7" s="1"/>
  <c r="VQM66" i="7" s="1"/>
  <c r="VQO66" i="7" s="1"/>
  <c r="VQQ66" i="7" s="1"/>
  <c r="VQS66" i="7" s="1"/>
  <c r="VQU66" i="7" s="1"/>
  <c r="VQW66" i="7" s="1"/>
  <c r="VQY66" i="7" s="1"/>
  <c r="VRA66" i="7" s="1"/>
  <c r="VRC66" i="7" s="1"/>
  <c r="VRE66" i="7" s="1"/>
  <c r="VRG66" i="7" s="1"/>
  <c r="VRI66" i="7" s="1"/>
  <c r="VRK66" i="7" s="1"/>
  <c r="VRM66" i="7" s="1"/>
  <c r="VRO66" i="7" s="1"/>
  <c r="VRQ66" i="7" s="1"/>
  <c r="VRS66" i="7" s="1"/>
  <c r="VRU66" i="7" s="1"/>
  <c r="VRW66" i="7" s="1"/>
  <c r="VRY66" i="7" s="1"/>
  <c r="VSA66" i="7" s="1"/>
  <c r="VSC66" i="7" s="1"/>
  <c r="VSE66" i="7" s="1"/>
  <c r="VSG66" i="7" s="1"/>
  <c r="VSI66" i="7" s="1"/>
  <c r="VSK66" i="7" s="1"/>
  <c r="VSM66" i="7" s="1"/>
  <c r="VSO66" i="7" s="1"/>
  <c r="VSQ66" i="7" s="1"/>
  <c r="VSS66" i="7" s="1"/>
  <c r="VSU66" i="7" s="1"/>
  <c r="VSW66" i="7" s="1"/>
  <c r="VSY66" i="7" s="1"/>
  <c r="VTA66" i="7" s="1"/>
  <c r="VTC66" i="7" s="1"/>
  <c r="VTE66" i="7" s="1"/>
  <c r="VTG66" i="7" s="1"/>
  <c r="VTI66" i="7" s="1"/>
  <c r="VTK66" i="7" s="1"/>
  <c r="VTM66" i="7" s="1"/>
  <c r="VTO66" i="7" s="1"/>
  <c r="VTQ66" i="7" s="1"/>
  <c r="VTS66" i="7" s="1"/>
  <c r="VTU66" i="7" s="1"/>
  <c r="VTW66" i="7" s="1"/>
  <c r="VTY66" i="7" s="1"/>
  <c r="VUA66" i="7" s="1"/>
  <c r="VUC66" i="7" s="1"/>
  <c r="VUE66" i="7" s="1"/>
  <c r="VUG66" i="7" s="1"/>
  <c r="VUI66" i="7" s="1"/>
  <c r="VUK66" i="7" s="1"/>
  <c r="VUM66" i="7" s="1"/>
  <c r="VUO66" i="7" s="1"/>
  <c r="VUQ66" i="7" s="1"/>
  <c r="VUS66" i="7" s="1"/>
  <c r="VUU66" i="7" s="1"/>
  <c r="VUW66" i="7" s="1"/>
  <c r="VUY66" i="7" s="1"/>
  <c r="VVA66" i="7" s="1"/>
  <c r="VVC66" i="7" s="1"/>
  <c r="VVE66" i="7" s="1"/>
  <c r="VVG66" i="7" s="1"/>
  <c r="VVI66" i="7" s="1"/>
  <c r="VVK66" i="7" s="1"/>
  <c r="VVM66" i="7" s="1"/>
  <c r="VVO66" i="7" s="1"/>
  <c r="VVQ66" i="7" s="1"/>
  <c r="VVS66" i="7" s="1"/>
  <c r="VVU66" i="7" s="1"/>
  <c r="VVW66" i="7" s="1"/>
  <c r="VVY66" i="7" s="1"/>
  <c r="VWA66" i="7" s="1"/>
  <c r="VWC66" i="7" s="1"/>
  <c r="VWE66" i="7" s="1"/>
  <c r="VWG66" i="7" s="1"/>
  <c r="VWI66" i="7" s="1"/>
  <c r="VWK66" i="7" s="1"/>
  <c r="VWM66" i="7" s="1"/>
  <c r="VWO66" i="7" s="1"/>
  <c r="VWQ66" i="7" s="1"/>
  <c r="VWS66" i="7" s="1"/>
  <c r="VWU66" i="7" s="1"/>
  <c r="VWW66" i="7" s="1"/>
  <c r="VWY66" i="7" s="1"/>
  <c r="VXA66" i="7" s="1"/>
  <c r="VXC66" i="7" s="1"/>
  <c r="VXE66" i="7" s="1"/>
  <c r="VXG66" i="7" s="1"/>
  <c r="VXI66" i="7" s="1"/>
  <c r="VXK66" i="7" s="1"/>
  <c r="VXM66" i="7" s="1"/>
  <c r="VXO66" i="7" s="1"/>
  <c r="VXQ66" i="7" s="1"/>
  <c r="VXS66" i="7" s="1"/>
  <c r="VXU66" i="7" s="1"/>
  <c r="VXW66" i="7" s="1"/>
  <c r="VXY66" i="7" s="1"/>
  <c r="VYA66" i="7" s="1"/>
  <c r="VYC66" i="7" s="1"/>
  <c r="VYE66" i="7" s="1"/>
  <c r="VYG66" i="7" s="1"/>
  <c r="VYI66" i="7" s="1"/>
  <c r="VYK66" i="7" s="1"/>
  <c r="VYM66" i="7" s="1"/>
  <c r="VYO66" i="7" s="1"/>
  <c r="VYQ66" i="7" s="1"/>
  <c r="VYS66" i="7" s="1"/>
  <c r="VYU66" i="7" s="1"/>
  <c r="VYW66" i="7" s="1"/>
  <c r="VYY66" i="7" s="1"/>
  <c r="VZA66" i="7" s="1"/>
  <c r="VZC66" i="7" s="1"/>
  <c r="VZE66" i="7" s="1"/>
  <c r="VZG66" i="7" s="1"/>
  <c r="VZI66" i="7" s="1"/>
  <c r="VZK66" i="7" s="1"/>
  <c r="VZM66" i="7" s="1"/>
  <c r="VZO66" i="7" s="1"/>
  <c r="VZQ66" i="7" s="1"/>
  <c r="VZS66" i="7" s="1"/>
  <c r="VZU66" i="7" s="1"/>
  <c r="VZW66" i="7" s="1"/>
  <c r="VZY66" i="7" s="1"/>
  <c r="WAA66" i="7" s="1"/>
  <c r="WAC66" i="7" s="1"/>
  <c r="WAE66" i="7" s="1"/>
  <c r="WAG66" i="7" s="1"/>
  <c r="WAI66" i="7" s="1"/>
  <c r="WAK66" i="7" s="1"/>
  <c r="WAM66" i="7" s="1"/>
  <c r="WAO66" i="7" s="1"/>
  <c r="WAQ66" i="7" s="1"/>
  <c r="WAS66" i="7" s="1"/>
  <c r="WAU66" i="7" s="1"/>
  <c r="WAW66" i="7" s="1"/>
  <c r="WAY66" i="7" s="1"/>
  <c r="WBA66" i="7" s="1"/>
  <c r="WBC66" i="7" s="1"/>
  <c r="WBE66" i="7" s="1"/>
  <c r="WBG66" i="7" s="1"/>
  <c r="WBI66" i="7" s="1"/>
  <c r="WBK66" i="7" s="1"/>
  <c r="WBM66" i="7" s="1"/>
  <c r="WBO66" i="7" s="1"/>
  <c r="WBQ66" i="7" s="1"/>
  <c r="WBS66" i="7" s="1"/>
  <c r="WBU66" i="7" s="1"/>
  <c r="WBW66" i="7" s="1"/>
  <c r="WBY66" i="7" s="1"/>
  <c r="WCA66" i="7" s="1"/>
  <c r="WCC66" i="7" s="1"/>
  <c r="WCE66" i="7" s="1"/>
  <c r="WCG66" i="7" s="1"/>
  <c r="WCI66" i="7" s="1"/>
  <c r="WCK66" i="7" s="1"/>
  <c r="WCM66" i="7" s="1"/>
  <c r="WCO66" i="7" s="1"/>
  <c r="WCQ66" i="7" s="1"/>
  <c r="WCS66" i="7" s="1"/>
  <c r="WCU66" i="7" s="1"/>
  <c r="WCW66" i="7" s="1"/>
  <c r="WCY66" i="7" s="1"/>
  <c r="WDA66" i="7" s="1"/>
  <c r="WDC66" i="7" s="1"/>
  <c r="WDE66" i="7" s="1"/>
  <c r="WDG66" i="7" s="1"/>
  <c r="WDI66" i="7" s="1"/>
  <c r="WDK66" i="7" s="1"/>
  <c r="WDM66" i="7" s="1"/>
  <c r="WDO66" i="7" s="1"/>
  <c r="WDQ66" i="7" s="1"/>
  <c r="WDS66" i="7" s="1"/>
  <c r="WDU66" i="7" s="1"/>
  <c r="WDW66" i="7" s="1"/>
  <c r="WDY66" i="7" s="1"/>
  <c r="WEA66" i="7" s="1"/>
  <c r="WEC66" i="7" s="1"/>
  <c r="WEE66" i="7" s="1"/>
  <c r="WEG66" i="7" s="1"/>
  <c r="WEI66" i="7" s="1"/>
  <c r="WEK66" i="7" s="1"/>
  <c r="WEM66" i="7" s="1"/>
  <c r="WEO66" i="7" s="1"/>
  <c r="WEQ66" i="7" s="1"/>
  <c r="WES66" i="7" s="1"/>
  <c r="WEU66" i="7" s="1"/>
  <c r="WEW66" i="7" s="1"/>
  <c r="WEY66" i="7" s="1"/>
  <c r="WFA66" i="7" s="1"/>
  <c r="WFC66" i="7" s="1"/>
  <c r="WFE66" i="7" s="1"/>
  <c r="WFG66" i="7" s="1"/>
  <c r="WFI66" i="7" s="1"/>
  <c r="WFK66" i="7" s="1"/>
  <c r="WFM66" i="7" s="1"/>
  <c r="WFO66" i="7" s="1"/>
  <c r="WFQ66" i="7" s="1"/>
  <c r="WFS66" i="7" s="1"/>
  <c r="WFU66" i="7" s="1"/>
  <c r="WFW66" i="7" s="1"/>
  <c r="WFY66" i="7" s="1"/>
  <c r="WGA66" i="7" s="1"/>
  <c r="WGC66" i="7" s="1"/>
  <c r="WGE66" i="7" s="1"/>
  <c r="WGG66" i="7" s="1"/>
  <c r="WGI66" i="7" s="1"/>
  <c r="WGK66" i="7" s="1"/>
  <c r="WGM66" i="7" s="1"/>
  <c r="WGO66" i="7" s="1"/>
  <c r="WGQ66" i="7" s="1"/>
  <c r="WGS66" i="7" s="1"/>
  <c r="WGU66" i="7" s="1"/>
  <c r="WGW66" i="7" s="1"/>
  <c r="WGY66" i="7" s="1"/>
  <c r="WHA66" i="7" s="1"/>
  <c r="WHC66" i="7" s="1"/>
  <c r="WHE66" i="7" s="1"/>
  <c r="WHG66" i="7" s="1"/>
  <c r="WHI66" i="7" s="1"/>
  <c r="WHK66" i="7" s="1"/>
  <c r="WHM66" i="7" s="1"/>
  <c r="WHO66" i="7" s="1"/>
  <c r="WHQ66" i="7" s="1"/>
  <c r="WHS66" i="7" s="1"/>
  <c r="WHU66" i="7" s="1"/>
  <c r="WHW66" i="7" s="1"/>
  <c r="WHY66" i="7" s="1"/>
  <c r="WIA66" i="7" s="1"/>
  <c r="WIC66" i="7" s="1"/>
  <c r="WIE66" i="7" s="1"/>
  <c r="WIG66" i="7" s="1"/>
  <c r="WII66" i="7" s="1"/>
  <c r="WIK66" i="7" s="1"/>
  <c r="WIM66" i="7" s="1"/>
  <c r="WIO66" i="7" s="1"/>
  <c r="WIQ66" i="7" s="1"/>
  <c r="WIS66" i="7" s="1"/>
  <c r="WIU66" i="7" s="1"/>
  <c r="WIW66" i="7" s="1"/>
  <c r="WIY66" i="7" s="1"/>
  <c r="WJA66" i="7" s="1"/>
  <c r="WJC66" i="7" s="1"/>
  <c r="WJE66" i="7" s="1"/>
  <c r="WJG66" i="7" s="1"/>
  <c r="WJI66" i="7" s="1"/>
  <c r="WJK66" i="7" s="1"/>
  <c r="WJM66" i="7" s="1"/>
  <c r="WJO66" i="7" s="1"/>
  <c r="WJQ66" i="7" s="1"/>
  <c r="WJS66" i="7" s="1"/>
  <c r="WJU66" i="7" s="1"/>
  <c r="WJW66" i="7" s="1"/>
  <c r="WJY66" i="7" s="1"/>
  <c r="WKA66" i="7" s="1"/>
  <c r="WKC66" i="7" s="1"/>
  <c r="WKE66" i="7" s="1"/>
  <c r="WKG66" i="7" s="1"/>
  <c r="WKI66" i="7" s="1"/>
  <c r="WKK66" i="7" s="1"/>
  <c r="WKM66" i="7" s="1"/>
  <c r="WKO66" i="7" s="1"/>
  <c r="WKQ66" i="7" s="1"/>
  <c r="WKS66" i="7" s="1"/>
  <c r="WKU66" i="7" s="1"/>
  <c r="WKW66" i="7" s="1"/>
  <c r="WKY66" i="7" s="1"/>
  <c r="WLA66" i="7" s="1"/>
  <c r="WLC66" i="7" s="1"/>
  <c r="WLE66" i="7" s="1"/>
  <c r="WLG66" i="7" s="1"/>
  <c r="WLI66" i="7" s="1"/>
  <c r="WLK66" i="7" s="1"/>
  <c r="WLM66" i="7" s="1"/>
  <c r="WLO66" i="7" s="1"/>
  <c r="WLQ66" i="7" s="1"/>
  <c r="WLS66" i="7" s="1"/>
  <c r="WLU66" i="7" s="1"/>
  <c r="WLW66" i="7" s="1"/>
  <c r="WLY66" i="7" s="1"/>
  <c r="WMA66" i="7" s="1"/>
  <c r="WMC66" i="7" s="1"/>
  <c r="WME66" i="7" s="1"/>
  <c r="WMG66" i="7" s="1"/>
  <c r="WMI66" i="7" s="1"/>
  <c r="WMK66" i="7" s="1"/>
  <c r="WMM66" i="7" s="1"/>
  <c r="WMO66" i="7" s="1"/>
  <c r="WMQ66" i="7" s="1"/>
  <c r="WMS66" i="7" s="1"/>
  <c r="WMU66" i="7" s="1"/>
  <c r="WMW66" i="7" s="1"/>
  <c r="WMY66" i="7" s="1"/>
  <c r="WNA66" i="7" s="1"/>
  <c r="WNC66" i="7" s="1"/>
  <c r="WNE66" i="7" s="1"/>
  <c r="WNG66" i="7" s="1"/>
  <c r="WNI66" i="7" s="1"/>
  <c r="WNK66" i="7" s="1"/>
  <c r="WNM66" i="7" s="1"/>
  <c r="WNO66" i="7" s="1"/>
  <c r="WNQ66" i="7" s="1"/>
  <c r="WNS66" i="7" s="1"/>
  <c r="WNU66" i="7" s="1"/>
  <c r="WNW66" i="7" s="1"/>
  <c r="WNY66" i="7" s="1"/>
  <c r="WOA66" i="7" s="1"/>
  <c r="WOC66" i="7" s="1"/>
  <c r="WOE66" i="7" s="1"/>
  <c r="WOG66" i="7" s="1"/>
  <c r="WOI66" i="7" s="1"/>
  <c r="WOK66" i="7" s="1"/>
  <c r="WOM66" i="7" s="1"/>
  <c r="WOO66" i="7" s="1"/>
  <c r="WOQ66" i="7" s="1"/>
  <c r="WOS66" i="7" s="1"/>
  <c r="WOU66" i="7" s="1"/>
  <c r="WOW66" i="7" s="1"/>
  <c r="WOY66" i="7" s="1"/>
  <c r="WPA66" i="7" s="1"/>
  <c r="WPC66" i="7" s="1"/>
  <c r="WPE66" i="7" s="1"/>
  <c r="WPG66" i="7" s="1"/>
  <c r="WPI66" i="7" s="1"/>
  <c r="WPK66" i="7" s="1"/>
  <c r="WPM66" i="7" s="1"/>
  <c r="WPO66" i="7" s="1"/>
  <c r="WPQ66" i="7" s="1"/>
  <c r="WPS66" i="7" s="1"/>
  <c r="WPU66" i="7" s="1"/>
  <c r="WPW66" i="7" s="1"/>
  <c r="WPY66" i="7" s="1"/>
  <c r="WQA66" i="7" s="1"/>
  <c r="WQC66" i="7" s="1"/>
  <c r="WQE66" i="7" s="1"/>
  <c r="WQG66" i="7" s="1"/>
  <c r="WQI66" i="7" s="1"/>
  <c r="WQK66" i="7" s="1"/>
  <c r="WQM66" i="7" s="1"/>
  <c r="WQO66" i="7" s="1"/>
  <c r="WQQ66" i="7" s="1"/>
  <c r="WQS66" i="7" s="1"/>
  <c r="WQU66" i="7" s="1"/>
  <c r="WQW66" i="7" s="1"/>
  <c r="WQY66" i="7" s="1"/>
  <c r="WRA66" i="7" s="1"/>
  <c r="WRC66" i="7" s="1"/>
  <c r="WRE66" i="7" s="1"/>
  <c r="WRG66" i="7" s="1"/>
  <c r="WRI66" i="7" s="1"/>
  <c r="WRK66" i="7" s="1"/>
  <c r="WRM66" i="7" s="1"/>
  <c r="WRO66" i="7" s="1"/>
  <c r="WRQ66" i="7" s="1"/>
  <c r="WRS66" i="7" s="1"/>
  <c r="WRU66" i="7" s="1"/>
  <c r="WRW66" i="7" s="1"/>
  <c r="WRY66" i="7" s="1"/>
  <c r="WSA66" i="7" s="1"/>
  <c r="WSC66" i="7" s="1"/>
  <c r="WSE66" i="7" s="1"/>
  <c r="WSG66" i="7" s="1"/>
  <c r="WSI66" i="7" s="1"/>
  <c r="WSK66" i="7" s="1"/>
  <c r="WSM66" i="7" s="1"/>
  <c r="WSO66" i="7" s="1"/>
  <c r="WSQ66" i="7" s="1"/>
  <c r="WSS66" i="7" s="1"/>
  <c r="WSU66" i="7" s="1"/>
  <c r="WSW66" i="7" s="1"/>
  <c r="WSY66" i="7" s="1"/>
  <c r="WTA66" i="7" s="1"/>
  <c r="WTC66" i="7" s="1"/>
  <c r="WTE66" i="7" s="1"/>
  <c r="WTG66" i="7" s="1"/>
  <c r="WTI66" i="7" s="1"/>
  <c r="WTK66" i="7" s="1"/>
  <c r="WTM66" i="7" s="1"/>
  <c r="WTO66" i="7" s="1"/>
  <c r="WTQ66" i="7" s="1"/>
  <c r="WTS66" i="7" s="1"/>
  <c r="WTU66" i="7" s="1"/>
  <c r="WTW66" i="7" s="1"/>
  <c r="WTY66" i="7" s="1"/>
  <c r="WUA66" i="7" s="1"/>
  <c r="WUC66" i="7" s="1"/>
  <c r="WUE66" i="7" s="1"/>
  <c r="WUG66" i="7" s="1"/>
  <c r="WUI66" i="7" s="1"/>
  <c r="WUK66" i="7" s="1"/>
  <c r="WUM66" i="7" s="1"/>
  <c r="WUO66" i="7" s="1"/>
  <c r="WUQ66" i="7" s="1"/>
  <c r="WUS66" i="7" s="1"/>
  <c r="WUU66" i="7" s="1"/>
  <c r="WUW66" i="7" s="1"/>
  <c r="WUY66" i="7" s="1"/>
  <c r="WVA66" i="7" s="1"/>
  <c r="WVC66" i="7" s="1"/>
  <c r="WVE66" i="7" s="1"/>
  <c r="WVG66" i="7" s="1"/>
  <c r="WVI66" i="7" s="1"/>
  <c r="WVK66" i="7" s="1"/>
  <c r="WVM66" i="7" s="1"/>
  <c r="WVO66" i="7" s="1"/>
  <c r="WVQ66" i="7" s="1"/>
  <c r="WVS66" i="7" s="1"/>
  <c r="WVU66" i="7" s="1"/>
  <c r="WVW66" i="7" s="1"/>
  <c r="WVY66" i="7" s="1"/>
  <c r="WWA66" i="7" s="1"/>
  <c r="WWC66" i="7" s="1"/>
  <c r="WWE66" i="7" s="1"/>
  <c r="WWG66" i="7" s="1"/>
  <c r="WWI66" i="7" s="1"/>
  <c r="WWK66" i="7" s="1"/>
  <c r="WWM66" i="7" s="1"/>
  <c r="WWO66" i="7" s="1"/>
  <c r="WWQ66" i="7" s="1"/>
  <c r="WWS66" i="7" s="1"/>
  <c r="WWU66" i="7" s="1"/>
  <c r="WWW66" i="7" s="1"/>
  <c r="WWY66" i="7" s="1"/>
  <c r="WXA66" i="7" s="1"/>
  <c r="WXC66" i="7" s="1"/>
  <c r="WXE66" i="7" s="1"/>
  <c r="WXG66" i="7" s="1"/>
  <c r="WXI66" i="7" s="1"/>
  <c r="WXK66" i="7" s="1"/>
  <c r="WXM66" i="7" s="1"/>
  <c r="WXO66" i="7" s="1"/>
  <c r="WXQ66" i="7" s="1"/>
  <c r="WXS66" i="7" s="1"/>
  <c r="WXU66" i="7" s="1"/>
  <c r="WXW66" i="7" s="1"/>
  <c r="WXY66" i="7" s="1"/>
  <c r="WYA66" i="7" s="1"/>
  <c r="WYC66" i="7" s="1"/>
  <c r="WYE66" i="7" s="1"/>
  <c r="WYG66" i="7" s="1"/>
  <c r="WYI66" i="7" s="1"/>
  <c r="WYK66" i="7" s="1"/>
  <c r="WYM66" i="7" s="1"/>
  <c r="WYO66" i="7" s="1"/>
  <c r="WYQ66" i="7" s="1"/>
  <c r="WYS66" i="7" s="1"/>
  <c r="WYU66" i="7" s="1"/>
  <c r="WYW66" i="7" s="1"/>
  <c r="WYY66" i="7" s="1"/>
  <c r="WZA66" i="7" s="1"/>
  <c r="WZC66" i="7" s="1"/>
  <c r="WZE66" i="7" s="1"/>
  <c r="WZG66" i="7" s="1"/>
  <c r="WZI66" i="7" s="1"/>
  <c r="WZK66" i="7" s="1"/>
  <c r="WZM66" i="7" s="1"/>
  <c r="WZO66" i="7" s="1"/>
  <c r="WZQ66" i="7" s="1"/>
  <c r="WZS66" i="7" s="1"/>
  <c r="WZU66" i="7" s="1"/>
  <c r="WZW66" i="7" s="1"/>
  <c r="WZY66" i="7" s="1"/>
  <c r="XAA66" i="7" s="1"/>
  <c r="XAC66" i="7" s="1"/>
  <c r="XAE66" i="7" s="1"/>
  <c r="XAG66" i="7" s="1"/>
  <c r="XAI66" i="7" s="1"/>
  <c r="XAK66" i="7" s="1"/>
  <c r="XAM66" i="7" s="1"/>
  <c r="XAO66" i="7" s="1"/>
  <c r="XAQ66" i="7" s="1"/>
  <c r="XAS66" i="7" s="1"/>
  <c r="XAU66" i="7" s="1"/>
  <c r="XAW66" i="7" s="1"/>
  <c r="XAY66" i="7" s="1"/>
  <c r="XBA66" i="7" s="1"/>
  <c r="XBC66" i="7" s="1"/>
  <c r="XBE66" i="7" s="1"/>
  <c r="XBG66" i="7" s="1"/>
  <c r="XBI66" i="7" s="1"/>
  <c r="XBK66" i="7" s="1"/>
  <c r="XBM66" i="7" s="1"/>
  <c r="XBO66" i="7" s="1"/>
  <c r="XBQ66" i="7" s="1"/>
  <c r="XBS66" i="7" s="1"/>
  <c r="XBU66" i="7" s="1"/>
  <c r="XBW66" i="7" s="1"/>
  <c r="XBY66" i="7" s="1"/>
  <c r="XCA66" i="7" s="1"/>
  <c r="XCC66" i="7" s="1"/>
  <c r="XCE66" i="7" s="1"/>
  <c r="XCG66" i="7" s="1"/>
  <c r="XCI66" i="7" s="1"/>
  <c r="XCK66" i="7" s="1"/>
  <c r="XCM66" i="7" s="1"/>
  <c r="XCO66" i="7" s="1"/>
  <c r="XCQ66" i="7" s="1"/>
  <c r="XCS66" i="7" s="1"/>
  <c r="XCU66" i="7" s="1"/>
  <c r="XCW66" i="7" s="1"/>
  <c r="XCY66" i="7" s="1"/>
  <c r="XDA66" i="7" s="1"/>
  <c r="XDC66" i="7" s="1"/>
  <c r="XDE66" i="7" s="1"/>
  <c r="XDG66" i="7" s="1"/>
  <c r="XDI66" i="7" s="1"/>
  <c r="XDK66" i="7" s="1"/>
  <c r="XDM66" i="7" s="1"/>
  <c r="XDO66" i="7" s="1"/>
  <c r="XDQ66" i="7" s="1"/>
  <c r="XDS66" i="7" s="1"/>
  <c r="XDU66" i="7" s="1"/>
  <c r="XDW66" i="7" s="1"/>
  <c r="XDY66" i="7" s="1"/>
  <c r="XEA66" i="7" s="1"/>
  <c r="XEC66" i="7" s="1"/>
  <c r="XEE66" i="7" s="1"/>
  <c r="XEG66" i="7" s="1"/>
  <c r="XEI66" i="7" s="1"/>
  <c r="XEK66" i="7" s="1"/>
  <c r="XEM66" i="7" s="1"/>
  <c r="XEO66" i="7" s="1"/>
  <c r="XEQ66" i="7" s="1"/>
  <c r="XES66" i="7" s="1"/>
  <c r="XEU66" i="7" s="1"/>
  <c r="XEW66" i="7" s="1"/>
  <c r="XEY66" i="7" s="1"/>
  <c r="XFA66" i="7" s="1"/>
  <c r="XFC66" i="7" s="1"/>
  <c r="BH753" i="3"/>
  <c r="AC753" i="3" s="1"/>
  <c r="BE42" i="3" s="1"/>
  <c r="AG70" i="7" l="1"/>
  <c r="AG72" i="7" s="1"/>
  <c r="E93" i="20"/>
  <c r="E94" i="20" s="1"/>
  <c r="E95" i="20" s="1"/>
  <c r="E103" i="20"/>
  <c r="E106" i="20" s="1"/>
  <c r="AP106" i="20" s="1"/>
  <c r="AK109" i="20" s="1"/>
  <c r="T806" i="20" s="1"/>
  <c r="AF806" i="20" s="1"/>
  <c r="BE73" i="3" l="1"/>
  <c r="H3" i="21"/>
  <c r="D38" i="4" l="1"/>
  <c r="D63" i="4" s="1"/>
  <c r="D97" i="4" s="1"/>
  <c r="B36" i="4"/>
  <c r="B35" i="4"/>
  <c r="B31" i="4"/>
  <c r="B30" i="4"/>
  <c r="B33" i="4"/>
  <c r="B32" i="4"/>
  <c r="B29" i="4"/>
  <c r="AZ1045" i="3"/>
  <c r="AZ1052" i="3" s="1"/>
  <c r="B38" i="4" l="1"/>
  <c r="B63" i="4" s="1"/>
  <c r="AZ1049" i="3"/>
  <c r="BA1056" i="3" s="1"/>
  <c r="D105" i="4"/>
  <c r="B97" i="4"/>
  <c r="AZ1051" i="3" l="1"/>
  <c r="BA1055" i="3" s="1"/>
  <c r="BA1059" i="3" s="1"/>
  <c r="AA1057" i="3" s="1"/>
  <c r="G1058" i="3" s="1"/>
  <c r="BE68" i="3"/>
  <c r="B105" i="4"/>
  <c r="AB266" i="20" s="1"/>
  <c r="AG268" i="20" s="1"/>
  <c r="AG270" i="20" s="1"/>
  <c r="AK273" i="20" s="1"/>
  <c r="T812" i="20" s="1"/>
  <c r="AF812" i="20" s="1"/>
  <c r="AC454" i="3" l="1"/>
  <c r="BE22" i="3"/>
  <c r="N185" i="23"/>
  <c r="AB47" i="15"/>
  <c r="AB49" i="15" s="1"/>
  <c r="BE77" i="3"/>
  <c r="AF821" i="20"/>
  <c r="BE70" i="3" s="1"/>
  <c r="AB54" i="15" l="1"/>
  <c r="AB55" i="15" s="1"/>
  <c r="AB56" i="15" s="1"/>
  <c r="N196" i="23"/>
  <c r="N186" i="23"/>
  <c r="F457" i="3"/>
  <c r="BE44" i="3"/>
  <c r="M26" i="3" l="1"/>
  <c r="AB57" i="15"/>
  <c r="AB59" i="15" l="1"/>
  <c r="BE19" i="3"/>
  <c r="P204" i="3"/>
  <c r="AB72" i="15" l="1"/>
  <c r="BE63" i="3" s="1"/>
  <c r="AB77" i="15" l="1"/>
  <c r="AB78" i="15" s="1"/>
  <c r="G38" i="4"/>
  <c r="G63" i="4" s="1"/>
  <c r="G97" i="4" s="1"/>
  <c r="G105" i="4" s="1"/>
  <c r="F38" i="4"/>
  <c r="F63" i="4" s="1"/>
  <c r="F97" i="4" s="1"/>
  <c r="F105" i="4" s="1"/>
  <c r="R30" i="4"/>
  <c r="R38" i="4" s="1"/>
  <c r="R63" i="4" s="1"/>
  <c r="R97" i="4" s="1"/>
  <c r="R105" i="4" s="1"/>
  <c r="I10" i="21" l="1"/>
  <c r="I11" i="21" s="1"/>
  <c r="I18" i="21" s="1"/>
  <c r="H4" i="21" s="1"/>
  <c r="H5" i="21" s="1"/>
  <c r="BE83" i="3" s="1"/>
  <c r="M27" i="3"/>
  <c r="AB79" i="15"/>
  <c r="AB81" i="15" s="1"/>
  <c r="J82" i="15" s="1"/>
  <c r="E38" i="4"/>
  <c r="E63" i="4" s="1"/>
  <c r="E97" i="4" s="1"/>
  <c r="E105" i="4" s="1"/>
  <c r="P205" i="3" l="1"/>
  <c r="BE20"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7"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2025, the 15% set-aside is available to rehabilitation projects only. State Farmworker Credit pursuant to 10310(b)(2)(D) does not include any portion of the $500M state credit.</t>
        </r>
      </text>
    </comment>
    <comment ref="AA335" authorId="1" shapeId="0" xr:uid="{5010B3F0-581E-4B81-BE62-10A3665A78AA}">
      <text>
        <r>
          <rPr>
            <sz val="9"/>
            <color indexed="81"/>
            <rFont val="Tahoma"/>
            <family val="2"/>
          </rPr>
          <t xml:space="preserve">Experienced property management company requesting points </t>
        </r>
        <r>
          <rPr>
            <u/>
            <sz val="9"/>
            <color indexed="81"/>
            <rFont val="Tahoma"/>
            <family val="2"/>
          </rPr>
          <t>must</t>
        </r>
        <r>
          <rPr>
            <sz val="9"/>
            <color indexed="81"/>
            <rFont val="Tahoma"/>
            <family val="2"/>
          </rPr>
          <t xml:space="preserve"> be listed here.</t>
        </r>
      </text>
    </comment>
    <comment ref="M551" authorId="1" shapeId="0" xr:uid="{3D95B137-1E53-4FF7-BC31-F9E1E21763A5}">
      <text>
        <r>
          <rPr>
            <sz val="9"/>
            <color indexed="81"/>
            <rFont val="Tahoma"/>
            <family val="2"/>
          </rPr>
          <t>Separate taxable and tax-exempt bond amounts. This section is linked to the tie breaker. Multiple tranches of tax-exempt bonds may be separated. Ensure recycled bonds are marked as such.</t>
        </r>
      </text>
    </comment>
    <comment ref="Z809" authorId="2"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6" authorId="3" shapeId="0" xr:uid="{00000000-0006-0000-0400-000004000000}">
      <text>
        <r>
          <rPr>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78" authorId="0" shapeId="0" xr:uid="{2734032B-3698-49CE-8783-8449528910F3}">
      <text>
        <r>
          <rPr>
            <sz val="9"/>
            <color indexed="81"/>
            <rFont val="Tahoma"/>
            <family val="2"/>
          </rPr>
          <t xml:space="preserve">Enter in Development Team section of Application tab. If there are two property management companies, the one requesting points </t>
        </r>
        <r>
          <rPr>
            <u/>
            <sz val="9"/>
            <color indexed="81"/>
            <rFont val="Tahoma"/>
            <family val="2"/>
          </rPr>
          <t>must</t>
        </r>
        <r>
          <rPr>
            <sz val="9"/>
            <color indexed="81"/>
            <rFont val="Tahoma"/>
            <family val="2"/>
          </rPr>
          <t xml:space="preserve"> be first.</t>
        </r>
      </text>
    </comment>
    <comment ref="AG292" authorId="0" shapeId="0" xr:uid="{44D572CF-24FA-4A9D-AF74-B902460F6538}">
      <text>
        <r>
          <rPr>
            <sz val="9"/>
            <color indexed="81"/>
            <rFont val="Tahoma"/>
            <family val="2"/>
          </rPr>
          <t>*Using the sort order described in Section 5231, once projects receiving 10 points pursuant to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H779"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2"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 ref="C73" authorId="0" shapeId="0" xr:uid="{5BACA3C2-BBC2-4EBF-900D-EEDB4C09B202}">
      <text>
        <r>
          <rPr>
            <sz val="9"/>
            <color indexed="81"/>
            <rFont val="Tahoma"/>
            <family val="2"/>
          </rPr>
          <t>*as specified on the HCD Neighborhood Change Map</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<sst xmlns="http://schemas.openxmlformats.org/spreadsheetml/2006/main" count="5077" uniqueCount="2759">
  <si>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</si>
  <si>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</si>
  <si>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</si>
  <si>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</si>
  <si>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</si>
  <si>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</si>
  <si>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</si>
  <si>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</si>
  <si>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</si>
  <si>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</si>
  <si>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</si>
  <si>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</si>
  <si>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</si>
  <si>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</si>
  <si>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</si>
  <si>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</si>
  <si>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</si>
  <si>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</si>
  <si>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</si>
  <si>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</si>
  <si>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</si>
  <si>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</si>
  <si>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</si>
  <si>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</si>
  <si>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</si>
  <si>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</si>
  <si>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</si>
  <si>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</si>
  <si>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</si>
  <si>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</si>
  <si>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</si>
  <si>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</si>
  <si>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</si>
  <si>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</si>
  <si>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</si>
  <si>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</si>
  <si>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</si>
  <si>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</si>
  <si>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</si>
  <si>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</si>
  <si>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</si>
  <si>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</si>
  <si>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</si>
  <si>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</si>
  <si>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</si>
  <si>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</si>
  <si>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</si>
  <si>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</si>
  <si>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</si>
  <si>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</si>
  <si>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</si>
  <si>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</si>
  <si>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</si>
  <si>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</si>
  <si>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</si>
  <si>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</si>
  <si>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</si>
  <si>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</si>
  <si>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</si>
  <si>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</si>
  <si>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</si>
  <si>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</si>
  <si>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</si>
  <si>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</si>
  <si>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</si>
  <si>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</si>
  <si>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</si>
  <si>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</si>
  <si>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</si>
  <si>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</si>
  <si>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</si>
  <si>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</si>
  <si>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</si>
  <si>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</si>
  <si>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</si>
  <si>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</si>
  <si>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</si>
  <si>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</si>
  <si>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</si>
  <si>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</si>
  <si>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</si>
  <si>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</si>
  <si>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</si>
  <si>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</si>
  <si>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</si>
  <si>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</si>
  <si>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</si>
  <si>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</si>
  <si>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</si>
  <si>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</si>
  <si>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</si>
  <si>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</si>
  <si>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</si>
  <si>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</si>
  <si>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</si>
  <si>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</si>
  <si>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</si>
  <si>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</si>
  <si>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</si>
  <si>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</si>
  <si>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</si>
  <si>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</si>
  <si>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</si>
  <si>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</si>
  <si>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</si>
  <si>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</si>
  <si>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</si>
  <si>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</si>
  <si>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</si>
  <si>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</si>
  <si>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</si>
  <si>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</si>
  <si>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</si>
  <si>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</si>
  <si>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</si>
  <si>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</si>
  <si>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</si>
  <si>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</si>
  <si>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</si>
  <si>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</si>
  <si>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</si>
  <si>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</si>
  <si>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</si>
  <si>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</si>
  <si>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</si>
  <si>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</si>
  <si>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</si>
  <si>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</si>
  <si>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</si>
  <si>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</si>
  <si>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</si>
  <si>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</si>
  <si>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</si>
  <si>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</si>
  <si>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</si>
  <si>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</si>
  <si>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</si>
  <si>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</si>
  <si>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</si>
  <si>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</si>
  <si>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</si>
  <si>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</si>
  <si>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</si>
  <si>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</si>
  <si>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</si>
  <si>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</si>
  <si>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</si>
  <si>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</si>
  <si>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</si>
  <si>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</si>
  <si>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</si>
  <si>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</si>
  <si>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</si>
  <si>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</si>
  <si>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</si>
  <si>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</si>
  <si>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</si>
  <si>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</si>
  <si>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</si>
  <si>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</si>
  <si>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</si>
  <si>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</si>
  <si>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</si>
  <si>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</si>
  <si>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</si>
  <si>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</si>
  <si>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</si>
  <si>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</si>
  <si>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</si>
  <si>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</si>
  <si>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</si>
  <si>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</si>
  <si>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</si>
  <si>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</si>
  <si>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</si>
  <si>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</si>
  <si>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</si>
  <si>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</si>
  <si>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</si>
  <si>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</si>
  <si>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</si>
  <si>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</si>
  <si>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</si>
  <si>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</si>
  <si>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</si>
  <si>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</si>
  <si>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</si>
  <si>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</si>
  <si>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</si>
  <si>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</si>
  <si>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</si>
  <si>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</si>
  <si>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</si>
  <si>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</si>
  <si>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</si>
  <si>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</si>
  <si>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</si>
  <si>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</si>
  <si>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</si>
  <si>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</si>
  <si>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</si>
  <si>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</si>
  <si>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</si>
  <si>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</si>
  <si>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</si>
  <si>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</si>
  <si>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</si>
  <si>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</si>
  <si>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</si>
  <si>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</si>
  <si>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</si>
  <si>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</si>
  <si>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</si>
  <si>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</si>
  <si>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</si>
  <si>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</si>
  <si>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</si>
  <si>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</si>
  <si>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</si>
  <si>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</si>
  <si>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</si>
  <si>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</si>
  <si>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</si>
  <si>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</si>
  <si>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</si>
  <si>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</si>
  <si>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</si>
  <si>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</si>
  <si>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</si>
  <si>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</si>
  <si>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</si>
  <si>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</si>
  <si>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</si>
  <si>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</si>
  <si>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</si>
  <si>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</si>
  <si>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</si>
  <si>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</si>
  <si>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</si>
  <si>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</si>
  <si>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</si>
  <si>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</si>
  <si>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</si>
  <si>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</si>
  <si>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</si>
  <si>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</si>
  <si>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</si>
  <si>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</si>
  <si>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</si>
  <si>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</si>
  <si>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</si>
  <si>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</si>
  <si>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</si>
  <si>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</si>
  <si>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</si>
  <si>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</si>
  <si>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</si>
  <si>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</si>
  <si>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</si>
  <si>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</si>
  <si>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</si>
  <si>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</si>
  <si>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</si>
  <si>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</si>
  <si>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</si>
  <si>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</si>
  <si>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</si>
  <si>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</si>
  <si>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</si>
  <si>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</si>
  <si>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</si>
  <si>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</si>
  <si>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</si>
  <si>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</si>
  <si>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</si>
  <si>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</si>
  <si>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</si>
  <si>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</si>
  <si>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</si>
  <si>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</si>
  <si>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</si>
  <si>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</si>
  <si>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</si>
  <si>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</si>
  <si>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</si>
  <si>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</si>
  <si>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</si>
  <si>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</si>
  <si>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</si>
  <si>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</si>
  <si>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</si>
  <si>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</si>
  <si>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</si>
  <si>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</si>
  <si>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</si>
  <si>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</si>
  <si>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</si>
  <si>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</si>
  <si>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</si>
  <si>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</si>
  <si>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</si>
  <si>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</si>
  <si>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</si>
  <si>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</si>
  <si>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</si>
  <si>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</si>
  <si>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</si>
  <si>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</si>
  <si>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</si>
  <si>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</si>
  <si>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</si>
  <si>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</si>
  <si>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</si>
  <si>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</si>
  <si>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</si>
  <si>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</si>
  <si>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</si>
  <si>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</si>
  <si>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</si>
  <si>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</si>
  <si>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</si>
  <si>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</si>
  <si>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</si>
  <si>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</si>
  <si>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</si>
  <si>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</si>
  <si>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</si>
  <si>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</si>
  <si>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</si>
  <si>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</si>
  <si>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</si>
  <si>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</si>
  <si>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</si>
  <si>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</si>
  <si>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</si>
  <si>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</si>
  <si>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</si>
  <si>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</si>
  <si>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</si>
  <si>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</si>
  <si>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</si>
  <si>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</si>
  <si>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</si>
  <si>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</si>
  <si>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</si>
  <si>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</si>
  <si>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</si>
  <si>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</si>
  <si>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</si>
  <si>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</si>
  <si>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</si>
  <si>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</si>
  <si>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</si>
  <si>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</si>
  <si>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</si>
  <si>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</si>
  <si>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</si>
  <si>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</si>
  <si>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</si>
  <si>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</si>
  <si>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</si>
  <si>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</si>
  <si>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</si>
  <si>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</si>
  <si>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</si>
  <si>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</si>
  <si>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</si>
  <si>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</si>
  <si>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</si>
  <si>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</si>
  <si>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</si>
  <si>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</si>
  <si>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</si>
  <si>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</si>
  <si>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</si>
  <si>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</si>
  <si>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</si>
  <si>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</si>
  <si>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</si>
  <si>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</si>
  <si>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</si>
  <si>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</si>
  <si>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</si>
  <si>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</si>
  <si>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</si>
  <si>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</si>
  <si>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</si>
  <si>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</si>
  <si>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</si>
  <si>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</si>
  <si>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</si>
  <si>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</si>
  <si>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</si>
  <si>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</si>
  <si>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</si>
  <si>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</si>
  <si>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</si>
  <si>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</si>
  <si>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</si>
  <si>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</si>
  <si>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</si>
  <si>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</si>
  <si>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</si>
  <si>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</si>
  <si>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</si>
  <si>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</si>
  <si>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</si>
  <si>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</si>
  <si>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</si>
  <si>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</si>
  <si>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</si>
  <si>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</si>
  <si>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</si>
  <si>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</si>
  <si>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</si>
  <si>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</si>
  <si>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</si>
  <si>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</si>
  <si>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</si>
  <si>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</si>
  <si>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</si>
  <si>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</si>
  <si>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</si>
  <si>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</si>
  <si>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</si>
  <si>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</si>
  <si>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</si>
  <si>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</si>
  <si>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</si>
  <si>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</si>
  <si>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</si>
  <si>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</si>
  <si>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</si>
  <si>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</si>
  <si>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</si>
  <si>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</si>
  <si>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</si>
  <si>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</si>
  <si>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</si>
  <si>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</si>
  <si>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</si>
  <si>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</si>
  <si>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</si>
  <si>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</si>
  <si>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</si>
  <si>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</si>
  <si>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</si>
  <si>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</si>
  <si>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</si>
  <si>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</si>
  <si>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</si>
  <si>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</si>
  <si>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</si>
  <si>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</si>
  <si>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</si>
  <si>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</si>
  <si>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</si>
  <si>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</si>
  <si>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</si>
  <si>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</si>
  <si>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</si>
  <si>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</si>
  <si>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</si>
  <si>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</si>
  <si>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</si>
  <si>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</si>
  <si>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</si>
  <si>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</si>
  <si>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</si>
  <si>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</si>
  <si>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</si>
  <si>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</si>
  <si>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</si>
  <si>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</si>
  <si>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</si>
  <si>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</si>
  <si>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</si>
  <si>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</si>
  <si>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</si>
  <si>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</si>
  <si>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</si>
  <si>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</si>
  <si>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</si>
  <si>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</si>
  <si>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</si>
  <si>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</si>
  <si>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</si>
  <si>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</si>
  <si>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</si>
  <si>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</si>
  <si>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</si>
  <si>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</si>
  <si>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</si>
  <si>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</si>
  <si>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</si>
  <si>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</si>
  <si>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</si>
  <si>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</si>
  <si>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</si>
  <si>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</si>
  <si>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</si>
  <si>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</si>
  <si>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</si>
  <si>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</si>
  <si>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</si>
  <si>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</si>
  <si>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</si>
  <si>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</si>
  <si>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</si>
  <si>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</si>
  <si>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</si>
  <si>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</si>
  <si>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</si>
  <si>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</si>
  <si>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</si>
  <si>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</si>
  <si>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</si>
  <si>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</si>
  <si>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</si>
  <si>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</si>
  <si>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</si>
  <si>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</si>
  <si>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</si>
  <si>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</si>
  <si>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</si>
  <si>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</si>
  <si>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</si>
  <si>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</si>
  <si>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</si>
  <si>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</si>
  <si>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</si>
  <si>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</si>
  <si>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</si>
  <si>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</si>
  <si>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</si>
  <si>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</si>
  <si>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</si>
  <si>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</si>
  <si>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</si>
  <si>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</si>
  <si>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</si>
  <si>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</si>
  <si>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</si>
  <si>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</si>
  <si>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</si>
  <si>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</si>
  <si>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</si>
  <si>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</si>
  <si>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</si>
  <si>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</si>
  <si>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</si>
  <si>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</si>
  <si>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</si>
  <si>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</si>
  <si>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</si>
  <si>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</si>
  <si>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</si>
  <si>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</si>
  <si>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</si>
  <si>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</si>
  <si>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</si>
  <si>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</si>
  <si>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</si>
  <si>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</si>
  <si>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</si>
  <si>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</si>
  <si>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</si>
  <si>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</si>
  <si>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</si>
  <si>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</si>
  <si>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</si>
  <si>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</si>
  <si>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</si>
  <si>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</si>
  <si>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</si>
  <si>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</si>
  <si>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</si>
  <si>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</si>
  <si>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</si>
  <si>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</si>
  <si>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</si>
  <si>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</si>
  <si>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</si>
  <si>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</si>
  <si>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</si>
  <si>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</si>
  <si>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</si>
  <si>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</si>
  <si>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</si>
  <si>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</si>
  <si>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</si>
  <si>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</si>
  <si>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</si>
  <si>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</si>
  <si>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</si>
  <si>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</si>
  <si>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</si>
  <si>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</si>
  <si>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</si>
  <si>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</si>
  <si>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</si>
  <si>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</si>
  <si>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</si>
  <si>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</si>
  <si>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</si>
  <si>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</si>
  <si>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</si>
  <si>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</si>
  <si>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</si>
  <si>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</si>
  <si>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</si>
  <si>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</si>
  <si>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</si>
  <si>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</si>
  <si>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</si>
  <si>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</si>
  <si>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</si>
  <si>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</si>
  <si>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</si>
  <si>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</si>
  <si>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</si>
  <si>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</si>
  <si>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</si>
  <si>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</si>
  <si>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</si>
  <si>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</si>
  <si>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</si>
  <si>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</si>
  <si>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</si>
  <si>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</si>
  <si>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</si>
  <si>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</si>
  <si>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</si>
  <si>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</si>
  <si>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</si>
  <si>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</si>
  <si>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</si>
  <si>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</si>
  <si>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</si>
  <si>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</si>
  <si>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</si>
  <si>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</si>
  <si>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</si>
  <si>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</si>
  <si>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</si>
  <si>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</si>
  <si>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</si>
  <si>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</si>
  <si>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</si>
  <si>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</si>
  <si>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</si>
  <si>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</si>
  <si>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</si>
  <si>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</si>
  <si>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</si>
  <si>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</si>
  <si>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</si>
  <si>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</si>
  <si>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</si>
  <si>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</si>
  <si>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</si>
  <si>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</si>
  <si>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</si>
  <si>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</si>
  <si>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</si>
  <si>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</si>
  <si>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</si>
  <si>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</si>
  <si>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</si>
  <si>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</si>
  <si>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</si>
  <si>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</si>
  <si>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</si>
  <si>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</si>
  <si>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</si>
  <si>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</si>
  <si>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</si>
  <si>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</si>
  <si>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</si>
  <si>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</si>
  <si>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</si>
  <si>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</si>
  <si>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</si>
  <si>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</si>
  <si>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</si>
  <si>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</si>
  <si>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</si>
  <si>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</si>
  <si>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</si>
  <si>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</si>
  <si>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</si>
  <si>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</si>
  <si>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</si>
  <si>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</si>
  <si>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</si>
  <si>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</si>
  <si>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</si>
  <si>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</si>
  <si>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</si>
  <si>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</si>
  <si>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</si>
  <si>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</si>
  <si>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</si>
  <si>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</si>
  <si>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</si>
  <si>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</si>
  <si>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</si>
  <si>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</si>
  <si>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</si>
  <si>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</si>
  <si>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</si>
  <si>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</si>
  <si>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</si>
  <si>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</si>
  <si>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</si>
  <si>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</si>
  <si>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</si>
  <si>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</si>
  <si>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</si>
  <si>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</si>
  <si>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</si>
  <si>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</si>
  <si>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</si>
  <si>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</si>
  <si>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</si>
  <si>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</si>
  <si>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</si>
  <si>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</si>
  <si>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</si>
  <si>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</si>
  <si>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</si>
  <si>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</si>
  <si>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</si>
  <si>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</si>
  <si>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</si>
  <si>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</si>
  <si>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</si>
  <si>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</si>
  <si>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</si>
  <si>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</si>
  <si>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</si>
  <si>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</si>
  <si>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</si>
  <si>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</si>
  <si>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</si>
  <si>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</si>
  <si>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</si>
  <si>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</si>
  <si>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</si>
  <si>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</si>
  <si>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</si>
  <si>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</si>
  <si>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</si>
  <si>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</si>
  <si>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</si>
  <si>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</si>
  <si>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</si>
  <si>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</si>
  <si>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</si>
  <si>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</si>
  <si>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</si>
  <si>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</si>
  <si>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</si>
  <si>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</si>
  <si>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</si>
  <si>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</si>
  <si>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</si>
  <si>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</si>
  <si>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</si>
  <si>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</si>
  <si>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</si>
  <si>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</si>
  <si>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</si>
  <si>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</si>
  <si>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</si>
  <si>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</si>
  <si>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</si>
  <si>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</si>
  <si>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</si>
  <si>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</si>
  <si>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</si>
  <si>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</si>
  <si>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</si>
  <si>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</si>
  <si>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</si>
  <si>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</si>
  <si>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</si>
  <si>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</si>
  <si>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</si>
  <si>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</si>
  <si>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</si>
  <si>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</si>
  <si>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</si>
  <si>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</si>
  <si>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</si>
  <si>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</si>
  <si>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</si>
  <si>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</si>
  <si>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</si>
  <si>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</si>
  <si>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</si>
  <si>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</si>
  <si>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</si>
  <si>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</si>
  <si>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</si>
  <si>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</si>
  <si>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</si>
  <si>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</si>
  <si>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</si>
  <si>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</si>
  <si>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</si>
  <si>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</si>
  <si>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</si>
  <si>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</si>
  <si>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</si>
  <si>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</si>
  <si>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</si>
  <si>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</si>
  <si>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</si>
  <si>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</si>
  <si>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</si>
  <si>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</si>
  <si>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</si>
  <si>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</si>
  <si>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</si>
  <si>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</si>
  <si>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</si>
  <si>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</si>
  <si>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</si>
  <si>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</si>
  <si>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</si>
  <si>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</si>
  <si>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</si>
  <si>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</si>
  <si>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</si>
  <si>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</si>
  <si>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</si>
  <si>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</si>
  <si>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</si>
  <si>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</si>
  <si>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</si>
  <si>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</si>
  <si>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</si>
  <si>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</si>
  <si>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</si>
  <si>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</si>
  <si>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</si>
  <si>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</si>
  <si>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</si>
  <si>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</si>
  <si>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</si>
  <si>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</si>
  <si>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</si>
  <si>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</si>
  <si>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</si>
  <si>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</si>
  <si>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</si>
  <si>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</si>
  <si>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</si>
  <si>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</si>
  <si>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</si>
  <si>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</si>
  <si>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</si>
  <si>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</si>
  <si>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</si>
  <si>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</si>
  <si>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</si>
  <si>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</si>
  <si>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</si>
  <si>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</si>
  <si>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</si>
  <si>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</si>
  <si>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</si>
  <si>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</si>
  <si>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</si>
  <si>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</si>
  <si>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</si>
  <si>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</si>
  <si>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</si>
  <si>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</si>
  <si>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</si>
  <si>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</si>
  <si>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</si>
  <si>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</si>
  <si>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</si>
  <si>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Evidence from the assessing entity of impact fees to be charged</t>
  </si>
  <si>
    <t>Prop. Mgmt. Co.:</t>
  </si>
  <si>
    <t>2nd Prop. Mgmt. Co.:</t>
  </si>
  <si>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</si>
  <si>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</si>
  <si>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</si>
  <si>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</si>
  <si>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</si>
  <si>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</si>
  <si>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</si>
  <si>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</si>
  <si>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</si>
  <si>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</si>
  <si>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</si>
  <si>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</si>
  <si>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</si>
  <si>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</si>
  <si>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</si>
  <si>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</si>
  <si>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</si>
  <si>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</si>
  <si>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</si>
  <si>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</si>
  <si>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</si>
  <si>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</si>
  <si>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</si>
  <si>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</si>
  <si>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</si>
  <si>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</si>
  <si>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</si>
  <si>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</si>
  <si>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</si>
  <si>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</si>
  <si>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</si>
  <si>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</si>
  <si>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</si>
  <si>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</si>
  <si>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</si>
  <si>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</si>
  <si>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</si>
  <si>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</si>
  <si>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</si>
  <si>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</si>
  <si>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</si>
  <si>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</si>
  <si>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</si>
  <si>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</si>
  <si>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</si>
  <si>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</si>
  <si>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</si>
  <si>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</si>
  <si>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</si>
  <si>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</si>
  <si>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</si>
  <si>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</si>
  <si>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</si>
  <si>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</si>
  <si>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</si>
  <si>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</si>
  <si>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</si>
  <si>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</si>
  <si>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</si>
  <si>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</si>
  <si>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</si>
  <si>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</si>
  <si>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</si>
  <si>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</si>
  <si>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</si>
  <si>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</si>
  <si>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</si>
  <si>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</si>
  <si>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</si>
  <si>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</si>
  <si>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</si>
  <si>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</si>
  <si>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</si>
  <si>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</si>
  <si>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</si>
  <si>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</si>
  <si>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</si>
  <si>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</si>
  <si>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</si>
  <si>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</si>
  <si>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</si>
  <si>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</si>
  <si>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</si>
  <si>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</si>
  <si>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</si>
  <si>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</si>
  <si>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</si>
  <si>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</si>
  <si>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</si>
  <si>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</si>
  <si>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</si>
  <si>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</si>
  <si>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</si>
  <si>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</si>
  <si>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</si>
  <si>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</si>
  <si>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</si>
  <si>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r>
      <t xml:space="preserve">Provide evidence of eligibility and include </t>
    </r>
    <r>
      <rPr>
        <u/>
        <sz val="10"/>
        <rFont val="Arial"/>
        <family val="2"/>
      </rPr>
      <t>signed</t>
    </r>
    <r>
      <rPr>
        <sz val="10"/>
        <rFont val="Arial"/>
        <family val="2"/>
      </rPr>
      <t xml:space="preserve">: </t>
    </r>
  </si>
  <si>
    <t>Required Capitalized Replacement Reserve</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</si>
  <si>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</si>
  <si>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</si>
  <si>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</si>
  <si>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</si>
  <si>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</si>
  <si>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</si>
  <si>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</si>
  <si>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</si>
  <si>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</si>
  <si>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</si>
  <si>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</si>
  <si>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</si>
  <si>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</si>
  <si>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</si>
  <si>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</si>
  <si>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</si>
  <si>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</si>
  <si>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</si>
  <si>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</si>
  <si>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</si>
  <si>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</si>
  <si>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</si>
  <si>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</si>
  <si>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</si>
  <si>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</si>
  <si>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</si>
  <si>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</si>
  <si>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</si>
  <si>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</si>
  <si>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</si>
  <si>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</si>
  <si>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</si>
  <si>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</si>
  <si>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</si>
  <si>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</si>
  <si>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</si>
  <si>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</si>
  <si>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</si>
  <si>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</si>
  <si>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</si>
  <si>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</si>
  <si>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</si>
  <si>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</si>
  <si>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</si>
  <si>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</si>
  <si>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</si>
  <si>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</si>
  <si>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</si>
  <si>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</si>
  <si>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</si>
  <si>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</si>
  <si>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</si>
  <si>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</si>
  <si>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</si>
  <si>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</si>
  <si>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</si>
  <si>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</si>
  <si>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TAB 2 Financial Feasibility</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</si>
  <si>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</si>
  <si>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</si>
  <si>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</si>
  <si>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</si>
  <si>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</si>
  <si>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</si>
  <si>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</si>
  <si>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</si>
  <si>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</si>
  <si>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</si>
  <si>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</si>
  <si>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</si>
  <si>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</si>
  <si>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</si>
  <si>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</si>
  <si>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</si>
  <si>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</si>
  <si>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</si>
  <si>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</si>
  <si>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</si>
  <si>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</si>
  <si>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</si>
  <si>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</si>
  <si>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</si>
  <si>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Waiver approval of the market study value ratio requirement.
Reg. § 10325(f)(1)</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</si>
  <si>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</si>
  <si>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</si>
  <si>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</si>
  <si>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</si>
  <si>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</si>
  <si>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</si>
  <si>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</si>
  <si>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</si>
  <si>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</si>
  <si>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</si>
  <si>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</si>
  <si>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</si>
  <si>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</si>
  <si>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</si>
  <si>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</si>
  <si>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</si>
  <si>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</si>
  <si>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</si>
  <si>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</si>
  <si>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</si>
  <si>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Reg. §§ 10325(f)(2), 10322(h)(9), 10327(c)(6)</t>
  </si>
  <si>
    <t>For tribal trust land, a title status report (TSR) or an attorney's opinion regarding chain of title and current title status.</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</si>
  <si>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</si>
  <si>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</si>
  <si>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</si>
  <si>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</si>
  <si>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</si>
  <si>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</si>
  <si>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</si>
  <si>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</si>
  <si>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Demonstrate Site Control (Part II - Application - Section 5 - C) and 
Land Cost (Sources and Uses Budget)</t>
  </si>
  <si>
    <t>TAB 1 Site Control and Land Cost</t>
  </si>
  <si>
    <t>Financial Feasibility (Part III - Application - Sections 1-4; Part IV)</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</si>
  <si>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</si>
  <si>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</si>
  <si>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</si>
  <si>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</si>
  <si>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Required Approvals (Part II - Application - Section 6)</t>
  </si>
  <si>
    <t>Reg. § 10326(g)(3)</t>
  </si>
  <si>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</si>
  <si>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</si>
  <si>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</si>
  <si>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</si>
  <si>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</si>
  <si>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</si>
  <si>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t>Third party tax credit factor certification, if credits are not to be syndicated.
Reg. § 10322(h)(20)</t>
  </si>
  <si>
    <t>Use of tax benefits, if credits are not to be syndicated. Reg. § 10322(h)(18)</t>
  </si>
  <si>
    <t>Reg. §§ 10325(f)(5), 10326(g)(4), 10327(c), and 10322(h)(16)</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</si>
  <si>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</si>
  <si>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Identities of Interest/Related Parties Disclosure for applicant entity and all general partners. Reg. § 10322(h)(6)</t>
  </si>
  <si>
    <t>Reg. § 10326(g)(5)</t>
  </si>
  <si>
    <t>Development Team Information (Part II - Application - Section 4 - A)</t>
  </si>
  <si>
    <t>If additional contact information for project participants not identified in "Part II - Application - Section 4 - A" of this application is available, please provide here. 
Reg. § 10322(h)(5)</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</si>
  <si>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</si>
  <si>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</si>
  <si>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</si>
  <si>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</si>
  <si>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</si>
  <si>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</si>
  <si>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</si>
  <si>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Evidence from the applicable third party(ies) of the total outstanding principal balances for the assumed debt. Reg. § 10322(h)(9)</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</si>
  <si>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</si>
  <si>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</si>
  <si>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</si>
  <si>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</si>
  <si>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</si>
  <si>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</si>
  <si>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</si>
  <si>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</si>
  <si>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</si>
  <si>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</si>
  <si>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</si>
  <si>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</si>
  <si>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</si>
  <si>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</si>
  <si>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</si>
  <si>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</si>
  <si>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</si>
  <si>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</si>
  <si>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</si>
  <si>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</si>
  <si>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</si>
  <si>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</si>
  <si>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</si>
  <si>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</si>
  <si>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</si>
  <si>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</si>
  <si>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See Regulation Section 10322(h)(21) for type of projects that are allowed to use CUAC.</t>
  </si>
  <si>
    <t>TOTAL
30% PVC for New Const/
Rehabilitation</t>
  </si>
  <si>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</si>
  <si>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</si>
  <si>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</si>
  <si>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</si>
  <si>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</si>
  <si>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</si>
  <si>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</si>
  <si>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</si>
  <si>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</si>
  <si>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</si>
  <si>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</si>
  <si>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</si>
  <si>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</si>
  <si>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</si>
  <si>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</si>
  <si>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</si>
  <si>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</si>
  <si>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</si>
  <si>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</si>
  <si>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</si>
  <si>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</si>
  <si>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</si>
  <si>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</si>
  <si>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</si>
  <si>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</si>
  <si>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</si>
  <si>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</si>
  <si>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</si>
  <si>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</si>
  <si>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</si>
  <si>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</si>
  <si>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</si>
  <si>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</si>
  <si>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</si>
  <si>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</si>
  <si>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</si>
  <si>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</si>
  <si>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</si>
  <si>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</si>
  <si>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</si>
  <si>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</si>
  <si>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</si>
  <si>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</si>
  <si>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</si>
  <si>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</si>
  <si>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</si>
  <si>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</si>
  <si>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</si>
  <si>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</si>
  <si>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</si>
  <si>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</si>
  <si>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</si>
  <si>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</si>
  <si>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</si>
  <si>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</si>
  <si>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</si>
  <si>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</si>
  <si>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</si>
  <si>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</si>
  <si>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</si>
  <si>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</si>
  <si>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</si>
  <si>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</si>
  <si>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</si>
  <si>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</si>
  <si>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</si>
  <si>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</si>
  <si>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</si>
  <si>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</si>
  <si>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</si>
  <si>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</si>
  <si>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</si>
  <si>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</si>
  <si>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</si>
  <si>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</si>
  <si>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</si>
  <si>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</si>
  <si>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</si>
  <si>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</si>
  <si>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</si>
  <si>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</si>
  <si>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</si>
  <si>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</si>
  <si>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</si>
  <si>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</si>
  <si>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</si>
  <si>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</si>
  <si>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</si>
  <si>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</si>
  <si>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</si>
  <si>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</si>
  <si>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</si>
  <si>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</si>
  <si>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</si>
  <si>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</si>
  <si>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</si>
  <si>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</si>
  <si>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</si>
  <si>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</si>
  <si>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</si>
  <si>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</si>
  <si>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</si>
  <si>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</si>
  <si>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</si>
  <si>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</si>
  <si>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</si>
  <si>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</si>
  <si>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</si>
  <si>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</si>
  <si>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</si>
  <si>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</si>
  <si>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</si>
  <si>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</si>
  <si>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</si>
  <si>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</si>
  <si>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</si>
  <si>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</si>
  <si>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</si>
  <si>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</si>
  <si>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</si>
  <si>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</si>
  <si>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</si>
  <si>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</si>
  <si>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</si>
  <si>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</si>
  <si>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</si>
  <si>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</si>
  <si>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</si>
  <si>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</si>
  <si>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</si>
  <si>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</si>
  <si>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</si>
  <si>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</si>
  <si>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</si>
  <si>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</si>
  <si>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</si>
  <si>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</si>
  <si>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</si>
  <si>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</si>
  <si>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</si>
  <si>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</si>
  <si>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</si>
  <si>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</si>
  <si>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</si>
  <si>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</si>
  <si>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</si>
  <si>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</si>
  <si>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</si>
  <si>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</si>
  <si>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</si>
  <si>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</si>
  <si>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</si>
  <si>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</si>
  <si>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</si>
  <si>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</si>
  <si>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</si>
  <si>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</si>
  <si>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</si>
  <si>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</si>
  <si>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</si>
  <si>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</si>
  <si>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</si>
  <si>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</si>
  <si>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</si>
  <si>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</si>
  <si>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</si>
  <si>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</si>
  <si>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</si>
  <si>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</si>
  <si>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</si>
  <si>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</si>
  <si>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</si>
  <si>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</si>
  <si>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</si>
  <si>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</si>
  <si>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</si>
  <si>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</si>
  <si>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</si>
  <si>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</si>
  <si>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</si>
  <si>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</si>
  <si>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</si>
  <si>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</si>
  <si>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</si>
  <si>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</si>
  <si>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</si>
  <si>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</si>
  <si>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</si>
  <si>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</si>
  <si>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</si>
  <si>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</si>
  <si>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</si>
  <si>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</si>
  <si>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</si>
  <si>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</si>
  <si>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</si>
  <si>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</si>
  <si>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</si>
  <si>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</si>
  <si>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</si>
  <si>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</si>
  <si>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</si>
  <si>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</si>
  <si>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</si>
  <si>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</si>
  <si>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</si>
  <si>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</si>
  <si>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</si>
  <si>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</si>
  <si>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</si>
  <si>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</si>
  <si>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</si>
  <si>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</si>
  <si>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</si>
  <si>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</si>
  <si>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</si>
  <si>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</si>
  <si>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</si>
  <si>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</si>
  <si>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</si>
  <si>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</si>
  <si>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</si>
  <si>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</si>
  <si>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</si>
  <si>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</si>
  <si>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</si>
  <si>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</si>
  <si>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</si>
  <si>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</si>
  <si>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</si>
  <si>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</si>
  <si>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</si>
  <si>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</si>
  <si>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</si>
  <si>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</si>
  <si>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</si>
  <si>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</si>
  <si>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</si>
  <si>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</si>
  <si>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</si>
  <si>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</si>
  <si>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</si>
  <si>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</si>
  <si>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</si>
  <si>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</si>
  <si>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</si>
  <si>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</si>
  <si>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</si>
  <si>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</si>
  <si>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</si>
  <si>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</si>
  <si>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</si>
  <si>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</si>
  <si>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</si>
  <si>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</si>
  <si>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</si>
  <si>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</si>
  <si>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</si>
  <si>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</si>
  <si>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</si>
  <si>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</si>
  <si>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</si>
  <si>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</si>
  <si>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</si>
  <si>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</si>
  <si>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</si>
  <si>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</si>
  <si>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</si>
  <si>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</si>
  <si>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</si>
  <si>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</si>
  <si>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</si>
  <si>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</si>
  <si>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</si>
  <si>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</si>
  <si>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</si>
  <si>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</si>
  <si>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</si>
  <si>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</si>
  <si>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</si>
  <si>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</si>
  <si>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</si>
  <si>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</si>
  <si>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</si>
  <si>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</si>
  <si>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</si>
  <si>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</si>
  <si>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</si>
  <si>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</si>
  <si>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</si>
  <si>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</si>
  <si>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</si>
  <si>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</si>
  <si>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</si>
  <si>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</si>
  <si>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</si>
  <si>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</si>
  <si>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</si>
  <si>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</si>
  <si>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</si>
  <si>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</si>
  <si>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</si>
  <si>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</si>
  <si>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</si>
  <si>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</si>
  <si>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</si>
  <si>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</si>
  <si>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</si>
  <si>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</si>
  <si>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</si>
  <si>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</si>
  <si>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</si>
  <si>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</si>
  <si>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</si>
  <si>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</si>
  <si>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</si>
  <si>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</si>
  <si>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</si>
  <si>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</si>
  <si>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</si>
  <si>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</si>
  <si>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</si>
  <si>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</si>
  <si>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</si>
  <si>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</si>
  <si>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</si>
  <si>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</si>
  <si>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</si>
  <si>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</si>
  <si>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</si>
  <si>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</si>
  <si>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</si>
  <si>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</si>
  <si>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</si>
  <si>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</si>
  <si>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</si>
  <si>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</si>
  <si>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</si>
  <si>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</si>
  <si>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</si>
  <si>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</si>
  <si>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</si>
  <si>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</si>
  <si>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</si>
  <si>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</si>
  <si>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</si>
  <si>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</si>
  <si>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</si>
  <si>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</si>
  <si>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</si>
  <si>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</si>
  <si>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</si>
  <si>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</si>
  <si>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</si>
  <si>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</si>
  <si>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</si>
  <si>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</si>
  <si>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</si>
  <si>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</si>
  <si>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</si>
  <si>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</si>
  <si>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</si>
  <si>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</si>
  <si>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</si>
  <si>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</si>
  <si>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</si>
  <si>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</si>
  <si>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</si>
  <si>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</si>
  <si>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</si>
  <si>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</si>
  <si>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</si>
  <si>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</si>
  <si>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</si>
  <si>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</si>
  <si>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</si>
  <si>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</si>
  <si>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</si>
  <si>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</si>
  <si>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</si>
  <si>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</si>
  <si>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</si>
  <si>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</si>
  <si>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</si>
  <si>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</si>
  <si>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</si>
  <si>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</si>
  <si>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</si>
  <si>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</si>
  <si>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</si>
  <si>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</si>
  <si>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</si>
  <si>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</si>
  <si>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</si>
  <si>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</si>
  <si>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</si>
  <si>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</si>
  <si>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</si>
  <si>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</si>
  <si>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</si>
  <si>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</si>
  <si>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</si>
  <si>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</si>
  <si>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</si>
  <si>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</si>
  <si>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</si>
  <si>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</si>
  <si>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</si>
  <si>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</si>
  <si>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</si>
  <si>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</si>
  <si>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</si>
  <si>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</si>
  <si>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</si>
  <si>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</si>
  <si>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</si>
  <si>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</si>
  <si>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</si>
  <si>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</si>
  <si>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</si>
  <si>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</si>
  <si>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</si>
  <si>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</si>
  <si>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</si>
  <si>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</si>
  <si>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</si>
  <si>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</si>
  <si>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</si>
  <si>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</si>
  <si>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</si>
  <si>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</si>
  <si>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</si>
  <si>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</si>
  <si>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</si>
  <si>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</si>
  <si>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</si>
  <si>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</si>
  <si>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</si>
  <si>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</si>
  <si>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</si>
  <si>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</si>
  <si>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</si>
  <si>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</si>
  <si>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</si>
  <si>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</si>
  <si>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</si>
  <si>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</si>
  <si>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</si>
  <si>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</si>
  <si>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</si>
  <si>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</si>
  <si>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</si>
  <si>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</si>
  <si>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</si>
  <si>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</si>
  <si>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</si>
  <si>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</si>
  <si>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</si>
  <si>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</si>
  <si>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</si>
  <si>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</si>
  <si>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</si>
  <si>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</si>
  <si>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</si>
  <si>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</si>
  <si>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</si>
  <si>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</si>
  <si>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</si>
  <si>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</si>
  <si>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</si>
  <si>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</si>
  <si>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</si>
  <si>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</si>
  <si>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</si>
  <si>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</si>
  <si>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</si>
  <si>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</si>
  <si>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</si>
  <si>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</si>
  <si>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</si>
  <si>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</si>
  <si>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</si>
  <si>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</si>
  <si>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</si>
  <si>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</si>
  <si>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</si>
  <si>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</si>
  <si>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</si>
  <si>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</si>
  <si>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</si>
  <si>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</si>
  <si>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</si>
  <si>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</si>
  <si>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</si>
  <si>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</si>
  <si>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</si>
  <si>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</si>
  <si>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</si>
  <si>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</si>
  <si>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</si>
  <si>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</si>
  <si>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</si>
  <si>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</si>
  <si>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</si>
  <si>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</si>
  <si>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</si>
  <si>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</si>
  <si>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</si>
  <si>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</si>
  <si>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</si>
  <si>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</si>
  <si>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</si>
  <si>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</si>
  <si>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</si>
  <si>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</si>
  <si>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</si>
  <si>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</si>
  <si>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Lien Position</t>
  </si>
  <si>
    <t>Required Payment</t>
  </si>
  <si>
    <t>Total Annual Monitoring Fees:</t>
  </si>
  <si>
    <t>Average Square Feet</t>
  </si>
  <si>
    <t>Monitoring Fees</t>
  </si>
  <si>
    <t>Specialty Local Taxes</t>
  </si>
  <si>
    <t>Ground Lease Payment (if applicable)</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</si>
  <si>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</si>
  <si>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</si>
  <si>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</si>
  <si>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</si>
  <si>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</si>
  <si>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</si>
  <si>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</si>
  <si>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</si>
  <si>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</si>
  <si>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</si>
  <si>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</si>
  <si>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</si>
  <si>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</si>
  <si>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</si>
  <si>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</si>
  <si>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</si>
  <si>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</si>
  <si>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</si>
  <si>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</si>
  <si>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</si>
  <si>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</si>
  <si>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</si>
  <si>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</si>
  <si>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</si>
  <si>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</si>
  <si>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</si>
  <si>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</si>
  <si>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</si>
  <si>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</si>
  <si>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</si>
  <si>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</si>
  <si>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</si>
  <si>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</si>
  <si>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</si>
  <si>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</si>
  <si>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</si>
  <si>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</si>
  <si>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</si>
  <si>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</si>
  <si>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</si>
  <si>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</si>
  <si>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</si>
  <si>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</si>
  <si>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</si>
  <si>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</si>
  <si>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</si>
  <si>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</si>
  <si>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</si>
  <si>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</si>
  <si>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</si>
  <si>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</si>
  <si>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</si>
  <si>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</si>
  <si>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</si>
  <si>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</si>
  <si>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</si>
  <si>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</si>
  <si>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</si>
  <si>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</si>
  <si>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</si>
  <si>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</si>
  <si>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</si>
  <si>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</si>
  <si>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</si>
  <si>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</si>
  <si>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</si>
  <si>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</si>
  <si>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</si>
  <si>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</si>
  <si>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</si>
  <si>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</si>
  <si>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</si>
  <si>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</si>
  <si>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</si>
  <si>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</si>
  <si>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</si>
  <si>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</si>
  <si>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</si>
  <si>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</si>
  <si>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</si>
  <si>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</si>
  <si>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</si>
  <si>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</si>
  <si>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</si>
  <si>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</si>
  <si>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</si>
  <si>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</si>
  <si>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</si>
  <si>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</si>
  <si>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</si>
  <si>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</si>
  <si>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</si>
  <si>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</si>
  <si>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</si>
  <si>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</si>
  <si>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</si>
  <si>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</si>
  <si>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</si>
  <si>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</si>
  <si>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</si>
  <si>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</si>
  <si>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</si>
  <si>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</si>
  <si>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</si>
  <si>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</si>
  <si>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</si>
  <si>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</si>
  <si>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</si>
  <si>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</si>
  <si>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</si>
  <si>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</si>
  <si>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</si>
  <si>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</si>
  <si>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</si>
  <si>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</si>
  <si>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</si>
  <si>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</si>
  <si>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</si>
  <si>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</si>
  <si>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</si>
  <si>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</si>
  <si>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</si>
  <si>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</si>
  <si>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</si>
  <si>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</si>
  <si>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</si>
  <si>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</si>
  <si>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</si>
  <si>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</si>
  <si>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</si>
  <si>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</si>
  <si>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</si>
  <si>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</si>
  <si>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</si>
  <si>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</si>
  <si>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</si>
  <si>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</si>
  <si>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</si>
  <si>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</si>
  <si>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</si>
  <si>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</si>
  <si>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</si>
  <si>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</si>
  <si>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</si>
  <si>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</si>
  <si>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</si>
  <si>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</si>
  <si>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</si>
  <si>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</si>
  <si>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</si>
  <si>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</si>
  <si>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</si>
  <si>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</si>
  <si>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</si>
  <si>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</si>
  <si>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</si>
  <si>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</si>
  <si>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</si>
  <si>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</si>
  <si>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</si>
  <si>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</si>
  <si>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</si>
  <si>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</si>
  <si>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</si>
  <si>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</si>
  <si>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</si>
  <si>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</si>
  <si>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</si>
  <si>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</si>
  <si>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</si>
  <si>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</si>
  <si>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</si>
  <si>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</si>
  <si>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</si>
  <si>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</si>
  <si>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</si>
  <si>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</si>
  <si>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</si>
  <si>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</si>
  <si>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</si>
  <si>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</si>
  <si>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</si>
  <si>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</si>
  <si>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</si>
  <si>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</si>
  <si>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</si>
  <si>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</si>
  <si>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</si>
  <si>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</si>
  <si>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</si>
  <si>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</si>
  <si>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</si>
  <si>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</si>
  <si>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</si>
  <si>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</si>
  <si>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</si>
  <si>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</si>
  <si>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Attachment 21*</t>
  </si>
  <si>
    <t>Attachment 22*</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</si>
  <si>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</si>
  <si>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21</t>
  </si>
  <si>
    <t>Attachment 22</t>
  </si>
  <si>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</si>
  <si>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</si>
  <si>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</si>
  <si>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</si>
  <si>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</si>
  <si>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</si>
  <si>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Resyndication project using hold harmless rent limits in the above table?</t>
  </si>
  <si>
    <t>Total # Low Income Bedrooms</t>
  </si>
  <si>
    <t>Total # Special Needs Bedrooms</t>
  </si>
  <si>
    <t>If you are a Special Needs Project, please enter the number of Special Needs Bedrooms: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</si>
  <si>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</si>
  <si>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</si>
  <si>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</si>
  <si>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</si>
  <si>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</si>
  <si>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</si>
  <si>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</si>
  <si>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</si>
  <si>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</si>
  <si>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</si>
  <si>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</si>
  <si>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</si>
  <si>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</si>
  <si>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</si>
  <si>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</si>
  <si>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</si>
  <si>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</si>
  <si>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</si>
  <si>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</si>
  <si>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</si>
  <si>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</si>
  <si>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</si>
  <si>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</si>
  <si>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</si>
  <si>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</si>
  <si>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</si>
  <si>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</si>
  <si>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</si>
  <si>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</si>
  <si>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</si>
  <si>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</si>
  <si>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</si>
  <si>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</si>
  <si>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</si>
  <si>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</si>
  <si>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</si>
  <si>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</si>
  <si>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</si>
  <si>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</si>
  <si>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</si>
  <si>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</si>
  <si>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</si>
  <si>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</si>
  <si>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</si>
  <si>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</si>
  <si>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</si>
  <si>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</si>
  <si>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</si>
  <si>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</si>
  <si>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</si>
  <si>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</si>
  <si>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</si>
  <si>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</si>
  <si>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</si>
  <si>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</si>
  <si>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</si>
  <si>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</si>
  <si>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</si>
  <si>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</si>
  <si>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</si>
  <si>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</si>
  <si>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</si>
  <si>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</si>
  <si>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</si>
  <si>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</si>
  <si>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</si>
  <si>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</si>
  <si>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</si>
  <si>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</si>
  <si>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</si>
  <si>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</si>
  <si>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</si>
  <si>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</si>
  <si>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</si>
  <si>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</si>
  <si>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</si>
  <si>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</si>
  <si>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Bond Request</t>
  </si>
  <si>
    <t>Cost-Adjusted Allocation</t>
  </si>
  <si>
    <t>A. Unit Production Benefit</t>
  </si>
  <si>
    <t>B. Rent Savings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</si>
  <si>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</si>
  <si>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</si>
  <si>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</si>
  <si>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</si>
  <si>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</si>
  <si>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</si>
  <si>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</si>
  <si>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</si>
  <si>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</si>
  <si>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</si>
  <si>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</si>
  <si>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</si>
  <si>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</si>
  <si>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</si>
  <si>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Public Benefit Numerator</t>
  </si>
  <si>
    <t>÷</t>
  </si>
  <si>
    <t>Cost-Adjusted Bond and State Credit Allocation Denominator</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</si>
  <si>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</si>
  <si>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</si>
  <si>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</si>
  <si>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</si>
  <si>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</si>
  <si>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</si>
  <si>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</si>
  <si>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</si>
  <si>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</si>
  <si>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</si>
  <si>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</si>
  <si>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</si>
  <si>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</si>
  <si>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</si>
  <si>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</si>
  <si>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</si>
  <si>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</si>
  <si>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</si>
  <si>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</si>
  <si>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</si>
  <si>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</si>
  <si>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</si>
  <si>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</si>
  <si>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</si>
  <si>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</si>
  <si>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</si>
  <si>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</si>
  <si>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</si>
  <si>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</si>
  <si>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</si>
  <si>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</si>
  <si>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</si>
  <si>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</si>
  <si>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</si>
  <si>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</si>
  <si>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</si>
  <si>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</si>
  <si>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</si>
  <si>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</si>
  <si>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</si>
  <si>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</si>
  <si>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</si>
  <si>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</si>
  <si>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</si>
  <si>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</si>
  <si>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</si>
  <si>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</si>
  <si>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</si>
  <si>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</si>
  <si>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</si>
  <si>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</si>
  <si>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</si>
  <si>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</si>
  <si>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</si>
  <si>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</si>
  <si>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</si>
  <si>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</si>
  <si>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</si>
  <si>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</si>
  <si>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</si>
  <si>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</si>
  <si>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</si>
  <si>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</si>
  <si>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</si>
  <si>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</si>
  <si>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</si>
  <si>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</si>
  <si>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</si>
  <si>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</si>
  <si>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</si>
  <si>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</si>
  <si>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</si>
  <si>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</si>
  <si>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</si>
  <si>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</si>
  <si>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</si>
  <si>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</si>
  <si>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</si>
  <si>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</si>
  <si>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</si>
  <si>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https://www.treasurer.ca.gov/CTCAC/cuac/index.asp</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</si>
  <si>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</si>
  <si>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</si>
  <si>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</si>
  <si>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</si>
  <si>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</si>
  <si>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</si>
  <si>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</si>
  <si>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</si>
  <si>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</si>
  <si>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</si>
  <si>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</si>
  <si>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</si>
  <si>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</si>
  <si>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</si>
  <si>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</si>
  <si>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</si>
  <si>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</si>
  <si>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</si>
  <si>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</si>
  <si>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</si>
  <si>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</si>
  <si>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</si>
  <si>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</si>
  <si>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</si>
  <si>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</si>
  <si>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</si>
  <si>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</si>
  <si>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</si>
  <si>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</si>
  <si>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</si>
  <si>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</si>
  <si>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</si>
  <si>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</si>
  <si>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</si>
  <si>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</si>
  <si>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</si>
  <si>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</si>
  <si>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</si>
  <si>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</si>
  <si>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</si>
  <si>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</si>
  <si>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</si>
  <si>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</si>
  <si>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</si>
  <si>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</si>
  <si>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</si>
  <si>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</si>
  <si>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</si>
  <si>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</si>
  <si>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</si>
  <si>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</si>
  <si>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</si>
  <si>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</si>
  <si>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</si>
  <si>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</si>
  <si>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</si>
  <si>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</si>
  <si>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</si>
  <si>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</si>
  <si>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</si>
  <si>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</si>
  <si>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</si>
  <si>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</si>
  <si>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</si>
  <si>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</si>
  <si>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</si>
  <si>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</si>
  <si>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</si>
  <si>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</si>
  <si>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</si>
  <si>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</si>
  <si>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</si>
  <si>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</si>
  <si>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</si>
  <si>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</si>
  <si>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</si>
  <si>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</si>
  <si>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</si>
  <si>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</si>
  <si>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</si>
  <si>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</si>
  <si>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</si>
  <si>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</si>
  <si>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</si>
  <si>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</si>
  <si>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</si>
  <si>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</si>
  <si>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</si>
  <si>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</si>
  <si>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</si>
  <si>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</si>
  <si>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</si>
  <si>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</si>
  <si>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</si>
  <si>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</si>
  <si>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</si>
  <si>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</si>
  <si>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</si>
  <si>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</si>
  <si>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</si>
  <si>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</si>
  <si>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</si>
  <si>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</si>
  <si>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</si>
  <si>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</si>
  <si>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</si>
  <si>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</si>
  <si>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</si>
  <si>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</si>
  <si>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</si>
  <si>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</si>
  <si>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</si>
  <si>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</si>
  <si>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</si>
  <si>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</si>
  <si>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</si>
  <si>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</si>
  <si>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</si>
  <si>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</si>
  <si>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</si>
  <si>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</si>
  <si>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</si>
  <si>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</si>
  <si>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</si>
  <si>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</si>
  <si>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</si>
  <si>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</si>
  <si>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</si>
  <si>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</si>
  <si>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</si>
  <si>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</si>
  <si>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</si>
  <si>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</si>
  <si>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</si>
  <si>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</si>
  <si>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</si>
  <si>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</si>
  <si>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</si>
  <si>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</si>
  <si>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</si>
  <si>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Low Resource</t>
  </si>
  <si>
    <t>Missing/Insufficient Data</t>
  </si>
  <si>
    <t>Project is located in a census tract/block group designated High Segregation &amp; Poverty:</t>
  </si>
  <si>
    <t>https://www.treasurer.ca.gov/ctcac/2023/contacts.pdf</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</si>
  <si>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</si>
  <si>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</si>
  <si>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</si>
  <si>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</si>
  <si>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</si>
  <si>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</si>
  <si>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$500M (Farmworker Housing)</t>
  </si>
  <si>
    <t>2024 100% RENTS</t>
  </si>
  <si>
    <t>Maximum Subtotal State Credit</t>
  </si>
  <si>
    <t>Total Maximum State Credit</t>
  </si>
  <si>
    <t>Project has a legal requirement for payment of federal or state prevailing wage on the entire project</t>
  </si>
  <si>
    <t>State Farmworker Credit</t>
  </si>
  <si>
    <t>Public funding source(s) requiring prevailing wage:</t>
  </si>
  <si>
    <t>Scattered site projects. A scattered site more than 0.5 mile (1.5 miles for Rural set-aside) from the nearest other site with services must provide services independently.</t>
  </si>
  <si>
    <t>Enter number of Special Needs units: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</si>
  <si>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0.5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</si>
  <si>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Total Annual Business License/Business Tax:</t>
  </si>
  <si>
    <r>
      <t xml:space="preserve">CTCAC Geographic Area </t>
    </r>
    <r>
      <rPr>
        <sz val="8"/>
        <rFont val="Arial"/>
        <family val="2"/>
      </rPr>
      <t>(Reg. Section 10315(i))</t>
    </r>
  </si>
  <si>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</si>
  <si>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Plus (+) up to 20% basis adjustment -  ITEM (e) Features</t>
  </si>
  <si>
    <t>All electric. Threshold Basis Limit increase of 20%.</t>
  </si>
  <si>
    <t>For rehabilitation projects, electric ready as defined in Section 160.9 of the 2022 Building Energy Efficiency Standards. Threshold Basis Limit increase of 15%.</t>
  </si>
  <si>
    <t>Install bamboo, stained concrete, cork, salvaged or FSC-Certified wood, natural linoleum, natural rubber, or ceramic tile in all interior floor space other than units (where no VOC adhesives or backing is also used). Threshold Basis Limit increase 2%.</t>
  </si>
  <si>
    <t>, 2025 at</t>
  </si>
  <si>
    <t>For new construction projects, meet all requirements of the U.S. Environmental Protection Agency Indoor Air Plus Program. Threshold Basis Limit increase 2%.</t>
  </si>
  <si>
    <t>Newly constructed project buildings shall be 15% more energy efficient than existing (at the time of application) Energy Efficiency Standards (CA Energy Code of Regulations, Title 24, Part 6) for energy efficiency alone (not counting solar). Threshold Basis Limit increase of 4%.</t>
  </si>
  <si>
    <t>Rehabilitated project buildings shall have an 80% decrease in estimated TDV energy use (or improvement in energy efficiency) post-rehabilitation as demonstrated using the appropriate performance module of CEC approved software. Threshold Basis Limit increase 4%.</t>
  </si>
  <si>
    <t xml:space="preserve">If claiming 20% threshold basis limit increase for payment of state or federal prevailing wages on the entire project,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</si>
  <si>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10302(aaa), &amp; 10325(f)(11)(C) </t>
  </si>
  <si>
    <t>Reg. 10326(g)(8), 10327(g)(8), 10320(b), 10302(fff), 10322(k)</t>
  </si>
  <si>
    <t>If a scattered site, provide a brief description of how the application meets the definition of Scattered Site Project. Reg. § 10302(hhh).</t>
  </si>
  <si>
    <t>Reg. §§ 10302(bb) &amp; 10317(h)</t>
  </si>
  <si>
    <t>A project that received an award from HCD’s Portfolio Reinvestment Program</t>
  </si>
  <si>
    <t>A project applying as an SRO housing type, as defined in Section 10325(g) of the CTCAC regulations, and the rehabilitation will add a bathroom and complete kitchen to each unit</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</si>
  <si>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</si>
  <si>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</si>
  <si>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The sponsor is a BIPOC Entity meeting all requirements of Section 5230(f)(1)(C)</t>
  </si>
  <si>
    <r>
      <t>Number of Units</t>
    </r>
    <r>
      <rPr>
        <sz val="11"/>
        <rFont val="Aptos Narrow"/>
        <family val="2"/>
      </rPr>
      <t>¹</t>
    </r>
  </si>
  <si>
    <r>
      <t>Voucher Type</t>
    </r>
    <r>
      <rPr>
        <sz val="11"/>
        <rFont val="Aptos Narrow"/>
        <family val="2"/>
      </rPr>
      <t>²</t>
    </r>
  </si>
  <si>
    <r>
      <t xml:space="preserve">Proposed Monthly Rent per Unit                            </t>
    </r>
    <r>
      <rPr>
        <b/>
        <sz val="11"/>
        <rFont val="Arial"/>
        <family val="2"/>
      </rPr>
      <t xml:space="preserve"> </t>
    </r>
    <r>
      <rPr>
        <b/>
        <sz val="10"/>
        <rFont val="Arial"/>
        <family val="2"/>
      </rPr>
      <t>Less Utility Allowance</t>
    </r>
    <r>
      <rPr>
        <b/>
        <sz val="10"/>
        <rFont val="Aptos Narrow"/>
        <family val="2"/>
      </rPr>
      <t>³</t>
    </r>
  </si>
  <si>
    <t>¹ The number of units are linked to the Lowest Income Units table in the Application tab.</t>
  </si>
  <si>
    <t>³ This spreadsheet assumes a subsidy contract with a utility allowance.  
If the project's subsidy contract is gross, please adjust the column headings and cells accordingly.</t>
  </si>
  <si>
    <t>Preservation Project:</t>
  </si>
  <si>
    <t>whose actual rents are less than the CTCAC rent limits:</t>
  </si>
  <si>
    <t>Preservation Rent</t>
  </si>
  <si>
    <t>Project is located in a neighborhood experiencing 
    neighborhood change*</t>
  </si>
  <si>
    <t>C. Population Benefit</t>
  </si>
  <si>
    <t>D. Location Benefit</t>
  </si>
  <si>
    <t>(1) Special Needs Population Benefit</t>
  </si>
  <si>
    <t>(2) Extremely Low Income Benefit</t>
  </si>
  <si>
    <t>Resource Area Benefit</t>
  </si>
  <si>
    <t>(3) Transit/Walkability Benefit</t>
  </si>
  <si>
    <t>(2) Community Revitalization Benefit</t>
  </si>
  <si>
    <t>(1) Resource Area Benefit</t>
  </si>
  <si>
    <t>Community Revitalization Benefit</t>
  </si>
  <si>
    <t>Transit/Walkability Benefit</t>
  </si>
  <si>
    <t>Seismic or Environmental Remediation</t>
  </si>
  <si>
    <t>Other Rehabilitation Project:</t>
  </si>
  <si>
    <t>Project requires seismic upgrading of existing residential structures, and/or requires on-site environmental remediation</t>
  </si>
  <si>
    <t>Maximum Adjustment (15% of Bond Request):</t>
  </si>
  <si>
    <t>Cost certified by project architect or seismic engineer:</t>
  </si>
  <si>
    <t>Seismic/Environmental</t>
  </si>
  <si>
    <t>Percentage of bond related to such costs:</t>
  </si>
  <si>
    <t>For Preservation projects whose actual rents are less than the CTCAC rent limits, provide the rent rolls or property audits for the last three years. Include calculations showing how the average entered into the Tie Breaker sheet was calculated.</t>
  </si>
  <si>
    <t>If claiming tiebreaker adjustment for required seismic upgrading of existing residential structures and/or on-site environmental mitigation work, provide a cost breakdown/estimate from the architect or engineer based on the associated costs.</t>
  </si>
  <si>
    <t>Date:</t>
  </si>
  <si>
    <t>Entity Represented:</t>
  </si>
  <si>
    <t>Name:</t>
  </si>
  <si>
    <t>Signature:</t>
  </si>
  <si>
    <t xml:space="preserve">In addition, I acknowledge that all information in this application and attachments is public, and may be disclosed by the State. </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</si>
  <si>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</si>
  <si>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2. I possess the legal authority to submit this application on behalf of the entity identified in the signature block below.</t>
  </si>
  <si>
    <t>1. The information, statements and attachments included in this application are, to the best of my knowledge and belief, true and correct.</t>
  </si>
  <si>
    <t xml:space="preserve">On behalf of the entity identified in the signature block below, I certify that: </t>
  </si>
  <si>
    <t xml:space="preserve"> Application for the Development of Affordable Rental Housing</t>
  </si>
  <si>
    <t xml:space="preserve">State of California </t>
  </si>
  <si>
    <t>CalHFA Application Certification</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</si>
  <si>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</si>
  <si>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</si>
  <si>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</si>
  <si>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</si>
  <si>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</si>
  <si>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</si>
  <si>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</si>
  <si>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</si>
  <si>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</si>
  <si>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</si>
  <si>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</si>
  <si>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$38,000</t>
  </si>
  <si>
    <t>Total Partnership Fee</t>
  </si>
  <si>
    <t>LP Management Fee</t>
  </si>
  <si>
    <t>Escalation % (3% Max)</t>
  </si>
  <si>
    <t>Annual Amount</t>
  </si>
  <si>
    <t>Type of Fee</t>
  </si>
  <si>
    <t>Allowable Fees from Cashflow prior to Developer Distribution (50%) and RR payment (50%)</t>
  </si>
  <si>
    <t>Adjusted TDC Per Unit:</t>
  </si>
  <si>
    <t>Note: Any Developer Fee in excess of Maxium Developer Fee or not paid by Year 15 will be GP contribution</t>
  </si>
  <si>
    <t>Total High Cost Contributing Factors:</t>
  </si>
  <si>
    <t>GP Contribution</t>
  </si>
  <si>
    <t>&lt;Enter Information&gt;</t>
  </si>
  <si>
    <t>Total Developer Fee</t>
  </si>
  <si>
    <t>Cash Portion of Developer Fee</t>
  </si>
  <si>
    <t>GP Contribution:</t>
  </si>
  <si>
    <t>Deferred Developer Fee</t>
  </si>
  <si>
    <t>Carrying Costs:</t>
  </si>
  <si>
    <t>Land Costs:</t>
  </si>
  <si>
    <t>Permit / Impact Fees:</t>
  </si>
  <si>
    <t>Wage Requirements (Estimate):</t>
  </si>
  <si>
    <t>Total Development Cost Per Unit:</t>
  </si>
  <si>
    <t>Total Development Cost:</t>
  </si>
  <si>
    <t>Description</t>
  </si>
  <si>
    <t>Estimated Costs</t>
  </si>
  <si>
    <t xml:space="preserve">High Cost Explanation:  Describe Factors Contributing to high total development cost per unit.  If neccessary, use separate sheet. </t>
  </si>
  <si>
    <t>&lt;insert information&gt;</t>
  </si>
  <si>
    <t>Date of Report</t>
  </si>
  <si>
    <t>Type of Report</t>
  </si>
  <si>
    <t xml:space="preserve">If there are environmental issues, please provide brief description below:  </t>
  </si>
  <si>
    <t>Environmental Reports</t>
  </si>
  <si>
    <t>Ground Lease</t>
  </si>
  <si>
    <t xml:space="preserve">Planning Development/Inclusionary Zoning </t>
  </si>
  <si>
    <t>Density Bonus Agreement</t>
  </si>
  <si>
    <t>Disposition Development Agreement</t>
  </si>
  <si>
    <t>Annual Payment</t>
  </si>
  <si>
    <t>Ratified Date</t>
  </si>
  <si>
    <t>Term</t>
  </si>
  <si>
    <t>Status of Entitlements</t>
  </si>
  <si>
    <t># of Market Rate Projects</t>
  </si>
  <si>
    <t># of Affordable Projects</t>
  </si>
  <si>
    <t>Completed within past 5 years in CA</t>
  </si>
  <si>
    <t>Under Construction</t>
  </si>
  <si>
    <t>Completed in CA within past 5 years</t>
  </si>
  <si>
    <t>Investor Limited Partner Experience (Closed/Executed LPA)</t>
  </si>
  <si>
    <t>Architect Company Experience (Enter # in Each Stage)</t>
  </si>
  <si>
    <t>Investor Limited Partner Experience Information</t>
  </si>
  <si>
    <t>Development Pipeline For Architect</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</si>
  <si>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</si>
  <si>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Form of engagement &amp; Date (i.e. contract, agreement):   </t>
  </si>
  <si>
    <t>Is the GC and Developer vertically integrated company (or related parties)</t>
  </si>
  <si>
    <t>Type of Construction Contract (GMP, Cost Plus Fixed, Lump Sum, etc)</t>
  </si>
  <si>
    <t>Has the General Contractor been engaged in bid/pricing estimates of hard costs for this project?</t>
  </si>
  <si>
    <t>GC Experience (Enter # in Each Stage)</t>
  </si>
  <si>
    <t>Development Pipeline For General Contractor</t>
  </si>
  <si>
    <t>Projects in CalHFA Portfolio</t>
  </si>
  <si>
    <t>Projects in CA</t>
  </si>
  <si>
    <t xml:space="preserve">Does the project include green design features?  If yes, include a brief description below and list any green certifications that are anticipated: </t>
  </si>
  <si>
    <t>Development Pipeline For Management Company</t>
  </si>
  <si>
    <t>Does the management company meet the minimum 3 points requirement pursuant to CDLAC Regulations Section 5230(f)?</t>
  </si>
  <si>
    <t>Management Company Information</t>
  </si>
  <si>
    <t>Total # of Units</t>
  </si>
  <si>
    <t># of Market Rate</t>
  </si>
  <si>
    <t># of Affordable</t>
  </si>
  <si>
    <t>In CalHFA Portfolio</t>
  </si>
  <si>
    <t>Pipeline</t>
  </si>
  <si>
    <t>Other General Partner Experience (Enter # in Each Phase - pipeline, under construction, completed)</t>
  </si>
  <si>
    <t>Share of Other General Partners' Ownership</t>
  </si>
  <si>
    <t>Development Pipeline For Other General Partner</t>
  </si>
  <si>
    <t>If no or N/A, provide explanation:</t>
  </si>
  <si>
    <t>Does the Co-Sponsor/Developer alone meet the minimum 7 points requirement pursuant to CDLAC Regulations Section 5230(f)?</t>
  </si>
  <si>
    <t>Co-Developer Experience (Enter # for Each Phase - pipeline, under construction, completed)</t>
  </si>
  <si>
    <t>Share of Developer Fees</t>
  </si>
  <si>
    <t>Share of Co-General Partners' Ownership in Project LP</t>
  </si>
  <si>
    <t>Co-Developer/Co-General Partner</t>
  </si>
  <si>
    <t>Does the Sponsor/Developer alone meet the minimum 7 points requirement pursuant to CDLAC Regulations Section 5230(f)?</t>
  </si>
  <si>
    <t>Developer Experience (Enter # for Each Phase - pipeline, under construction, completed)</t>
  </si>
  <si>
    <t>Share of  Developer Fees</t>
  </si>
  <si>
    <t>Share of General Partners' Ownership in Project LP</t>
  </si>
  <si>
    <t>Developer (General Partner)</t>
  </si>
  <si>
    <t>Other:  &lt;Enter information&gt;</t>
  </si>
  <si>
    <t>If related parties (or N/A), please provide detailed explanation:</t>
  </si>
  <si>
    <t>Insurance:</t>
  </si>
  <si>
    <t>N/A - provide explanation</t>
  </si>
  <si>
    <t xml:space="preserve">Buyer: </t>
  </si>
  <si>
    <t>Taxes:</t>
  </si>
  <si>
    <t xml:space="preserve">Seller: </t>
  </si>
  <si>
    <t>Purchase Loan Interest:</t>
  </si>
  <si>
    <t>If yes, when was the last arms-length transaction?</t>
  </si>
  <si>
    <t>Amount $</t>
  </si>
  <si>
    <t>Cost Description</t>
  </si>
  <si>
    <t>Yes or No</t>
  </si>
  <si>
    <t>Is the acquisition transaction between related parties?</t>
  </si>
  <si>
    <t>Carrying Costs Breakdown (total carrying costs should match S/U budget)</t>
  </si>
  <si>
    <t>Site Acquisition Information</t>
  </si>
  <si>
    <t>Description of Service (If necessary, use separate sheet)</t>
  </si>
  <si>
    <t>Provider Name</t>
  </si>
  <si>
    <t>Funding Source, if not part of operating expense</t>
  </si>
  <si>
    <t xml:space="preserve">Number of hours for services staff members per week </t>
  </si>
  <si>
    <t>Proposed Cost/Budget of Services Amenities ($)</t>
  </si>
  <si>
    <t>Contract Term (Years)</t>
  </si>
  <si>
    <t>Social Service Proposed Budget and Information</t>
  </si>
  <si>
    <t>If more space is needed for this chart, Applicant may submit a separate supplemental chart in the same format.</t>
  </si>
  <si>
    <t xml:space="preserve">*Note: Enter information based on the anticipated order of lien/recordation priority.  Revise the AMI levels as needed to reflect the anticipated restrictions. </t>
  </si>
  <si>
    <t>Density Bonus or CUP</t>
  </si>
  <si>
    <t>Local Dev Agreement</t>
  </si>
  <si>
    <t>HAP Use Agreement</t>
  </si>
  <si>
    <t>County [Add Funding Type]</t>
  </si>
  <si>
    <t>City [Add Funding Type]</t>
  </si>
  <si>
    <t>3rd</t>
  </si>
  <si>
    <t>CTCAC</t>
  </si>
  <si>
    <t>2nd</t>
  </si>
  <si>
    <t>CalHFA MIP</t>
  </si>
  <si>
    <t>1st</t>
  </si>
  <si>
    <t>CalHFA Bond</t>
  </si>
  <si>
    <t>% Regulated</t>
  </si>
  <si>
    <t>Total Regulated</t>
  </si>
  <si>
    <t>(enter various AMI%'s in each columns yellow field, then show the number of
 regulated units for each AMI, by Source)</t>
  </si>
  <si>
    <t>Number of Units Restricted For Each AMI Category</t>
  </si>
  <si>
    <t>Term of 
Agreement (years)</t>
  </si>
  <si>
    <t>Recordation (lien)
 Priority if 
Recorded Document</t>
  </si>
  <si>
    <t>*Regulatory Source
(Type in Lender Names)</t>
  </si>
  <si>
    <t>NUMBER OF UNITS AND AMI RENTS RESTRICTED BY EACH AGENCY</t>
  </si>
  <si>
    <t>Manager's Unit</t>
  </si>
  <si>
    <t>% of Total</t>
  </si>
  <si>
    <t>Restriction @ AMI</t>
  </si>
  <si>
    <t>Rent Limit Summary Table</t>
  </si>
  <si>
    <t>CTCAC Application Submission Date:</t>
  </si>
  <si>
    <t>Senior Housing Age Restriction:</t>
  </si>
  <si>
    <t>CalHFA Application Initial/Update Submission Date:</t>
  </si>
  <si>
    <t>Existing/Rehab</t>
  </si>
  <si>
    <t># ADA Units:</t>
  </si>
  <si>
    <t>Did the project obtain entitlement via SB35?</t>
  </si>
  <si>
    <t>New Construction/Rehab</t>
  </si>
  <si>
    <t>Estimated 90% Occupancy Date</t>
  </si>
  <si>
    <t>CalHFA MIP Loan Amount*</t>
  </si>
  <si>
    <t>Acquisition/Rehab</t>
  </si>
  <si>
    <t>Estimated Lease Up Start Date</t>
  </si>
  <si>
    <t>CalHFA Permanent Loan Amount</t>
  </si>
  <si>
    <t>Acquisition only</t>
  </si>
  <si>
    <t>Estimated  Completion Date</t>
  </si>
  <si>
    <t>Construction Type:</t>
  </si>
  <si>
    <t>Will this project be scattered site? (Defined by CDLAC, Article 1, Section 5170)</t>
  </si>
  <si>
    <t>Number of Elevators:</t>
  </si>
  <si>
    <t>Number of Building Stories:</t>
  </si>
  <si>
    <t>Sponsor/Developer Name</t>
  </si>
  <si>
    <t>Projected Date for Design:</t>
  </si>
  <si>
    <t>Projected Date for Final Plans:</t>
  </si>
  <si>
    <t xml:space="preserve">All yellow cells in this addendum must be completed, if applicable.  </t>
  </si>
  <si>
    <t>CalHFA Application Addendum to CTCAC Application Workbook</t>
  </si>
  <si>
    <t>2025 CDLAC-CTCAC JOINT APPLICATION CHECKLIST</t>
  </si>
  <si>
    <t>2025 4% FEDERAL LOW-INCOME HOUSING TAX CREDITS WITH TAX-EXEMPT BONDS</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</si>
  <si>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</si>
  <si>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 based on new construction project buildings being 15% better than applicable Energy Efficiency Standards, provide a certification from a third-party certified HERS Rater.</t>
  </si>
  <si>
    <t>If claiming threshold basis limit increase based photovoltaics that offset tenant or common area electricity use, provide a certification from a third-party certified HERS Rater.</t>
  </si>
  <si>
    <r>
      <t xml:space="preserve">CDLAC Region </t>
    </r>
    <r>
      <rPr>
        <sz val="8"/>
        <rFont val="Arial"/>
        <family val="2"/>
      </rPr>
      <t>(§ 5022)</t>
    </r>
  </si>
  <si>
    <t>Please select the project's CTCAC geographic area and CDLAC geographic region:</t>
  </si>
  <si>
    <t xml:space="preserve">Coastal (Monterey, Napa, Orange, San Benito, San Diego, San Luis Obispo, Santa Barbara, Sonoma, and Ventura Counties) </t>
  </si>
  <si>
    <t>Bay Area ((Alameda, Contra Costa, Marin, San Francisco, San Mateo, Santa Clara, and Santa Cruz Counties)</t>
  </si>
  <si>
    <t>Inland (Fresno, Imperial, Kern, Kings, Madera, Merced, Riverside, San Bernardino, Stanislaus, and Tulare Counties)</t>
  </si>
  <si>
    <t>Northern (Butte, El Dorado, Placer, Sacramento, San Joaquin, Shasta, Solano, Sutter, Yuba, and Yolo Counties)</t>
  </si>
  <si>
    <t>HERS Rater's certification of threshold basis limit increases/exceptions</t>
  </si>
  <si>
    <t>Attachments - Exhibit B: HERS Rater tab</t>
  </si>
  <si>
    <t>HIGH COST TEST</t>
  </si>
  <si>
    <t xml:space="preserve">Total Eligible Basis  </t>
  </si>
  <si>
    <t>Percentage of the Adjusted Threshold Basis Limit</t>
  </si>
  <si>
    <t>If Special Needs Housing Type and less than 75% Special Needs units, specify the standards the non-special needs units will meet:</t>
  </si>
  <si>
    <t>(ii) provides the BIPOC Entity an option to purchase the development</t>
  </si>
  <si>
    <t>Project is a joint venture between an entity that receives maximum general experience points and a BIPOC Entity, with a partnership agreement that:</t>
  </si>
  <si>
    <t xml:space="preserve">(i) allocates at least 51% of the developer fee, cash flow, and net sale proceeds to the BIPOC Entity and 
</t>
  </si>
  <si>
    <t>Pro Rata Commercial Costs</t>
  </si>
  <si>
    <t>of</t>
  </si>
  <si>
    <t>Unadjusted Eligible Construction-Related Basis</t>
  </si>
  <si>
    <t>Unadjusted Eligible Acquisition-Related Basis (Adaptive Reuse Project)</t>
  </si>
  <si>
    <t>Unadjusted Eligible Acquisition-Related Basis (Acq/Rehab Project)</t>
  </si>
  <si>
    <t>Basis For Non-Residential Costs Included In The Project (Allocated On A Pro Rata Basis)</t>
  </si>
  <si>
    <t xml:space="preserve">sum of the above, up to </t>
  </si>
  <si>
    <t>of project’s unadjusted eligible basis in excess of</t>
  </si>
  <si>
    <t>Maximum Cash-Out Developer Fee per 10327(c)(2)(B)(iii)</t>
  </si>
  <si>
    <t>Cash-out Developer Fee Limit</t>
  </si>
  <si>
    <t>Total Developer Fee Limit</t>
  </si>
  <si>
    <t>Per Unit Rehab</t>
  </si>
  <si>
    <t>BIPOC Joint Venture</t>
  </si>
  <si>
    <t>% of SpN Units</t>
  </si>
  <si>
    <t># of SpN Units</t>
  </si>
  <si>
    <t>% of Units at or Below 50% AMI'</t>
  </si>
  <si>
    <t>Total Developer Fee Basis</t>
  </si>
  <si>
    <t xml:space="preserve">Excess Developer Fee Basis </t>
  </si>
  <si>
    <t>² Federal project-based rental assistance, a similar local rental assistance program approved by the Executive Director under 
    §5231(g)(1)(B)(i), or other rental assistance</t>
  </si>
  <si>
    <t>CDLAC_Data</t>
  </si>
  <si>
    <t>Key</t>
  </si>
  <si>
    <t>Value</t>
  </si>
  <si>
    <t>Notes</t>
  </si>
  <si>
    <t>30% AMI Units</t>
  </si>
  <si>
    <t>40% AMI Units</t>
  </si>
  <si>
    <t>50% AMI Units</t>
  </si>
  <si>
    <t>60% AMI Units</t>
  </si>
  <si>
    <t>70% AMI Units</t>
  </si>
  <si>
    <t>80% AMI Units</t>
  </si>
  <si>
    <t>Pool</t>
  </si>
  <si>
    <t>20% AMI Units</t>
  </si>
  <si>
    <t>25% AMI Units</t>
  </si>
  <si>
    <t>35% AMI Units</t>
  </si>
  <si>
    <t>45% AMI Unis</t>
  </si>
  <si>
    <t>55% AMI Units</t>
  </si>
  <si>
    <t>includes all units below 20% AMI, if any</t>
  </si>
  <si>
    <t>*Accurate information is essential; the following websites are provided for reference:</t>
  </si>
  <si>
    <r>
      <t>Project is the 4% component of a Hybrid project</t>
    </r>
    <r>
      <rPr>
        <sz val="10"/>
        <rFont val="Aptos Narrow"/>
        <family val="2"/>
      </rPr>
      <t>¹</t>
    </r>
    <r>
      <rPr>
        <sz val="10"/>
        <rFont val="Arial"/>
        <family val="2"/>
      </rPr>
      <t xml:space="preserve"> 
     </t>
    </r>
  </si>
  <si>
    <r>
      <rPr>
        <sz val="10"/>
        <rFont val="Aptos Narrow"/>
        <family val="2"/>
      </rPr>
      <t>¹</t>
    </r>
    <r>
      <rPr>
        <sz val="10"/>
        <rFont val="Arial"/>
        <family val="2"/>
      </rPr>
      <t>defined by CTCAC Regulations Section 10302</t>
    </r>
  </si>
  <si>
    <r>
      <t>Project is Rural</t>
    </r>
    <r>
      <rPr>
        <sz val="10"/>
        <rFont val="Aptos Narrow"/>
        <family val="2"/>
      </rPr>
      <t>¹</t>
    </r>
  </si>
  <si>
    <t>https://www.treasurer.ca.gov/CTCAC/2025/4-instructions.asp</t>
  </si>
  <si>
    <t>MIP Amount</t>
  </si>
  <si>
    <t>CalHFA MIP Loan</t>
  </si>
  <si>
    <t>Annual Federal Request</t>
  </si>
  <si>
    <t>State Credit Request</t>
  </si>
  <si>
    <t>Construction Bond Tax-Exempt</t>
  </si>
  <si>
    <t>Total Land Cost</t>
  </si>
  <si>
    <t>Square Footage Of Structures</t>
  </si>
  <si>
    <t>Federal Set Aside</t>
  </si>
  <si>
    <t>Rehabilitation</t>
  </si>
  <si>
    <t>Acq and Rehabilitation</t>
  </si>
  <si>
    <t>Housing Type</t>
  </si>
  <si>
    <t>Units For Homeless Individuals</t>
  </si>
  <si>
    <t>Project Address</t>
  </si>
  <si>
    <t>Project Address Description</t>
  </si>
  <si>
    <t>Project City</t>
  </si>
  <si>
    <t>Project County</t>
  </si>
  <si>
    <t>Project Zip</t>
  </si>
  <si>
    <t>Total Units</t>
  </si>
  <si>
    <t>Average Target Affordability</t>
  </si>
  <si>
    <t>Average Actual Affordability</t>
  </si>
  <si>
    <t>Cost Per Unit</t>
  </si>
  <si>
    <t>Residential Buildings</t>
  </si>
  <si>
    <t>DDA</t>
  </si>
  <si>
    <t>QCT</t>
  </si>
  <si>
    <t>GP 1 Company Name</t>
  </si>
  <si>
    <t>GP 1 Contact Name</t>
  </si>
  <si>
    <t>GP 1 Parent Company</t>
  </si>
  <si>
    <t>GP 2 Company Name</t>
  </si>
  <si>
    <t>GP 2 Contact Name</t>
  </si>
  <si>
    <t>GP 2 Parent Company</t>
  </si>
  <si>
    <t>GP 3 Company Name</t>
  </si>
  <si>
    <t>GP 3 Contact Name</t>
  </si>
  <si>
    <t>GP 3 Parent Company</t>
  </si>
  <si>
    <t>Developer Name</t>
  </si>
  <si>
    <t>Developer Address</t>
  </si>
  <si>
    <t>Developer City, State, Zip</t>
  </si>
  <si>
    <t>Developer Contact</t>
  </si>
  <si>
    <t>Developer Email</t>
  </si>
  <si>
    <t>Federal Tax Credit Factor</t>
  </si>
  <si>
    <t>Resyndication</t>
  </si>
  <si>
    <t>10310(b)(2)(D) Farmworker State Credits</t>
  </si>
  <si>
    <t>Certificating State Credits</t>
  </si>
  <si>
    <t>Commercial Costs</t>
  </si>
  <si>
    <t>Bond Issuer</t>
  </si>
  <si>
    <t>CDLAC Total Points</t>
  </si>
  <si>
    <t>Points, Preservation and Other Rehab</t>
  </si>
  <si>
    <t>Points, New Con Density</t>
  </si>
  <si>
    <t>Points, Exceeding Min Income</t>
  </si>
  <si>
    <t>Points, Exceeding Min Rent</t>
  </si>
  <si>
    <t>Points, Experience</t>
  </si>
  <si>
    <t>Points, Housing Need</t>
  </si>
  <si>
    <t>Points, Leveraged Soft Resources</t>
  </si>
  <si>
    <t>Points, Readiness</t>
  </si>
  <si>
    <t>Points, AFFH</t>
  </si>
  <si>
    <t>Points, Service Amenities</t>
  </si>
  <si>
    <t>Points, Cost Containment</t>
  </si>
  <si>
    <t>Points, Site Amenities</t>
  </si>
  <si>
    <t>CDLAC Tie-Breaker Self-Score</t>
  </si>
  <si>
    <t>Jurisdiction</t>
  </si>
  <si>
    <t>CEO Name</t>
  </si>
  <si>
    <t>CEO Title</t>
  </si>
  <si>
    <t>CEO Address</t>
  </si>
  <si>
    <t>CEO City</t>
  </si>
  <si>
    <t>CEO Zip</t>
  </si>
  <si>
    <t>App Contact, Name</t>
  </si>
  <si>
    <t>App Contact, Address</t>
  </si>
  <si>
    <t>App Contact, City</t>
  </si>
  <si>
    <t>App Contact, State</t>
  </si>
  <si>
    <t>App Contact, Zip</t>
  </si>
  <si>
    <t>App Contact, Person</t>
  </si>
  <si>
    <t>App Contact, Email</t>
  </si>
  <si>
    <t>GP 1 Email</t>
  </si>
  <si>
    <t>GP 2 Email</t>
  </si>
  <si>
    <t>GP 3 Email</t>
  </si>
  <si>
    <t>Contact Email</t>
  </si>
  <si>
    <t>State Credit Type</t>
  </si>
  <si>
    <t>CDLAC Region</t>
  </si>
  <si>
    <t>Residential &amp; Commercial</t>
  </si>
  <si>
    <t>CTCAC Region</t>
  </si>
  <si>
    <t>Total Residential Project Cost</t>
  </si>
  <si>
    <t>Scattered Site</t>
  </si>
  <si>
    <t>4% 2025 TBLs</t>
  </si>
  <si>
    <t>9% 2025 TBLs</t>
  </si>
  <si>
    <t>https://www.treasurer.ca.gov/ctcac/payment.asp</t>
  </si>
  <si>
    <t>or paid online at:</t>
  </si>
  <si>
    <t xml:space="preserve">The application fee is $1,500, except for scattered site and resyndication applications, in which case the application fee is $1,700. Payment can be made in the form of a check payable to CTCAC mailed to:  
901 P Street, Suite 213A, Sacramento, CA 95814 </t>
  </si>
  <si>
    <t>INCLUDING STATE CREDITS</t>
  </si>
  <si>
    <t>sum item e</t>
  </si>
  <si>
    <t>Boost</t>
  </si>
  <si>
    <t>2025 FAIR MARKET RENTS</t>
  </si>
  <si>
    <t>Adjusted Unit Count</t>
  </si>
  <si>
    <t>April 24, 2025 Version</t>
  </si>
  <si>
    <t>Affordable Housing Access, Inc.</t>
  </si>
  <si>
    <t>Victoria Flats</t>
  </si>
  <si>
    <t>Vasilios Salamandrakis</t>
  </si>
  <si>
    <t>President</t>
  </si>
  <si>
    <t>City of Ventura</t>
  </si>
  <si>
    <t>501 Poli St, Room 133</t>
  </si>
  <si>
    <t>Northeast of intersection of Victoria Ave and Olivas Park Dr</t>
  </si>
  <si>
    <t>138-0-280-085; 138-0-280-095</t>
  </si>
  <si>
    <t>3920 Birch Street, Suite 103</t>
  </si>
  <si>
    <t>Newport Beach</t>
  </si>
  <si>
    <t>CA</t>
  </si>
  <si>
    <t>Shawn Boyd</t>
  </si>
  <si>
    <t>(949) 253-3120</t>
  </si>
  <si>
    <t>Sboyd@ahaccess.org</t>
  </si>
  <si>
    <t>AHA Ventura II MGP, LLC</t>
  </si>
  <si>
    <t>Managing GP</t>
  </si>
  <si>
    <t>CalHFA</t>
  </si>
  <si>
    <t>MXD (mixed use)</t>
  </si>
  <si>
    <t>MXD (mixed use) 27 DU/AC</t>
  </si>
  <si>
    <t>The Project is developed on a vacant site within the City in keeping with the housing goal for infill strategy. In accordance with Density Bonus Law (Government Code Section 65915) in exchange for the inclusion of 104 affordable units, the Planning Commission hereby approves a waiver to reduce the western side yard setback to Building 1 from 10 to 8 feet and the proposed parking as designed.</t>
  </si>
  <si>
    <t>Building shall not exceed six stories or 75 fee in height</t>
  </si>
  <si>
    <t>1.48 spaces per unit - 1. for one bdrm, 1.5 for 2 bdrm, 1.5 for 3 bdrm, 2.5 4 bdrm</t>
  </si>
  <si>
    <t>Bond Issuer Fees</t>
  </si>
  <si>
    <t>CalHFA Recycled Bonds</t>
  </si>
  <si>
    <t>Other (Specify below)</t>
  </si>
  <si>
    <t>40%/60% Average Income</t>
  </si>
  <si>
    <t>Olivas Partners AGP, LLC</t>
  </si>
  <si>
    <t>2082 Michelson Drive, 4th Floor</t>
  </si>
  <si>
    <t>Administrative GP</t>
  </si>
  <si>
    <t>Irvine</t>
  </si>
  <si>
    <t>Ron Wu</t>
  </si>
  <si>
    <t>(415) 757-8639</t>
  </si>
  <si>
    <t>rwu@rtacq.com</t>
  </si>
  <si>
    <t>FLT Equity,LLC</t>
  </si>
  <si>
    <t>Kingdom Development, Inc.</t>
  </si>
  <si>
    <t>William Leach</t>
  </si>
  <si>
    <t>951-538-6244</t>
  </si>
  <si>
    <t>william@kingdomdevelopment.net</t>
  </si>
  <si>
    <t>Financial Consultant</t>
  </si>
  <si>
    <t>2082 Michelson Dr. 4th Floor</t>
  </si>
  <si>
    <t>Irvine, CA   92612</t>
  </si>
  <si>
    <t>BSB Design</t>
  </si>
  <si>
    <t>970 W. 190th Street</t>
  </si>
  <si>
    <t>Torrance, CA  90502</t>
  </si>
  <si>
    <t>Dirk Thelen</t>
  </si>
  <si>
    <t>(424) 266-6935</t>
  </si>
  <si>
    <t>dthelen@bsbdesign.com</t>
  </si>
  <si>
    <t>Stoel Rives, LLP</t>
  </si>
  <si>
    <t>600 University Street, Suite 3600</t>
  </si>
  <si>
    <t>Seattle, WA 98101</t>
  </si>
  <si>
    <t>Kate Mathews</t>
  </si>
  <si>
    <t xml:space="preserve">(206) 386-7519 </t>
  </si>
  <si>
    <t>kate.mathews@stoel.com</t>
  </si>
  <si>
    <t>Next Phase Construction</t>
  </si>
  <si>
    <t>1676 N California Blvd, Suite 250</t>
  </si>
  <si>
    <t>Walnut Creek, CA 94596</t>
  </si>
  <si>
    <t>Jamie Atterholt</t>
  </si>
  <si>
    <t>925-412-4852</t>
  </si>
  <si>
    <t>JAtterholt@nextphasecon.com</t>
  </si>
  <si>
    <t>Novogradac</t>
  </si>
  <si>
    <t>211 E Ocean Blvd., 6th Floor</t>
  </si>
  <si>
    <t>Long Beach, CA 90802</t>
  </si>
  <si>
    <t>Bill Letsinger</t>
  </si>
  <si>
    <t>(562) 256-2340</t>
  </si>
  <si>
    <t>Bill.Letsinger@novoco.com</t>
  </si>
  <si>
    <t>R4 Capital</t>
  </si>
  <si>
    <t>895 Dove Street, Suite 450</t>
  </si>
  <si>
    <t>Newport Beach, CA 92660</t>
  </si>
  <si>
    <t>Cory Bannister</t>
  </si>
  <si>
    <t>(949) 438-1056</t>
  </si>
  <si>
    <t>cbannister@r4cap.com</t>
  </si>
  <si>
    <t>6451 Box Springs Blvd</t>
  </si>
  <si>
    <t>Riverside, CA 92507</t>
  </si>
  <si>
    <t>6700 Antioch Road, Suite 450</t>
  </si>
  <si>
    <t>Merriam, KS 66204</t>
  </si>
  <si>
    <t>Rebecca Arthur</t>
  </si>
  <si>
    <t>(913) 312-4615</t>
  </si>
  <si>
    <t>Rebecca.Arthur@novoco.com</t>
  </si>
  <si>
    <t>500 Capitol Mall, Ste. 1400</t>
  </si>
  <si>
    <t>Sacramento, CA 95814</t>
  </si>
  <si>
    <t>Kevin Brown</t>
  </si>
  <si>
    <t>877-922-5432</t>
  </si>
  <si>
    <t>(877) 922-5432</t>
  </si>
  <si>
    <t>kbrown@calhfa.ca.gov</t>
  </si>
  <si>
    <t>VPM Management</t>
  </si>
  <si>
    <t>2400 Main Street, Suite 201</t>
  </si>
  <si>
    <t>Irvine, CA 92614</t>
  </si>
  <si>
    <t>Ryan Barker</t>
  </si>
  <si>
    <t>(949) 526-0970</t>
  </si>
  <si>
    <t>ryanbarker@villageinvestments.net</t>
  </si>
  <si>
    <t>FPA Ventura Olivas, LLC</t>
  </si>
  <si>
    <t>Secured by Leasehold Interest</t>
  </si>
  <si>
    <t>Four story multi-family residential apartments.</t>
  </si>
  <si>
    <t>City of Ventura Loan</t>
  </si>
  <si>
    <t>Citi Community Capital Conduit</t>
  </si>
  <si>
    <t>300 South Grand Avenue, Suite 3110</t>
  </si>
  <si>
    <t>Los Angeles, CA 90071</t>
  </si>
  <si>
    <t>Hao Li</t>
  </si>
  <si>
    <t>Fixed</t>
  </si>
  <si>
    <t>213-239-1914</t>
  </si>
  <si>
    <t>Equity</t>
  </si>
  <si>
    <t>R4 Capital LLC</t>
  </si>
  <si>
    <t>895 Dove Street Suite 450</t>
  </si>
  <si>
    <t>325 E. Hillcrest Dr. Suite160</t>
  </si>
  <si>
    <t>Thousand Oaks</t>
  </si>
  <si>
    <t>Matt Knipprath</t>
  </si>
  <si>
    <t>(805) 368-8713</t>
  </si>
  <si>
    <t>Hard</t>
  </si>
  <si>
    <t>Soft</t>
  </si>
  <si>
    <t>500 Capital Mall, Ste. 400</t>
  </si>
  <si>
    <t>501 Poli Street</t>
  </si>
  <si>
    <t>Leona Rollins</t>
  </si>
  <si>
    <t>(805) 654-7800</t>
  </si>
  <si>
    <t>R4 Capital Solar Credits</t>
  </si>
  <si>
    <t xml:space="preserve">Equity </t>
  </si>
  <si>
    <t>N/A Utilites are paid by owner.</t>
  </si>
  <si>
    <t>Software, equipment, postage, program subscriptions, toner, printer</t>
  </si>
  <si>
    <t>unit turnover</t>
  </si>
  <si>
    <t>Other: (MIP Loan Fee)</t>
  </si>
  <si>
    <t>payroll tax and benefits, workers compensation</t>
  </si>
  <si>
    <t>Internet</t>
  </si>
  <si>
    <t>Above residual receipts line for cash flow</t>
  </si>
  <si>
    <t>Not Applicable</t>
  </si>
  <si>
    <t>6451 Box Springs Blvd.</t>
  </si>
  <si>
    <t>LifeSTEPS</t>
  </si>
  <si>
    <t>Olivas Partners AGP, LLC (FLT Equity,LLC)</t>
  </si>
  <si>
    <t>AHA Ventura II MGP, LLC (Affordable Housing Access, Inc.)</t>
  </si>
  <si>
    <t>Petty cash - supplies</t>
  </si>
  <si>
    <t>Emerging developer partnered with experienced nonprofit 
general partner, Affordable Housing Access, Inc.</t>
  </si>
  <si>
    <t>The Victoria Flats project will meet all California Title 24 building standards.</t>
  </si>
  <si>
    <t>Lump Sum</t>
  </si>
  <si>
    <t>Design coordination
- Attend weekly meetings/calls to identify products, systems, means &amp; methods to achieve budgetary objective.
- Assist owner through the design development stage to verify constructability as well as provide the most cost and time efficient design.
- Assist owner through the construction document stage to further verify constructability and design efficiency, as well as work out construction logistics.
Pre-Construction
- Provide value engineering
- Provide constructability analysis
- Provide a general construction schedule</t>
  </si>
  <si>
    <t>$150,000 RR</t>
  </si>
  <si>
    <t>Phase I</t>
  </si>
  <si>
    <t>Geo/Soils</t>
  </si>
  <si>
    <t>None identified per Phase I report</t>
  </si>
  <si>
    <t>Closing</t>
  </si>
  <si>
    <t>C of O</t>
  </si>
  <si>
    <t>Conversion</t>
  </si>
  <si>
    <t>8609's</t>
  </si>
  <si>
    <t>Cash</t>
  </si>
  <si>
    <t xml:space="preserve">Individualized Health and Wellness services and programs </t>
  </si>
  <si>
    <t>Instructor-led Adult Educational classes such as health and wellness, or skill building classes</t>
  </si>
  <si>
    <t>Provided</t>
  </si>
  <si>
    <t>sboyd@ahaccess.org</t>
  </si>
  <si>
    <t>Red Tail Multifamily Land Development, LLC</t>
  </si>
  <si>
    <t>Loan, Tax-Exempt Recycled Bonds</t>
  </si>
  <si>
    <t>Deferred Costs &amp; Fees</t>
  </si>
  <si>
    <t>Bill Ayub</t>
  </si>
  <si>
    <t>(805) 654-7740</t>
  </si>
  <si>
    <t>citymanager@cityofventura.ca.gov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</si>
</sst>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 numFmtId="185" formatCode="_(* #,##0.0000_);_(* \(#,##0.0000\);_(* &quot;-&quot;??_);_(@_)"/>
  </numFmts>
  <fonts count="18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sz val="9"/>
      <color theme="1"/>
      <name val="Arial"/>
      <family val="2"/>
    </font>
    <font>
      <i/>
      <sz val="10"/>
      <color indexed="9"/>
      <name val="Arial"/>
      <family val="2"/>
    </font>
    <font>
      <sz val="9"/>
      <color rgb="FF000000"/>
      <name val="Arial"/>
      <family val="2"/>
    </font>
    <font>
      <sz val="10"/>
      <name val="Arial"/>
      <family val="2"/>
    </font>
    <font>
      <sz val="10"/>
      <color theme="0"/>
      <name val="Arial"/>
      <family val="2"/>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8"/>
      <color theme="0"/>
      <name val="Arial"/>
      <family val="2"/>
    </font>
    <font>
      <sz val="10"/>
      <color theme="0" tint="-0.14999847407452621"/>
      <name val="Arial"/>
      <family val="2"/>
    </font>
    <font>
      <sz val="7"/>
      <color rgb="FFFF0000"/>
      <name val="Arial"/>
      <family val="2"/>
    </font>
    <font>
      <u/>
      <sz val="9"/>
      <color indexed="81"/>
      <name val="Tahoma"/>
      <family val="2"/>
    </font>
    <font>
      <sz val="11"/>
      <name val="Aptos Narrow"/>
      <family val="2"/>
    </font>
    <font>
      <b/>
      <sz val="10"/>
      <name val="Aptos Narrow"/>
      <family val="2"/>
    </font>
    <font>
      <sz val="11"/>
      <color theme="0" tint="-0.34998626667073579"/>
      <name val="Arial"/>
      <family val="2"/>
    </font>
    <font>
      <b/>
      <sz val="11"/>
      <color rgb="FFFF0000"/>
      <name val="Calibri"/>
      <family val="2"/>
      <scheme val="minor"/>
    </font>
    <font>
      <b/>
      <sz val="10"/>
      <name val="Calibri"/>
      <family val="2"/>
      <scheme val="minor"/>
    </font>
    <font>
      <b/>
      <sz val="11"/>
      <name val="Calibri"/>
      <family val="2"/>
      <scheme val="minor"/>
    </font>
    <font>
      <b/>
      <sz val="12"/>
      <name val="Calibri"/>
      <family val="2"/>
      <scheme val="minor"/>
    </font>
    <font>
      <sz val="11"/>
      <color rgb="FF0000FF"/>
      <name val="Calibri"/>
      <family val="2"/>
      <scheme val="minor"/>
    </font>
    <font>
      <sz val="11"/>
      <name val="Calibri"/>
      <family val="2"/>
      <scheme val="minor"/>
    </font>
    <font>
      <b/>
      <sz val="9"/>
      <name val="Calibri"/>
      <family val="2"/>
      <scheme val="minor"/>
    </font>
    <font>
      <sz val="9"/>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sz val="9"/>
      <name val="Calibri"/>
      <family val="2"/>
      <scheme val="minor"/>
    </font>
    <font>
      <b/>
      <sz val="9"/>
      <color theme="1"/>
      <name val="Calibri"/>
      <family val="2"/>
      <scheme val="minor"/>
    </font>
    <font>
      <sz val="10"/>
      <color rgb="FF0070C0"/>
      <name val="Calibri"/>
      <family val="2"/>
      <scheme val="minor"/>
    </font>
    <font>
      <b/>
      <sz val="10"/>
      <color rgb="FF0070C0"/>
      <name val="Calibri"/>
      <family val="2"/>
      <scheme val="minor"/>
    </font>
    <font>
      <b/>
      <sz val="8.5"/>
      <color theme="1"/>
      <name val="Calibri"/>
      <family val="2"/>
      <scheme val="minor"/>
    </font>
    <font>
      <strike/>
      <sz val="11"/>
      <color rgb="FFFF0000"/>
      <name val="Calibri"/>
      <family val="2"/>
      <scheme val="minor"/>
    </font>
    <font>
      <b/>
      <sz val="14"/>
      <color theme="0"/>
      <name val="Calibri"/>
      <family val="2"/>
      <scheme val="minor"/>
    </font>
    <font>
      <b/>
      <u/>
      <sz val="10"/>
      <color theme="0" tint="-0.34998626667073579"/>
      <name val="Arial"/>
      <family val="2"/>
    </font>
    <font>
      <b/>
      <sz val="10"/>
      <color theme="0" tint="-0.34998626667073579"/>
      <name val="Arial"/>
      <family val="2"/>
    </font>
    <font>
      <sz val="10"/>
      <color theme="0" tint="-0.34998626667073579"/>
      <name val="Arial"/>
      <family val="2"/>
    </font>
    <font>
      <sz val="10"/>
      <name val="Aptos Narrow"/>
      <family val="2"/>
    </font>
  </fonts>
  <fills count="55">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4" tint="0.79998168889431442"/>
        <bgColor indexed="64"/>
      </patternFill>
    </fill>
    <fill>
      <patternFill patternType="solid">
        <fgColor rgb="FFFFFFCC"/>
        <bgColor indexed="64"/>
      </patternFill>
    </fill>
    <fill>
      <patternFill patternType="solid">
        <fgColor theme="0"/>
        <bgColor rgb="FF000000"/>
      </patternFill>
    </fill>
    <fill>
      <patternFill patternType="solid">
        <fgColor rgb="FFFFFFCC"/>
        <bgColor rgb="FF000000"/>
      </patternFill>
    </fill>
    <fill>
      <patternFill patternType="solid">
        <fgColor theme="1"/>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s>
  <borders count="114">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right/>
      <top style="thin">
        <color theme="0"/>
      </top>
      <bottom style="thin">
        <color theme="0"/>
      </bottom>
      <diagonal/>
    </border>
    <border>
      <left/>
      <right/>
      <top/>
      <bottom style="thick">
        <color theme="0"/>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theme="0" tint="-0.34998626667073579"/>
      </left>
      <right/>
      <top/>
      <bottom/>
      <diagonal/>
    </border>
    <border>
      <left/>
      <right/>
      <top/>
      <bottom style="thin">
        <color theme="0" tint="-0.34998626667073579"/>
      </bottom>
      <diagonal/>
    </border>
    <border>
      <left/>
      <right style="thin">
        <color theme="0" tint="-0.34998626667073579"/>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bottom style="dotted">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diagonal/>
    </border>
    <border>
      <left/>
      <right style="thin">
        <color theme="0"/>
      </right>
      <top style="thin">
        <color theme="0"/>
      </top>
      <bottom style="thin">
        <color theme="0"/>
      </bottom>
      <diagonal/>
    </border>
  </borders>
  <cellStyleXfs count="8736">
    <xf numFmtId="0" fontId="0" fillId="0" borderId="0"/>
    <xf numFmtId="0" fontId="85" fillId="11" borderId="0" applyNumberFormat="0" applyBorder="0" applyAlignment="0" applyProtection="0"/>
    <xf numFmtId="0" fontId="85" fillId="11" borderId="0" applyNumberFormat="0" applyBorder="0" applyAlignment="0" applyProtection="0"/>
    <xf numFmtId="0" fontId="85" fillId="11" borderId="0" applyNumberFormat="0" applyBorder="0" applyAlignment="0" applyProtection="0"/>
    <xf numFmtId="0" fontId="85" fillId="11" borderId="0" applyNumberFormat="0" applyBorder="0" applyAlignment="0" applyProtection="0"/>
    <xf numFmtId="0" fontId="85" fillId="11" borderId="0" applyNumberFormat="0" applyBorder="0" applyAlignment="0" applyProtection="0"/>
    <xf numFmtId="0" fontId="85" fillId="11" borderId="0" applyNumberFormat="0" applyBorder="0" applyAlignment="0" applyProtection="0"/>
    <xf numFmtId="0" fontId="85" fillId="11" borderId="0" applyNumberFormat="0" applyBorder="0" applyAlignment="0" applyProtection="0"/>
    <xf numFmtId="0" fontId="85" fillId="11" borderId="0" applyNumberFormat="0" applyBorder="0" applyAlignment="0" applyProtection="0"/>
    <xf numFmtId="0" fontId="85" fillId="12" borderId="0" applyNumberFormat="0" applyBorder="0" applyAlignment="0" applyProtection="0"/>
    <xf numFmtId="0" fontId="85" fillId="12" borderId="0" applyNumberFormat="0" applyBorder="0" applyAlignment="0" applyProtection="0"/>
    <xf numFmtId="0" fontId="85" fillId="12" borderId="0" applyNumberFormat="0" applyBorder="0" applyAlignment="0" applyProtection="0"/>
    <xf numFmtId="0" fontId="85" fillId="12" borderId="0" applyNumberFormat="0" applyBorder="0" applyAlignment="0" applyProtection="0"/>
    <xf numFmtId="0" fontId="85" fillId="12" borderId="0" applyNumberFormat="0" applyBorder="0" applyAlignment="0" applyProtection="0"/>
    <xf numFmtId="0" fontId="85" fillId="12" borderId="0" applyNumberFormat="0" applyBorder="0" applyAlignment="0" applyProtection="0"/>
    <xf numFmtId="0" fontId="85" fillId="12" borderId="0" applyNumberFormat="0" applyBorder="0" applyAlignment="0" applyProtection="0"/>
    <xf numFmtId="0" fontId="85" fillId="12"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6" borderId="0" applyNumberFormat="0" applyBorder="0" applyAlignment="0" applyProtection="0"/>
    <xf numFmtId="0" fontId="86" fillId="26" borderId="0" applyNumberFormat="0" applyBorder="0" applyAlignment="0" applyProtection="0"/>
    <xf numFmtId="0" fontId="86" fillId="27" borderId="0" applyNumberFormat="0" applyBorder="0" applyAlignment="0" applyProtection="0"/>
    <xf numFmtId="0" fontId="86" fillId="28" borderId="0" applyNumberFormat="0" applyBorder="0" applyAlignment="0" applyProtection="0"/>
    <xf numFmtId="0" fontId="86" fillId="28" borderId="0" applyNumberFormat="0" applyBorder="0" applyAlignment="0" applyProtection="0"/>
    <xf numFmtId="0" fontId="86" fillId="29" borderId="0" applyNumberFormat="0" applyBorder="0" applyAlignment="0" applyProtection="0"/>
    <xf numFmtId="0" fontId="86" fillId="29" borderId="0" applyNumberFormat="0" applyBorder="0" applyAlignment="0" applyProtection="0"/>
    <xf numFmtId="0" fontId="86" fillId="30" borderId="0" applyNumberFormat="0" applyBorder="0" applyAlignment="0" applyProtection="0"/>
    <xf numFmtId="0" fontId="86" fillId="30" borderId="0" applyNumberFormat="0" applyBorder="0" applyAlignment="0" applyProtection="0"/>
    <xf numFmtId="0" fontId="86" fillId="31" borderId="0" applyNumberFormat="0" applyBorder="0" applyAlignment="0" applyProtection="0"/>
    <xf numFmtId="0" fontId="86" fillId="31" borderId="0" applyNumberFormat="0" applyBorder="0" applyAlignment="0" applyProtection="0"/>
    <xf numFmtId="0" fontId="86" fillId="32" borderId="0" applyNumberFormat="0" applyBorder="0" applyAlignment="0" applyProtection="0"/>
    <xf numFmtId="0" fontId="86" fillId="32" borderId="0" applyNumberFormat="0" applyBorder="0" applyAlignment="0" applyProtection="0"/>
    <xf numFmtId="0" fontId="86" fillId="33" borderId="0" applyNumberFormat="0" applyBorder="0" applyAlignment="0" applyProtection="0"/>
    <xf numFmtId="0" fontId="86"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8" fillId="36" borderId="18" applyNumberFormat="0" applyAlignment="0" applyProtection="0"/>
    <xf numFmtId="0" fontId="88" fillId="36" borderId="18" applyNumberFormat="0" applyAlignment="0" applyProtection="0"/>
    <xf numFmtId="0" fontId="89" fillId="37" borderId="19" applyNumberFormat="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77"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61" fillId="0" borderId="0" applyFont="0" applyFill="0" applyBorder="0" applyAlignment="0" applyProtection="0"/>
    <xf numFmtId="43" fontId="26" fillId="0" borderId="0" applyFont="0" applyFill="0" applyBorder="0" applyAlignment="0" applyProtection="0"/>
    <xf numFmtId="43" fontId="61" fillId="0" borderId="0" applyFont="0" applyFill="0" applyBorder="0" applyAlignment="0" applyProtection="0"/>
    <xf numFmtId="44" fontId="78"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61" fillId="0" borderId="0" applyFont="0" applyFill="0" applyBorder="0" applyAlignment="0" applyProtection="0"/>
    <xf numFmtId="44" fontId="78" fillId="0" borderId="0" applyFont="0" applyFill="0" applyBorder="0" applyAlignment="0" applyProtection="0"/>
    <xf numFmtId="44" fontId="26" fillId="0" borderId="0" applyFont="0" applyFill="0" applyBorder="0" applyAlignment="0" applyProtection="0"/>
    <xf numFmtId="44" fontId="80" fillId="0" borderId="0" applyFont="0" applyFill="0" applyBorder="0" applyAlignment="0" applyProtection="0"/>
    <xf numFmtId="44" fontId="26" fillId="0" borderId="0" applyFont="0" applyFill="0" applyBorder="0" applyAlignment="0" applyProtection="0"/>
    <xf numFmtId="44" fontId="61" fillId="0" borderId="0" applyFont="0" applyFill="0" applyBorder="0" applyAlignment="0" applyProtection="0">
      <alignment vertical="top"/>
    </xf>
    <xf numFmtId="44" fontId="61" fillId="0" borderId="0" applyFont="0" applyFill="0" applyBorder="0" applyAlignment="0" applyProtection="0">
      <alignment vertical="top"/>
    </xf>
    <xf numFmtId="44" fontId="26" fillId="0" borderId="0" applyFont="0" applyFill="0" applyBorder="0" applyAlignment="0" applyProtection="0"/>
    <xf numFmtId="44" fontId="61" fillId="0" borderId="0" applyFont="0" applyFill="0" applyBorder="0" applyAlignment="0" applyProtection="0">
      <alignment vertical="top"/>
    </xf>
    <xf numFmtId="44" fontId="61" fillId="0" borderId="0" applyFont="0" applyFill="0" applyBorder="0" applyAlignment="0" applyProtection="0"/>
    <xf numFmtId="44" fontId="77"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61" fillId="0" borderId="0" applyFont="0" applyFill="0" applyBorder="0" applyAlignment="0" applyProtection="0"/>
    <xf numFmtId="44" fontId="70"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61" fillId="0" borderId="0" applyFont="0" applyFill="0" applyBorder="0" applyAlignment="0" applyProtection="0"/>
    <xf numFmtId="44" fontId="26" fillId="0" borderId="0" applyFont="0" applyFill="0" applyBorder="0" applyAlignment="0" applyProtection="0"/>
    <xf numFmtId="44" fontId="71" fillId="0" borderId="0" applyFont="0" applyFill="0" applyBorder="0" applyAlignment="0" applyProtection="0"/>
    <xf numFmtId="44" fontId="26" fillId="0" borderId="0" applyFont="0" applyFill="0" applyBorder="0" applyAlignment="0" applyProtection="0"/>
    <xf numFmtId="44" fontId="77"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26"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77"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26"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26" fillId="0" borderId="0" applyFont="0" applyFill="0" applyBorder="0" applyAlignment="0" applyProtection="0"/>
    <xf numFmtId="44" fontId="61" fillId="0" borderId="0" applyFont="0" applyFill="0" applyBorder="0" applyAlignment="0" applyProtection="0"/>
    <xf numFmtId="44" fontId="26" fillId="0" borderId="0" applyFont="0" applyFill="0" applyBorder="0" applyAlignment="0" applyProtection="0"/>
    <xf numFmtId="44" fontId="72"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76" fillId="0" borderId="0" applyFont="0" applyFill="0" applyBorder="0" applyAlignment="0" applyProtection="0"/>
    <xf numFmtId="44" fontId="26" fillId="0" borderId="0" applyFont="0" applyFill="0" applyBorder="0" applyAlignment="0" applyProtection="0"/>
    <xf numFmtId="0" fontId="90" fillId="0" borderId="0" applyNumberFormat="0" applyFill="0" applyBorder="0" applyAlignment="0" applyProtection="0"/>
    <xf numFmtId="0" fontId="91" fillId="38" borderId="0" applyNumberFormat="0" applyBorder="0" applyAlignment="0" applyProtection="0"/>
    <xf numFmtId="0" fontId="92" fillId="0" borderId="20" applyNumberFormat="0" applyFill="0" applyAlignment="0" applyProtection="0"/>
    <xf numFmtId="0" fontId="92" fillId="0" borderId="20" applyNumberFormat="0" applyFill="0" applyAlignment="0" applyProtection="0"/>
    <xf numFmtId="0" fontId="93" fillId="0" borderId="21" applyNumberFormat="0" applyFill="0" applyAlignment="0" applyProtection="0"/>
    <xf numFmtId="0" fontId="93" fillId="0" borderId="21" applyNumberFormat="0" applyFill="0" applyAlignment="0" applyProtection="0"/>
    <xf numFmtId="0" fontId="94" fillId="0" borderId="22" applyNumberFormat="0" applyFill="0" applyAlignment="0" applyProtection="0"/>
    <xf numFmtId="0" fontId="94" fillId="0" borderId="22" applyNumberFormat="0" applyFill="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82" fillId="0" borderId="0" applyNumberFormat="0" applyFill="0" applyBorder="0" applyAlignment="0" applyProtection="0">
      <alignment vertical="top"/>
      <protection locked="0"/>
    </xf>
    <xf numFmtId="0" fontId="95" fillId="39" borderId="18" applyNumberFormat="0" applyAlignment="0" applyProtection="0"/>
    <xf numFmtId="0" fontId="19" fillId="0" borderId="0" applyNumberFormat="0" applyBorder="0"/>
    <xf numFmtId="0" fontId="20" fillId="0" borderId="0" applyBorder="0" applyAlignment="0"/>
    <xf numFmtId="0" fontId="21" fillId="0" borderId="0" applyFill="0" applyBorder="0" applyAlignment="0"/>
    <xf numFmtId="0" fontId="96" fillId="0" borderId="23" applyNumberFormat="0" applyFill="0" applyAlignment="0" applyProtection="0"/>
    <xf numFmtId="0" fontId="97" fillId="40" borderId="0" applyNumberFormat="0" applyBorder="0" applyAlignment="0" applyProtection="0"/>
    <xf numFmtId="0" fontId="98" fillId="0" borderId="0"/>
    <xf numFmtId="0" fontId="61" fillId="0" borderId="0"/>
    <xf numFmtId="0" fontId="98" fillId="0" borderId="0"/>
    <xf numFmtId="0" fontId="61" fillId="0" borderId="0"/>
    <xf numFmtId="0" fontId="61" fillId="0" borderId="0"/>
    <xf numFmtId="0" fontId="26"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99" fillId="0" borderId="0"/>
    <xf numFmtId="0" fontId="61" fillId="0" borderId="0"/>
    <xf numFmtId="169" fontId="62" fillId="0" borderId="0"/>
    <xf numFmtId="0" fontId="85" fillId="0" borderId="0"/>
    <xf numFmtId="0" fontId="26" fillId="0" borderId="0"/>
    <xf numFmtId="0" fontId="26" fillId="0" borderId="0"/>
    <xf numFmtId="0" fontId="67" fillId="0" borderId="0"/>
    <xf numFmtId="0" fontId="61" fillId="0" borderId="0"/>
    <xf numFmtId="0" fontId="67" fillId="0" borderId="0"/>
    <xf numFmtId="0" fontId="61" fillId="0" borderId="0"/>
    <xf numFmtId="0" fontId="73" fillId="0" borderId="0"/>
    <xf numFmtId="0" fontId="61" fillId="0" borderId="0"/>
    <xf numFmtId="0" fontId="85" fillId="0" borderId="0"/>
    <xf numFmtId="0" fontId="61"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73" fillId="0" borderId="0"/>
    <xf numFmtId="0" fontId="85" fillId="0" borderId="0"/>
    <xf numFmtId="0" fontId="85" fillId="0" borderId="0"/>
    <xf numFmtId="0" fontId="85" fillId="0" borderId="0"/>
    <xf numFmtId="0" fontId="85" fillId="0" borderId="0"/>
    <xf numFmtId="0" fontId="61"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1" fillId="0" borderId="0"/>
    <xf numFmtId="0" fontId="85" fillId="0" borderId="0"/>
    <xf numFmtId="0" fontId="85" fillId="0" borderId="0"/>
    <xf numFmtId="0" fontId="85" fillId="0" borderId="0"/>
    <xf numFmtId="0" fontId="85" fillId="0" borderId="0"/>
    <xf numFmtId="0" fontId="73" fillId="0" borderId="0"/>
    <xf numFmtId="0" fontId="61" fillId="0" borderId="0">
      <alignment vertical="top"/>
    </xf>
    <xf numFmtId="0" fontId="85" fillId="0" borderId="0"/>
    <xf numFmtId="0" fontId="85" fillId="0" borderId="0"/>
    <xf numFmtId="0" fontId="85" fillId="0" borderId="0"/>
    <xf numFmtId="0" fontId="85" fillId="0" borderId="0"/>
    <xf numFmtId="0" fontId="73" fillId="0" borderId="0"/>
    <xf numFmtId="0" fontId="26" fillId="0" borderId="0"/>
    <xf numFmtId="0" fontId="85" fillId="0" borderId="0"/>
    <xf numFmtId="0" fontId="26" fillId="0" borderId="0"/>
    <xf numFmtId="0" fontId="85" fillId="0" borderId="0"/>
    <xf numFmtId="0" fontId="85" fillId="0" borderId="0"/>
    <xf numFmtId="0" fontId="85" fillId="0" borderId="0"/>
    <xf numFmtId="0" fontId="85" fillId="0" borderId="0"/>
    <xf numFmtId="0" fontId="67" fillId="0" borderId="0"/>
    <xf numFmtId="0" fontId="61" fillId="0" borderId="0">
      <alignment vertical="top"/>
    </xf>
    <xf numFmtId="0" fontId="67" fillId="0" borderId="0"/>
    <xf numFmtId="0" fontId="61" fillId="0" borderId="0">
      <alignment vertical="top"/>
    </xf>
    <xf numFmtId="0" fontId="61" fillId="0" borderId="0">
      <alignment vertical="top"/>
    </xf>
    <xf numFmtId="0" fontId="85" fillId="0" borderId="0"/>
    <xf numFmtId="0" fontId="67" fillId="0" borderId="0"/>
    <xf numFmtId="0" fontId="85" fillId="0" borderId="0"/>
    <xf numFmtId="0" fontId="61"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7"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26" fillId="0" borderId="0"/>
    <xf numFmtId="0" fontId="61" fillId="0" borderId="0">
      <alignment vertical="top"/>
    </xf>
    <xf numFmtId="0" fontId="85" fillId="0" borderId="0"/>
    <xf numFmtId="0" fontId="85" fillId="0" borderId="0"/>
    <xf numFmtId="0" fontId="85" fillId="0" borderId="0"/>
    <xf numFmtId="0" fontId="85" fillId="0" borderId="0"/>
    <xf numFmtId="0" fontId="26"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7"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26"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1" fillId="0" borderId="0"/>
    <xf numFmtId="0" fontId="61" fillId="0" borderId="0">
      <alignment vertical="top"/>
    </xf>
    <xf numFmtId="0" fontId="61" fillId="0" borderId="0">
      <alignment vertical="top"/>
    </xf>
    <xf numFmtId="0" fontId="61" fillId="0" borderId="0"/>
    <xf numFmtId="0" fontId="61" fillId="0" borderId="0">
      <alignment vertical="top"/>
    </xf>
    <xf numFmtId="0" fontId="61" fillId="0" borderId="0"/>
    <xf numFmtId="0" fontId="61"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26"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26" fillId="0" borderId="0"/>
    <xf numFmtId="0" fontId="85" fillId="0" borderId="0"/>
    <xf numFmtId="0" fontId="85" fillId="0" borderId="0"/>
    <xf numFmtId="0" fontId="85" fillId="0" borderId="0"/>
    <xf numFmtId="0" fontId="17" fillId="0" borderId="0" applyProtection="0">
      <protection locked="0"/>
    </xf>
    <xf numFmtId="0" fontId="26" fillId="0" borderId="0" applyProtection="0">
      <protection locked="0"/>
    </xf>
    <xf numFmtId="0" fontId="26" fillId="0" borderId="0" applyProtection="0">
      <protection locked="0"/>
    </xf>
    <xf numFmtId="0" fontId="62" fillId="0" borderId="0"/>
    <xf numFmtId="0" fontId="17" fillId="0" borderId="0"/>
    <xf numFmtId="0" fontId="77" fillId="41" borderId="24" applyNumberFormat="0" applyFont="0" applyAlignment="0" applyProtection="0"/>
    <xf numFmtId="0" fontId="85" fillId="41" borderId="24" applyNumberFormat="0" applyFont="0" applyAlignment="0" applyProtection="0"/>
    <xf numFmtId="0" fontId="85" fillId="41" borderId="24" applyNumberFormat="0" applyFont="0" applyAlignment="0" applyProtection="0"/>
    <xf numFmtId="0" fontId="85" fillId="41" borderId="24" applyNumberFormat="0" applyFont="0" applyAlignment="0" applyProtection="0"/>
    <xf numFmtId="0" fontId="85" fillId="41" borderId="24" applyNumberFormat="0" applyFont="0" applyAlignment="0" applyProtection="0"/>
    <xf numFmtId="0" fontId="85" fillId="41" borderId="24" applyNumberFormat="0" applyFont="0" applyAlignment="0" applyProtection="0"/>
    <xf numFmtId="0" fontId="85" fillId="41" borderId="24" applyNumberFormat="0" applyFont="0" applyAlignment="0" applyProtection="0"/>
    <xf numFmtId="0" fontId="85" fillId="41" borderId="24" applyNumberFormat="0" applyFont="0" applyAlignment="0" applyProtection="0"/>
    <xf numFmtId="0" fontId="85" fillId="41" borderId="24" applyNumberFormat="0" applyFont="0" applyAlignment="0" applyProtection="0"/>
    <xf numFmtId="0" fontId="77" fillId="41" borderId="24" applyNumberFormat="0" applyFont="0" applyAlignment="0" applyProtection="0"/>
    <xf numFmtId="0" fontId="85" fillId="41" borderId="24" applyNumberFormat="0" applyFont="0" applyAlignment="0" applyProtection="0"/>
    <xf numFmtId="0" fontId="85" fillId="41" borderId="24" applyNumberFormat="0" applyFont="0" applyAlignment="0" applyProtection="0"/>
    <xf numFmtId="0" fontId="85" fillId="41" borderId="24" applyNumberFormat="0" applyFont="0" applyAlignment="0" applyProtection="0"/>
    <xf numFmtId="0" fontId="85" fillId="41" borderId="24" applyNumberFormat="0" applyFont="0" applyAlignment="0" applyProtection="0"/>
    <xf numFmtId="0" fontId="85" fillId="41" borderId="24" applyNumberFormat="0" applyFont="0" applyAlignment="0" applyProtection="0"/>
    <xf numFmtId="0" fontId="85" fillId="41" borderId="24" applyNumberFormat="0" applyFont="0" applyAlignment="0" applyProtection="0"/>
    <xf numFmtId="0" fontId="85" fillId="41" borderId="24" applyNumberFormat="0" applyFont="0" applyAlignment="0" applyProtection="0"/>
    <xf numFmtId="0" fontId="85" fillId="41" borderId="24" applyNumberFormat="0" applyFont="0" applyAlignment="0" applyProtection="0"/>
    <xf numFmtId="0" fontId="100" fillId="36" borderId="25" applyNumberFormat="0" applyAlignment="0" applyProtection="0"/>
    <xf numFmtId="0" fontId="100" fillId="36" borderId="25" applyNumberFormat="0" applyAlignment="0" applyProtection="0"/>
    <xf numFmtId="0" fontId="22" fillId="0" borderId="0" applyNumberFormat="0" applyFill="0" applyBorder="0">
      <alignment horizontal="left"/>
    </xf>
    <xf numFmtId="0" fontId="101" fillId="0" borderId="0" applyNumberFormat="0" applyFill="0" applyBorder="0" applyAlignment="0" applyProtection="0"/>
    <xf numFmtId="0" fontId="102" fillId="0" borderId="26" applyNumberFormat="0" applyFill="0" applyAlignment="0" applyProtection="0"/>
    <xf numFmtId="0" fontId="102" fillId="0" borderId="26" applyNumberFormat="0" applyFill="0" applyAlignment="0" applyProtection="0"/>
    <xf numFmtId="0" fontId="103" fillId="0" borderId="0" applyNumberFormat="0" applyFill="0" applyBorder="0" applyAlignment="0" applyProtection="0"/>
    <xf numFmtId="0" fontId="17" fillId="0" borderId="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7"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7"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1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7" fillId="0" borderId="0"/>
    <xf numFmtId="0" fontId="1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7" fillId="0" borderId="0"/>
    <xf numFmtId="0" fontId="16" fillId="0" borderId="0"/>
    <xf numFmtId="0" fontId="1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7" fillId="0" borderId="0"/>
    <xf numFmtId="0" fontId="16" fillId="0" borderId="0"/>
    <xf numFmtId="0" fontId="16" fillId="0" borderId="0"/>
    <xf numFmtId="0" fontId="16" fillId="0" borderId="0"/>
    <xf numFmtId="0" fontId="16" fillId="0" borderId="0"/>
    <xf numFmtId="0" fontId="1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7" fillId="0" borderId="0"/>
    <xf numFmtId="0" fontId="16" fillId="0" borderId="0"/>
    <xf numFmtId="0" fontId="16" fillId="0" borderId="0"/>
    <xf numFmtId="0" fontId="16" fillId="0" borderId="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9" fontId="17" fillId="0" borderId="0" applyFont="0" applyFill="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08" fillId="0" borderId="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7"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4" fontId="110"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0" fontId="77" fillId="41" borderId="24" applyNumberFormat="0" applyFont="0" applyAlignment="0" applyProtection="0"/>
    <xf numFmtId="0" fontId="77" fillId="41" borderId="24" applyNumberFormat="0" applyFont="0" applyAlignment="0" applyProtection="0"/>
    <xf numFmtId="0" fontId="77" fillId="41" borderId="24" applyNumberFormat="0" applyFont="0" applyAlignment="0" applyProtection="0"/>
    <xf numFmtId="0" fontId="77" fillId="41" borderId="24" applyNumberFormat="0" applyFont="0" applyAlignment="0" applyProtection="0"/>
    <xf numFmtId="0" fontId="77" fillId="41" borderId="24" applyNumberFormat="0" applyFont="0" applyAlignment="0" applyProtection="0"/>
    <xf numFmtId="0" fontId="77" fillId="41" borderId="24" applyNumberFormat="0" applyFont="0" applyAlignment="0" applyProtection="0"/>
    <xf numFmtId="0" fontId="77" fillId="41" borderId="24" applyNumberFormat="0" applyFont="0" applyAlignment="0" applyProtection="0"/>
    <xf numFmtId="0" fontId="77" fillId="41" borderId="24" applyNumberFormat="0" applyFont="0" applyAlignment="0" applyProtection="0"/>
    <xf numFmtId="0" fontId="77" fillId="41" borderId="24" applyNumberFormat="0" applyFont="0" applyAlignment="0" applyProtection="0"/>
    <xf numFmtId="0" fontId="77" fillId="41" borderId="24" applyNumberFormat="0" applyFont="0" applyAlignment="0" applyProtection="0"/>
    <xf numFmtId="0" fontId="77" fillId="41" borderId="24" applyNumberFormat="0" applyFont="0" applyAlignment="0" applyProtection="0"/>
    <xf numFmtId="0" fontId="77" fillId="41" borderId="24" applyNumberFormat="0" applyFont="0" applyAlignment="0" applyProtection="0"/>
    <xf numFmtId="0" fontId="77" fillId="41" borderId="24" applyNumberFormat="0" applyFont="0" applyAlignment="0" applyProtection="0"/>
    <xf numFmtId="0" fontId="77" fillId="41" borderId="24" applyNumberFormat="0" applyFont="0" applyAlignment="0" applyProtection="0"/>
    <xf numFmtId="0" fontId="77" fillId="41" borderId="24" applyNumberFormat="0" applyFont="0" applyAlignment="0" applyProtection="0"/>
    <xf numFmtId="0" fontId="77" fillId="41" borderId="24" applyNumberFormat="0" applyFont="0" applyAlignment="0" applyProtection="0"/>
    <xf numFmtId="0" fontId="111" fillId="0" borderId="0" applyNumberForma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01" fillId="0" borderId="0" applyNumberFormat="0" applyFill="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44" fontId="17" fillId="0" borderId="0" applyFont="0" applyFill="0" applyBorder="0" applyAlignment="0" applyProtection="0"/>
    <xf numFmtId="9" fontId="120" fillId="0" borderId="0" applyFont="0" applyFill="0" applyBorder="0" applyAlignment="0" applyProtection="0"/>
    <xf numFmtId="0" fontId="120" fillId="0" borderId="0"/>
    <xf numFmtId="0" fontId="11" fillId="0" borderId="0"/>
    <xf numFmtId="0" fontId="17" fillId="0" borderId="0"/>
    <xf numFmtId="43" fontId="11" fillId="0" borderId="0" applyFont="0" applyFill="0" applyBorder="0" applyAlignment="0" applyProtection="0"/>
    <xf numFmtId="9" fontId="11" fillId="0" borderId="0" applyFont="0" applyFill="0" applyBorder="0" applyAlignment="0" applyProtection="0"/>
    <xf numFmtId="0" fontId="10" fillId="0" borderId="0"/>
    <xf numFmtId="44" fontId="10" fillId="0" borderId="0" applyFont="0" applyFill="0" applyBorder="0" applyAlignment="0" applyProtection="0"/>
    <xf numFmtId="9" fontId="10" fillId="0" borderId="0" applyFont="0" applyFill="0" applyBorder="0" applyAlignment="0" applyProtection="0"/>
    <xf numFmtId="43" fontId="148" fillId="0" borderId="0" applyFont="0" applyFill="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0" borderId="0"/>
    <xf numFmtId="44" fontId="8" fillId="0" borderId="0" applyFont="0" applyFill="0" applyBorder="0" applyAlignment="0" applyProtection="0"/>
    <xf numFmtId="9" fontId="8" fillId="0" borderId="0" applyFont="0" applyFill="0" applyBorder="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44" fontId="150"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4" fillId="0" borderId="0"/>
    <xf numFmtId="0" fontId="3" fillId="0" borderId="0"/>
    <xf numFmtId="0" fontId="17" fillId="0" borderId="0" applyBorder="0"/>
    <xf numFmtId="44" fontId="3" fillId="0" borderId="0" applyFont="0" applyFill="0" applyBorder="0" applyAlignment="0" applyProtection="0"/>
    <xf numFmtId="9" fontId="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cellStyleXfs>
  <cellXfs count="2695">
    <xf numFmtId="0" fontId="0" fillId="0" borderId="0" xfId="0"/>
    <xf numFmtId="0" fontId="0" fillId="0" borderId="0" xfId="0" applyAlignment="1">
      <alignment horizontal="center"/>
    </xf>
    <xf numFmtId="0" fontId="24" fillId="0" borderId="0" xfId="0" applyFont="1"/>
    <xf numFmtId="0" fontId="17" fillId="0" borderId="0" xfId="0" applyFont="1"/>
    <xf numFmtId="0" fontId="26" fillId="0" borderId="0" xfId="0" applyFont="1"/>
    <xf numFmtId="0" fontId="0" fillId="0" borderId="4" xfId="0" applyBorder="1"/>
    <xf numFmtId="0" fontId="26" fillId="0" borderId="0" xfId="0" applyFont="1" applyAlignment="1">
      <alignment horizontal="center"/>
    </xf>
    <xf numFmtId="0" fontId="17"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4" fillId="0" borderId="4" xfId="0" applyFont="1" applyBorder="1"/>
    <xf numFmtId="164" fontId="0" fillId="0" borderId="0" xfId="0" applyNumberFormat="1" applyAlignment="1">
      <alignment horizontal="right"/>
    </xf>
    <xf numFmtId="0" fontId="24" fillId="0" borderId="0" xfId="0" applyFont="1" applyAlignment="1">
      <alignment horizontal="center"/>
    </xf>
    <xf numFmtId="0" fontId="17" fillId="0" borderId="0" xfId="543"/>
    <xf numFmtId="0" fontId="26" fillId="0" borderId="0" xfId="0" applyFont="1" applyAlignment="1">
      <alignment horizontal="left" vertical="top" wrapText="1"/>
    </xf>
    <xf numFmtId="0" fontId="32" fillId="0" borderId="0" xfId="0" applyFont="1"/>
    <xf numFmtId="0" fontId="25" fillId="0" borderId="0" xfId="0" applyFont="1" applyAlignment="1">
      <alignment vertical="top"/>
    </xf>
    <xf numFmtId="0" fontId="25" fillId="0" borderId="0" xfId="0" applyFont="1" applyAlignment="1">
      <alignment vertical="top" wrapText="1"/>
    </xf>
    <xf numFmtId="0" fontId="26" fillId="0" borderId="0" xfId="0" applyFont="1" applyAlignment="1">
      <alignment horizontal="left" indent="4"/>
    </xf>
    <xf numFmtId="0" fontId="25" fillId="0" borderId="0" xfId="0" applyFont="1" applyAlignment="1">
      <alignment horizontal="left" vertical="top"/>
    </xf>
    <xf numFmtId="0" fontId="25" fillId="0" borderId="0" xfId="0" applyFont="1" applyAlignment="1">
      <alignment horizontal="left"/>
    </xf>
    <xf numFmtId="0" fontId="25" fillId="0" borderId="0" xfId="0" applyFont="1"/>
    <xf numFmtId="0" fontId="37" fillId="0" borderId="0" xfId="543" applyFont="1"/>
    <xf numFmtId="1" fontId="25" fillId="0" borderId="0" xfId="0" applyNumberFormat="1" applyFont="1" applyAlignment="1">
      <alignment horizontal="left"/>
    </xf>
    <xf numFmtId="0" fontId="27" fillId="0" borderId="0" xfId="0" applyFont="1"/>
    <xf numFmtId="1" fontId="25" fillId="0" borderId="0" xfId="0" applyNumberFormat="1" applyFont="1" applyAlignment="1">
      <alignment horizontal="right"/>
    </xf>
    <xf numFmtId="0" fontId="0" fillId="0" borderId="0" xfId="0" applyAlignment="1">
      <alignment horizontal="right"/>
    </xf>
    <xf numFmtId="0" fontId="36" fillId="0" borderId="0" xfId="0" applyFont="1"/>
    <xf numFmtId="0" fontId="29" fillId="0" borderId="0" xfId="0" applyFont="1"/>
    <xf numFmtId="172" fontId="17" fillId="0" borderId="0" xfId="543" applyNumberFormat="1"/>
    <xf numFmtId="9" fontId="17" fillId="0" borderId="0" xfId="543" applyNumberFormat="1" applyAlignment="1">
      <alignment horizontal="left"/>
    </xf>
    <xf numFmtId="168" fontId="17" fillId="0" borderId="0" xfId="543" applyNumberFormat="1"/>
    <xf numFmtId="0" fontId="26" fillId="0" borderId="0" xfId="0" applyFont="1" applyAlignment="1">
      <alignment horizontal="right"/>
    </xf>
    <xf numFmtId="0" fontId="40" fillId="0" borderId="0" xfId="0" applyFont="1"/>
    <xf numFmtId="0" fontId="26" fillId="0" borderId="0" xfId="0" applyFont="1" applyAlignment="1">
      <alignment horizontal="left"/>
    </xf>
    <xf numFmtId="0" fontId="28" fillId="0" borderId="0" xfId="0" applyFont="1"/>
    <xf numFmtId="0" fontId="30" fillId="0" borderId="0" xfId="0" applyFont="1"/>
    <xf numFmtId="0" fontId="24"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4" fillId="0" borderId="1" xfId="0" applyFont="1" applyBorder="1" applyAlignment="1">
      <alignment horizontal="center" wrapText="1"/>
    </xf>
    <xf numFmtId="0" fontId="24"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4" fillId="0" borderId="4" xfId="0" applyFont="1" applyBorder="1" applyAlignment="1">
      <alignment horizontal="center"/>
    </xf>
    <xf numFmtId="0" fontId="33" fillId="0" borderId="3" xfId="0" applyFont="1" applyBorder="1" applyAlignment="1">
      <alignment horizontal="left"/>
    </xf>
    <xf numFmtId="0" fontId="33" fillId="0" borderId="9" xfId="0" applyFont="1" applyBorder="1" applyAlignment="1">
      <alignment horizontal="left"/>
    </xf>
    <xf numFmtId="0" fontId="24" fillId="0" borderId="4" xfId="0" applyFont="1" applyBorder="1" applyAlignment="1">
      <alignment horizontal="right"/>
    </xf>
    <xf numFmtId="0" fontId="24" fillId="0" borderId="5" xfId="0" applyFont="1" applyBorder="1" applyAlignment="1">
      <alignment horizontal="right"/>
    </xf>
    <xf numFmtId="0" fontId="33" fillId="0" borderId="0" xfId="0" applyFont="1" applyAlignment="1">
      <alignment horizontal="left"/>
    </xf>
    <xf numFmtId="0" fontId="24" fillId="0" borderId="0" xfId="0" applyFont="1" applyAlignment="1">
      <alignment horizontal="right"/>
    </xf>
    <xf numFmtId="0" fontId="24"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6" fillId="0" borderId="11" xfId="0" applyFont="1" applyBorder="1" applyAlignment="1">
      <alignment horizontal="left"/>
    </xf>
    <xf numFmtId="0" fontId="24" fillId="0" borderId="9" xfId="0" applyFont="1" applyBorder="1"/>
    <xf numFmtId="164" fontId="0" fillId="0" borderId="0" xfId="0" applyNumberFormat="1" applyAlignment="1">
      <alignment horizontal="center"/>
    </xf>
    <xf numFmtId="0" fontId="0" fillId="0" borderId="12" xfId="0" applyBorder="1"/>
    <xf numFmtId="0" fontId="26" fillId="0" borderId="3" xfId="0" applyFont="1" applyBorder="1"/>
    <xf numFmtId="0" fontId="26" fillId="0" borderId="0" xfId="543" applyFont="1"/>
    <xf numFmtId="0" fontId="42" fillId="0" borderId="0" xfId="543" applyFont="1"/>
    <xf numFmtId="49" fontId="17" fillId="0" borderId="0" xfId="543" applyNumberFormat="1"/>
    <xf numFmtId="0" fontId="40" fillId="0" borderId="0" xfId="543" applyFont="1"/>
    <xf numFmtId="168" fontId="37" fillId="0" borderId="6" xfId="543" applyNumberFormat="1" applyFont="1" applyBorder="1" applyAlignment="1">
      <alignment horizontal="left"/>
    </xf>
    <xf numFmtId="168" fontId="37" fillId="0" borderId="6" xfId="543" applyNumberFormat="1" applyFont="1" applyBorder="1" applyAlignment="1">
      <alignment horizontal="center"/>
    </xf>
    <xf numFmtId="0" fontId="17" fillId="0" borderId="8" xfId="543" applyBorder="1"/>
    <xf numFmtId="0" fontId="37" fillId="0" borderId="0" xfId="543" applyFont="1" applyAlignment="1">
      <alignment horizontal="center"/>
    </xf>
    <xf numFmtId="0" fontId="36" fillId="0" borderId="9" xfId="543" applyFont="1" applyBorder="1" applyAlignment="1">
      <alignment horizontal="left" vertical="top" wrapText="1"/>
    </xf>
    <xf numFmtId="0" fontId="36" fillId="0" borderId="6" xfId="543" applyFont="1" applyBorder="1" applyAlignment="1">
      <alignment horizontal="center" vertical="top" wrapText="1"/>
    </xf>
    <xf numFmtId="0" fontId="17" fillId="0" borderId="9" xfId="543" applyBorder="1"/>
    <xf numFmtId="0" fontId="17" fillId="0" borderId="10" xfId="543" applyBorder="1"/>
    <xf numFmtId="0" fontId="17" fillId="0" borderId="1" xfId="543" applyBorder="1"/>
    <xf numFmtId="0" fontId="37" fillId="0" borderId="2" xfId="543" applyFont="1" applyBorder="1" applyAlignment="1">
      <alignment horizontal="center"/>
    </xf>
    <xf numFmtId="0" fontId="39" fillId="0" borderId="8" xfId="543" applyFont="1" applyBorder="1" applyAlignment="1">
      <alignment horizontal="left" vertical="top" wrapText="1"/>
    </xf>
    <xf numFmtId="0" fontId="36" fillId="0" borderId="0" xfId="543" applyFont="1" applyAlignment="1">
      <alignment horizontal="center" vertical="top" wrapText="1"/>
    </xf>
    <xf numFmtId="0" fontId="17" fillId="0" borderId="12" xfId="543" applyBorder="1"/>
    <xf numFmtId="0" fontId="39" fillId="0" borderId="0" xfId="543" applyFont="1" applyAlignment="1">
      <alignment horizontal="center" vertical="top" wrapText="1"/>
    </xf>
    <xf numFmtId="0" fontId="39" fillId="0" borderId="9" xfId="543" applyFont="1" applyBorder="1" applyAlignment="1">
      <alignment horizontal="left" vertical="top" wrapText="1"/>
    </xf>
    <xf numFmtId="0" fontId="17" fillId="0" borderId="2" xfId="543" applyBorder="1"/>
    <xf numFmtId="0" fontId="17" fillId="0" borderId="7" xfId="543" applyBorder="1"/>
    <xf numFmtId="0" fontId="36" fillId="0" borderId="0" xfId="543" applyFont="1"/>
    <xf numFmtId="0" fontId="17" fillId="0" borderId="0" xfId="543" applyAlignment="1">
      <alignment horizontal="center"/>
    </xf>
    <xf numFmtId="0" fontId="25" fillId="0" borderId="6" xfId="543" applyFont="1" applyBorder="1" applyAlignment="1">
      <alignment vertical="top" wrapText="1"/>
    </xf>
    <xf numFmtId="0" fontId="26" fillId="0" borderId="0" xfId="0" applyFont="1" applyAlignment="1">
      <alignment horizontal="left" vertical="top"/>
    </xf>
    <xf numFmtId="0" fontId="0" fillId="2" borderId="2" xfId="0" applyFill="1" applyBorder="1"/>
    <xf numFmtId="0" fontId="0" fillId="2" borderId="7" xfId="0" applyFill="1" applyBorder="1"/>
    <xf numFmtId="0" fontId="24" fillId="0" borderId="6" xfId="0" applyFont="1" applyBorder="1" applyAlignment="1">
      <alignment horizontal="right"/>
    </xf>
    <xf numFmtId="0" fontId="23" fillId="0" borderId="0" xfId="0" applyFont="1" applyAlignment="1">
      <alignment horizontal="center" vertical="center"/>
    </xf>
    <xf numFmtId="0" fontId="24" fillId="0" borderId="0" xfId="0" applyFont="1" applyAlignment="1">
      <alignment vertical="top"/>
    </xf>
    <xf numFmtId="166" fontId="0" fillId="0" borderId="0" xfId="0" applyNumberFormat="1" applyAlignment="1">
      <alignment horizontal="right"/>
    </xf>
    <xf numFmtId="0" fontId="47" fillId="0" borderId="0" xfId="0" applyFont="1"/>
    <xf numFmtId="0" fontId="34" fillId="0" borderId="0" xfId="0" applyFont="1"/>
    <xf numFmtId="0" fontId="18" fillId="0" borderId="0" xfId="244" applyBorder="1" applyProtection="1"/>
    <xf numFmtId="0" fontId="18" fillId="0" borderId="0" xfId="244" applyFill="1" applyBorder="1" applyAlignment="1">
      <alignment horizontal="center" vertical="center"/>
    </xf>
    <xf numFmtId="0" fontId="17" fillId="0" borderId="3" xfId="543" applyBorder="1"/>
    <xf numFmtId="0" fontId="39" fillId="0" borderId="4" xfId="543" applyFont="1" applyBorder="1" applyAlignment="1">
      <alignment horizontal="right" vertical="top" wrapText="1"/>
    </xf>
    <xf numFmtId="0" fontId="26" fillId="0" borderId="6" xfId="0" applyFont="1" applyBorder="1"/>
    <xf numFmtId="0" fontId="26" fillId="0" borderId="2" xfId="0" applyFont="1" applyBorder="1"/>
    <xf numFmtId="0" fontId="26" fillId="0" borderId="7" xfId="0" applyFont="1" applyBorder="1"/>
    <xf numFmtId="0" fontId="26" fillId="0" borderId="12" xfId="0" applyFont="1" applyBorder="1"/>
    <xf numFmtId="0" fontId="26" fillId="0" borderId="9" xfId="0" applyFont="1" applyBorder="1"/>
    <xf numFmtId="0" fontId="26" fillId="0" borderId="10" xfId="0" applyFont="1" applyBorder="1"/>
    <xf numFmtId="0" fontId="31" fillId="0" borderId="6" xfId="0" applyFont="1" applyBorder="1" applyAlignment="1">
      <alignment vertical="top" wrapText="1"/>
    </xf>
    <xf numFmtId="0" fontId="31" fillId="0" borderId="5" xfId="0" applyFont="1" applyBorder="1" applyAlignment="1">
      <alignment vertical="top" wrapText="1"/>
    </xf>
    <xf numFmtId="0" fontId="31" fillId="0" borderId="4" xfId="0" applyFont="1" applyBorder="1" applyAlignment="1">
      <alignment vertical="top" wrapText="1"/>
    </xf>
    <xf numFmtId="0" fontId="31" fillId="2" borderId="6" xfId="0" applyFont="1" applyFill="1" applyBorder="1" applyAlignment="1">
      <alignment vertical="top" wrapText="1"/>
    </xf>
    <xf numFmtId="0" fontId="0" fillId="0" borderId="8" xfId="0" applyBorder="1"/>
    <xf numFmtId="0" fontId="24" fillId="0" borderId="2" xfId="0" applyFont="1" applyBorder="1"/>
    <xf numFmtId="0" fontId="26" fillId="0" borderId="0" xfId="0" applyFont="1" applyAlignment="1">
      <alignment vertical="top"/>
    </xf>
    <xf numFmtId="0" fontId="26" fillId="0" borderId="0" xfId="0" applyFont="1" applyAlignment="1">
      <alignment vertical="top" wrapText="1"/>
    </xf>
    <xf numFmtId="0" fontId="17" fillId="0" borderId="0" xfId="0" applyFont="1" applyAlignment="1">
      <alignment horizontal="left"/>
    </xf>
    <xf numFmtId="0" fontId="17" fillId="0" borderId="0" xfId="0" applyFont="1" applyAlignment="1">
      <alignment vertical="top"/>
    </xf>
    <xf numFmtId="0" fontId="46" fillId="0" borderId="0" xfId="0" applyFont="1"/>
    <xf numFmtId="0" fontId="17" fillId="0" borderId="3" xfId="0" applyFont="1" applyBorder="1"/>
    <xf numFmtId="0" fontId="17"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31" fillId="3" borderId="4" xfId="0" applyFont="1" applyFill="1" applyBorder="1" applyAlignment="1">
      <alignment vertical="top" wrapText="1"/>
    </xf>
    <xf numFmtId="0" fontId="31" fillId="3" borderId="5" xfId="0" applyFont="1" applyFill="1" applyBorder="1" applyAlignment="1">
      <alignment vertical="top" wrapText="1"/>
    </xf>
    <xf numFmtId="0" fontId="49" fillId="0" borderId="0" xfId="0" applyFont="1"/>
    <xf numFmtId="0" fontId="26" fillId="0" borderId="4" xfId="0" applyFont="1" applyBorder="1"/>
    <xf numFmtId="0" fontId="24" fillId="0" borderId="2" xfId="0" applyFont="1" applyBorder="1" applyAlignment="1">
      <alignment horizontal="center"/>
    </xf>
    <xf numFmtId="0" fontId="24" fillId="0" borderId="0" xfId="0" applyFont="1" applyAlignment="1">
      <alignment horizontal="center" vertical="center" wrapText="1"/>
    </xf>
    <xf numFmtId="0" fontId="24" fillId="0" borderId="7" xfId="543" applyFont="1" applyBorder="1" applyAlignment="1">
      <alignment horizontal="right"/>
    </xf>
    <xf numFmtId="0" fontId="25" fillId="0" borderId="9" xfId="543" applyFont="1" applyBorder="1"/>
    <xf numFmtId="0" fontId="26" fillId="0" borderId="6" xfId="543" applyFont="1" applyBorder="1"/>
    <xf numFmtId="0" fontId="25" fillId="0" borderId="6" xfId="543" applyFont="1" applyBorder="1" applyAlignment="1">
      <alignment horizontal="right"/>
    </xf>
    <xf numFmtId="0" fontId="24" fillId="0" borderId="0" xfId="0" applyFont="1" applyAlignment="1">
      <alignment horizontal="center" vertical="center"/>
    </xf>
    <xf numFmtId="0" fontId="26" fillId="0" borderId="0" xfId="0" applyFont="1" applyAlignment="1">
      <alignment horizontal="left" vertical="center"/>
    </xf>
    <xf numFmtId="0" fontId="54" fillId="0" borderId="3" xfId="0" applyFont="1" applyBorder="1" applyAlignment="1">
      <alignment horizontal="left" vertical="top"/>
    </xf>
    <xf numFmtId="0" fontId="54" fillId="0" borderId="13" xfId="0" applyFont="1" applyBorder="1" applyAlignment="1">
      <alignment horizontal="center" wrapText="1"/>
    </xf>
    <xf numFmtId="0" fontId="54" fillId="0" borderId="13" xfId="0" applyFont="1" applyBorder="1" applyAlignment="1">
      <alignment horizontal="center" vertical="top" wrapText="1"/>
    </xf>
    <xf numFmtId="0" fontId="54" fillId="2" borderId="13" xfId="0" applyFont="1" applyFill="1" applyBorder="1" applyAlignment="1">
      <alignment horizontal="center" wrapText="1"/>
    </xf>
    <xf numFmtId="0" fontId="55" fillId="2" borderId="11" xfId="0" applyFont="1" applyFill="1" applyBorder="1" applyAlignment="1">
      <alignment horizontal="left" vertical="top" wrapText="1"/>
    </xf>
    <xf numFmtId="0" fontId="56" fillId="4" borderId="11" xfId="0" applyFont="1" applyFill="1" applyBorder="1" applyAlignment="1">
      <alignment vertical="top" wrapText="1"/>
    </xf>
    <xf numFmtId="0" fontId="56" fillId="2" borderId="11" xfId="0" applyFont="1" applyFill="1" applyBorder="1" applyAlignment="1">
      <alignment vertical="top" wrapText="1"/>
    </xf>
    <xf numFmtId="0" fontId="56" fillId="0" borderId="11" xfId="0" applyFont="1" applyBorder="1" applyAlignment="1">
      <alignment vertical="top" wrapText="1"/>
    </xf>
    <xf numFmtId="0" fontId="56" fillId="0" borderId="11" xfId="0" applyFont="1" applyBorder="1" applyAlignment="1">
      <alignment horizontal="right" vertical="top" wrapText="1"/>
    </xf>
    <xf numFmtId="168" fontId="56" fillId="0" borderId="11" xfId="0" applyNumberFormat="1" applyFont="1" applyBorder="1" applyAlignment="1">
      <alignment vertical="top" wrapText="1"/>
    </xf>
    <xf numFmtId="168" fontId="56" fillId="5" borderId="11" xfId="0" applyNumberFormat="1" applyFont="1" applyFill="1" applyBorder="1" applyAlignment="1" applyProtection="1">
      <alignment vertical="top" wrapText="1"/>
      <protection locked="0"/>
    </xf>
    <xf numFmtId="168" fontId="56" fillId="6" borderId="11" xfId="0" applyNumberFormat="1" applyFont="1" applyFill="1" applyBorder="1" applyAlignment="1">
      <alignment horizontal="center" vertical="top" wrapText="1"/>
    </xf>
    <xf numFmtId="0" fontId="54" fillId="0" borderId="11" xfId="0" applyFont="1" applyBorder="1" applyAlignment="1">
      <alignment horizontal="right" vertical="top" wrapText="1"/>
    </xf>
    <xf numFmtId="168" fontId="54" fillId="0" borderId="11" xfId="0" applyNumberFormat="1" applyFont="1" applyBorder="1" applyAlignment="1">
      <alignment vertical="top" wrapText="1"/>
    </xf>
    <xf numFmtId="168" fontId="56" fillId="4" borderId="11" xfId="0" applyNumberFormat="1" applyFont="1" applyFill="1" applyBorder="1" applyAlignment="1">
      <alignment vertical="top" wrapText="1"/>
    </xf>
    <xf numFmtId="0" fontId="54" fillId="2" borderId="11" xfId="0" applyFont="1" applyFill="1" applyBorder="1" applyAlignment="1">
      <alignment vertical="top" wrapText="1"/>
    </xf>
    <xf numFmtId="0" fontId="54" fillId="0" borderId="11" xfId="0" applyFont="1" applyBorder="1" applyAlignment="1">
      <alignment vertical="top" wrapText="1"/>
    </xf>
    <xf numFmtId="0" fontId="20" fillId="0" borderId="11" xfId="0" applyFont="1" applyBorder="1" applyAlignment="1">
      <alignment horizontal="right" vertical="top" wrapText="1"/>
    </xf>
    <xf numFmtId="0" fontId="56" fillId="0" borderId="11" xfId="0" applyFont="1" applyBorder="1" applyAlignment="1" applyProtection="1">
      <alignment horizontal="right" vertical="top" wrapText="1"/>
      <protection locked="0"/>
    </xf>
    <xf numFmtId="0" fontId="54" fillId="0" borderId="0" xfId="0" applyFont="1" applyAlignment="1">
      <alignment horizontal="left" vertical="top"/>
    </xf>
    <xf numFmtId="0" fontId="56" fillId="0" borderId="0" xfId="0" applyFont="1" applyAlignment="1">
      <alignment horizontal="left" vertical="top"/>
    </xf>
    <xf numFmtId="0" fontId="56" fillId="0" borderId="0" xfId="0" applyFont="1" applyAlignment="1">
      <alignment vertical="top" wrapText="1"/>
    </xf>
    <xf numFmtId="0" fontId="56" fillId="0" borderId="0" xfId="0" applyFont="1" applyAlignment="1">
      <alignment vertical="top"/>
    </xf>
    <xf numFmtId="0" fontId="54" fillId="0" borderId="0" xfId="0" applyFont="1" applyAlignment="1">
      <alignment horizontal="right" vertical="top"/>
    </xf>
    <xf numFmtId="0" fontId="56" fillId="2" borderId="0" xfId="0" applyFont="1" applyFill="1" applyAlignment="1">
      <alignment vertical="top" wrapText="1"/>
    </xf>
    <xf numFmtId="0" fontId="54" fillId="0" borderId="0" xfId="0" applyFont="1" applyAlignment="1">
      <alignment vertical="top"/>
    </xf>
    <xf numFmtId="166" fontId="26" fillId="0" borderId="0" xfId="0" applyNumberFormat="1" applyFont="1" applyAlignment="1">
      <alignment horizontal="left"/>
    </xf>
    <xf numFmtId="0" fontId="57" fillId="0" borderId="0" xfId="0" applyFont="1"/>
    <xf numFmtId="0" fontId="17" fillId="0" borderId="0" xfId="244" applyFont="1" applyFill="1" applyBorder="1" applyAlignment="1" applyProtection="1">
      <alignment horizontal="left"/>
    </xf>
    <xf numFmtId="0" fontId="48" fillId="0" borderId="0" xfId="0" applyFont="1"/>
    <xf numFmtId="0" fontId="48" fillId="0" borderId="0" xfId="244" applyFont="1" applyFill="1" applyBorder="1" applyAlignment="1" applyProtection="1">
      <alignment horizontal="left"/>
    </xf>
    <xf numFmtId="0" fontId="23" fillId="3" borderId="11" xfId="0" applyFont="1" applyFill="1" applyBorder="1" applyAlignment="1">
      <alignment vertical="top"/>
    </xf>
    <xf numFmtId="0" fontId="0" fillId="7" borderId="0" xfId="0" applyFill="1"/>
    <xf numFmtId="0" fontId="37" fillId="0" borderId="0" xfId="0" applyFont="1"/>
    <xf numFmtId="0" fontId="59" fillId="0" borderId="0" xfId="0" applyFont="1"/>
    <xf numFmtId="0" fontId="35" fillId="0" borderId="0" xfId="0" applyFont="1" applyAlignment="1">
      <alignment horizontal="center"/>
    </xf>
    <xf numFmtId="0" fontId="35" fillId="0" borderId="0" xfId="0" applyFont="1" applyAlignment="1">
      <alignment horizontal="left"/>
    </xf>
    <xf numFmtId="49" fontId="24" fillId="0" borderId="0" xfId="0" applyNumberFormat="1" applyFont="1" applyAlignment="1">
      <alignment horizontal="center"/>
    </xf>
    <xf numFmtId="0" fontId="51" fillId="0" borderId="0" xfId="0" applyFont="1" applyAlignment="1">
      <alignment horizontal="center"/>
    </xf>
    <xf numFmtId="168" fontId="26" fillId="0" borderId="0" xfId="0" applyNumberFormat="1" applyFont="1" applyAlignment="1">
      <alignment horizontal="center"/>
    </xf>
    <xf numFmtId="168" fontId="36" fillId="0" borderId="0" xfId="0" applyNumberFormat="1" applyFont="1" applyAlignment="1">
      <alignment horizontal="left" vertical="top" wrapText="1"/>
    </xf>
    <xf numFmtId="0" fontId="53" fillId="0" borderId="3" xfId="0" applyFont="1" applyBorder="1"/>
    <xf numFmtId="168" fontId="0" fillId="0" borderId="0" xfId="0" applyNumberFormat="1" applyAlignment="1">
      <alignment horizontal="center"/>
    </xf>
    <xf numFmtId="0" fontId="37" fillId="0" borderId="0" xfId="0" applyFont="1" applyAlignment="1">
      <alignment vertical="top" wrapText="1"/>
    </xf>
    <xf numFmtId="0" fontId="54" fillId="0" borderId="4" xfId="0" applyFont="1" applyBorder="1" applyAlignment="1">
      <alignment horizontal="right"/>
    </xf>
    <xf numFmtId="0" fontId="61" fillId="0" borderId="0" xfId="0" applyFont="1"/>
    <xf numFmtId="3" fontId="26" fillId="0" borderId="0" xfId="0" applyNumberFormat="1" applyFont="1" applyAlignment="1">
      <alignment horizontal="center"/>
    </xf>
    <xf numFmtId="168" fontId="17" fillId="0" borderId="0" xfId="0" applyNumberFormat="1" applyFont="1" applyAlignment="1">
      <alignment horizontal="left" vertical="top"/>
    </xf>
    <xf numFmtId="168" fontId="26" fillId="0" borderId="0" xfId="0" applyNumberFormat="1" applyFont="1" applyAlignment="1">
      <alignment horizontal="left" vertical="top"/>
    </xf>
    <xf numFmtId="0" fontId="56" fillId="0" borderId="11" xfId="0" applyFont="1" applyBorder="1" applyAlignment="1">
      <alignment horizontal="right" vertical="top"/>
    </xf>
    <xf numFmtId="0" fontId="56" fillId="0" borderId="0" xfId="0" applyFont="1" applyAlignment="1">
      <alignment horizontal="right" vertical="top" wrapText="1"/>
    </xf>
    <xf numFmtId="0" fontId="56" fillId="2" borderId="12" xfId="0" applyFont="1" applyFill="1" applyBorder="1" applyAlignment="1">
      <alignment vertical="top" wrapText="1"/>
    </xf>
    <xf numFmtId="0" fontId="56" fillId="0" borderId="14" xfId="0" applyFont="1" applyBorder="1" applyAlignment="1">
      <alignment vertical="top" wrapText="1"/>
    </xf>
    <xf numFmtId="168" fontId="56" fillId="5" borderId="11" xfId="0" applyNumberFormat="1" applyFont="1" applyFill="1" applyBorder="1" applyAlignment="1" applyProtection="1">
      <alignment vertical="top"/>
      <protection locked="0"/>
    </xf>
    <xf numFmtId="0" fontId="56" fillId="2" borderId="11" xfId="0" applyFont="1" applyFill="1" applyBorder="1" applyAlignment="1" applyProtection="1">
      <alignment vertical="top"/>
      <protection locked="0"/>
    </xf>
    <xf numFmtId="0" fontId="56" fillId="0" borderId="11" xfId="0" applyFont="1" applyBorder="1" applyAlignment="1" applyProtection="1">
      <alignment vertical="top"/>
      <protection locked="0"/>
    </xf>
    <xf numFmtId="168" fontId="56" fillId="0" borderId="11" xfId="0" applyNumberFormat="1" applyFont="1" applyBorder="1" applyAlignment="1">
      <alignment vertical="top"/>
    </xf>
    <xf numFmtId="168" fontId="56" fillId="6" borderId="11" xfId="0" applyNumberFormat="1" applyFont="1" applyFill="1" applyBorder="1" applyAlignment="1">
      <alignment horizontal="center" vertical="top"/>
    </xf>
    <xf numFmtId="0" fontId="24" fillId="0" borderId="0" xfId="542" applyFont="1" applyProtection="1">
      <protection locked="0"/>
    </xf>
    <xf numFmtId="0" fontId="17" fillId="0" borderId="0" xfId="539" applyProtection="1"/>
    <xf numFmtId="0" fontId="37" fillId="8" borderId="0" xfId="539" applyFont="1" applyFill="1" applyAlignment="1" applyProtection="1">
      <alignment horizontal="centerContinuous"/>
    </xf>
    <xf numFmtId="0" fontId="24" fillId="0" borderId="0" xfId="543" applyFont="1"/>
    <xf numFmtId="0" fontId="26" fillId="0" borderId="0" xfId="543" applyFont="1" applyAlignment="1">
      <alignment horizontal="left"/>
    </xf>
    <xf numFmtId="0" fontId="26" fillId="0" borderId="15" xfId="0" applyFont="1" applyBorder="1"/>
    <xf numFmtId="2" fontId="40" fillId="0" borderId="11" xfId="0" applyNumberFormat="1" applyFont="1" applyBorder="1"/>
    <xf numFmtId="0" fontId="17" fillId="0" borderId="0" xfId="0" applyFont="1" applyProtection="1">
      <protection locked="0"/>
    </xf>
    <xf numFmtId="0" fontId="64" fillId="0" borderId="0" xfId="0" applyFont="1" applyAlignment="1">
      <alignment horizontal="center"/>
    </xf>
    <xf numFmtId="0" fontId="26" fillId="0" borderId="0" xfId="271"/>
    <xf numFmtId="0" fontId="24" fillId="0" borderId="0" xfId="271" applyFont="1"/>
    <xf numFmtId="0" fontId="26" fillId="0" borderId="0" xfId="271" applyAlignment="1">
      <alignment horizontal="left"/>
    </xf>
    <xf numFmtId="168" fontId="24" fillId="0" borderId="2" xfId="543" applyNumberFormat="1" applyFont="1" applyBorder="1" applyAlignment="1">
      <alignment horizontal="center" vertical="center"/>
    </xf>
    <xf numFmtId="0" fontId="39" fillId="0" borderId="0" xfId="543" applyFont="1" applyAlignment="1">
      <alignment horizontal="right" vertical="top" wrapText="1"/>
    </xf>
    <xf numFmtId="0" fontId="37" fillId="0" borderId="2" xfId="543" applyFont="1" applyBorder="1" applyAlignment="1">
      <alignment horizontal="right" vertical="top" wrapText="1"/>
    </xf>
    <xf numFmtId="0" fontId="22" fillId="0" borderId="0" xfId="0" applyFont="1"/>
    <xf numFmtId="0" fontId="66" fillId="0" borderId="0" xfId="0" applyFont="1"/>
    <xf numFmtId="0" fontId="64" fillId="0" borderId="0" xfId="0" applyFont="1"/>
    <xf numFmtId="0" fontId="37"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4" fillId="0" borderId="0" xfId="0" applyNumberFormat="1" applyFont="1" applyAlignment="1">
      <alignment horizontal="center"/>
    </xf>
    <xf numFmtId="3" fontId="26" fillId="0" borderId="0" xfId="0" applyNumberFormat="1" applyFont="1"/>
    <xf numFmtId="0" fontId="65" fillId="0" borderId="0" xfId="0" applyFont="1"/>
    <xf numFmtId="168" fontId="22" fillId="0" borderId="0" xfId="0" applyNumberFormat="1" applyFont="1"/>
    <xf numFmtId="10" fontId="22" fillId="0" borderId="0" xfId="0" applyNumberFormat="1" applyFont="1" applyAlignment="1">
      <alignment horizontal="center"/>
    </xf>
    <xf numFmtId="3" fontId="68" fillId="0" borderId="0" xfId="0" applyNumberFormat="1" applyFont="1"/>
    <xf numFmtId="3" fontId="22" fillId="0" borderId="0" xfId="0" applyNumberFormat="1" applyFont="1"/>
    <xf numFmtId="168" fontId="65" fillId="0" borderId="0" xfId="0" applyNumberFormat="1" applyFont="1"/>
    <xf numFmtId="168" fontId="65" fillId="0" borderId="0" xfId="0" applyNumberFormat="1" applyFont="1" applyAlignment="1">
      <alignment horizontal="center"/>
    </xf>
    <xf numFmtId="0" fontId="22" fillId="5" borderId="0" xfId="0" applyFont="1" applyFill="1" applyAlignment="1">
      <alignment horizontal="left"/>
    </xf>
    <xf numFmtId="0" fontId="22" fillId="5" borderId="0" xfId="0" applyFont="1" applyFill="1"/>
    <xf numFmtId="10" fontId="22" fillId="0" borderId="0" xfId="0" applyNumberFormat="1" applyFont="1"/>
    <xf numFmtId="172" fontId="22" fillId="0" borderId="0" xfId="0" applyNumberFormat="1" applyFont="1"/>
    <xf numFmtId="172" fontId="22" fillId="0" borderId="0" xfId="0" applyNumberFormat="1" applyFont="1" applyAlignment="1">
      <alignment horizontal="center"/>
    </xf>
    <xf numFmtId="0" fontId="22" fillId="0" borderId="6" xfId="0" applyFont="1" applyBorder="1"/>
    <xf numFmtId="10" fontId="22" fillId="0" borderId="6" xfId="0" applyNumberFormat="1" applyFont="1" applyBorder="1" applyAlignment="1">
      <alignment horizontal="center"/>
    </xf>
    <xf numFmtId="3" fontId="22" fillId="0" borderId="6" xfId="0" applyNumberFormat="1" applyFont="1" applyBorder="1"/>
    <xf numFmtId="10" fontId="26" fillId="0" borderId="0" xfId="0" applyNumberFormat="1" applyFont="1" applyAlignment="1">
      <alignment horizontal="center"/>
    </xf>
    <xf numFmtId="3" fontId="26" fillId="0" borderId="0" xfId="0" applyNumberFormat="1" applyFont="1" applyAlignment="1">
      <alignment vertical="top"/>
    </xf>
    <xf numFmtId="10" fontId="24" fillId="0" borderId="0" xfId="0" applyNumberFormat="1" applyFont="1" applyAlignment="1">
      <alignment horizontal="center"/>
    </xf>
    <xf numFmtId="0" fontId="64" fillId="0" borderId="6" xfId="0" applyFont="1" applyBorder="1" applyAlignment="1">
      <alignment horizontal="center"/>
    </xf>
    <xf numFmtId="172" fontId="26" fillId="0" borderId="0" xfId="0" applyNumberFormat="1" applyFont="1" applyAlignment="1">
      <alignment horizontal="center"/>
    </xf>
    <xf numFmtId="10" fontId="69" fillId="0" borderId="0" xfId="0" applyNumberFormat="1" applyFont="1" applyAlignment="1">
      <alignment horizontal="center"/>
    </xf>
    <xf numFmtId="0" fontId="26" fillId="9" borderId="6" xfId="0" applyFont="1" applyFill="1" applyBorder="1"/>
    <xf numFmtId="0" fontId="26" fillId="0" borderId="4" xfId="271" applyBorder="1"/>
    <xf numFmtId="0" fontId="26" fillId="0" borderId="6" xfId="271" applyBorder="1"/>
    <xf numFmtId="0" fontId="26" fillId="0" borderId="1" xfId="0" applyFont="1" applyBorder="1"/>
    <xf numFmtId="168" fontId="26" fillId="0" borderId="3" xfId="0" applyNumberFormat="1" applyFont="1" applyBorder="1" applyAlignment="1">
      <alignment vertical="top"/>
    </xf>
    <xf numFmtId="168" fontId="26" fillId="0" borderId="4" xfId="0" applyNumberFormat="1" applyFont="1" applyBorder="1" applyAlignment="1">
      <alignment vertical="top"/>
    </xf>
    <xf numFmtId="168" fontId="26" fillId="0" borderId="5" xfId="0" applyNumberFormat="1" applyFont="1" applyBorder="1" applyAlignment="1">
      <alignment vertical="top"/>
    </xf>
    <xf numFmtId="168" fontId="26" fillId="0" borderId="8" xfId="0" applyNumberFormat="1" applyFont="1" applyBorder="1" applyAlignment="1">
      <alignment vertical="top"/>
    </xf>
    <xf numFmtId="168" fontId="26" fillId="0" borderId="0" xfId="0" applyNumberFormat="1" applyFont="1" applyAlignment="1">
      <alignment vertical="top"/>
    </xf>
    <xf numFmtId="0" fontId="26" fillId="0" borderId="0" xfId="0" applyFont="1" applyAlignment="1">
      <alignment horizontal="right" vertical="top"/>
    </xf>
    <xf numFmtId="0" fontId="26"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6" fillId="5" borderId="4" xfId="0" applyFont="1" applyFill="1" applyBorder="1" applyAlignment="1" applyProtection="1">
      <alignment horizontal="left" vertical="top"/>
      <protection locked="0"/>
    </xf>
    <xf numFmtId="0" fontId="26" fillId="5" borderId="5" xfId="0" applyFont="1" applyFill="1" applyBorder="1" applyAlignment="1" applyProtection="1">
      <alignment horizontal="left" vertical="top"/>
      <protection locked="0"/>
    </xf>
    <xf numFmtId="4" fontId="51" fillId="0" borderId="0" xfId="0" applyNumberFormat="1" applyFont="1" applyAlignment="1">
      <alignment horizontal="center"/>
    </xf>
    <xf numFmtId="0" fontId="36" fillId="0" borderId="1" xfId="543" applyFont="1" applyBorder="1" applyAlignment="1">
      <alignment horizontal="left" vertical="top" wrapText="1"/>
    </xf>
    <xf numFmtId="0" fontId="36" fillId="0" borderId="12" xfId="543" applyFont="1" applyBorder="1" applyAlignment="1">
      <alignment horizontal="center" vertical="top" wrapText="1"/>
    </xf>
    <xf numFmtId="0" fontId="36" fillId="0" borderId="8" xfId="543" applyFont="1" applyBorder="1" applyAlignment="1">
      <alignment horizontal="left" vertical="top" wrapText="1"/>
    </xf>
    <xf numFmtId="0" fontId="31" fillId="3" borderId="4" xfId="271" applyFont="1" applyFill="1" applyBorder="1" applyAlignment="1">
      <alignment vertical="top" wrapText="1"/>
    </xf>
    <xf numFmtId="0" fontId="23" fillId="3" borderId="11" xfId="271" applyFont="1" applyFill="1" applyBorder="1" applyAlignment="1">
      <alignment vertical="top"/>
    </xf>
    <xf numFmtId="0" fontId="24" fillId="0" borderId="9" xfId="271" applyFont="1" applyBorder="1" applyAlignment="1">
      <alignment horizontal="center" wrapText="1"/>
    </xf>
    <xf numFmtId="0" fontId="31" fillId="3" borderId="4" xfId="271" applyFont="1" applyFill="1" applyBorder="1" applyAlignment="1" applyProtection="1">
      <alignment vertical="top" wrapText="1"/>
      <protection locked="0"/>
    </xf>
    <xf numFmtId="0" fontId="31" fillId="3" borderId="5" xfId="271" applyFont="1" applyFill="1" applyBorder="1" applyAlignment="1" applyProtection="1">
      <alignment vertical="top" wrapText="1"/>
      <protection locked="0"/>
    </xf>
    <xf numFmtId="0" fontId="24" fillId="0" borderId="13" xfId="271" applyFont="1" applyBorder="1" applyAlignment="1">
      <alignment horizontal="center" wrapText="1"/>
    </xf>
    <xf numFmtId="0" fontId="49" fillId="2" borderId="11" xfId="271" applyFont="1" applyFill="1" applyBorder="1" applyAlignment="1">
      <alignment horizontal="left" vertical="top" wrapText="1"/>
    </xf>
    <xf numFmtId="0" fontId="26" fillId="0" borderId="11" xfId="271" applyBorder="1" applyAlignment="1" applyProtection="1">
      <alignment vertical="top" wrapText="1"/>
      <protection locked="0"/>
    </xf>
    <xf numFmtId="168" fontId="26" fillId="5" borderId="11" xfId="271" applyNumberFormat="1" applyFill="1" applyBorder="1" applyAlignment="1" applyProtection="1">
      <alignment vertical="top" wrapText="1"/>
      <protection locked="0"/>
    </xf>
    <xf numFmtId="0" fontId="26" fillId="5" borderId="3" xfId="271" applyFill="1" applyBorder="1" applyAlignment="1" applyProtection="1">
      <alignment vertical="top" wrapText="1"/>
      <protection locked="0"/>
    </xf>
    <xf numFmtId="0" fontId="26" fillId="5" borderId="11" xfId="271" applyFill="1" applyBorder="1" applyAlignment="1" applyProtection="1">
      <alignment vertical="top" wrapText="1"/>
      <protection locked="0"/>
    </xf>
    <xf numFmtId="0" fontId="26" fillId="0" borderId="11" xfId="271" applyBorder="1" applyAlignment="1">
      <alignment horizontal="right" vertical="top" wrapText="1"/>
    </xf>
    <xf numFmtId="168" fontId="26" fillId="0" borderId="11" xfId="271" applyNumberFormat="1" applyBorder="1" applyAlignment="1">
      <alignment vertical="top" wrapText="1"/>
    </xf>
    <xf numFmtId="0" fontId="24" fillId="0" borderId="11" xfId="271" applyFont="1" applyBorder="1" applyAlignment="1">
      <alignment horizontal="right" vertical="top" wrapText="1"/>
    </xf>
    <xf numFmtId="0" fontId="26" fillId="5" borderId="11" xfId="271" applyFill="1" applyBorder="1" applyAlignment="1" applyProtection="1">
      <alignment horizontal="right" vertical="top" wrapText="1"/>
      <protection locked="0"/>
    </xf>
    <xf numFmtId="168" fontId="24" fillId="0" borderId="11" xfId="271" applyNumberFormat="1" applyFont="1" applyBorder="1" applyAlignment="1">
      <alignment vertical="top" wrapText="1"/>
    </xf>
    <xf numFmtId="0" fontId="34" fillId="0" borderId="11" xfId="271" applyFont="1" applyBorder="1" applyAlignment="1">
      <alignment horizontal="right" vertical="top" wrapText="1"/>
    </xf>
    <xf numFmtId="0" fontId="31" fillId="0" borderId="0" xfId="271" applyFont="1" applyAlignment="1" applyProtection="1">
      <alignment vertical="top" wrapText="1"/>
      <protection locked="0"/>
    </xf>
    <xf numFmtId="0" fontId="26" fillId="0" borderId="5" xfId="271" applyBorder="1" applyAlignment="1" applyProtection="1">
      <alignment vertical="top" wrapText="1"/>
      <protection locked="0"/>
    </xf>
    <xf numFmtId="0" fontId="24" fillId="0" borderId="3" xfId="271" applyFont="1" applyBorder="1" applyAlignment="1">
      <alignment horizontal="left" vertical="top"/>
    </xf>
    <xf numFmtId="0" fontId="26" fillId="0" borderId="4" xfId="271" applyBorder="1" applyAlignment="1" applyProtection="1">
      <alignment horizontal="left" vertical="top"/>
      <protection locked="0"/>
    </xf>
    <xf numFmtId="0" fontId="26" fillId="0" borderId="4" xfId="271" applyBorder="1" applyAlignment="1" applyProtection="1">
      <alignment vertical="top" wrapText="1"/>
      <protection locked="0"/>
    </xf>
    <xf numFmtId="0" fontId="31" fillId="0" borderId="0" xfId="271" applyFont="1" applyAlignment="1">
      <alignment vertical="top" wrapText="1"/>
    </xf>
    <xf numFmtId="0" fontId="26" fillId="0" borderId="4" xfId="271" applyBorder="1" applyAlignment="1">
      <alignment vertical="top" wrapText="1"/>
    </xf>
    <xf numFmtId="0" fontId="49" fillId="2" borderId="11" xfId="271" applyFont="1" applyFill="1" applyBorder="1" applyAlignment="1" applyProtection="1">
      <alignment horizontal="left" vertical="top" wrapText="1"/>
      <protection locked="0"/>
    </xf>
    <xf numFmtId="0" fontId="53" fillId="0" borderId="11" xfId="0" applyFont="1" applyBorder="1" applyAlignment="1">
      <alignment horizontal="right" vertical="top" wrapText="1"/>
    </xf>
    <xf numFmtId="0" fontId="26" fillId="8" borderId="0" xfId="542" quotePrefix="1" applyFont="1" applyFill="1" applyAlignment="1">
      <alignment horizontal="left"/>
    </xf>
    <xf numFmtId="0" fontId="26" fillId="8" borderId="0" xfId="542" applyFont="1" applyFill="1"/>
    <xf numFmtId="0" fontId="34" fillId="8" borderId="0" xfId="542" applyFont="1" applyFill="1"/>
    <xf numFmtId="0" fontId="53" fillId="0" borderId="11" xfId="271" applyFont="1" applyBorder="1" applyAlignment="1">
      <alignment horizontal="right" vertical="top"/>
    </xf>
    <xf numFmtId="0" fontId="53" fillId="0" borderId="11" xfId="271" applyFont="1" applyBorder="1" applyAlignment="1">
      <alignment horizontal="right" vertical="top" wrapText="1"/>
    </xf>
    <xf numFmtId="0" fontId="26" fillId="0" borderId="0" xfId="271" applyAlignment="1">
      <alignment horizontal="left" vertical="top"/>
    </xf>
    <xf numFmtId="0" fontId="24" fillId="0" borderId="0" xfId="271" applyFont="1" applyAlignment="1">
      <alignment horizontal="right"/>
    </xf>
    <xf numFmtId="0" fontId="25" fillId="0" borderId="0" xfId="271" applyFont="1" applyAlignment="1">
      <alignment horizontal="center"/>
    </xf>
    <xf numFmtId="5" fontId="26" fillId="0" borderId="0" xfId="542" applyNumberFormat="1" applyFont="1"/>
    <xf numFmtId="1" fontId="26" fillId="0" borderId="15" xfId="271" applyNumberFormat="1" applyBorder="1"/>
    <xf numFmtId="1" fontId="26" fillId="0" borderId="14" xfId="271" applyNumberFormat="1" applyBorder="1"/>
    <xf numFmtId="0" fontId="25" fillId="0" borderId="6" xfId="271" applyFont="1" applyBorder="1" applyAlignment="1">
      <alignment horizontal="left"/>
    </xf>
    <xf numFmtId="0" fontId="25" fillId="0" borderId="6" xfId="271" applyFont="1" applyBorder="1" applyAlignment="1">
      <alignment horizontal="right"/>
    </xf>
    <xf numFmtId="165" fontId="26" fillId="0" borderId="0" xfId="271" applyNumberFormat="1"/>
    <xf numFmtId="170" fontId="26" fillId="0" borderId="14" xfId="271" applyNumberFormat="1" applyBorder="1"/>
    <xf numFmtId="1" fontId="24" fillId="0" borderId="11" xfId="271" applyNumberFormat="1" applyFont="1" applyBorder="1"/>
    <xf numFmtId="165" fontId="24" fillId="0" borderId="11" xfId="271" applyNumberFormat="1" applyFont="1" applyBorder="1"/>
    <xf numFmtId="3" fontId="56" fillId="0" borderId="11" xfId="0" applyNumberFormat="1" applyFont="1" applyBorder="1" applyAlignment="1">
      <alignment vertical="top" wrapText="1"/>
    </xf>
    <xf numFmtId="166" fontId="26" fillId="0" borderId="0" xfId="0" applyNumberFormat="1" applyFont="1"/>
    <xf numFmtId="0" fontId="0" fillId="0" borderId="0" xfId="0" applyProtection="1">
      <protection locked="0"/>
    </xf>
    <xf numFmtId="0" fontId="22" fillId="0" borderId="0" xfId="0" applyFont="1" applyProtection="1">
      <protection locked="0"/>
    </xf>
    <xf numFmtId="0" fontId="22" fillId="0" borderId="0" xfId="271" applyFont="1" applyProtection="1">
      <protection locked="0"/>
    </xf>
    <xf numFmtId="168" fontId="22" fillId="0" borderId="0" xfId="271" applyNumberFormat="1" applyFont="1" applyProtection="1">
      <protection locked="0"/>
    </xf>
    <xf numFmtId="0" fontId="30" fillId="0" borderId="1" xfId="0" applyFont="1" applyBorder="1"/>
    <xf numFmtId="0" fontId="17" fillId="0" borderId="2" xfId="0" applyFont="1" applyBorder="1" applyAlignment="1">
      <alignment horizontal="left"/>
    </xf>
    <xf numFmtId="0" fontId="17" fillId="0" borderId="2" xfId="0" applyFont="1" applyBorder="1"/>
    <xf numFmtId="0" fontId="30" fillId="0" borderId="8" xfId="0" applyFont="1" applyBorder="1"/>
    <xf numFmtId="0" fontId="30" fillId="0" borderId="9" xfId="0" applyFont="1" applyBorder="1"/>
    <xf numFmtId="0" fontId="24" fillId="0" borderId="0" xfId="0" applyFont="1" applyAlignment="1">
      <alignment horizontal="left" vertical="top"/>
    </xf>
    <xf numFmtId="0" fontId="74" fillId="0" borderId="0" xfId="0" applyFont="1" applyAlignment="1">
      <alignment vertical="center" wrapText="1"/>
    </xf>
    <xf numFmtId="0" fontId="74" fillId="0" borderId="0" xfId="0" applyFont="1" applyAlignment="1">
      <alignment vertical="center"/>
    </xf>
    <xf numFmtId="0" fontId="74" fillId="0" borderId="0" xfId="0" applyFont="1" applyAlignment="1">
      <alignment horizontal="left" vertical="center" indent="1"/>
    </xf>
    <xf numFmtId="172" fontId="26" fillId="5" borderId="0" xfId="0" applyNumberFormat="1" applyFont="1" applyFill="1" applyAlignment="1">
      <alignment horizontal="center"/>
    </xf>
    <xf numFmtId="0" fontId="75" fillId="0" borderId="0" xfId="0" applyFont="1" applyAlignment="1">
      <alignment horizontal="left" vertical="center"/>
    </xf>
    <xf numFmtId="0" fontId="36" fillId="0" borderId="2" xfId="543" applyFont="1" applyBorder="1" applyAlignment="1">
      <alignment horizontal="center" vertical="top" wrapText="1"/>
    </xf>
    <xf numFmtId="49" fontId="47" fillId="0" borderId="0" xfId="0" applyNumberFormat="1" applyFont="1" applyAlignment="1">
      <alignment horizontal="center"/>
    </xf>
    <xf numFmtId="0" fontId="53" fillId="0" borderId="0" xfId="0" applyFont="1"/>
    <xf numFmtId="5" fontId="79" fillId="0" borderId="11" xfId="541" applyNumberFormat="1" applyFont="1" applyBorder="1" applyAlignment="1" applyProtection="1">
      <alignment horizontal="center"/>
    </xf>
    <xf numFmtId="5" fontId="79" fillId="42" borderId="11" xfId="541" applyNumberFormat="1" applyFont="1" applyFill="1" applyBorder="1" applyAlignment="1" applyProtection="1">
      <alignment horizontal="center"/>
    </xf>
    <xf numFmtId="5" fontId="79" fillId="2" borderId="11" xfId="541" applyNumberFormat="1" applyFont="1" applyFill="1" applyBorder="1" applyAlignment="1" applyProtection="1">
      <alignment horizontal="center"/>
    </xf>
    <xf numFmtId="0" fontId="53" fillId="0" borderId="0" xfId="0" applyFont="1" applyAlignment="1">
      <alignment vertical="top" wrapText="1"/>
    </xf>
    <xf numFmtId="0" fontId="53" fillId="0" borderId="0" xfId="0" applyFont="1" applyAlignment="1">
      <alignment vertical="top"/>
    </xf>
    <xf numFmtId="0" fontId="53" fillId="2" borderId="0" xfId="0" applyFont="1" applyFill="1" applyAlignment="1">
      <alignment vertical="top" wrapText="1"/>
    </xf>
    <xf numFmtId="0" fontId="81" fillId="0" borderId="13" xfId="0" applyFont="1" applyBorder="1" applyAlignment="1">
      <alignment vertical="top" wrapText="1"/>
    </xf>
    <xf numFmtId="0" fontId="31" fillId="0" borderId="0" xfId="0" applyFont="1" applyAlignment="1">
      <alignment vertical="top" wrapText="1"/>
    </xf>
    <xf numFmtId="0" fontId="81" fillId="2" borderId="13" xfId="0" applyFont="1" applyFill="1" applyBorder="1" applyAlignment="1">
      <alignment vertical="top" wrapText="1"/>
    </xf>
    <xf numFmtId="0" fontId="81" fillId="0" borderId="0" xfId="0" applyFont="1" applyAlignment="1">
      <alignment vertical="top" wrapText="1"/>
    </xf>
    <xf numFmtId="0" fontId="81" fillId="2" borderId="0" xfId="0" applyFont="1" applyFill="1" applyAlignment="1">
      <alignment vertical="top" wrapText="1"/>
    </xf>
    <xf numFmtId="0" fontId="53" fillId="0" borderId="0" xfId="0" applyFont="1" applyAlignment="1">
      <alignment horizontal="right" vertical="top" wrapText="1"/>
    </xf>
    <xf numFmtId="168" fontId="53" fillId="5" borderId="6" xfId="0" applyNumberFormat="1" applyFont="1" applyFill="1" applyBorder="1" applyAlignment="1" applyProtection="1">
      <alignment horizontal="right" vertical="top" wrapText="1"/>
      <protection locked="0"/>
    </xf>
    <xf numFmtId="168" fontId="53" fillId="0" borderId="6" xfId="0" applyNumberFormat="1" applyFont="1" applyBorder="1" applyAlignment="1">
      <alignment horizontal="right" vertical="top" wrapText="1"/>
    </xf>
    <xf numFmtId="0" fontId="24" fillId="0" borderId="0" xfId="0" applyFont="1" applyAlignment="1">
      <alignment horizontal="left" vertical="top" wrapText="1"/>
    </xf>
    <xf numFmtId="0" fontId="26" fillId="0" borderId="0" xfId="0" applyFont="1" applyAlignment="1">
      <alignment horizontal="right" vertical="top" wrapText="1"/>
    </xf>
    <xf numFmtId="10" fontId="26" fillId="5" borderId="6" xfId="0" applyNumberFormat="1" applyFont="1" applyFill="1" applyBorder="1" applyAlignment="1" applyProtection="1">
      <alignment horizontal="center" vertical="top" wrapText="1"/>
      <protection locked="0"/>
    </xf>
    <xf numFmtId="0" fontId="64" fillId="0" borderId="0" xfId="0" applyFont="1" applyAlignment="1">
      <alignment horizontal="left" vertical="center"/>
    </xf>
    <xf numFmtId="0" fontId="24" fillId="0" borderId="2" xfId="543" applyFont="1" applyBorder="1" applyAlignment="1">
      <alignment horizontal="center"/>
    </xf>
    <xf numFmtId="0" fontId="0" fillId="0" borderId="0" xfId="543" applyFont="1"/>
    <xf numFmtId="0" fontId="18" fillId="0" borderId="0" xfId="244" quotePrefix="1" applyAlignment="1" applyProtection="1">
      <alignment horizontal="left"/>
    </xf>
    <xf numFmtId="168" fontId="53" fillId="0" borderId="11" xfId="0" applyNumberFormat="1" applyFont="1" applyBorder="1" applyAlignment="1">
      <alignment vertical="top" wrapText="1"/>
    </xf>
    <xf numFmtId="168" fontId="53" fillId="4" borderId="11" xfId="0" applyNumberFormat="1" applyFont="1" applyFill="1" applyBorder="1" applyAlignment="1">
      <alignment vertical="top" wrapText="1"/>
    </xf>
    <xf numFmtId="0" fontId="105" fillId="0" borderId="0" xfId="0" applyFont="1" applyAlignment="1">
      <alignment horizontal="left" vertical="top"/>
    </xf>
    <xf numFmtId="0" fontId="106" fillId="0" borderId="0" xfId="0" applyFont="1" applyAlignment="1">
      <alignment horizontal="left" vertical="top"/>
    </xf>
    <xf numFmtId="0" fontId="74" fillId="0" borderId="0" xfId="0" applyFont="1"/>
    <xf numFmtId="0" fontId="24" fillId="8" borderId="11" xfId="542" applyFont="1" applyFill="1" applyBorder="1" applyAlignment="1">
      <alignment horizontal="left"/>
    </xf>
    <xf numFmtId="0" fontId="24" fillId="8" borderId="11" xfId="542" applyFont="1" applyFill="1" applyBorder="1" applyAlignment="1">
      <alignment horizontal="center"/>
    </xf>
    <xf numFmtId="0" fontId="63" fillId="8" borderId="11" xfId="542" applyFont="1" applyFill="1" applyBorder="1" applyAlignment="1">
      <alignment horizontal="left"/>
    </xf>
    <xf numFmtId="0" fontId="63" fillId="0" borderId="11" xfId="542" applyFont="1" applyBorder="1" applyAlignment="1">
      <alignment horizontal="left"/>
    </xf>
    <xf numFmtId="0" fontId="24" fillId="0" borderId="0" xfId="271" applyFont="1" applyAlignment="1" applyProtection="1">
      <alignment horizontal="center" wrapText="1"/>
      <protection locked="0"/>
    </xf>
    <xf numFmtId="0" fontId="26" fillId="0" borderId="0" xfId="271" applyAlignment="1" applyProtection="1">
      <alignment vertical="top" wrapText="1"/>
      <protection locked="0"/>
    </xf>
    <xf numFmtId="0" fontId="24" fillId="0" borderId="0" xfId="271" applyFont="1" applyAlignment="1" applyProtection="1">
      <alignment vertical="top" wrapText="1"/>
      <protection locked="0"/>
    </xf>
    <xf numFmtId="0" fontId="17" fillId="0" borderId="0" xfId="0" applyFont="1" applyAlignment="1">
      <alignment horizontal="center"/>
    </xf>
    <xf numFmtId="0" fontId="31" fillId="0" borderId="8" xfId="569" applyFont="1" applyBorder="1" applyAlignment="1">
      <alignment vertical="top" wrapText="1"/>
    </xf>
    <xf numFmtId="0" fontId="31" fillId="0" borderId="0" xfId="569" applyFont="1" applyAlignment="1">
      <alignment vertical="top" wrapText="1"/>
    </xf>
    <xf numFmtId="0" fontId="55" fillId="2" borderId="11" xfId="569" applyFont="1" applyFill="1" applyBorder="1" applyAlignment="1">
      <alignment horizontal="left" vertical="top" wrapText="1"/>
    </xf>
    <xf numFmtId="6" fontId="53" fillId="4" borderId="11" xfId="569" applyNumberFormat="1" applyFont="1" applyFill="1" applyBorder="1" applyAlignment="1">
      <alignment vertical="top" wrapText="1"/>
    </xf>
    <xf numFmtId="0" fontId="53" fillId="0" borderId="8" xfId="569" applyFont="1" applyBorder="1" applyAlignment="1">
      <alignment vertical="top" wrapText="1"/>
    </xf>
    <xf numFmtId="0" fontId="53" fillId="0" borderId="0" xfId="569" applyFont="1" applyAlignment="1">
      <alignment vertical="top" wrapText="1"/>
    </xf>
    <xf numFmtId="6" fontId="53" fillId="0" borderId="11" xfId="569" applyNumberFormat="1" applyFont="1" applyBorder="1" applyAlignment="1">
      <alignment vertical="top" wrapText="1"/>
    </xf>
    <xf numFmtId="6" fontId="53" fillId="5" borderId="11" xfId="569" applyNumberFormat="1" applyFont="1" applyFill="1" applyBorder="1" applyAlignment="1" applyProtection="1">
      <alignment vertical="top" wrapText="1"/>
      <protection locked="0"/>
    </xf>
    <xf numFmtId="6" fontId="53" fillId="6" borderId="11" xfId="569" applyNumberFormat="1" applyFont="1" applyFill="1" applyBorder="1" applyAlignment="1">
      <alignment horizontal="center" vertical="top" wrapText="1"/>
    </xf>
    <xf numFmtId="0" fontId="53" fillId="0" borderId="11" xfId="569" applyFont="1" applyBorder="1" applyAlignment="1">
      <alignment horizontal="right" vertical="top" wrapText="1"/>
    </xf>
    <xf numFmtId="0" fontId="54" fillId="0" borderId="11" xfId="569" applyFont="1" applyBorder="1" applyAlignment="1">
      <alignment horizontal="right" vertical="top" wrapText="1"/>
    </xf>
    <xf numFmtId="0" fontId="53" fillId="0" borderId="11" xfId="569" applyFont="1" applyBorder="1" applyAlignment="1">
      <alignment horizontal="right" vertical="top"/>
    </xf>
    <xf numFmtId="6" fontId="54" fillId="0" borderId="11" xfId="569" applyNumberFormat="1" applyFont="1" applyBorder="1" applyAlignment="1">
      <alignment vertical="top" wrapText="1"/>
    </xf>
    <xf numFmtId="0" fontId="54" fillId="0" borderId="8" xfId="569" applyFont="1" applyBorder="1" applyAlignment="1">
      <alignment vertical="top" wrapText="1"/>
    </xf>
    <xf numFmtId="0" fontId="54" fillId="0" borderId="0" xfId="569" applyFont="1" applyAlignment="1">
      <alignment vertical="top" wrapText="1"/>
    </xf>
    <xf numFmtId="0" fontId="20" fillId="0" borderId="11" xfId="569" applyFont="1" applyBorder="1" applyAlignment="1">
      <alignment horizontal="right" vertical="top" wrapText="1"/>
    </xf>
    <xf numFmtId="0" fontId="54" fillId="0" borderId="0" xfId="569" applyFont="1" applyAlignment="1">
      <alignment horizontal="left" vertical="top"/>
    </xf>
    <xf numFmtId="6" fontId="53" fillId="0" borderId="0" xfId="569" applyNumberFormat="1" applyFont="1" applyAlignment="1">
      <alignment horizontal="left" vertical="top"/>
    </xf>
    <xf numFmtId="0" fontId="106" fillId="0" borderId="0" xfId="569" applyFont="1" applyAlignment="1">
      <alignment horizontal="left" vertical="top"/>
    </xf>
    <xf numFmtId="6" fontId="53" fillId="0" borderId="0" xfId="569" applyNumberFormat="1" applyFont="1" applyAlignment="1">
      <alignment vertical="top" wrapText="1"/>
    </xf>
    <xf numFmtId="0" fontId="53" fillId="0" borderId="0" xfId="569" applyFont="1" applyAlignment="1">
      <alignment horizontal="left" vertical="top"/>
    </xf>
    <xf numFmtId="0" fontId="53" fillId="0" borderId="12" xfId="569" applyFont="1" applyBorder="1" applyAlignment="1">
      <alignment vertical="top" wrapText="1"/>
    </xf>
    <xf numFmtId="0" fontId="24" fillId="0" borderId="0" xfId="569" applyFont="1" applyAlignment="1">
      <alignment horizontal="left" vertical="top"/>
    </xf>
    <xf numFmtId="0" fontId="109" fillId="0" borderId="0" xfId="569" applyFont="1" applyAlignment="1">
      <alignment horizontal="left" vertical="top"/>
    </xf>
    <xf numFmtId="0" fontId="64" fillId="0" borderId="0" xfId="569" applyFont="1" applyAlignment="1">
      <alignment horizontal="left" vertical="center"/>
    </xf>
    <xf numFmtId="0" fontId="32" fillId="0" borderId="0" xfId="569" applyFont="1" applyAlignment="1">
      <alignment vertical="top" wrapText="1"/>
    </xf>
    <xf numFmtId="0" fontId="32" fillId="0" borderId="12" xfId="569" applyFont="1" applyBorder="1" applyAlignment="1">
      <alignment vertical="top" wrapText="1"/>
    </xf>
    <xf numFmtId="0" fontId="32" fillId="0" borderId="8" xfId="569" applyFont="1" applyBorder="1" applyAlignment="1">
      <alignment vertical="top" wrapText="1"/>
    </xf>
    <xf numFmtId="0" fontId="53" fillId="0" borderId="0" xfId="569" applyFont="1" applyAlignment="1">
      <alignment vertical="top"/>
    </xf>
    <xf numFmtId="168" fontId="53" fillId="0" borderId="0" xfId="569" applyNumberFormat="1" applyFont="1" applyAlignment="1" applyProtection="1">
      <alignment horizontal="right" vertical="top" wrapText="1"/>
      <protection locked="0"/>
    </xf>
    <xf numFmtId="0" fontId="17" fillId="0" borderId="0" xfId="569" applyAlignment="1">
      <alignment vertical="top" wrapText="1"/>
    </xf>
    <xf numFmtId="0" fontId="17" fillId="0" borderId="0" xfId="569" applyAlignment="1">
      <alignment vertical="top"/>
    </xf>
    <xf numFmtId="0" fontId="53" fillId="0" borderId="0" xfId="569" applyFont="1" applyAlignment="1">
      <alignment horizontal="right" vertical="top" wrapText="1"/>
    </xf>
    <xf numFmtId="0" fontId="24" fillId="0" borderId="0" xfId="569" applyFont="1" applyAlignment="1">
      <alignment horizontal="left" vertical="top" wrapText="1"/>
    </xf>
    <xf numFmtId="168" fontId="53" fillId="0" borderId="0" xfId="569" applyNumberFormat="1" applyFont="1" applyAlignment="1">
      <alignment horizontal="right" vertical="top" wrapText="1"/>
    </xf>
    <xf numFmtId="0" fontId="17" fillId="0" borderId="0" xfId="569" applyAlignment="1" applyProtection="1">
      <alignment horizontal="left" vertical="top" wrapText="1"/>
      <protection locked="0"/>
    </xf>
    <xf numFmtId="0" fontId="17" fillId="0" borderId="0" xfId="569" applyAlignment="1">
      <alignment horizontal="right" vertical="top" wrapText="1"/>
    </xf>
    <xf numFmtId="0" fontId="17" fillId="0" borderId="0" xfId="569" applyAlignment="1">
      <alignment horizontal="left" vertical="top"/>
    </xf>
    <xf numFmtId="0" fontId="81" fillId="0" borderId="0" xfId="569" applyFont="1" applyAlignment="1">
      <alignment vertical="top" wrapText="1"/>
    </xf>
    <xf numFmtId="0" fontId="81" fillId="0" borderId="12" xfId="569" applyFont="1" applyBorder="1" applyAlignment="1">
      <alignment vertical="top" wrapText="1"/>
    </xf>
    <xf numFmtId="0" fontId="81" fillId="0" borderId="8" xfId="569" applyFont="1" applyBorder="1" applyAlignment="1">
      <alignment vertical="top" wrapText="1"/>
    </xf>
    <xf numFmtId="0" fontId="31" fillId="0" borderId="0" xfId="569" applyFont="1" applyAlignment="1">
      <alignment horizontal="right" vertical="top" wrapText="1"/>
    </xf>
    <xf numFmtId="0" fontId="81" fillId="0" borderId="0" xfId="569" applyFont="1" applyAlignment="1">
      <alignment horizontal="right" vertical="top" wrapText="1"/>
    </xf>
    <xf numFmtId="0" fontId="54" fillId="0" borderId="3" xfId="569" applyFont="1" applyBorder="1" applyAlignment="1">
      <alignment horizontal="left"/>
    </xf>
    <xf numFmtId="0" fontId="54" fillId="0" borderId="13" xfId="569" applyFont="1" applyBorder="1" applyAlignment="1">
      <alignment horizontal="center" wrapText="1"/>
    </xf>
    <xf numFmtId="0" fontId="54" fillId="0" borderId="8" xfId="569" applyFont="1" applyBorder="1" applyAlignment="1">
      <alignment horizontal="center" wrapText="1"/>
    </xf>
    <xf numFmtId="0" fontId="54" fillId="0" borderId="0" xfId="569" applyFont="1" applyAlignment="1">
      <alignment horizontal="center" wrapText="1"/>
    </xf>
    <xf numFmtId="0" fontId="17" fillId="0" borderId="0" xfId="569"/>
    <xf numFmtId="0" fontId="23" fillId="0" borderId="0" xfId="569" applyFont="1" applyAlignment="1">
      <alignment horizontal="center" vertical="center"/>
    </xf>
    <xf numFmtId="0" fontId="24" fillId="0" borderId="0" xfId="569" applyFont="1"/>
    <xf numFmtId="0" fontId="17" fillId="0" borderId="1" xfId="569" applyBorder="1"/>
    <xf numFmtId="0" fontId="17" fillId="0" borderId="2" xfId="569" applyBorder="1"/>
    <xf numFmtId="0" fontId="17" fillId="0" borderId="8" xfId="569" applyBorder="1"/>
    <xf numFmtId="0" fontId="17" fillId="0" borderId="9" xfId="569" applyBorder="1"/>
    <xf numFmtId="0" fontId="17" fillId="0" borderId="6" xfId="569" applyBorder="1"/>
    <xf numFmtId="0" fontId="25" fillId="0" borderId="0" xfId="569" applyFont="1"/>
    <xf numFmtId="0" fontId="17" fillId="0" borderId="7" xfId="569" applyBorder="1"/>
    <xf numFmtId="0" fontId="17" fillId="0" borderId="12" xfId="569" applyBorder="1"/>
    <xf numFmtId="0" fontId="17" fillId="0" borderId="10" xfId="569" applyBorder="1"/>
    <xf numFmtId="0" fontId="25" fillId="0" borderId="0" xfId="569" applyFont="1" applyAlignment="1">
      <alignment vertical="top" wrapText="1"/>
    </xf>
    <xf numFmtId="0" fontId="17" fillId="0" borderId="0" xfId="569" applyAlignment="1">
      <alignment horizontal="right"/>
    </xf>
    <xf numFmtId="0" fontId="17" fillId="0" borderId="0" xfId="569" applyAlignment="1">
      <alignment wrapText="1"/>
    </xf>
    <xf numFmtId="0" fontId="17" fillId="0" borderId="0" xfId="569" applyAlignment="1">
      <alignment vertical="center"/>
    </xf>
    <xf numFmtId="0" fontId="41" fillId="0" borderId="0" xfId="569" applyFont="1" applyAlignment="1">
      <alignment vertical="center" wrapText="1"/>
    </xf>
    <xf numFmtId="0" fontId="35" fillId="0" borderId="0" xfId="569" applyFont="1" applyAlignment="1">
      <alignment vertical="top" wrapText="1"/>
    </xf>
    <xf numFmtId="0" fontId="24" fillId="0" borderId="0" xfId="569" applyFont="1" applyAlignment="1">
      <alignment vertical="top" wrapText="1"/>
    </xf>
    <xf numFmtId="0" fontId="25" fillId="0" borderId="0" xfId="569" applyFont="1" applyAlignment="1">
      <alignment horizontal="left" vertical="top" wrapText="1"/>
    </xf>
    <xf numFmtId="164" fontId="17" fillId="0" borderId="0" xfId="569" applyNumberFormat="1" applyAlignment="1">
      <alignment horizontal="right"/>
    </xf>
    <xf numFmtId="168" fontId="17" fillId="0" borderId="0" xfId="569" applyNumberFormat="1" applyAlignment="1">
      <alignment horizontal="right"/>
    </xf>
    <xf numFmtId="0" fontId="107" fillId="0" borderId="0" xfId="569" applyFont="1" applyAlignment="1">
      <alignment horizontal="left" vertical="top" wrapText="1"/>
    </xf>
    <xf numFmtId="168" fontId="17" fillId="0" borderId="0" xfId="569" applyNumberFormat="1" applyAlignment="1">
      <alignment wrapText="1"/>
    </xf>
    <xf numFmtId="0" fontId="22" fillId="0" borderId="11" xfId="253" applyFont="1" applyBorder="1" applyAlignment="1">
      <alignment horizontal="center" wrapText="1"/>
    </xf>
    <xf numFmtId="0" fontId="22" fillId="0" borderId="0" xfId="253" applyFont="1" applyAlignment="1">
      <alignment horizontal="center" wrapText="1"/>
    </xf>
    <xf numFmtId="3" fontId="22" fillId="0" borderId="11" xfId="271" applyNumberFormat="1" applyFont="1" applyBorder="1"/>
    <xf numFmtId="3" fontId="22" fillId="0" borderId="0" xfId="271" applyNumberFormat="1" applyFont="1"/>
    <xf numFmtId="0" fontId="65" fillId="0" borderId="0" xfId="271" applyFont="1" applyAlignment="1">
      <alignment horizontal="left"/>
    </xf>
    <xf numFmtId="0" fontId="65" fillId="0" borderId="0" xfId="271" applyFont="1" applyAlignment="1">
      <alignment horizontal="right"/>
    </xf>
    <xf numFmtId="168" fontId="22" fillId="0" borderId="11" xfId="271" applyNumberFormat="1" applyFont="1" applyBorder="1"/>
    <xf numFmtId="168" fontId="22" fillId="0" borderId="0" xfId="271" applyNumberFormat="1" applyFont="1"/>
    <xf numFmtId="0" fontId="53" fillId="0" borderId="0" xfId="569" applyFont="1" applyAlignment="1">
      <alignment horizontal="left"/>
    </xf>
    <xf numFmtId="0" fontId="17" fillId="0" borderId="3" xfId="569" applyBorder="1"/>
    <xf numFmtId="0" fontId="108" fillId="0" borderId="0" xfId="1834"/>
    <xf numFmtId="0" fontId="0" fillId="0" borderId="0" xfId="0" applyAlignment="1">
      <alignment horizontal="left" vertical="top"/>
    </xf>
    <xf numFmtId="0" fontId="107" fillId="0" borderId="0" xfId="0" applyFont="1" applyAlignment="1">
      <alignment vertical="top" wrapText="1"/>
    </xf>
    <xf numFmtId="0" fontId="53" fillId="0" borderId="0" xfId="271" applyFont="1" applyAlignment="1">
      <alignment vertical="top" wrapText="1"/>
    </xf>
    <xf numFmtId="4" fontId="17" fillId="0" borderId="0" xfId="1192" applyNumberFormat="1" applyAlignment="1">
      <alignment horizontal="left" vertical="top" wrapText="1"/>
    </xf>
    <xf numFmtId="0" fontId="17" fillId="0" borderId="0" xfId="0" applyFont="1" applyAlignment="1">
      <alignment horizontal="left" vertical="top" wrapText="1"/>
    </xf>
    <xf numFmtId="0" fontId="24" fillId="0" borderId="12" xfId="543" applyFont="1" applyBorder="1" applyAlignment="1">
      <alignment horizontal="right"/>
    </xf>
    <xf numFmtId="0" fontId="36" fillId="0" borderId="0" xfId="543" applyFont="1" applyAlignment="1">
      <alignment horizontal="center"/>
    </xf>
    <xf numFmtId="4" fontId="17" fillId="0" borderId="0" xfId="569" applyNumberFormat="1" applyAlignment="1">
      <alignment horizontal="left"/>
    </xf>
    <xf numFmtId="0" fontId="17" fillId="0" borderId="0" xfId="569" applyAlignment="1">
      <alignment horizontal="left" vertical="top" wrapText="1"/>
    </xf>
    <xf numFmtId="0" fontId="17" fillId="0" borderId="0" xfId="569" applyAlignment="1">
      <alignment horizontal="left"/>
    </xf>
    <xf numFmtId="0" fontId="17" fillId="0" borderId="0" xfId="1192" applyAlignment="1">
      <alignment horizontal="left"/>
    </xf>
    <xf numFmtId="0" fontId="24" fillId="0" borderId="0" xfId="569" applyFont="1" applyAlignment="1">
      <alignment horizontal="left"/>
    </xf>
    <xf numFmtId="0" fontId="46" fillId="0" borderId="0" xfId="1192" applyFont="1"/>
    <xf numFmtId="0" fontId="53" fillId="0" borderId="11" xfId="0" applyFont="1" applyBorder="1" applyAlignment="1">
      <alignment horizontal="right" vertical="center"/>
    </xf>
    <xf numFmtId="0" fontId="17" fillId="0" borderId="0" xfId="1192" applyAlignment="1">
      <alignment horizontal="left" vertical="top" wrapText="1"/>
    </xf>
    <xf numFmtId="0" fontId="46" fillId="0" borderId="0" xfId="0" applyFont="1" applyAlignment="1">
      <alignment vertical="top" wrapText="1"/>
    </xf>
    <xf numFmtId="0" fontId="46" fillId="0" borderId="0" xfId="0" applyFont="1" applyAlignment="1">
      <alignment horizontal="left" vertical="top" wrapText="1"/>
    </xf>
    <xf numFmtId="6" fontId="54" fillId="0" borderId="0" xfId="569" applyNumberFormat="1" applyFont="1" applyAlignment="1">
      <alignment horizontal="right" vertical="top"/>
    </xf>
    <xf numFmtId="0" fontId="17" fillId="0" borderId="0" xfId="0" applyFont="1" applyAlignment="1">
      <alignment vertical="top" wrapText="1"/>
    </xf>
    <xf numFmtId="168" fontId="26" fillId="0" borderId="0" xfId="0" applyNumberFormat="1" applyFont="1" applyAlignment="1">
      <alignment horizontal="right"/>
    </xf>
    <xf numFmtId="168" fontId="26" fillId="0" borderId="28" xfId="540" applyNumberFormat="1" applyBorder="1" applyAlignment="1" applyProtection="1">
      <alignment horizontal="center"/>
    </xf>
    <xf numFmtId="168" fontId="26" fillId="0" borderId="29" xfId="540" applyNumberFormat="1" applyBorder="1" applyAlignment="1" applyProtection="1">
      <alignment horizontal="center"/>
    </xf>
    <xf numFmtId="168" fontId="26" fillId="0" borderId="30" xfId="540" applyNumberFormat="1" applyBorder="1" applyAlignment="1" applyProtection="1">
      <alignment horizontal="center"/>
    </xf>
    <xf numFmtId="168" fontId="26" fillId="0" borderId="31" xfId="540" applyNumberFormat="1" applyBorder="1" applyAlignment="1" applyProtection="1">
      <alignment horizontal="center"/>
    </xf>
    <xf numFmtId="168" fontId="26" fillId="0" borderId="32" xfId="540" applyNumberFormat="1" applyBorder="1" applyAlignment="1" applyProtection="1">
      <alignment horizontal="center"/>
    </xf>
    <xf numFmtId="168" fontId="26" fillId="0" borderId="33" xfId="540" applyNumberFormat="1" applyBorder="1" applyAlignment="1" applyProtection="1">
      <alignment horizontal="center"/>
    </xf>
    <xf numFmtId="168" fontId="26" fillId="0" borderId="34" xfId="540" applyNumberFormat="1" applyBorder="1" applyAlignment="1" applyProtection="1">
      <alignment horizontal="center"/>
    </xf>
    <xf numFmtId="168" fontId="26" fillId="0" borderId="35" xfId="540" applyNumberFormat="1" applyBorder="1" applyAlignment="1" applyProtection="1">
      <alignment horizontal="center"/>
    </xf>
    <xf numFmtId="168" fontId="26" fillId="0" borderId="36" xfId="540" applyNumberFormat="1" applyBorder="1" applyAlignment="1" applyProtection="1">
      <alignment horizontal="center"/>
    </xf>
    <xf numFmtId="168" fontId="26" fillId="0" borderId="37" xfId="540" applyNumberFormat="1" applyBorder="1" applyAlignment="1" applyProtection="1">
      <alignment horizontal="center"/>
    </xf>
    <xf numFmtId="168" fontId="26" fillId="0" borderId="38" xfId="540" applyNumberFormat="1" applyBorder="1" applyAlignment="1" applyProtection="1">
      <alignment horizontal="center"/>
    </xf>
    <xf numFmtId="168" fontId="26" fillId="0" borderId="39" xfId="540" applyNumberFormat="1" applyBorder="1" applyAlignment="1" applyProtection="1">
      <alignment horizontal="center"/>
    </xf>
    <xf numFmtId="168" fontId="26" fillId="0" borderId="40" xfId="540" applyNumberFormat="1" applyBorder="1" applyAlignment="1" applyProtection="1">
      <alignment horizontal="center"/>
    </xf>
    <xf numFmtId="168" fontId="26" fillId="0" borderId="0" xfId="540" applyNumberFormat="1" applyAlignment="1" applyProtection="1">
      <alignment horizontal="center"/>
    </xf>
    <xf numFmtId="168" fontId="26" fillId="0" borderId="14" xfId="540" applyNumberFormat="1" applyBorder="1" applyAlignment="1" applyProtection="1">
      <alignment horizontal="center"/>
    </xf>
    <xf numFmtId="168" fontId="26" fillId="0" borderId="41" xfId="540" applyNumberFormat="1" applyBorder="1" applyAlignment="1" applyProtection="1">
      <alignment horizontal="center"/>
    </xf>
    <xf numFmtId="168" fontId="26" fillId="0" borderId="42" xfId="540" applyNumberFormat="1" applyBorder="1" applyAlignment="1" applyProtection="1">
      <alignment horizontal="center"/>
    </xf>
    <xf numFmtId="168" fontId="26" fillId="0" borderId="43" xfId="540" applyNumberFormat="1" applyBorder="1" applyAlignment="1" applyProtection="1">
      <alignment horizontal="center"/>
    </xf>
    <xf numFmtId="168" fontId="26" fillId="0" borderId="44" xfId="540" applyNumberFormat="1" applyBorder="1" applyAlignment="1" applyProtection="1">
      <alignment horizontal="center"/>
    </xf>
    <xf numFmtId="0" fontId="17" fillId="0" borderId="0" xfId="1192"/>
    <xf numFmtId="0" fontId="17" fillId="0" borderId="0" xfId="0" applyFont="1" applyAlignment="1">
      <alignment wrapText="1"/>
    </xf>
    <xf numFmtId="0" fontId="46" fillId="0" borderId="0" xfId="0" applyFont="1" applyAlignment="1">
      <alignment horizontal="left" vertical="top"/>
    </xf>
    <xf numFmtId="0" fontId="46" fillId="0" borderId="0" xfId="0" applyFont="1" applyAlignment="1">
      <alignment vertical="top"/>
    </xf>
    <xf numFmtId="0" fontId="17" fillId="0" borderId="0" xfId="569" applyAlignment="1">
      <alignment horizontal="center"/>
    </xf>
    <xf numFmtId="0" fontId="35" fillId="0" borderId="0" xfId="569" applyFont="1" applyAlignment="1">
      <alignment horizontal="left"/>
    </xf>
    <xf numFmtId="0" fontId="35" fillId="0" borderId="0" xfId="569" applyFont="1" applyAlignment="1">
      <alignment horizontal="center"/>
    </xf>
    <xf numFmtId="49" fontId="24" fillId="0" borderId="0" xfId="569" applyNumberFormat="1" applyFont="1" applyAlignment="1">
      <alignment horizontal="center"/>
    </xf>
    <xf numFmtId="0" fontId="51" fillId="0" borderId="0" xfId="569" applyFont="1" applyAlignment="1">
      <alignment horizontal="center"/>
    </xf>
    <xf numFmtId="0" fontId="17" fillId="5" borderId="6" xfId="569" applyFill="1" applyBorder="1" applyProtection="1">
      <protection locked="0"/>
    </xf>
    <xf numFmtId="0" fontId="18" fillId="0" borderId="0" xfId="244" applyAlignment="1" applyProtection="1">
      <alignment horizontal="center"/>
    </xf>
    <xf numFmtId="49" fontId="17" fillId="0" borderId="0" xfId="569" applyNumberFormat="1" applyAlignment="1">
      <alignment horizontal="center"/>
    </xf>
    <xf numFmtId="0" fontId="17" fillId="0" borderId="0" xfId="569" applyAlignment="1">
      <alignment horizontal="center" vertical="center"/>
    </xf>
    <xf numFmtId="0" fontId="17" fillId="0" borderId="0" xfId="1192" applyAlignment="1">
      <alignment horizontal="center"/>
    </xf>
    <xf numFmtId="0" fontId="24" fillId="0" borderId="0" xfId="569" applyFont="1" applyAlignment="1">
      <alignment horizontal="center"/>
    </xf>
    <xf numFmtId="0" fontId="17" fillId="0" borderId="0" xfId="569" applyAlignment="1">
      <alignment horizontal="left" indent="4"/>
    </xf>
    <xf numFmtId="0" fontId="17" fillId="0" borderId="0" xfId="569" quotePrefix="1" applyAlignment="1">
      <alignment horizontal="left"/>
    </xf>
    <xf numFmtId="0" fontId="35" fillId="0" borderId="0" xfId="569" applyFont="1"/>
    <xf numFmtId="0" fontId="17" fillId="0" borderId="0" xfId="1192" applyAlignment="1" applyProtection="1">
      <alignment horizontal="left"/>
      <protection locked="0"/>
    </xf>
    <xf numFmtId="0" fontId="17" fillId="0" borderId="0" xfId="569" applyAlignment="1" applyProtection="1">
      <alignment horizontal="left"/>
      <protection locked="0"/>
    </xf>
    <xf numFmtId="49" fontId="17" fillId="0" borderId="0" xfId="1192" applyNumberFormat="1" applyAlignment="1">
      <alignment horizontal="center"/>
    </xf>
    <xf numFmtId="0" fontId="51" fillId="0" borderId="0" xfId="1192" applyFont="1" applyAlignment="1">
      <alignment horizontal="center"/>
    </xf>
    <xf numFmtId="0" fontId="24" fillId="0" borderId="0" xfId="1192" applyFont="1" applyAlignment="1">
      <alignment horizontal="left"/>
    </xf>
    <xf numFmtId="4" fontId="17" fillId="0" borderId="0" xfId="1192" applyNumberFormat="1" applyAlignment="1">
      <alignment horizontal="left"/>
    </xf>
    <xf numFmtId="0" fontId="24" fillId="0" borderId="0" xfId="569" quotePrefix="1" applyFont="1" applyAlignment="1">
      <alignment horizontal="center"/>
    </xf>
    <xf numFmtId="49" fontId="17" fillId="0" borderId="0" xfId="569" applyNumberFormat="1"/>
    <xf numFmtId="0" fontId="49" fillId="0" borderId="0" xfId="569" applyFont="1" applyAlignment="1">
      <alignment horizontal="left"/>
    </xf>
    <xf numFmtId="4" fontId="51" fillId="0" borderId="0" xfId="569" applyNumberFormat="1" applyFont="1" applyAlignment="1">
      <alignment horizontal="center"/>
    </xf>
    <xf numFmtId="4" fontId="17" fillId="0" borderId="0" xfId="569" applyNumberFormat="1" applyAlignment="1">
      <alignment horizontal="center"/>
    </xf>
    <xf numFmtId="4" fontId="17" fillId="0" borderId="0" xfId="569" applyNumberFormat="1"/>
    <xf numFmtId="0" fontId="47" fillId="0" borderId="0" xfId="569" applyFont="1" applyAlignment="1">
      <alignment horizontal="left"/>
    </xf>
    <xf numFmtId="0" fontId="18" fillId="0" borderId="0" xfId="244" applyNumberFormat="1" applyFill="1" applyAlignment="1" applyProtection="1">
      <alignment horizontal="left"/>
      <protection locked="0"/>
    </xf>
    <xf numFmtId="0" fontId="53" fillId="0" borderId="11" xfId="0" applyFont="1" applyBorder="1" applyAlignment="1" applyProtection="1">
      <alignment horizontal="right" vertical="top" wrapText="1"/>
      <protection locked="0"/>
    </xf>
    <xf numFmtId="168" fontId="56" fillId="44" borderId="11" xfId="0" applyNumberFormat="1" applyFont="1" applyFill="1" applyBorder="1" applyAlignment="1">
      <alignment vertical="top" wrapText="1"/>
    </xf>
    <xf numFmtId="0" fontId="17" fillId="0" borderId="11" xfId="271" applyFont="1" applyBorder="1" applyAlignment="1">
      <alignment horizontal="right" vertical="top" wrapText="1"/>
    </xf>
    <xf numFmtId="0" fontId="25" fillId="0" borderId="0" xfId="569" applyFont="1" applyAlignment="1">
      <alignment horizontal="left"/>
    </xf>
    <xf numFmtId="0" fontId="105" fillId="0" borderId="0" xfId="0" applyFont="1"/>
    <xf numFmtId="0" fontId="116" fillId="0" borderId="0" xfId="0" applyFont="1" applyAlignment="1">
      <alignment horizontal="left" vertical="top"/>
    </xf>
    <xf numFmtId="0" fontId="117" fillId="0" borderId="0" xfId="0" applyFont="1" applyAlignment="1">
      <alignment horizontal="left" vertical="top"/>
    </xf>
    <xf numFmtId="168" fontId="25" fillId="0" borderId="0" xfId="0" applyNumberFormat="1" applyFont="1" applyAlignment="1">
      <alignment horizontal="left" vertical="top" wrapText="1"/>
    </xf>
    <xf numFmtId="168" fontId="53" fillId="5" borderId="11" xfId="0" applyNumberFormat="1" applyFont="1" applyFill="1" applyBorder="1" applyAlignment="1">
      <alignment vertical="top" wrapText="1"/>
    </xf>
    <xf numFmtId="0" fontId="17" fillId="0" borderId="0" xfId="271" applyFont="1" applyAlignment="1">
      <alignment horizontal="left" vertical="top"/>
    </xf>
    <xf numFmtId="0" fontId="53" fillId="0" borderId="0" xfId="569" applyFont="1"/>
    <xf numFmtId="0" fontId="17" fillId="0" borderId="0" xfId="0" applyFont="1" applyAlignment="1">
      <alignment horizontal="left" vertical="top"/>
    </xf>
    <xf numFmtId="4" fontId="17" fillId="0" borderId="0" xfId="1192" applyNumberFormat="1" applyAlignment="1">
      <alignment vertical="top" wrapText="1"/>
    </xf>
    <xf numFmtId="0" fontId="24" fillId="0" borderId="16" xfId="271" applyFont="1" applyBorder="1"/>
    <xf numFmtId="0" fontId="60" fillId="0" borderId="0" xfId="569" applyFont="1"/>
    <xf numFmtId="0" fontId="41" fillId="0" borderId="0" xfId="569" applyFont="1"/>
    <xf numFmtId="0" fontId="17" fillId="0" borderId="0" xfId="1192" applyAlignment="1">
      <alignment vertical="top" wrapText="1"/>
    </xf>
    <xf numFmtId="49" fontId="17" fillId="0" borderId="0" xfId="1192" applyNumberFormat="1" applyAlignment="1">
      <alignment vertical="top" wrapText="1"/>
    </xf>
    <xf numFmtId="0" fontId="55" fillId="0" borderId="9" xfId="543" applyFont="1" applyBorder="1" applyAlignment="1">
      <alignment vertical="top"/>
    </xf>
    <xf numFmtId="0" fontId="17" fillId="0" borderId="0" xfId="0" applyFont="1" applyAlignment="1">
      <alignment vertical="center"/>
    </xf>
    <xf numFmtId="0" fontId="118" fillId="0" borderId="0" xfId="0" applyFont="1"/>
    <xf numFmtId="3" fontId="105" fillId="0" borderId="0" xfId="0" applyNumberFormat="1" applyFont="1"/>
    <xf numFmtId="0" fontId="105" fillId="0" borderId="0" xfId="0" applyFont="1" applyAlignment="1">
      <alignment horizontal="left"/>
    </xf>
    <xf numFmtId="168" fontId="119" fillId="0" borderId="0" xfId="0" applyNumberFormat="1" applyFont="1" applyAlignment="1">
      <alignment horizontal="left" vertical="top"/>
    </xf>
    <xf numFmtId="0" fontId="105" fillId="0" borderId="0" xfId="0" applyFont="1" applyAlignment="1">
      <alignment horizontal="left" vertical="center"/>
    </xf>
    <xf numFmtId="0" fontId="121" fillId="0" borderId="0" xfId="0" applyFont="1"/>
    <xf numFmtId="172" fontId="17" fillId="0" borderId="8" xfId="543" applyNumberFormat="1" applyBorder="1"/>
    <xf numFmtId="0" fontId="17" fillId="0" borderId="8" xfId="4495" applyFont="1" applyBorder="1"/>
    <xf numFmtId="0" fontId="17" fillId="0" borderId="0" xfId="4495" applyFont="1"/>
    <xf numFmtId="0" fontId="23" fillId="0" borderId="0" xfId="4495" applyFont="1" applyAlignment="1">
      <alignment horizontal="center" vertical="center"/>
    </xf>
    <xf numFmtId="0" fontId="24" fillId="0" borderId="0" xfId="4495" applyFont="1" applyAlignment="1">
      <alignment horizontal="left"/>
    </xf>
    <xf numFmtId="0" fontId="24" fillId="0" borderId="0" xfId="4495" applyFont="1"/>
    <xf numFmtId="0" fontId="27" fillId="0" borderId="0" xfId="4495" applyFont="1" applyAlignment="1">
      <alignment horizontal="center" vertical="center"/>
    </xf>
    <xf numFmtId="0" fontId="27" fillId="0" borderId="27" xfId="4495" applyFont="1" applyBorder="1" applyAlignment="1">
      <alignment horizontal="center" vertical="center"/>
    </xf>
    <xf numFmtId="0" fontId="27" fillId="0" borderId="46" xfId="4495" applyFont="1" applyBorder="1" applyAlignment="1">
      <alignment horizontal="center" vertical="center"/>
    </xf>
    <xf numFmtId="0" fontId="24" fillId="0" borderId="0" xfId="4495" applyFont="1" applyAlignment="1">
      <alignment horizontal="right"/>
    </xf>
    <xf numFmtId="0" fontId="35" fillId="0" borderId="0" xfId="4495" applyFont="1" applyAlignment="1">
      <alignment horizontal="left" vertical="center"/>
    </xf>
    <xf numFmtId="0" fontId="17" fillId="0" borderId="0" xfId="1192" quotePrefix="1" applyAlignment="1">
      <alignment horizontal="center"/>
    </xf>
    <xf numFmtId="0" fontId="47" fillId="0" borderId="0" xfId="4495" applyFont="1" applyAlignment="1">
      <alignment horizontal="left" vertical="center"/>
    </xf>
    <xf numFmtId="49" fontId="25" fillId="0" borderId="0" xfId="4495" applyNumberFormat="1" applyFont="1" applyAlignment="1">
      <alignment horizontal="left" vertical="top"/>
    </xf>
    <xf numFmtId="0" fontId="17" fillId="0" borderId="47" xfId="4495" applyFont="1" applyBorder="1" applyAlignment="1">
      <alignment horizontal="left" vertical="center"/>
    </xf>
    <xf numFmtId="0" fontId="27" fillId="0" borderId="48" xfId="4495" applyFont="1" applyBorder="1" applyAlignment="1">
      <alignment horizontal="center" vertical="center"/>
    </xf>
    <xf numFmtId="0" fontId="25" fillId="0" borderId="0" xfId="4495" applyFont="1"/>
    <xf numFmtId="0" fontId="25" fillId="0" borderId="0" xfId="4495" applyFont="1" applyAlignment="1">
      <alignment horizontal="left" vertical="top"/>
    </xf>
    <xf numFmtId="0" fontId="123" fillId="0" borderId="53" xfId="4496" applyFont="1" applyBorder="1" applyAlignment="1">
      <alignment horizontal="left" vertical="top"/>
    </xf>
    <xf numFmtId="0" fontId="122" fillId="0" borderId="0" xfId="4496" applyFont="1" applyAlignment="1">
      <alignment horizontal="left" vertical="top" wrapText="1"/>
    </xf>
    <xf numFmtId="0" fontId="122" fillId="0" borderId="54" xfId="4496" applyFont="1" applyBorder="1" applyAlignment="1">
      <alignment horizontal="left" vertical="top" wrapText="1"/>
    </xf>
    <xf numFmtId="0" fontId="17" fillId="0" borderId="0" xfId="4495" applyFont="1" applyAlignment="1">
      <alignment horizontal="left" vertical="center"/>
    </xf>
    <xf numFmtId="0" fontId="124" fillId="0" borderId="0" xfId="4496" applyFont="1" applyAlignment="1">
      <alignment vertical="center"/>
    </xf>
    <xf numFmtId="0" fontId="122" fillId="0" borderId="0" xfId="4496" applyFont="1"/>
    <xf numFmtId="0" fontId="122" fillId="0" borderId="0" xfId="4496" applyFont="1" applyAlignment="1">
      <alignment vertical="center"/>
    </xf>
    <xf numFmtId="0" fontId="125" fillId="0" borderId="0" xfId="4496" applyFont="1" applyAlignment="1">
      <alignment vertical="center"/>
    </xf>
    <xf numFmtId="0" fontId="17" fillId="0" borderId="0" xfId="4496" applyFont="1" applyAlignment="1">
      <alignment vertical="center"/>
    </xf>
    <xf numFmtId="0" fontId="25" fillId="0" borderId="3" xfId="4495" applyFont="1" applyBorder="1" applyAlignment="1">
      <alignment vertical="top" wrapText="1"/>
    </xf>
    <xf numFmtId="0" fontId="25" fillId="0" borderId="4" xfId="4495" applyFont="1" applyBorder="1" applyAlignment="1">
      <alignment vertical="top" wrapText="1"/>
    </xf>
    <xf numFmtId="164" fontId="120" fillId="0" borderId="4" xfId="4495" applyNumberFormat="1" applyBorder="1" applyAlignment="1">
      <alignment horizontal="right"/>
    </xf>
    <xf numFmtId="0" fontId="25" fillId="0" borderId="4" xfId="4495" applyFont="1" applyBorder="1"/>
    <xf numFmtId="0" fontId="24" fillId="0" borderId="5" xfId="4495" applyFont="1" applyBorder="1" applyAlignment="1">
      <alignment horizontal="right"/>
    </xf>
    <xf numFmtId="0" fontId="17" fillId="0" borderId="16" xfId="4495" applyFont="1" applyBorder="1"/>
    <xf numFmtId="0" fontId="17" fillId="0" borderId="16" xfId="4495" applyFont="1" applyBorder="1" applyAlignment="1">
      <alignment horizontal="left" vertical="top"/>
    </xf>
    <xf numFmtId="0" fontId="25" fillId="0" borderId="16" xfId="4495" applyFont="1" applyBorder="1" applyAlignment="1">
      <alignment horizontal="left" vertical="top" wrapText="1"/>
    </xf>
    <xf numFmtId="0" fontId="25" fillId="0" borderId="45" xfId="4495" applyFont="1" applyBorder="1" applyAlignment="1">
      <alignment horizontal="left" vertical="top" wrapText="1"/>
    </xf>
    <xf numFmtId="0" fontId="120" fillId="0" borderId="0" xfId="4495"/>
    <xf numFmtId="0" fontId="18" fillId="0" borderId="0" xfId="244" applyFill="1" applyBorder="1" applyAlignment="1" applyProtection="1">
      <alignment horizontal="left" vertical="top"/>
    </xf>
    <xf numFmtId="0" fontId="18" fillId="0" borderId="0" xfId="244" applyFill="1" applyBorder="1" applyAlignment="1" applyProtection="1">
      <alignment horizontal="left" vertical="top" wrapText="1"/>
    </xf>
    <xf numFmtId="0" fontId="25" fillId="0" borderId="0" xfId="4495" applyFont="1" applyAlignment="1">
      <alignment horizontal="left" vertical="top" wrapText="1"/>
    </xf>
    <xf numFmtId="0" fontId="25" fillId="0" borderId="0" xfId="4495" applyFont="1" applyAlignment="1">
      <alignment horizontal="right" vertical="top"/>
    </xf>
    <xf numFmtId="0" fontId="17" fillId="0" borderId="0" xfId="4495" applyFont="1" applyAlignment="1">
      <alignment vertical="center" wrapText="1"/>
    </xf>
    <xf numFmtId="0" fontId="122" fillId="0" borderId="53" xfId="4496" applyFont="1" applyBorder="1" applyAlignment="1">
      <alignment vertical="top" wrapText="1"/>
    </xf>
    <xf numFmtId="0" fontId="122" fillId="0" borderId="0" xfId="4496" applyFont="1" applyAlignment="1">
      <alignment vertical="top" wrapText="1"/>
    </xf>
    <xf numFmtId="10" fontId="122" fillId="0" borderId="0" xfId="4496" applyNumberFormat="1" applyFont="1" applyAlignment="1">
      <alignment vertical="top" wrapText="1"/>
    </xf>
    <xf numFmtId="0" fontId="122" fillId="0" borderId="54" xfId="4496" applyFont="1" applyBorder="1" applyAlignment="1">
      <alignment vertical="top" wrapText="1"/>
    </xf>
    <xf numFmtId="0" fontId="122" fillId="0" borderId="0" xfId="4496" applyFont="1" applyAlignment="1">
      <alignment vertical="top"/>
    </xf>
    <xf numFmtId="165" fontId="122" fillId="0" borderId="0" xfId="4496" applyNumberFormat="1" applyFont="1" applyAlignment="1">
      <alignment vertical="top" wrapText="1"/>
    </xf>
    <xf numFmtId="0" fontId="24" fillId="0" borderId="57" xfId="4495" applyFont="1" applyBorder="1"/>
    <xf numFmtId="0" fontId="24" fillId="0" borderId="58" xfId="4495" applyFont="1" applyBorder="1"/>
    <xf numFmtId="0" fontId="24" fillId="0" borderId="58" xfId="4495" applyFont="1" applyBorder="1" applyAlignment="1">
      <alignment horizontal="right"/>
    </xf>
    <xf numFmtId="0" fontId="24" fillId="0" borderId="59" xfId="4495" applyFont="1" applyBorder="1" applyAlignment="1">
      <alignment horizontal="right"/>
    </xf>
    <xf numFmtId="0" fontId="122" fillId="0" borderId="53" xfId="4496" applyFont="1" applyBorder="1" applyAlignment="1">
      <alignment horizontal="left" vertical="top" wrapText="1"/>
    </xf>
    <xf numFmtId="0" fontId="122" fillId="0" borderId="0" xfId="4496" applyFont="1" applyAlignment="1">
      <alignment horizontal="left" vertical="top"/>
    </xf>
    <xf numFmtId="0" fontId="27" fillId="0" borderId="57" xfId="4495" applyFont="1" applyBorder="1" applyAlignment="1">
      <alignment horizontal="center" vertical="center"/>
    </xf>
    <xf numFmtId="0" fontId="27" fillId="0" borderId="58" xfId="4495" applyFont="1" applyBorder="1" applyAlignment="1">
      <alignment horizontal="center" vertical="center"/>
    </xf>
    <xf numFmtId="0" fontId="27" fillId="0" borderId="59" xfId="4495" applyFont="1" applyBorder="1" applyAlignment="1">
      <alignment horizontal="center" vertical="center"/>
    </xf>
    <xf numFmtId="0" fontId="24" fillId="0" borderId="0" xfId="4495" applyFont="1" applyAlignment="1">
      <alignment horizontal="center"/>
    </xf>
    <xf numFmtId="0" fontId="24" fillId="0" borderId="8" xfId="4495" applyFont="1" applyBorder="1"/>
    <xf numFmtId="0" fontId="25" fillId="0" borderId="0" xfId="4495" applyFont="1" applyAlignment="1">
      <alignment horizontal="left"/>
    </xf>
    <xf numFmtId="0" fontId="24" fillId="0" borderId="0" xfId="4495" applyFont="1" applyAlignment="1">
      <alignment horizontal="center" vertical="top"/>
    </xf>
    <xf numFmtId="0" fontId="17" fillId="0" borderId="0" xfId="4495" applyFont="1" applyAlignment="1">
      <alignment horizontal="center"/>
    </xf>
    <xf numFmtId="0" fontId="33" fillId="0" borderId="0" xfId="4495" applyFont="1"/>
    <xf numFmtId="0" fontId="25" fillId="0" borderId="8" xfId="4495" applyFont="1" applyBorder="1"/>
    <xf numFmtId="0" fontId="53" fillId="0" borderId="8" xfId="4495" applyFont="1" applyBorder="1"/>
    <xf numFmtId="1" fontId="17" fillId="0" borderId="0" xfId="1192" applyNumberFormat="1"/>
    <xf numFmtId="0" fontId="17" fillId="0" borderId="3" xfId="4495" applyFont="1" applyBorder="1"/>
    <xf numFmtId="0" fontId="17" fillId="0" borderId="4" xfId="4495" applyFont="1" applyBorder="1"/>
    <xf numFmtId="0" fontId="17" fillId="0" borderId="0" xfId="1192" applyAlignment="1">
      <alignment wrapText="1"/>
    </xf>
    <xf numFmtId="0" fontId="25" fillId="0" borderId="0" xfId="4495" applyFont="1" applyAlignment="1">
      <alignment vertical="top" wrapText="1"/>
    </xf>
    <xf numFmtId="0" fontId="25" fillId="0" borderId="0" xfId="1192" applyFont="1"/>
    <xf numFmtId="0" fontId="17" fillId="0" borderId="0" xfId="4495" applyFont="1" applyAlignment="1">
      <alignment horizontal="left"/>
    </xf>
    <xf numFmtId="0" fontId="25" fillId="0" borderId="3" xfId="4495" applyFont="1" applyBorder="1"/>
    <xf numFmtId="0" fontId="17" fillId="0" borderId="4" xfId="4495" applyFont="1" applyBorder="1" applyAlignment="1">
      <alignment horizontal="right"/>
    </xf>
    <xf numFmtId="1" fontId="17" fillId="0" borderId="0" xfId="4495" applyNumberFormat="1" applyFont="1" applyAlignment="1">
      <alignment horizontal="center"/>
    </xf>
    <xf numFmtId="0" fontId="53" fillId="0" borderId="0" xfId="4495" applyFont="1"/>
    <xf numFmtId="0" fontId="17" fillId="0" borderId="0" xfId="4495" applyFont="1" applyAlignment="1">
      <alignment horizontal="right"/>
    </xf>
    <xf numFmtId="0" fontId="25" fillId="0" borderId="0" xfId="4495" applyFont="1" applyAlignment="1">
      <alignment vertical="top"/>
    </xf>
    <xf numFmtId="0" fontId="25" fillId="0" borderId="27" xfId="4495" applyFont="1" applyBorder="1"/>
    <xf numFmtId="0" fontId="24" fillId="0" borderId="0" xfId="4495" applyFont="1" applyAlignment="1">
      <alignment vertical="top"/>
    </xf>
    <xf numFmtId="0" fontId="35" fillId="0" borderId="0" xfId="4495" applyFont="1" applyAlignment="1">
      <alignment vertical="top" wrapText="1"/>
    </xf>
    <xf numFmtId="0" fontId="24" fillId="0" borderId="0" xfId="4495" applyFont="1" applyAlignment="1">
      <alignment horizontal="left" vertical="top" wrapText="1"/>
    </xf>
    <xf numFmtId="0" fontId="17" fillId="0" borderId="0" xfId="4495" applyFont="1" applyAlignment="1">
      <alignment horizontal="left" vertical="top"/>
    </xf>
    <xf numFmtId="0" fontId="35" fillId="0" borderId="0" xfId="4495" applyFont="1" applyAlignment="1">
      <alignment vertical="top"/>
    </xf>
    <xf numFmtId="0" fontId="17" fillId="0" borderId="10" xfId="4495" applyFont="1" applyBorder="1" applyAlignment="1">
      <alignment horizontal="center"/>
    </xf>
    <xf numFmtId="0" fontId="17" fillId="0" borderId="16" xfId="4495" applyFont="1" applyBorder="1" applyAlignment="1">
      <alignment horizontal="center"/>
    </xf>
    <xf numFmtId="0" fontId="33" fillId="0" borderId="16" xfId="4495" applyFont="1" applyBorder="1"/>
    <xf numFmtId="0" fontId="25" fillId="0" borderId="16" xfId="4495" applyFont="1" applyBorder="1"/>
    <xf numFmtId="0" fontId="17" fillId="0" borderId="0" xfId="4496" applyFont="1" applyAlignment="1">
      <alignment vertical="top" wrapText="1"/>
    </xf>
    <xf numFmtId="0" fontId="24" fillId="0" borderId="0" xfId="1192" applyFont="1" applyAlignment="1">
      <alignment horizontal="right"/>
    </xf>
    <xf numFmtId="0" fontId="17" fillId="0" borderId="0" xfId="4496" applyFont="1"/>
    <xf numFmtId="0" fontId="17" fillId="0" borderId="0" xfId="4496" applyFont="1" applyAlignment="1">
      <alignment horizontal="left"/>
    </xf>
    <xf numFmtId="0" fontId="17" fillId="0" borderId="0" xfId="4496" applyFont="1" applyAlignment="1">
      <alignment horizontal="right"/>
    </xf>
    <xf numFmtId="0" fontId="25" fillId="0" borderId="0" xfId="4496" applyFont="1" applyAlignment="1">
      <alignment vertical="top" wrapText="1"/>
    </xf>
    <xf numFmtId="0" fontId="17" fillId="0" borderId="4" xfId="4496" applyFont="1" applyBorder="1"/>
    <xf numFmtId="0" fontId="24" fillId="0" borderId="4" xfId="4496" applyFont="1" applyBorder="1" applyAlignment="1">
      <alignment horizontal="right"/>
    </xf>
    <xf numFmtId="0" fontId="25" fillId="0" borderId="27" xfId="4495" applyFont="1" applyBorder="1" applyAlignment="1">
      <alignment horizontal="left" vertical="top"/>
    </xf>
    <xf numFmtId="0" fontId="17" fillId="0" borderId="27" xfId="4495" applyFont="1" applyBorder="1" applyAlignment="1">
      <alignment horizontal="left" vertical="top"/>
    </xf>
    <xf numFmtId="0" fontId="24" fillId="0" borderId="27" xfId="4495" applyFont="1" applyBorder="1" applyAlignment="1">
      <alignment horizontal="right"/>
    </xf>
    <xf numFmtId="0" fontId="17" fillId="0" borderId="27" xfId="4495" applyFont="1" applyBorder="1" applyAlignment="1">
      <alignment horizontal="center"/>
    </xf>
    <xf numFmtId="0" fontId="17" fillId="0" borderId="46" xfId="4495" applyFont="1" applyBorder="1" applyAlignment="1">
      <alignment horizontal="center"/>
    </xf>
    <xf numFmtId="164" fontId="25" fillId="0" borderId="0" xfId="4495" applyNumberFormat="1" applyFont="1" applyAlignment="1">
      <alignment horizontal="left" vertical="top" wrapText="1"/>
    </xf>
    <xf numFmtId="0" fontId="28" fillId="0" borderId="0" xfId="4495" applyFont="1"/>
    <xf numFmtId="0" fontId="25" fillId="0" borderId="0" xfId="4495" applyFont="1" applyAlignment="1">
      <alignment horizontal="right"/>
    </xf>
    <xf numFmtId="0" fontId="17" fillId="0" borderId="27" xfId="543" applyBorder="1"/>
    <xf numFmtId="0" fontId="17" fillId="0" borderId="46" xfId="543" applyBorder="1"/>
    <xf numFmtId="0" fontId="24" fillId="0" borderId="0" xfId="4495" applyFont="1" applyAlignment="1">
      <alignment horizontal="left" vertical="top"/>
    </xf>
    <xf numFmtId="1" fontId="120" fillId="0" borderId="0" xfId="4495" applyNumberFormat="1"/>
    <xf numFmtId="0" fontId="17" fillId="0" borderId="0" xfId="4495" applyFont="1" applyAlignment="1">
      <alignment vertical="top" wrapText="1"/>
    </xf>
    <xf numFmtId="0" fontId="17" fillId="0" borderId="0" xfId="4495" applyFont="1" applyAlignment="1">
      <alignment horizontal="left" vertical="top" wrapText="1"/>
    </xf>
    <xf numFmtId="0" fontId="17" fillId="0" borderId="50" xfId="4495" applyFont="1" applyBorder="1" applyAlignment="1">
      <alignment vertical="top"/>
    </xf>
    <xf numFmtId="0" fontId="17" fillId="0" borderId="51" xfId="4495" applyFont="1" applyBorder="1" applyAlignment="1">
      <alignment vertical="top"/>
    </xf>
    <xf numFmtId="0" fontId="17" fillId="0" borderId="52" xfId="4495" applyFont="1" applyBorder="1" applyAlignment="1">
      <alignment vertical="top"/>
    </xf>
    <xf numFmtId="1" fontId="25" fillId="0" borderId="8" xfId="4495" applyNumberFormat="1" applyFont="1" applyBorder="1"/>
    <xf numFmtId="0" fontId="17" fillId="0" borderId="0" xfId="543" applyAlignment="1">
      <alignment vertical="top"/>
    </xf>
    <xf numFmtId="0" fontId="25" fillId="0" borderId="51" xfId="4495" applyFont="1" applyBorder="1" applyAlignment="1">
      <alignment horizontal="left" vertical="top"/>
    </xf>
    <xf numFmtId="0" fontId="25" fillId="0" borderId="52" xfId="4495" applyFont="1" applyBorder="1" applyAlignment="1">
      <alignment horizontal="left" vertical="top"/>
    </xf>
    <xf numFmtId="0" fontId="120" fillId="0" borderId="0" xfId="4495" applyAlignment="1" applyProtection="1">
      <alignment horizontal="center"/>
      <protection locked="0"/>
    </xf>
    <xf numFmtId="0" fontId="17" fillId="0" borderId="53" xfId="4495" applyFont="1" applyBorder="1" applyAlignment="1">
      <alignment vertical="top"/>
    </xf>
    <xf numFmtId="0" fontId="17" fillId="0" borderId="54" xfId="4495" applyFont="1" applyBorder="1" applyAlignment="1">
      <alignment vertical="top" wrapText="1"/>
    </xf>
    <xf numFmtId="0" fontId="61" fillId="0" borderId="53" xfId="4495" applyFont="1" applyBorder="1"/>
    <xf numFmtId="0" fontId="25" fillId="0" borderId="54" xfId="4495" applyFont="1" applyBorder="1" applyAlignment="1">
      <alignment horizontal="left" vertical="top"/>
    </xf>
    <xf numFmtId="0" fontId="17" fillId="0" borderId="53" xfId="4495" applyFont="1" applyBorder="1" applyAlignment="1">
      <alignment vertical="center" wrapText="1"/>
    </xf>
    <xf numFmtId="0" fontId="61" fillId="0" borderId="57" xfId="4495" applyFont="1" applyBorder="1"/>
    <xf numFmtId="0" fontId="25" fillId="0" borderId="58" xfId="4495" applyFont="1" applyBorder="1" applyAlignment="1">
      <alignment horizontal="left" vertical="top"/>
    </xf>
    <xf numFmtId="0" fontId="25" fillId="0" borderId="12" xfId="4495" applyFont="1" applyBorder="1"/>
    <xf numFmtId="0" fontId="17" fillId="0" borderId="57" xfId="4495" applyFont="1" applyBorder="1" applyAlignment="1">
      <alignment vertical="center"/>
    </xf>
    <xf numFmtId="0" fontId="17" fillId="0" borderId="58" xfId="4495" applyFont="1" applyBorder="1" applyAlignment="1">
      <alignment vertical="top"/>
    </xf>
    <xf numFmtId="0" fontId="17" fillId="0" borderId="59" xfId="4495" applyFont="1" applyBorder="1" applyAlignment="1">
      <alignment vertical="top"/>
    </xf>
    <xf numFmtId="0" fontId="17" fillId="0" borderId="0" xfId="4495" applyFont="1" applyAlignment="1">
      <alignment vertical="top"/>
    </xf>
    <xf numFmtId="0" fontId="25" fillId="0" borderId="4" xfId="4495" applyFont="1" applyBorder="1" applyAlignment="1">
      <alignment horizontal="left" vertical="top"/>
    </xf>
    <xf numFmtId="0" fontId="17" fillId="0" borderId="4" xfId="4495" applyFont="1" applyBorder="1" applyAlignment="1">
      <alignment horizontal="left" vertical="top"/>
    </xf>
    <xf numFmtId="0" fontId="17" fillId="0" borderId="2" xfId="4495" applyFont="1" applyBorder="1"/>
    <xf numFmtId="0" fontId="25" fillId="0" borderId="2" xfId="4495" applyFont="1" applyBorder="1"/>
    <xf numFmtId="0" fontId="17" fillId="0" borderId="2" xfId="4495" applyFont="1" applyBorder="1" applyAlignment="1">
      <alignment horizontal="center"/>
    </xf>
    <xf numFmtId="0" fontId="25" fillId="0" borderId="7" xfId="4495" applyFont="1" applyBorder="1"/>
    <xf numFmtId="0" fontId="33" fillId="0" borderId="0" xfId="4495" applyFont="1" applyAlignment="1">
      <alignment horizontal="right"/>
    </xf>
    <xf numFmtId="0" fontId="126" fillId="0" borderId="0" xfId="4495" applyFont="1" applyAlignment="1">
      <alignment horizontal="left" vertical="top" wrapText="1"/>
    </xf>
    <xf numFmtId="0" fontId="33" fillId="0" borderId="0" xfId="4495" applyFont="1" applyAlignment="1">
      <alignment horizontal="left" vertical="top"/>
    </xf>
    <xf numFmtId="0" fontId="25" fillId="0" borderId="0" xfId="4495" quotePrefix="1" applyFont="1" applyAlignment="1">
      <alignment horizontal="right"/>
    </xf>
    <xf numFmtId="0" fontId="17" fillId="0" borderId="0" xfId="4497"/>
    <xf numFmtId="0" fontId="25" fillId="0" borderId="0" xfId="4495" applyFont="1" applyAlignment="1">
      <alignment horizontal="left" vertical="top" wrapText="1" shrinkToFit="1"/>
    </xf>
    <xf numFmtId="0" fontId="120" fillId="0" borderId="0" xfId="4495" applyAlignment="1">
      <alignment vertical="top" wrapText="1"/>
    </xf>
    <xf numFmtId="0" fontId="25" fillId="0" borderId="4" xfId="4495" applyFont="1" applyBorder="1" applyAlignment="1">
      <alignment horizontal="left" vertical="top" wrapText="1" shrinkToFit="1"/>
    </xf>
    <xf numFmtId="0" fontId="33" fillId="0" borderId="8" xfId="4495" applyFont="1" applyBorder="1"/>
    <xf numFmtId="0" fontId="25" fillId="0" borderId="0" xfId="4495" applyFont="1" applyAlignment="1">
      <alignment horizontal="center"/>
    </xf>
    <xf numFmtId="0" fontId="25" fillId="0" borderId="0" xfId="4495" quotePrefix="1" applyFont="1"/>
    <xf numFmtId="0" fontId="25" fillId="0" borderId="0" xfId="4495" applyFont="1" applyAlignment="1">
      <alignment horizontal="left" vertical="top" shrinkToFit="1"/>
    </xf>
    <xf numFmtId="0" fontId="47" fillId="0" borderId="0" xfId="4495" applyFont="1"/>
    <xf numFmtId="0" fontId="25" fillId="0" borderId="3" xfId="4495" applyFont="1" applyBorder="1" applyAlignment="1">
      <alignment horizontal="center"/>
    </xf>
    <xf numFmtId="0" fontId="120" fillId="0" borderId="8" xfId="4495" applyBorder="1"/>
    <xf numFmtId="0" fontId="24" fillId="0" borderId="8" xfId="4495" applyFont="1" applyBorder="1" applyAlignment="1">
      <alignment vertical="top"/>
    </xf>
    <xf numFmtId="0" fontId="120" fillId="0" borderId="0" xfId="4495" applyAlignment="1">
      <alignment vertical="top"/>
    </xf>
    <xf numFmtId="0" fontId="24" fillId="0" borderId="4" xfId="4495" applyFont="1" applyBorder="1" applyAlignment="1">
      <alignment horizontal="center" vertical="top"/>
    </xf>
    <xf numFmtId="0" fontId="126" fillId="0" borderId="0" xfId="4495" applyFont="1" applyAlignment="1">
      <alignment horizontal="left" vertical="top"/>
    </xf>
    <xf numFmtId="0" fontId="126" fillId="0" borderId="4" xfId="4495" applyFont="1" applyBorder="1" applyAlignment="1">
      <alignment horizontal="left" vertical="top"/>
    </xf>
    <xf numFmtId="168" fontId="17" fillId="0" borderId="0" xfId="4497" applyNumberFormat="1"/>
    <xf numFmtId="1" fontId="25" fillId="0" borderId="0" xfId="4495" applyNumberFormat="1" applyFont="1" applyAlignment="1">
      <alignment horizontal="center" vertical="top"/>
    </xf>
    <xf numFmtId="0" fontId="130" fillId="0" borderId="0" xfId="4495" applyFont="1" applyAlignment="1">
      <alignment vertical="top" wrapText="1"/>
    </xf>
    <xf numFmtId="0" fontId="130" fillId="0" borderId="0" xfId="4495" applyFont="1" applyAlignment="1">
      <alignment horizontal="left" vertical="top" wrapText="1"/>
    </xf>
    <xf numFmtId="0" fontId="25" fillId="0" borderId="6" xfId="4495" applyFont="1" applyBorder="1"/>
    <xf numFmtId="1" fontId="25" fillId="0" borderId="8" xfId="4495" applyNumberFormat="1" applyFont="1" applyBorder="1" applyAlignment="1">
      <alignment horizontal="center" vertical="top"/>
    </xf>
    <xf numFmtId="0" fontId="120" fillId="0" borderId="12" xfId="4495" applyBorder="1"/>
    <xf numFmtId="0" fontId="25" fillId="0" borderId="9" xfId="4495" applyFont="1" applyBorder="1"/>
    <xf numFmtId="0" fontId="120" fillId="0" borderId="10" xfId="4495" applyBorder="1"/>
    <xf numFmtId="0" fontId="33" fillId="0" borderId="3" xfId="4495" applyFont="1" applyBorder="1"/>
    <xf numFmtId="0" fontId="24" fillId="0" borderId="4" xfId="4495" applyFont="1" applyBorder="1"/>
    <xf numFmtId="0" fontId="120" fillId="0" borderId="12" xfId="4495" applyBorder="1" applyAlignment="1">
      <alignment vertical="top"/>
    </xf>
    <xf numFmtId="0" fontId="33" fillId="0" borderId="1" xfId="4495" applyFont="1" applyBorder="1"/>
    <xf numFmtId="0" fontId="130" fillId="0" borderId="2" xfId="4495" applyFont="1" applyBorder="1" applyAlignment="1">
      <alignment horizontal="left" wrapText="1"/>
    </xf>
    <xf numFmtId="0" fontId="130" fillId="0" borderId="2" xfId="4495" applyFont="1" applyBorder="1" applyAlignment="1">
      <alignment horizontal="left"/>
    </xf>
    <xf numFmtId="0" fontId="130" fillId="0" borderId="7" xfId="4495" applyFont="1" applyBorder="1" applyAlignment="1">
      <alignment horizontal="left" wrapText="1"/>
    </xf>
    <xf numFmtId="0" fontId="130" fillId="0" borderId="0" xfId="4495" applyFont="1" applyAlignment="1">
      <alignment horizontal="left" wrapText="1"/>
    </xf>
    <xf numFmtId="0" fontId="33" fillId="0" borderId="9" xfId="4495" applyFont="1" applyBorder="1"/>
    <xf numFmtId="0" fontId="25" fillId="0" borderId="10" xfId="4495" applyFont="1" applyBorder="1"/>
    <xf numFmtId="0" fontId="130" fillId="0" borderId="0" xfId="4495" applyFont="1" applyAlignment="1">
      <alignment wrapText="1"/>
    </xf>
    <xf numFmtId="0" fontId="33" fillId="0" borderId="9" xfId="4495" applyFont="1" applyBorder="1" applyAlignment="1">
      <alignment horizontal="center"/>
    </xf>
    <xf numFmtId="0" fontId="24" fillId="0" borderId="10" xfId="4495" applyFont="1" applyBorder="1"/>
    <xf numFmtId="0" fontId="35" fillId="0" borderId="0" xfId="4495" applyFont="1"/>
    <xf numFmtId="0" fontId="25" fillId="0" borderId="50" xfId="4495" applyFont="1" applyBorder="1"/>
    <xf numFmtId="0" fontId="25" fillId="0" borderId="51" xfId="4495" applyFont="1" applyBorder="1"/>
    <xf numFmtId="1" fontId="25" fillId="0" borderId="51" xfId="4495" quotePrefix="1" applyNumberFormat="1" applyFont="1" applyBorder="1" applyAlignment="1">
      <alignment horizontal="center" vertical="top"/>
    </xf>
    <xf numFmtId="0" fontId="24" fillId="0" borderId="51" xfId="4495" applyFont="1" applyBorder="1"/>
    <xf numFmtId="0" fontId="24" fillId="0" borderId="52" xfId="4495" applyFont="1" applyBorder="1" applyAlignment="1">
      <alignment horizontal="center"/>
    </xf>
    <xf numFmtId="0" fontId="17" fillId="0" borderId="53" xfId="4495" applyFont="1" applyBorder="1"/>
    <xf numFmtId="1" fontId="25" fillId="0" borderId="0" xfId="4495" quotePrefix="1" applyNumberFormat="1" applyFont="1" applyAlignment="1">
      <alignment horizontal="center" vertical="top"/>
    </xf>
    <xf numFmtId="0" fontId="24" fillId="0" borderId="54" xfId="4495" applyFont="1" applyBorder="1" applyAlignment="1">
      <alignment horizontal="center"/>
    </xf>
    <xf numFmtId="0" fontId="33" fillId="0" borderId="0" xfId="4495" applyFont="1" applyAlignment="1">
      <alignment vertical="top"/>
    </xf>
    <xf numFmtId="0" fontId="25" fillId="0" borderId="61" xfId="4495" applyFont="1" applyBorder="1"/>
    <xf numFmtId="0" fontId="120" fillId="0" borderId="58" xfId="4495" applyBorder="1" applyAlignment="1">
      <alignment horizontal="center"/>
    </xf>
    <xf numFmtId="1" fontId="25" fillId="0" borderId="58" xfId="4495" quotePrefix="1" applyNumberFormat="1" applyFont="1" applyBorder="1" applyAlignment="1">
      <alignment horizontal="center" vertical="top"/>
    </xf>
    <xf numFmtId="0" fontId="33" fillId="0" borderId="58" xfId="4495" applyFont="1" applyBorder="1" applyAlignment="1">
      <alignment vertical="top"/>
    </xf>
    <xf numFmtId="0" fontId="25" fillId="0" borderId="58" xfId="4495" applyFont="1" applyBorder="1" applyAlignment="1">
      <alignment vertical="top" wrapText="1"/>
    </xf>
    <xf numFmtId="0" fontId="25" fillId="0" borderId="58" xfId="4495" applyFont="1" applyBorder="1"/>
    <xf numFmtId="0" fontId="24" fillId="0" borderId="58" xfId="4495" applyFont="1" applyBorder="1" applyAlignment="1">
      <alignment horizontal="center"/>
    </xf>
    <xf numFmtId="0" fontId="120" fillId="0" borderId="61" xfId="4495" applyBorder="1"/>
    <xf numFmtId="0" fontId="120" fillId="0" borderId="0" xfId="4495" applyAlignment="1">
      <alignment horizontal="center"/>
    </xf>
    <xf numFmtId="0" fontId="17" fillId="0" borderId="53" xfId="543" applyBorder="1"/>
    <xf numFmtId="0" fontId="25" fillId="0" borderId="54" xfId="4495" applyFont="1" applyBorder="1"/>
    <xf numFmtId="0" fontId="17" fillId="0" borderId="58" xfId="543" applyBorder="1"/>
    <xf numFmtId="1" fontId="25" fillId="0" borderId="58" xfId="4495" applyNumberFormat="1" applyFont="1" applyBorder="1" applyAlignment="1">
      <alignment horizontal="center" vertical="top"/>
    </xf>
    <xf numFmtId="0" fontId="33" fillId="0" borderId="58" xfId="4495" applyFont="1" applyBorder="1" applyAlignment="1">
      <alignment vertical="center"/>
    </xf>
    <xf numFmtId="0" fontId="120" fillId="0" borderId="58" xfId="4495" applyBorder="1" applyAlignment="1">
      <alignment vertical="top" wrapText="1"/>
    </xf>
    <xf numFmtId="0" fontId="17" fillId="0" borderId="58" xfId="4495" applyFont="1" applyBorder="1"/>
    <xf numFmtId="0" fontId="33" fillId="0" borderId="0" xfId="4495" applyFont="1" applyAlignment="1">
      <alignment vertical="center"/>
    </xf>
    <xf numFmtId="0" fontId="25" fillId="0" borderId="53" xfId="4495" applyFont="1" applyBorder="1"/>
    <xf numFmtId="0" fontId="17" fillId="0" borderId="57" xfId="543" applyBorder="1"/>
    <xf numFmtId="0" fontId="25" fillId="0" borderId="58" xfId="4495" applyFont="1" applyBorder="1" applyAlignment="1">
      <alignment vertical="top"/>
    </xf>
    <xf numFmtId="0" fontId="25" fillId="0" borderId="59" xfId="4495" applyFont="1" applyBorder="1"/>
    <xf numFmtId="0" fontId="25" fillId="0" borderId="57" xfId="4495" applyFont="1" applyBorder="1"/>
    <xf numFmtId="0" fontId="17" fillId="0" borderId="51" xfId="4495" applyFont="1" applyBorder="1"/>
    <xf numFmtId="0" fontId="25" fillId="0" borderId="52" xfId="4495" applyFont="1" applyBorder="1"/>
    <xf numFmtId="0" fontId="17" fillId="0" borderId="50" xfId="543" applyBorder="1"/>
    <xf numFmtId="0" fontId="17" fillId="0" borderId="51" xfId="543" applyBorder="1"/>
    <xf numFmtId="0" fontId="17" fillId="0" borderId="52" xfId="543" applyBorder="1"/>
    <xf numFmtId="0" fontId="25" fillId="0" borderId="0" xfId="4495" applyFont="1" applyAlignment="1">
      <alignment wrapText="1"/>
    </xf>
    <xf numFmtId="0" fontId="24" fillId="0" borderId="54" xfId="4495" applyFont="1" applyBorder="1" applyAlignment="1">
      <alignment horizontal="center" vertical="top"/>
    </xf>
    <xf numFmtId="0" fontId="120" fillId="0" borderId="53" xfId="4495" applyBorder="1" applyAlignment="1">
      <alignment horizontal="center"/>
    </xf>
    <xf numFmtId="2" fontId="25" fillId="0" borderId="0" xfId="4495" applyNumberFormat="1" applyFont="1" applyAlignment="1">
      <alignment horizontal="right"/>
    </xf>
    <xf numFmtId="2" fontId="25" fillId="0" borderId="8" xfId="4495" applyNumberFormat="1" applyFont="1" applyBorder="1" applyAlignment="1">
      <alignment horizontal="left"/>
    </xf>
    <xf numFmtId="0" fontId="25" fillId="0" borderId="8" xfId="4495" applyFont="1" applyBorder="1" applyAlignment="1">
      <alignment horizontal="right"/>
    </xf>
    <xf numFmtId="0" fontId="129" fillId="0" borderId="0" xfId="4495" applyFont="1"/>
    <xf numFmtId="0" fontId="120" fillId="0" borderId="57" xfId="4495" applyBorder="1" applyAlignment="1">
      <alignment horizontal="center"/>
    </xf>
    <xf numFmtId="0" fontId="24" fillId="0" borderId="59" xfId="4495" applyFont="1" applyBorder="1" applyAlignment="1">
      <alignment horizontal="center"/>
    </xf>
    <xf numFmtId="9" fontId="25" fillId="0" borderId="0" xfId="4495" applyNumberFormat="1" applyFont="1" applyAlignment="1">
      <alignment horizontal="left"/>
    </xf>
    <xf numFmtId="0" fontId="17" fillId="0" borderId="17" xfId="543" applyBorder="1"/>
    <xf numFmtId="0" fontId="17" fillId="0" borderId="16" xfId="543" applyBorder="1"/>
    <xf numFmtId="0" fontId="17" fillId="0" borderId="51" xfId="4495" quotePrefix="1" applyFont="1" applyBorder="1" applyAlignment="1">
      <alignment horizontal="center" vertical="top"/>
    </xf>
    <xf numFmtId="0" fontId="25" fillId="0" borderId="53" xfId="4495" applyFont="1" applyBorder="1" applyAlignment="1">
      <alignment horizontal="left" vertical="top"/>
    </xf>
    <xf numFmtId="0" fontId="25" fillId="0" borderId="0" xfId="4495" applyFont="1" applyAlignment="1">
      <alignment horizontal="center" vertical="top"/>
    </xf>
    <xf numFmtId="0" fontId="25" fillId="0" borderId="57" xfId="4495" applyFont="1" applyBorder="1" applyAlignment="1">
      <alignment horizontal="left" vertical="top"/>
    </xf>
    <xf numFmtId="0" fontId="25" fillId="0" borderId="58" xfId="4495" applyFont="1" applyBorder="1" applyAlignment="1">
      <alignment horizontal="center" vertical="top"/>
    </xf>
    <xf numFmtId="0" fontId="120" fillId="0" borderId="58" xfId="4495" applyBorder="1"/>
    <xf numFmtId="0" fontId="24" fillId="0" borderId="58" xfId="4495" applyFont="1" applyBorder="1" applyAlignment="1">
      <alignment vertical="top"/>
    </xf>
    <xf numFmtId="0" fontId="24" fillId="0" borderId="58" xfId="4495" applyFont="1" applyBorder="1" applyAlignment="1">
      <alignment horizontal="left" vertical="top"/>
    </xf>
    <xf numFmtId="0" fontId="24" fillId="0" borderId="51" xfId="4495" applyFont="1" applyBorder="1" applyAlignment="1">
      <alignment horizontal="left" vertical="top"/>
    </xf>
    <xf numFmtId="0" fontId="24" fillId="0" borderId="53" xfId="4495" applyFont="1" applyBorder="1" applyAlignment="1">
      <alignment horizontal="left" vertical="top"/>
    </xf>
    <xf numFmtId="0" fontId="53" fillId="0" borderId="0" xfId="4495" applyFont="1" applyAlignment="1">
      <alignment horizontal="left" vertical="top"/>
    </xf>
    <xf numFmtId="0" fontId="25" fillId="0" borderId="0" xfId="4495" quotePrefix="1" applyFont="1" applyAlignment="1">
      <alignment horizontal="center" vertical="top"/>
    </xf>
    <xf numFmtId="0" fontId="54" fillId="0" borderId="0" xfId="4495" applyFont="1" applyAlignment="1">
      <alignment horizontal="center"/>
    </xf>
    <xf numFmtId="0" fontId="54" fillId="0" borderId="0" xfId="4495" applyFont="1" applyAlignment="1">
      <alignment vertical="top"/>
    </xf>
    <xf numFmtId="0" fontId="107" fillId="0" borderId="0" xfId="4495" applyFont="1"/>
    <xf numFmtId="0" fontId="53" fillId="0" borderId="0" xfId="4495" applyFont="1" applyAlignment="1">
      <alignment vertical="top"/>
    </xf>
    <xf numFmtId="0" fontId="33" fillId="0" borderId="53" xfId="4495" applyFont="1" applyBorder="1"/>
    <xf numFmtId="2" fontId="25" fillId="0" borderId="8" xfId="4495" applyNumberFormat="1" applyFont="1" applyBorder="1" applyAlignment="1">
      <alignment horizontal="right"/>
    </xf>
    <xf numFmtId="0" fontId="24" fillId="0" borderId="50" xfId="4495" applyFont="1" applyBorder="1" applyAlignment="1">
      <alignment horizontal="left" vertical="top"/>
    </xf>
    <xf numFmtId="0" fontId="53" fillId="0" borderId="51" xfId="4495" applyFont="1" applyBorder="1" applyAlignment="1">
      <alignment horizontal="left" vertical="top"/>
    </xf>
    <xf numFmtId="0" fontId="120" fillId="0" borderId="53" xfId="4495" applyBorder="1"/>
    <xf numFmtId="0" fontId="107" fillId="0" borderId="0" xfId="4495" applyFont="1" applyAlignment="1">
      <alignment horizontal="left" vertical="top"/>
    </xf>
    <xf numFmtId="1" fontId="24" fillId="0" borderId="58" xfId="4495" applyNumberFormat="1" applyFont="1" applyBorder="1" applyAlignment="1">
      <alignment vertical="top"/>
    </xf>
    <xf numFmtId="172" fontId="24" fillId="0" borderId="8" xfId="543" applyNumberFormat="1" applyFont="1" applyBorder="1"/>
    <xf numFmtId="172" fontId="24" fillId="0" borderId="0" xfId="543" applyNumberFormat="1" applyFont="1"/>
    <xf numFmtId="0" fontId="33" fillId="0" borderId="0" xfId="4495" applyFont="1" applyAlignment="1">
      <alignment wrapText="1"/>
    </xf>
    <xf numFmtId="0" fontId="33" fillId="0" borderId="0" xfId="4495" applyFont="1" applyAlignment="1">
      <alignment horizontal="center"/>
    </xf>
    <xf numFmtId="0" fontId="33" fillId="0" borderId="0" xfId="4495" applyFont="1" applyAlignment="1">
      <alignment vertical="center" wrapText="1"/>
    </xf>
    <xf numFmtId="180" fontId="25" fillId="0" borderId="0" xfId="4495" applyNumberFormat="1" applyFont="1" applyAlignment="1">
      <alignment horizontal="center"/>
    </xf>
    <xf numFmtId="1" fontId="25" fillId="0" borderId="0" xfId="4495" applyNumberFormat="1" applyFont="1" applyAlignment="1">
      <alignment horizontal="center"/>
    </xf>
    <xf numFmtId="0" fontId="24" fillId="0" borderId="51" xfId="4495" applyFont="1" applyBorder="1" applyAlignment="1">
      <alignment horizontal="center"/>
    </xf>
    <xf numFmtId="0" fontId="24" fillId="0" borderId="51" xfId="4495" applyFont="1" applyBorder="1" applyAlignment="1">
      <alignment vertical="top"/>
    </xf>
    <xf numFmtId="0" fontId="24" fillId="0" borderId="53" xfId="4495" applyFont="1" applyBorder="1"/>
    <xf numFmtId="0" fontId="17" fillId="0" borderId="54" xfId="543" applyBorder="1"/>
    <xf numFmtId="49" fontId="25" fillId="0" borderId="0" xfId="4495" applyNumberFormat="1" applyFont="1" applyAlignment="1">
      <alignment horizontal="left" vertical="center" wrapText="1"/>
    </xf>
    <xf numFmtId="0" fontId="17" fillId="0" borderId="57" xfId="4495" applyFont="1" applyBorder="1"/>
    <xf numFmtId="1" fontId="17" fillId="0" borderId="0" xfId="4495" applyNumberFormat="1" applyFont="1" applyAlignment="1">
      <alignment vertical="center"/>
    </xf>
    <xf numFmtId="0" fontId="35" fillId="0" borderId="50" xfId="4495" applyFont="1" applyBorder="1"/>
    <xf numFmtId="0" fontId="25" fillId="0" borderId="51" xfId="4495" applyFont="1" applyBorder="1" applyAlignment="1">
      <alignment horizontal="center" vertical="top"/>
    </xf>
    <xf numFmtId="0" fontId="25" fillId="0" borderId="51" xfId="4495" applyFont="1" applyBorder="1" applyAlignment="1">
      <alignment vertical="top" wrapText="1"/>
    </xf>
    <xf numFmtId="0" fontId="25" fillId="0" borderId="51" xfId="4495" applyFont="1" applyBorder="1" applyAlignment="1">
      <alignment horizontal="left" vertical="top" wrapText="1"/>
    </xf>
    <xf numFmtId="0" fontId="17" fillId="0" borderId="0" xfId="4495" quotePrefix="1" applyFont="1" applyAlignment="1">
      <alignment horizontal="center" vertical="top"/>
    </xf>
    <xf numFmtId="1" fontId="25" fillId="0" borderId="0" xfId="4495" quotePrefix="1" applyNumberFormat="1" applyFont="1" applyAlignment="1">
      <alignment wrapText="1"/>
    </xf>
    <xf numFmtId="0" fontId="25" fillId="0" borderId="6" xfId="4495" applyFont="1" applyBorder="1" applyAlignment="1">
      <alignment horizontal="right"/>
    </xf>
    <xf numFmtId="0" fontId="122" fillId="0" borderId="0" xfId="4496" applyFont="1" applyAlignment="1">
      <alignment wrapText="1"/>
    </xf>
    <xf numFmtId="0" fontId="17" fillId="0" borderId="0" xfId="4496" applyFont="1" applyAlignment="1">
      <alignment wrapText="1"/>
    </xf>
    <xf numFmtId="0" fontId="33" fillId="0" borderId="51" xfId="4495" applyFont="1" applyBorder="1" applyAlignment="1">
      <alignment vertical="top"/>
    </xf>
    <xf numFmtId="0" fontId="17" fillId="0" borderId="51" xfId="4496" applyFont="1" applyBorder="1" applyAlignment="1">
      <alignment wrapText="1"/>
    </xf>
    <xf numFmtId="0" fontId="24" fillId="0" borderId="51" xfId="4495" applyFont="1" applyBorder="1" applyAlignment="1">
      <alignment horizontal="right"/>
    </xf>
    <xf numFmtId="0" fontId="17" fillId="0" borderId="52" xfId="4495" applyFont="1" applyBorder="1" applyAlignment="1">
      <alignment horizontal="center"/>
    </xf>
    <xf numFmtId="0" fontId="17" fillId="0" borderId="53" xfId="4495" applyFont="1" applyBorder="1" applyAlignment="1">
      <alignment horizontal="left" vertical="top"/>
    </xf>
    <xf numFmtId="0" fontId="17" fillId="0" borderId="54" xfId="4495" applyFont="1" applyBorder="1" applyAlignment="1">
      <alignment horizontal="left" vertical="top"/>
    </xf>
    <xf numFmtId="0" fontId="17" fillId="0" borderId="54" xfId="4495" applyFont="1" applyBorder="1" applyAlignment="1">
      <alignment horizontal="center"/>
    </xf>
    <xf numFmtId="0" fontId="17" fillId="0" borderId="59" xfId="4495" applyFont="1" applyBorder="1" applyAlignment="1">
      <alignment horizontal="center"/>
    </xf>
    <xf numFmtId="9" fontId="17" fillId="0" borderId="0" xfId="4496" applyNumberFormat="1" applyFont="1" applyAlignment="1">
      <alignment horizontal="center"/>
    </xf>
    <xf numFmtId="1" fontId="17" fillId="0" borderId="0" xfId="543" applyNumberFormat="1"/>
    <xf numFmtId="0" fontId="25" fillId="0" borderId="1" xfId="4495" applyFont="1" applyBorder="1"/>
    <xf numFmtId="0" fontId="24" fillId="0" borderId="0" xfId="4495" applyFont="1" applyAlignment="1">
      <alignment horizontal="center" wrapText="1"/>
    </xf>
    <xf numFmtId="0" fontId="24" fillId="0" borderId="9" xfId="4495" applyFont="1" applyBorder="1" applyAlignment="1">
      <alignment horizontal="left"/>
    </xf>
    <xf numFmtId="0" fontId="24" fillId="0" borderId="3" xfId="4495" applyFont="1" applyBorder="1" applyAlignment="1">
      <alignment horizontal="left"/>
    </xf>
    <xf numFmtId="0" fontId="24" fillId="0" borderId="4" xfId="4495" applyFont="1" applyBorder="1" applyAlignment="1">
      <alignment horizontal="left"/>
    </xf>
    <xf numFmtId="0" fontId="17" fillId="0" borderId="2" xfId="4495" applyFont="1" applyBorder="1" applyAlignment="1">
      <alignment horizontal="left"/>
    </xf>
    <xf numFmtId="0" fontId="24" fillId="0" borderId="2" xfId="4495" applyFont="1" applyBorder="1" applyAlignment="1">
      <alignment horizontal="left"/>
    </xf>
    <xf numFmtId="0" fontId="24" fillId="0" borderId="5" xfId="4495" applyFont="1" applyBorder="1" applyAlignment="1">
      <alignment horizontal="left"/>
    </xf>
    <xf numFmtId="180" fontId="64" fillId="0" borderId="0" xfId="4495" applyNumberFormat="1" applyFont="1" applyAlignment="1">
      <alignment horizontal="center" vertical="center"/>
    </xf>
    <xf numFmtId="0" fontId="17" fillId="0" borderId="12" xfId="4495" applyFont="1" applyBorder="1" applyAlignment="1">
      <alignment vertical="top"/>
    </xf>
    <xf numFmtId="0" fontId="47" fillId="0" borderId="0" xfId="4495" applyFont="1" applyAlignment="1">
      <alignment vertical="top" wrapText="1"/>
    </xf>
    <xf numFmtId="0" fontId="17" fillId="0" borderId="51" xfId="4495" applyFont="1" applyBorder="1" applyAlignment="1">
      <alignment horizontal="left" vertical="top" wrapText="1"/>
    </xf>
    <xf numFmtId="0" fontId="17" fillId="0" borderId="51" xfId="4495" applyFont="1" applyBorder="1" applyAlignment="1">
      <alignment horizontal="right"/>
    </xf>
    <xf numFmtId="0" fontId="17" fillId="0" borderId="52" xfId="4495" applyFont="1" applyBorder="1" applyAlignment="1">
      <alignment horizontal="right"/>
    </xf>
    <xf numFmtId="0" fontId="17" fillId="0" borderId="54" xfId="4495" applyFont="1" applyBorder="1" applyAlignment="1">
      <alignment horizontal="right"/>
    </xf>
    <xf numFmtId="0" fontId="17" fillId="0" borderId="58" xfId="4495" applyFont="1" applyBorder="1" applyAlignment="1">
      <alignment horizontal="left" vertical="top" wrapText="1"/>
    </xf>
    <xf numFmtId="0" fontId="17" fillId="0" borderId="58" xfId="4495" applyFont="1" applyBorder="1" applyAlignment="1">
      <alignment horizontal="right"/>
    </xf>
    <xf numFmtId="0" fontId="17" fillId="0" borderId="59" xfId="4495" applyFont="1" applyBorder="1" applyAlignment="1">
      <alignment horizontal="right"/>
    </xf>
    <xf numFmtId="0" fontId="47" fillId="0" borderId="0" xfId="4495" applyFont="1" applyAlignment="1">
      <alignment horizontal="left" vertical="top" wrapText="1"/>
    </xf>
    <xf numFmtId="0" fontId="17" fillId="0" borderId="0" xfId="1192" applyAlignment="1">
      <alignment horizontal="left" vertical="top"/>
    </xf>
    <xf numFmtId="0" fontId="35" fillId="0" borderId="0" xfId="1192" applyFont="1" applyAlignment="1">
      <alignment horizontal="left" vertical="top"/>
    </xf>
    <xf numFmtId="0" fontId="17" fillId="0" borderId="0" xfId="1192" applyAlignment="1">
      <alignment vertical="top"/>
    </xf>
    <xf numFmtId="168" fontId="17" fillId="0" borderId="0" xfId="1192" applyNumberFormat="1"/>
    <xf numFmtId="165" fontId="17" fillId="0" borderId="0" xfId="1192" applyNumberFormat="1"/>
    <xf numFmtId="165" fontId="17" fillId="0" borderId="0" xfId="1192" applyNumberFormat="1" applyAlignment="1">
      <alignment horizontal="right"/>
    </xf>
    <xf numFmtId="2" fontId="17" fillId="0" borderId="0" xfId="1192" applyNumberFormat="1"/>
    <xf numFmtId="6" fontId="17" fillId="0" borderId="0" xfId="1192" applyNumberFormat="1"/>
    <xf numFmtId="0" fontId="24" fillId="0" borderId="0" xfId="1192" applyFont="1"/>
    <xf numFmtId="0" fontId="47" fillId="0" borderId="0" xfId="1192" applyFont="1"/>
    <xf numFmtId="168" fontId="17" fillId="0" borderId="0" xfId="4495" applyNumberFormat="1" applyFont="1"/>
    <xf numFmtId="0" fontId="24" fillId="0" borderId="0" xfId="1192" applyFont="1" applyAlignment="1">
      <alignment vertical="center"/>
    </xf>
    <xf numFmtId="0" fontId="118" fillId="0" borderId="0" xfId="1192" applyFont="1" applyAlignment="1">
      <alignment horizontal="left"/>
    </xf>
    <xf numFmtId="0" fontId="115" fillId="0" borderId="0" xfId="1192" applyFont="1" applyAlignment="1">
      <alignment horizontal="left"/>
    </xf>
    <xf numFmtId="0" fontId="115" fillId="0" borderId="0" xfId="1192" applyFont="1" applyAlignment="1">
      <alignment horizontal="center"/>
    </xf>
    <xf numFmtId="168" fontId="17" fillId="0" borderId="0" xfId="1192" applyNumberFormat="1" applyAlignment="1">
      <alignment horizontal="center"/>
    </xf>
    <xf numFmtId="9" fontId="17" fillId="0" borderId="0" xfId="1192" applyNumberFormat="1"/>
    <xf numFmtId="0" fontId="17" fillId="0" borderId="0" xfId="1192" applyAlignment="1">
      <alignment horizontal="right"/>
    </xf>
    <xf numFmtId="0" fontId="17" fillId="0" borderId="53" xfId="4495" applyFont="1" applyBorder="1" applyAlignment="1">
      <alignment horizontal="left"/>
    </xf>
    <xf numFmtId="6" fontId="24" fillId="0" borderId="0" xfId="1192" applyNumberFormat="1" applyFont="1" applyAlignment="1">
      <alignment horizontal="right"/>
    </xf>
    <xf numFmtId="165" fontId="17" fillId="0" borderId="0" xfId="4495" applyNumberFormat="1" applyFont="1"/>
    <xf numFmtId="0" fontId="54" fillId="0" borderId="4" xfId="4495" applyFont="1" applyBorder="1"/>
    <xf numFmtId="0" fontId="37" fillId="0" borderId="0" xfId="543" applyFont="1" applyAlignment="1">
      <alignment vertical="center" wrapText="1"/>
    </xf>
    <xf numFmtId="1" fontId="24" fillId="0" borderId="13" xfId="271" applyNumberFormat="1" applyFont="1" applyBorder="1"/>
    <xf numFmtId="1" fontId="26" fillId="0" borderId="13" xfId="271" applyNumberFormat="1" applyBorder="1"/>
    <xf numFmtId="0" fontId="17" fillId="0" borderId="11" xfId="0" applyFont="1" applyBorder="1"/>
    <xf numFmtId="9" fontId="17" fillId="0" borderId="0" xfId="4495" applyNumberFormat="1" applyFont="1"/>
    <xf numFmtId="165" fontId="122" fillId="0" borderId="0" xfId="4496" applyNumberFormat="1" applyFont="1" applyAlignment="1">
      <alignment horizontal="center" vertical="top" wrapText="1"/>
    </xf>
    <xf numFmtId="168" fontId="122" fillId="0" borderId="0" xfId="4496" applyNumberFormat="1" applyFont="1" applyAlignment="1">
      <alignment vertical="top" wrapText="1"/>
    </xf>
    <xf numFmtId="165" fontId="122" fillId="0" borderId="64" xfId="4496" applyNumberFormat="1" applyFont="1" applyBorder="1" applyAlignment="1">
      <alignment horizontal="center" vertical="top" wrapText="1"/>
    </xf>
    <xf numFmtId="165" fontId="122" fillId="0" borderId="53" xfId="4496" applyNumberFormat="1" applyFont="1" applyBorder="1" applyAlignment="1">
      <alignment horizontal="left" vertical="top"/>
    </xf>
    <xf numFmtId="165" fontId="122" fillId="0" borderId="53" xfId="4496" applyNumberFormat="1" applyFont="1" applyBorder="1" applyAlignment="1">
      <alignment horizontal="center" vertical="top" wrapText="1"/>
    </xf>
    <xf numFmtId="168" fontId="122" fillId="0" borderId="0" xfId="4496" applyNumberFormat="1" applyFont="1" applyAlignment="1">
      <alignment vertical="top"/>
    </xf>
    <xf numFmtId="1" fontId="122" fillId="0" borderId="0" xfId="4496" applyNumberFormat="1" applyFont="1" applyAlignment="1">
      <alignment vertical="top" wrapText="1"/>
    </xf>
    <xf numFmtId="164" fontId="25" fillId="0" borderId="0" xfId="4495" applyNumberFormat="1" applyFont="1"/>
    <xf numFmtId="0" fontId="24" fillId="0" borderId="8" xfId="0" applyFont="1" applyBorder="1" applyAlignment="1">
      <alignment horizontal="center" vertical="center" wrapText="1"/>
    </xf>
    <xf numFmtId="0" fontId="24"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41" fillId="0" borderId="50" xfId="1192" applyFont="1" applyBorder="1" applyAlignment="1">
      <alignment horizontal="left"/>
    </xf>
    <xf numFmtId="0" fontId="142" fillId="0" borderId="51" xfId="4495" applyFont="1" applyBorder="1" applyAlignment="1">
      <alignment vertical="top"/>
    </xf>
    <xf numFmtId="0" fontId="141" fillId="0" borderId="51" xfId="4495" applyFont="1" applyBorder="1" applyAlignment="1">
      <alignment vertical="top" wrapText="1"/>
    </xf>
    <xf numFmtId="0" fontId="142" fillId="0" borderId="51" xfId="4495" applyFont="1" applyBorder="1"/>
    <xf numFmtId="0" fontId="142" fillId="0" borderId="53" xfId="1192" applyFont="1" applyBorder="1" applyAlignment="1">
      <alignment horizontal="left"/>
    </xf>
    <xf numFmtId="0" fontId="142" fillId="0" borderId="0" xfId="4495" applyFont="1" applyAlignment="1">
      <alignment vertical="top"/>
    </xf>
    <xf numFmtId="0" fontId="141" fillId="0" borderId="0" xfId="4495" applyFont="1" applyAlignment="1">
      <alignment vertical="top" wrapText="1"/>
    </xf>
    <xf numFmtId="0" fontId="142" fillId="0" borderId="0" xfId="4495" applyFont="1"/>
    <xf numFmtId="0" fontId="141" fillId="0" borderId="53" xfId="1192" applyFont="1" applyBorder="1" applyAlignment="1">
      <alignment horizontal="left"/>
    </xf>
    <xf numFmtId="0" fontId="141" fillId="0" borderId="57" xfId="1192" applyFont="1" applyBorder="1" applyAlignment="1">
      <alignment horizontal="left"/>
    </xf>
    <xf numFmtId="0" fontId="142" fillId="0" borderId="58" xfId="4495" applyFont="1" applyBorder="1" applyAlignment="1">
      <alignment vertical="top"/>
    </xf>
    <xf numFmtId="0" fontId="141" fillId="0" borderId="58" xfId="4495" applyFont="1" applyBorder="1" applyAlignment="1">
      <alignment vertical="top" wrapText="1"/>
    </xf>
    <xf numFmtId="0" fontId="142" fillId="0" borderId="58" xfId="4495" applyFont="1" applyBorder="1"/>
    <xf numFmtId="0" fontId="26" fillId="0" borderId="3" xfId="0" applyFont="1" applyBorder="1" applyAlignment="1">
      <alignment horizontal="center"/>
    </xf>
    <xf numFmtId="0" fontId="26" fillId="0" borderId="4" xfId="0" applyFont="1" applyBorder="1" applyAlignment="1">
      <alignment horizontal="center"/>
    </xf>
    <xf numFmtId="0" fontId="26" fillId="0" borderId="5" xfId="0" applyFont="1" applyBorder="1" applyAlignment="1">
      <alignment horizontal="center"/>
    </xf>
    <xf numFmtId="0" fontId="24" fillId="0" borderId="7" xfId="0" applyFont="1" applyBorder="1" applyAlignment="1">
      <alignment horizontal="right"/>
    </xf>
    <xf numFmtId="0" fontId="0" fillId="0" borderId="0" xfId="0" applyAlignment="1" applyProtection="1">
      <alignment horizontal="left" vertical="top" wrapText="1"/>
      <protection locked="0"/>
    </xf>
    <xf numFmtId="0" fontId="17" fillId="0" borderId="9" xfId="0" applyFont="1" applyBorder="1" applyAlignment="1">
      <alignment horizontal="left"/>
    </xf>
    <xf numFmtId="0" fontId="17" fillId="0" borderId="6" xfId="0" applyFont="1" applyBorder="1"/>
    <xf numFmtId="0" fontId="17" fillId="0" borderId="9" xfId="0" applyFont="1" applyBorder="1"/>
    <xf numFmtId="0" fontId="50" fillId="0" borderId="0" xfId="0" applyFont="1" applyAlignment="1">
      <alignment horizontal="center"/>
    </xf>
    <xf numFmtId="0" fontId="23" fillId="0" borderId="0" xfId="0" applyFont="1" applyAlignment="1">
      <alignment horizontal="center" vertical="center" wrapText="1"/>
    </xf>
    <xf numFmtId="0" fontId="32" fillId="0" borderId="0" xfId="0" applyFont="1" applyAlignment="1">
      <alignment horizontal="center"/>
    </xf>
    <xf numFmtId="0" fontId="25" fillId="0" borderId="0" xfId="0" applyFont="1" applyAlignment="1">
      <alignment horizontal="center"/>
    </xf>
    <xf numFmtId="0" fontId="24" fillId="0" borderId="3" xfId="0" applyFont="1" applyBorder="1"/>
    <xf numFmtId="0" fontId="24" fillId="0" borderId="4" xfId="271" applyFont="1" applyBorder="1"/>
    <xf numFmtId="0" fontId="24" fillId="0" borderId="3" xfId="271" applyFont="1" applyBorder="1"/>
    <xf numFmtId="0" fontId="24" fillId="0" borderId="5" xfId="271" applyFont="1" applyBorder="1"/>
    <xf numFmtId="0" fontId="17" fillId="0" borderId="58" xfId="4495" applyFont="1" applyBorder="1" applyAlignment="1">
      <alignment vertical="center" wrapText="1"/>
    </xf>
    <xf numFmtId="0" fontId="17" fillId="0" borderId="59" xfId="4495" applyFont="1" applyBorder="1" applyAlignment="1">
      <alignment vertical="center" wrapText="1"/>
    </xf>
    <xf numFmtId="0" fontId="17" fillId="0" borderId="0" xfId="4495" applyFont="1" applyAlignment="1">
      <alignment horizontal="left" vertical="center" wrapText="1"/>
    </xf>
    <xf numFmtId="0" fontId="24" fillId="0" borderId="5" xfId="0" applyFont="1" applyBorder="1"/>
    <xf numFmtId="168" fontId="22" fillId="43" borderId="0" xfId="0" applyNumberFormat="1" applyFont="1" applyFill="1"/>
    <xf numFmtId="9" fontId="25" fillId="0" borderId="0" xfId="543" applyNumberFormat="1" applyFont="1" applyAlignment="1">
      <alignment horizontal="center"/>
    </xf>
    <xf numFmtId="171" fontId="17" fillId="0" borderId="0" xfId="543" applyNumberFormat="1"/>
    <xf numFmtId="171" fontId="17" fillId="0" borderId="11" xfId="543" applyNumberFormat="1" applyBorder="1"/>
    <xf numFmtId="1" fontId="17" fillId="0" borderId="11" xfId="543" applyNumberFormat="1" applyBorder="1" applyAlignment="1">
      <alignment horizontal="center"/>
    </xf>
    <xf numFmtId="0" fontId="43" fillId="0" borderId="8" xfId="543" applyFont="1" applyBorder="1" applyAlignment="1">
      <alignment vertical="center" wrapText="1"/>
    </xf>
    <xf numFmtId="0" fontId="43" fillId="0" borderId="0" xfId="543" applyFont="1" applyAlignment="1">
      <alignment vertical="center" wrapText="1"/>
    </xf>
    <xf numFmtId="0" fontId="43" fillId="0" borderId="12" xfId="543" applyFont="1" applyBorder="1" applyAlignment="1">
      <alignment vertical="center" wrapText="1"/>
    </xf>
    <xf numFmtId="0" fontId="43" fillId="0" borderId="9" xfId="543" applyFont="1" applyBorder="1" applyAlignment="1">
      <alignment vertical="center" wrapText="1"/>
    </xf>
    <xf numFmtId="0" fontId="43" fillId="0" borderId="6" xfId="543" applyFont="1" applyBorder="1" applyAlignment="1">
      <alignment vertical="center" wrapText="1"/>
    </xf>
    <xf numFmtId="0" fontId="43" fillId="0" borderId="10" xfId="543" applyFont="1" applyBorder="1" applyAlignment="1">
      <alignment vertical="center" wrapText="1"/>
    </xf>
    <xf numFmtId="0" fontId="44" fillId="0" borderId="8" xfId="543" applyFont="1" applyBorder="1" applyAlignment="1">
      <alignment vertical="center" wrapText="1"/>
    </xf>
    <xf numFmtId="0" fontId="44" fillId="0" borderId="0" xfId="543" applyFont="1" applyAlignment="1">
      <alignment vertical="center" wrapText="1"/>
    </xf>
    <xf numFmtId="0" fontId="44" fillId="0" borderId="12" xfId="543" applyFont="1" applyBorder="1" applyAlignment="1">
      <alignment vertical="center" wrapText="1"/>
    </xf>
    <xf numFmtId="0" fontId="44" fillId="0" borderId="9" xfId="543" applyFont="1" applyBorder="1" applyAlignment="1">
      <alignment vertical="center" wrapText="1"/>
    </xf>
    <xf numFmtId="0" fontId="44" fillId="0" borderId="6" xfId="543" applyFont="1" applyBorder="1" applyAlignment="1">
      <alignment vertical="center" wrapText="1"/>
    </xf>
    <xf numFmtId="0" fontId="44" fillId="0" borderId="10" xfId="543" applyFont="1" applyBorder="1" applyAlignment="1">
      <alignment vertical="center" wrapText="1"/>
    </xf>
    <xf numFmtId="0" fontId="37" fillId="0" borderId="12" xfId="543" applyFont="1" applyBorder="1" applyAlignment="1">
      <alignment horizontal="center" vertical="top"/>
    </xf>
    <xf numFmtId="0" fontId="38" fillId="0" borderId="7" xfId="543" applyFont="1" applyBorder="1"/>
    <xf numFmtId="0" fontId="17" fillId="0" borderId="12" xfId="543" quotePrefix="1" applyBorder="1"/>
    <xf numFmtId="0" fontId="53" fillId="0" borderId="2" xfId="569" applyFont="1" applyBorder="1" applyAlignment="1">
      <alignment vertical="top"/>
    </xf>
    <xf numFmtId="0" fontId="27" fillId="0" borderId="0" xfId="4495" applyFont="1"/>
    <xf numFmtId="0" fontId="17" fillId="0" borderId="0" xfId="4495" applyFont="1" applyAlignment="1">
      <alignment vertical="top" wrapText="1" shrinkToFit="1"/>
    </xf>
    <xf numFmtId="0" fontId="146" fillId="0" borderId="0" xfId="4495" applyFont="1"/>
    <xf numFmtId="164" fontId="17" fillId="0" borderId="0" xfId="1192" applyNumberFormat="1" applyAlignment="1">
      <alignment horizontal="right"/>
    </xf>
    <xf numFmtId="164" fontId="17" fillId="0" borderId="0" xfId="4495" applyNumberFormat="1" applyFont="1" applyAlignment="1">
      <alignment horizontal="right"/>
    </xf>
    <xf numFmtId="0" fontId="17" fillId="0" borderId="0" xfId="4495" applyFont="1" applyAlignment="1">
      <alignment horizontal="left" vertical="top" wrapText="1" shrinkToFit="1"/>
    </xf>
    <xf numFmtId="0" fontId="17" fillId="0" borderId="6" xfId="4495" applyFont="1" applyBorder="1" applyAlignment="1">
      <alignment vertical="top" wrapText="1"/>
    </xf>
    <xf numFmtId="0" fontId="146" fillId="0" borderId="4" xfId="4495" applyFont="1" applyBorder="1"/>
    <xf numFmtId="0" fontId="17" fillId="0" borderId="4" xfId="4495" applyFont="1" applyBorder="1" applyAlignment="1">
      <alignment horizontal="left" vertical="top" wrapText="1" shrinkToFit="1"/>
    </xf>
    <xf numFmtId="0" fontId="27" fillId="0" borderId="0" xfId="4495" applyFont="1" applyAlignment="1">
      <alignment horizontal="left" vertical="top"/>
    </xf>
    <xf numFmtId="0" fontId="17" fillId="0" borderId="0" xfId="4495" applyFont="1" applyAlignment="1">
      <alignment vertical="center" wrapText="1" shrinkToFit="1"/>
    </xf>
    <xf numFmtId="0" fontId="17" fillId="0" borderId="0" xfId="4495" applyFont="1" applyAlignment="1">
      <alignment horizontal="left" vertical="top" shrinkToFit="1"/>
    </xf>
    <xf numFmtId="0" fontId="17" fillId="0" borderId="0" xfId="4495" applyFont="1" applyAlignment="1">
      <alignment horizontal="left" vertical="center" shrinkToFit="1"/>
    </xf>
    <xf numFmtId="0" fontId="27" fillId="0" borderId="4" xfId="4495" applyFont="1" applyBorder="1"/>
    <xf numFmtId="0" fontId="17" fillId="0" borderId="4" xfId="4495" applyFont="1" applyBorder="1" applyAlignment="1">
      <alignment horizontal="left" vertical="top" shrinkToFit="1"/>
    </xf>
    <xf numFmtId="0" fontId="17" fillId="0" borderId="0" xfId="4495" applyFont="1" applyAlignment="1">
      <alignment vertical="center"/>
    </xf>
    <xf numFmtId="0" fontId="23" fillId="0" borderId="0" xfId="4495" applyFont="1"/>
    <xf numFmtId="0" fontId="27" fillId="0" borderId="0" xfId="4495" applyFont="1" applyAlignment="1">
      <alignment horizontal="center"/>
    </xf>
    <xf numFmtId="0" fontId="17" fillId="0" borderId="4" xfId="4495" applyFont="1" applyBorder="1" applyAlignment="1">
      <alignment horizontal="left" vertical="top" wrapText="1"/>
    </xf>
    <xf numFmtId="44" fontId="17" fillId="0" borderId="0" xfId="707" applyFont="1" applyFill="1" applyBorder="1" applyAlignment="1" applyProtection="1">
      <alignment horizontal="left" vertical="top" wrapText="1"/>
    </xf>
    <xf numFmtId="44" fontId="17" fillId="0" borderId="4" xfId="707" applyFont="1" applyFill="1" applyBorder="1" applyAlignment="1" applyProtection="1">
      <alignment horizontal="left" vertical="top" wrapText="1"/>
    </xf>
    <xf numFmtId="164" fontId="35" fillId="0" borderId="0" xfId="4495" applyNumberFormat="1" applyFont="1" applyAlignment="1">
      <alignment horizontal="left"/>
    </xf>
    <xf numFmtId="0" fontId="27" fillId="0" borderId="0" xfId="4495" applyFont="1" applyAlignment="1">
      <alignment horizontal="left"/>
    </xf>
    <xf numFmtId="0" fontId="17" fillId="0" borderId="4" xfId="4495" applyFont="1" applyBorder="1" applyAlignment="1">
      <alignment vertical="top" wrapText="1"/>
    </xf>
    <xf numFmtId="0" fontId="27" fillId="0" borderId="4" xfId="4495" applyFont="1" applyBorder="1" applyAlignment="1">
      <alignment horizontal="left" vertical="top"/>
    </xf>
    <xf numFmtId="0" fontId="17" fillId="0" borderId="0" xfId="4495" applyFont="1" applyAlignment="1">
      <alignment horizontal="left" vertical="center" wrapText="1" shrinkToFit="1"/>
    </xf>
    <xf numFmtId="0" fontId="17" fillId="0" borderId="6" xfId="4495" applyFont="1" applyBorder="1" applyAlignment="1">
      <alignment horizontal="left" vertical="top" wrapText="1"/>
    </xf>
    <xf numFmtId="2" fontId="118" fillId="0" borderId="0" xfId="0" applyNumberFormat="1" applyFont="1" applyAlignment="1">
      <alignment horizontal="center"/>
    </xf>
    <xf numFmtId="9" fontId="17" fillId="0" borderId="0" xfId="4494" applyFont="1" applyAlignment="1">
      <alignment horizontal="center"/>
    </xf>
    <xf numFmtId="3" fontId="17" fillId="0" borderId="0" xfId="0" applyNumberFormat="1" applyFont="1"/>
    <xf numFmtId="10" fontId="17" fillId="0" borderId="0" xfId="0" applyNumberFormat="1" applyFont="1" applyAlignment="1">
      <alignment horizontal="center"/>
    </xf>
    <xf numFmtId="168" fontId="17" fillId="0" borderId="0" xfId="0" applyNumberFormat="1" applyFont="1"/>
    <xf numFmtId="172" fontId="17" fillId="0" borderId="11" xfId="0" applyNumberFormat="1" applyFont="1" applyBorder="1" applyAlignment="1">
      <alignment horizontal="center"/>
    </xf>
    <xf numFmtId="168" fontId="17" fillId="5" borderId="0" xfId="0" applyNumberFormat="1" applyFont="1" applyFill="1"/>
    <xf numFmtId="3" fontId="17" fillId="5" borderId="0" xfId="0" applyNumberFormat="1" applyFont="1" applyFill="1"/>
    <xf numFmtId="0" fontId="17" fillId="5" borderId="0" xfId="0" applyFont="1" applyFill="1"/>
    <xf numFmtId="3" fontId="17" fillId="5" borderId="6" xfId="0" applyNumberFormat="1" applyFont="1" applyFill="1" applyBorder="1"/>
    <xf numFmtId="3" fontId="17" fillId="0" borderId="6" xfId="0" applyNumberFormat="1" applyFont="1" applyBorder="1"/>
    <xf numFmtId="168" fontId="17" fillId="0" borderId="0" xfId="0" applyNumberFormat="1" applyFont="1" applyAlignment="1">
      <alignment horizontal="center"/>
    </xf>
    <xf numFmtId="3" fontId="17" fillId="0" borderId="0" xfId="0" applyNumberFormat="1" applyFont="1" applyAlignment="1">
      <alignment horizontal="center"/>
    </xf>
    <xf numFmtId="0" fontId="17" fillId="0" borderId="50" xfId="4495" applyFont="1" applyBorder="1" applyAlignment="1">
      <alignment vertical="center"/>
    </xf>
    <xf numFmtId="0" fontId="17" fillId="0" borderId="51" xfId="4495" applyFont="1" applyBorder="1" applyAlignment="1">
      <alignment vertical="center"/>
    </xf>
    <xf numFmtId="0" fontId="17" fillId="0" borderId="52" xfId="4495" applyFont="1" applyBorder="1" applyAlignment="1">
      <alignment vertical="center"/>
    </xf>
    <xf numFmtId="0" fontId="17" fillId="0" borderId="54" xfId="4495" applyFont="1" applyBorder="1" applyAlignment="1">
      <alignment vertical="center" wrapText="1"/>
    </xf>
    <xf numFmtId="0" fontId="17" fillId="0" borderId="53" xfId="4495" applyFont="1" applyBorder="1" applyAlignment="1">
      <alignment vertical="top" wrapText="1"/>
    </xf>
    <xf numFmtId="0" fontId="17" fillId="0" borderId="58" xfId="0" applyFont="1" applyBorder="1" applyAlignment="1">
      <alignment horizontal="left"/>
    </xf>
    <xf numFmtId="9" fontId="17" fillId="0" borderId="0" xfId="543" applyNumberFormat="1" applyAlignment="1">
      <alignment horizontal="center"/>
    </xf>
    <xf numFmtId="0" fontId="49" fillId="0" borderId="0" xfId="4496" applyFont="1"/>
    <xf numFmtId="168" fontId="53" fillId="5" borderId="11" xfId="0" applyNumberFormat="1" applyFont="1" applyFill="1" applyBorder="1" applyAlignment="1" applyProtection="1">
      <alignment vertical="top" wrapText="1"/>
      <protection locked="0"/>
    </xf>
    <xf numFmtId="0" fontId="17" fillId="0" borderId="0" xfId="0" applyFont="1" applyAlignment="1">
      <alignment horizontal="left" wrapText="1"/>
    </xf>
    <xf numFmtId="4" fontId="35" fillId="0" borderId="0" xfId="0" applyNumberFormat="1" applyFont="1" applyAlignment="1">
      <alignment horizontal="left"/>
    </xf>
    <xf numFmtId="4" fontId="17" fillId="0" borderId="0" xfId="0" applyNumberFormat="1" applyFont="1" applyAlignment="1">
      <alignment horizontal="left" vertical="top" wrapText="1"/>
    </xf>
    <xf numFmtId="0" fontId="24" fillId="0" borderId="4" xfId="0" applyFont="1" applyBorder="1" applyAlignment="1">
      <alignment horizontal="left"/>
    </xf>
    <xf numFmtId="4" fontId="17" fillId="0" borderId="0" xfId="0" applyNumberFormat="1" applyFont="1" applyAlignment="1">
      <alignment horizontal="left"/>
    </xf>
    <xf numFmtId="43" fontId="51" fillId="0" borderId="0" xfId="4503" applyFont="1" applyAlignment="1" applyProtection="1">
      <alignment horizontal="center"/>
    </xf>
    <xf numFmtId="43" fontId="17" fillId="0" borderId="0" xfId="4503" applyFont="1" applyAlignment="1" applyProtection="1">
      <alignment horizontal="center"/>
    </xf>
    <xf numFmtId="43" fontId="17" fillId="0" borderId="0" xfId="4503" applyFont="1" applyProtection="1"/>
    <xf numFmtId="49" fontId="17" fillId="0" borderId="0" xfId="0" applyNumberFormat="1" applyFont="1"/>
    <xf numFmtId="49" fontId="17" fillId="0" borderId="0" xfId="0" applyNumberFormat="1" applyFont="1" applyAlignment="1">
      <alignment horizontal="center"/>
    </xf>
    <xf numFmtId="4" fontId="17" fillId="0" borderId="0" xfId="0" applyNumberFormat="1" applyFont="1" applyAlignment="1">
      <alignment vertical="top" wrapText="1"/>
    </xf>
    <xf numFmtId="0" fontId="17" fillId="0" borderId="0" xfId="0" quotePrefix="1" applyFont="1"/>
    <xf numFmtId="0" fontId="47" fillId="0" borderId="0" xfId="0" applyFont="1" applyAlignment="1">
      <alignment horizontal="left"/>
    </xf>
    <xf numFmtId="0" fontId="17" fillId="0" borderId="4" xfId="0" applyFont="1" applyBorder="1" applyAlignment="1">
      <alignment horizontal="left"/>
    </xf>
    <xf numFmtId="0" fontId="17" fillId="0" borderId="0" xfId="0" quotePrefix="1" applyFont="1" applyAlignment="1">
      <alignment horizontal="left"/>
    </xf>
    <xf numFmtId="0" fontId="17" fillId="0" borderId="0" xfId="0" quotePrefix="1" applyFont="1" applyAlignment="1">
      <alignment horizontal="left" vertical="top"/>
    </xf>
    <xf numFmtId="0" fontId="47" fillId="0" borderId="0" xfId="1192" applyFont="1" applyAlignment="1">
      <alignment horizontal="left"/>
    </xf>
    <xf numFmtId="0" fontId="51" fillId="0" borderId="0" xfId="0" applyFont="1" applyAlignment="1">
      <alignment horizontal="center" vertical="center"/>
    </xf>
    <xf numFmtId="49" fontId="24" fillId="0" borderId="0" xfId="0" applyNumberFormat="1" applyFont="1" applyAlignment="1">
      <alignment horizontal="center" vertical="center"/>
    </xf>
    <xf numFmtId="49" fontId="17" fillId="0" borderId="0" xfId="0" applyNumberFormat="1" applyFont="1" applyAlignment="1">
      <alignment vertical="center"/>
    </xf>
    <xf numFmtId="4" fontId="17" fillId="0" borderId="0" xfId="0" applyNumberFormat="1" applyFont="1" applyAlignment="1">
      <alignment horizontal="center"/>
    </xf>
    <xf numFmtId="4" fontId="17" fillId="0" borderId="0" xfId="0" applyNumberFormat="1" applyFont="1"/>
    <xf numFmtId="10" fontId="17" fillId="0" borderId="0" xfId="4495" applyNumberFormat="1" applyFont="1"/>
    <xf numFmtId="10" fontId="122" fillId="0" borderId="0" xfId="4496" applyNumberFormat="1" applyFont="1" applyAlignment="1">
      <alignment horizontal="center" vertical="top" wrapText="1"/>
    </xf>
    <xf numFmtId="10" fontId="122" fillId="0" borderId="64" xfId="4496" applyNumberFormat="1" applyFont="1" applyBorder="1" applyAlignment="1">
      <alignment horizontal="center" vertical="top" wrapText="1"/>
    </xf>
    <xf numFmtId="10" fontId="122"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7" fillId="0" borderId="0" xfId="1192" quotePrefix="1" applyNumberFormat="1" applyAlignment="1">
      <alignment horizontal="center"/>
    </xf>
    <xf numFmtId="0" fontId="122" fillId="0" borderId="0" xfId="4495" applyFont="1"/>
    <xf numFmtId="10" fontId="122" fillId="0" borderId="0" xfId="4495" applyNumberFormat="1" applyFont="1"/>
    <xf numFmtId="172" fontId="17" fillId="0" borderId="0" xfId="4495" applyNumberFormat="1" applyFont="1"/>
    <xf numFmtId="0" fontId="40" fillId="0" borderId="0" xfId="0" applyFont="1" applyAlignment="1">
      <alignment horizontal="center"/>
    </xf>
    <xf numFmtId="0" fontId="36" fillId="0" borderId="0" xfId="0" applyFont="1" applyAlignment="1">
      <alignment horizontal="left"/>
    </xf>
    <xf numFmtId="0" fontId="0" fillId="0" borderId="10" xfId="0" applyBorder="1" applyAlignment="1">
      <alignment horizontal="left"/>
    </xf>
    <xf numFmtId="1" fontId="17" fillId="0" borderId="0" xfId="1192" applyNumberFormat="1" applyAlignment="1">
      <alignment horizontal="center"/>
    </xf>
    <xf numFmtId="0" fontId="120" fillId="0" borderId="63" xfId="4495" applyBorder="1"/>
    <xf numFmtId="0" fontId="53" fillId="0" borderId="0" xfId="271" applyFont="1" applyAlignment="1">
      <alignment vertical="top"/>
    </xf>
    <xf numFmtId="0" fontId="24" fillId="0" borderId="11" xfId="0" applyFont="1" applyBorder="1" applyAlignment="1">
      <alignment horizontal="right" vertical="top" wrapText="1"/>
    </xf>
    <xf numFmtId="0" fontId="26" fillId="0" borderId="11" xfId="271" applyBorder="1" applyAlignment="1" applyProtection="1">
      <alignment horizontal="right" vertical="top" wrapText="1"/>
      <protection locked="0"/>
    </xf>
    <xf numFmtId="0" fontId="17" fillId="0" borderId="54" xfId="4495" applyFont="1" applyBorder="1" applyAlignment="1">
      <alignment vertical="top"/>
    </xf>
    <xf numFmtId="9" fontId="26" fillId="0" borderId="0" xfId="0" applyNumberFormat="1" applyFont="1"/>
    <xf numFmtId="0" fontId="17" fillId="0" borderId="16" xfId="569" applyBorder="1" applyAlignment="1">
      <alignment horizontal="center"/>
    </xf>
    <xf numFmtId="164" fontId="17" fillId="0" borderId="57" xfId="4495" applyNumberFormat="1" applyFont="1" applyBorder="1" applyAlignment="1">
      <alignment vertical="top" wrapText="1"/>
    </xf>
    <xf numFmtId="164" fontId="17" fillId="0" borderId="58" xfId="4495" applyNumberFormat="1" applyFont="1" applyBorder="1" applyAlignment="1">
      <alignment vertical="top" wrapText="1"/>
    </xf>
    <xf numFmtId="164" fontId="17" fillId="0" borderId="59" xfId="4495" applyNumberFormat="1" applyFont="1" applyBorder="1" applyAlignment="1">
      <alignment vertical="top" wrapText="1"/>
    </xf>
    <xf numFmtId="0" fontId="24" fillId="0" borderId="0" xfId="1192" applyFont="1" applyAlignment="1">
      <alignment horizontal="left" vertical="top" wrapText="1"/>
    </xf>
    <xf numFmtId="0" fontId="17" fillId="0" borderId="16" xfId="569" applyBorder="1"/>
    <xf numFmtId="0" fontId="17" fillId="0" borderId="4" xfId="569" applyBorder="1"/>
    <xf numFmtId="0" fontId="24" fillId="0" borderId="4" xfId="569" applyFont="1" applyBorder="1"/>
    <xf numFmtId="49" fontId="17" fillId="0" borderId="4" xfId="569" applyNumberFormat="1" applyBorder="1"/>
    <xf numFmtId="0" fontId="149" fillId="0" borderId="0" xfId="0" applyFont="1"/>
    <xf numFmtId="0" fontId="17" fillId="0" borderId="0" xfId="0" applyFont="1" applyAlignment="1">
      <alignment horizontal="right"/>
    </xf>
    <xf numFmtId="1" fontId="17" fillId="0" borderId="0" xfId="0" applyNumberFormat="1" applyFont="1" applyAlignment="1">
      <alignment horizontal="center"/>
    </xf>
    <xf numFmtId="0" fontId="24" fillId="0" borderId="0" xfId="0" applyFont="1" applyAlignment="1">
      <alignment horizontal="left" vertical="center"/>
    </xf>
    <xf numFmtId="0" fontId="17" fillId="0" borderId="0" xfId="0" applyFont="1" applyAlignment="1">
      <alignment horizontal="left" vertical="center"/>
    </xf>
    <xf numFmtId="0" fontId="24" fillId="0" borderId="0" xfId="569" applyFont="1" applyAlignment="1">
      <alignment vertical="top"/>
    </xf>
    <xf numFmtId="0" fontId="18" fillId="0" borderId="0" xfId="244" applyAlignment="1"/>
    <xf numFmtId="0" fontId="24" fillId="0" borderId="0" xfId="0" applyFont="1" applyAlignment="1">
      <alignment vertical="top" wrapText="1"/>
    </xf>
    <xf numFmtId="49" fontId="24" fillId="0" borderId="0" xfId="0" applyNumberFormat="1" applyFont="1"/>
    <xf numFmtId="49" fontId="24" fillId="0" borderId="0" xfId="0" applyNumberFormat="1" applyFont="1" applyAlignment="1">
      <alignment vertical="top"/>
    </xf>
    <xf numFmtId="0" fontId="40" fillId="0" borderId="11" xfId="0" applyFont="1" applyBorder="1"/>
    <xf numFmtId="175" fontId="17" fillId="0" borderId="0" xfId="543" applyNumberFormat="1" applyAlignment="1">
      <alignment vertical="center"/>
    </xf>
    <xf numFmtId="0" fontId="98" fillId="43" borderId="6" xfId="4496" applyFont="1" applyFill="1" applyBorder="1" applyAlignment="1" applyProtection="1">
      <alignment horizontal="center"/>
      <protection locked="0"/>
    </xf>
    <xf numFmtId="0" fontId="98" fillId="0" borderId="0" xfId="4496" applyFont="1"/>
    <xf numFmtId="0" fontId="98" fillId="0" borderId="0" xfId="4496" applyFont="1" applyAlignment="1">
      <alignment wrapText="1"/>
    </xf>
    <xf numFmtId="0" fontId="137" fillId="0" borderId="0" xfId="4496" applyFont="1"/>
    <xf numFmtId="181" fontId="138" fillId="0" borderId="0" xfId="4498" applyNumberFormat="1" applyFont="1" applyBorder="1" applyProtection="1"/>
    <xf numFmtId="0" fontId="139" fillId="0" borderId="0" xfId="4496" applyFont="1" applyAlignment="1">
      <alignment vertical="center" wrapText="1"/>
    </xf>
    <xf numFmtId="49" fontId="98" fillId="0" borderId="0" xfId="4496" applyNumberFormat="1" applyFont="1" applyAlignment="1">
      <alignment horizontal="center"/>
    </xf>
    <xf numFmtId="182" fontId="98" fillId="0" borderId="6" xfId="4496" applyNumberFormat="1" applyFont="1" applyBorder="1"/>
    <xf numFmtId="0" fontId="98" fillId="0" borderId="0" xfId="4496" applyFont="1" applyAlignment="1">
      <alignment vertical="center"/>
    </xf>
    <xf numFmtId="182" fontId="98" fillId="0" borderId="0" xfId="4496" applyNumberFormat="1" applyFont="1" applyAlignment="1">
      <alignment vertical="center"/>
    </xf>
    <xf numFmtId="175" fontId="98" fillId="0" borderId="0" xfId="4499" applyNumberFormat="1" applyFont="1" applyFill="1" applyBorder="1" applyAlignment="1" applyProtection="1">
      <alignment horizontal="left" vertical="center"/>
    </xf>
    <xf numFmtId="9" fontId="98" fillId="0" borderId="0" xfId="4499" applyFont="1" applyFill="1" applyBorder="1" applyAlignment="1" applyProtection="1">
      <alignment vertical="center"/>
    </xf>
    <xf numFmtId="183" fontId="98" fillId="0" borderId="0" xfId="4496" applyNumberFormat="1" applyFont="1" applyAlignment="1">
      <alignment vertical="center" wrapText="1"/>
    </xf>
    <xf numFmtId="9" fontId="98" fillId="0" borderId="0" xfId="4499" applyFont="1" applyBorder="1" applyAlignment="1" applyProtection="1">
      <alignment vertical="center"/>
    </xf>
    <xf numFmtId="164" fontId="98" fillId="0" borderId="0" xfId="4496" applyNumberFormat="1" applyFont="1" applyAlignment="1">
      <alignment vertical="center" wrapText="1"/>
    </xf>
    <xf numFmtId="0" fontId="98" fillId="0" borderId="0" xfId="4496" applyFont="1" applyAlignment="1">
      <alignment horizontal="center" vertical="center"/>
    </xf>
    <xf numFmtId="182" fontId="98" fillId="0" borderId="11" xfId="8721" applyNumberFormat="1" applyFont="1" applyBorder="1" applyProtection="1"/>
    <xf numFmtId="182" fontId="98" fillId="0" borderId="11" xfId="4496" applyNumberFormat="1" applyFont="1" applyBorder="1"/>
    <xf numFmtId="164" fontId="98" fillId="0" borderId="0" xfId="4496" applyNumberFormat="1" applyFont="1" applyAlignment="1">
      <alignment wrapText="1"/>
    </xf>
    <xf numFmtId="49" fontId="98" fillId="0" borderId="0" xfId="4496" applyNumberFormat="1" applyFont="1" applyAlignment="1">
      <alignment horizontal="left"/>
    </xf>
    <xf numFmtId="0" fontId="140" fillId="0" borderId="0" xfId="4496" applyFont="1"/>
    <xf numFmtId="9" fontId="98" fillId="0" borderId="11" xfId="4494" applyFont="1" applyFill="1" applyBorder="1" applyAlignment="1" applyProtection="1">
      <alignment horizontal="right"/>
    </xf>
    <xf numFmtId="1" fontId="98" fillId="0" borderId="0" xfId="4496" applyNumberFormat="1" applyFont="1"/>
    <xf numFmtId="0" fontId="137" fillId="45" borderId="3" xfId="4496" applyFont="1" applyFill="1" applyBorder="1" applyAlignment="1">
      <alignment horizontal="left" indent="1"/>
    </xf>
    <xf numFmtId="0" fontId="98" fillId="45" borderId="4" xfId="4496" applyFont="1" applyFill="1" applyBorder="1"/>
    <xf numFmtId="2" fontId="98" fillId="45" borderId="5" xfId="4496" applyNumberFormat="1" applyFont="1" applyFill="1" applyBorder="1"/>
    <xf numFmtId="181" fontId="98" fillId="0" borderId="0" xfId="4496" applyNumberFormat="1" applyFont="1"/>
    <xf numFmtId="165" fontId="138" fillId="0" borderId="0" xfId="4499" applyNumberFormat="1" applyFont="1" applyFill="1" applyBorder="1" applyProtection="1"/>
    <xf numFmtId="9" fontId="98" fillId="0" borderId="0" xfId="4494" applyFont="1" applyFill="1" applyProtection="1"/>
    <xf numFmtId="0" fontId="98" fillId="0" borderId="11" xfId="4496" applyFont="1" applyBorder="1" applyAlignment="1">
      <alignment horizontal="center"/>
    </xf>
    <xf numFmtId="2" fontId="98" fillId="0" borderId="11" xfId="4496" applyNumberFormat="1" applyFont="1" applyBorder="1" applyAlignment="1">
      <alignment horizontal="center"/>
    </xf>
    <xf numFmtId="0" fontId="98" fillId="0" borderId="0" xfId="4496" applyFont="1" applyAlignment="1">
      <alignment vertical="top" wrapText="1"/>
    </xf>
    <xf numFmtId="0" fontId="98" fillId="0" borderId="11" xfId="4496" applyFont="1" applyBorder="1" applyAlignment="1">
      <alignment horizontal="center" vertical="top" wrapText="1"/>
    </xf>
    <xf numFmtId="182" fontId="98" fillId="0" borderId="0" xfId="8721" applyNumberFormat="1" applyFont="1" applyBorder="1" applyProtection="1"/>
    <xf numFmtId="0" fontId="98" fillId="0" borderId="0" xfId="4496" applyFont="1" applyAlignment="1">
      <alignment horizontal="left" indent="1"/>
    </xf>
    <xf numFmtId="182" fontId="98" fillId="0" borderId="0" xfId="4496" applyNumberFormat="1" applyFont="1"/>
    <xf numFmtId="184" fontId="98" fillId="0" borderId="0" xfId="4496" applyNumberFormat="1" applyFont="1"/>
    <xf numFmtId="0" fontId="98" fillId="0" borderId="0" xfId="4496" applyFont="1" applyAlignment="1">
      <alignment horizontal="left"/>
    </xf>
    <xf numFmtId="0" fontId="98" fillId="0" borderId="0" xfId="4496" applyFont="1" applyAlignment="1">
      <alignment horizontal="center"/>
    </xf>
    <xf numFmtId="3" fontId="22" fillId="0" borderId="11" xfId="271" applyNumberFormat="1" applyFont="1" applyBorder="1" applyAlignment="1">
      <alignment horizontal="center"/>
    </xf>
    <xf numFmtId="3" fontId="22" fillId="43" borderId="11" xfId="271" applyNumberFormat="1" applyFont="1" applyFill="1" applyBorder="1" applyProtection="1">
      <protection locked="0"/>
    </xf>
    <xf numFmtId="0" fontId="98" fillId="0" borderId="0" xfId="4496" applyFont="1" applyAlignment="1">
      <alignment horizontal="right"/>
    </xf>
    <xf numFmtId="168" fontId="26" fillId="0" borderId="0" xfId="0" applyNumberFormat="1" applyFont="1"/>
    <xf numFmtId="0" fontId="98" fillId="0" borderId="15" xfId="4496" applyFont="1" applyBorder="1" applyAlignment="1">
      <alignment horizontal="center" vertical="top" wrapText="1"/>
    </xf>
    <xf numFmtId="2" fontId="98" fillId="0" borderId="15" xfId="4496" applyNumberFormat="1" applyFont="1" applyBorder="1" applyAlignment="1">
      <alignment horizontal="center"/>
    </xf>
    <xf numFmtId="0" fontId="98" fillId="0" borderId="15" xfId="4496" applyFont="1" applyBorder="1" applyAlignment="1">
      <alignment horizontal="center"/>
    </xf>
    <xf numFmtId="0" fontId="137" fillId="0" borderId="68" xfId="4496" applyFont="1" applyBorder="1" applyAlignment="1">
      <alignment horizontal="center" vertical="top" wrapText="1"/>
    </xf>
    <xf numFmtId="0" fontId="137" fillId="0" borderId="68" xfId="4496" applyFont="1" applyBorder="1" applyAlignment="1">
      <alignment horizontal="center"/>
    </xf>
    <xf numFmtId="0" fontId="151" fillId="0" borderId="0" xfId="4496" applyFont="1" applyAlignment="1">
      <alignment horizontal="right" vertical="center"/>
    </xf>
    <xf numFmtId="175" fontId="98" fillId="0" borderId="0" xfId="4499" applyNumberFormat="1" applyFont="1" applyFill="1" applyBorder="1" applyAlignment="1" applyProtection="1">
      <alignment horizontal="right" vertical="center"/>
    </xf>
    <xf numFmtId="5" fontId="98" fillId="0" borderId="6" xfId="4496" applyNumberFormat="1" applyFont="1" applyBorder="1" applyAlignment="1">
      <alignment vertical="center"/>
    </xf>
    <xf numFmtId="0" fontId="98" fillId="0" borderId="66" xfId="4496" applyFont="1" applyBorder="1" applyAlignment="1">
      <alignment vertical="center"/>
    </xf>
    <xf numFmtId="0" fontId="98" fillId="0" borderId="41" xfId="4496" applyFont="1" applyBorder="1" applyAlignment="1">
      <alignment vertical="center"/>
    </xf>
    <xf numFmtId="182" fontId="98" fillId="0" borderId="73" xfId="4496" applyNumberFormat="1" applyFont="1" applyBorder="1" applyAlignment="1">
      <alignment vertical="center"/>
    </xf>
    <xf numFmtId="175" fontId="98" fillId="0" borderId="42" xfId="4499" applyNumberFormat="1" applyFont="1" applyFill="1" applyBorder="1" applyAlignment="1" applyProtection="1">
      <alignment horizontal="left" vertical="center"/>
    </xf>
    <xf numFmtId="0" fontId="98" fillId="0" borderId="42" xfId="4496" applyFont="1" applyBorder="1" applyAlignment="1">
      <alignment vertical="center"/>
    </xf>
    <xf numFmtId="0" fontId="98" fillId="0" borderId="44" xfId="4496" applyFont="1" applyBorder="1" applyAlignment="1">
      <alignment vertical="center"/>
    </xf>
    <xf numFmtId="49" fontId="98" fillId="0" borderId="0" xfId="4496" applyNumberFormat="1" applyFont="1" applyAlignment="1">
      <alignment horizontal="center" vertical="center"/>
    </xf>
    <xf numFmtId="0" fontId="98" fillId="0" borderId="65" xfId="4496" applyFont="1" applyBorder="1" applyAlignment="1">
      <alignment vertical="center"/>
    </xf>
    <xf numFmtId="0" fontId="98" fillId="0" borderId="29" xfId="4496" applyFont="1" applyBorder="1" applyAlignment="1">
      <alignment vertical="center"/>
    </xf>
    <xf numFmtId="0" fontId="98" fillId="0" borderId="29" xfId="4496" applyFont="1" applyBorder="1" applyAlignment="1">
      <alignment horizontal="right" vertical="center"/>
    </xf>
    <xf numFmtId="5" fontId="98" fillId="0" borderId="29" xfId="4496" applyNumberFormat="1" applyFont="1" applyBorder="1" applyAlignment="1">
      <alignment vertical="center"/>
    </xf>
    <xf numFmtId="0" fontId="98" fillId="0" borderId="31" xfId="4496" applyFont="1" applyBorder="1" applyAlignment="1">
      <alignment vertical="center"/>
    </xf>
    <xf numFmtId="175" fontId="137" fillId="0" borderId="42" xfId="4494" applyNumberFormat="1" applyFont="1" applyFill="1" applyBorder="1" applyAlignment="1" applyProtection="1">
      <alignment horizontal="center" vertical="center"/>
    </xf>
    <xf numFmtId="0" fontId="137" fillId="0" borderId="29" xfId="4496" applyFont="1" applyBorder="1" applyAlignment="1">
      <alignment vertical="center"/>
    </xf>
    <xf numFmtId="0" fontId="137" fillId="0" borderId="0" xfId="4496" applyFont="1" applyAlignment="1">
      <alignment vertical="center"/>
    </xf>
    <xf numFmtId="0" fontId="137" fillId="0" borderId="42" xfId="4496" applyFont="1" applyBorder="1" applyAlignment="1">
      <alignment vertical="center"/>
    </xf>
    <xf numFmtId="9" fontId="137" fillId="0" borderId="42" xfId="4499" applyFont="1" applyFill="1" applyBorder="1" applyAlignment="1" applyProtection="1">
      <alignment vertical="center"/>
    </xf>
    <xf numFmtId="182" fontId="137" fillId="0" borderId="68" xfId="8721" applyNumberFormat="1" applyFont="1" applyBorder="1" applyProtection="1"/>
    <xf numFmtId="182" fontId="137" fillId="0" borderId="68" xfId="4496" applyNumberFormat="1" applyFont="1" applyBorder="1"/>
    <xf numFmtId="0" fontId="151" fillId="0" borderId="0" xfId="4496" applyFont="1" applyAlignment="1">
      <alignment horizontal="right"/>
    </xf>
    <xf numFmtId="0" fontId="98" fillId="0" borderId="0" xfId="4496" applyFont="1" applyAlignment="1">
      <alignment horizontal="right" vertical="top" wrapText="1" indent="1"/>
    </xf>
    <xf numFmtId="182" fontId="98" fillId="0" borderId="6" xfId="8721" applyNumberFormat="1" applyFont="1" applyBorder="1" applyAlignment="1" applyProtection="1">
      <alignment horizontal="center"/>
    </xf>
    <xf numFmtId="0" fontId="98" fillId="0" borderId="0" xfId="4496" applyFont="1" applyAlignment="1">
      <alignment horizontal="right" indent="1"/>
    </xf>
    <xf numFmtId="0" fontId="98" fillId="0" borderId="0" xfId="4496" applyFont="1" applyAlignment="1">
      <alignment horizontal="right" vertical="top"/>
    </xf>
    <xf numFmtId="0" fontId="137" fillId="0" borderId="0" xfId="4496" applyFont="1" applyAlignment="1">
      <alignment horizontal="right"/>
    </xf>
    <xf numFmtId="182" fontId="137" fillId="0" borderId="0" xfId="8721" applyNumberFormat="1" applyFont="1" applyBorder="1" applyAlignment="1" applyProtection="1">
      <alignment horizontal="center"/>
    </xf>
    <xf numFmtId="10" fontId="98" fillId="0" borderId="0" xfId="4494" applyNumberFormat="1" applyFont="1" applyBorder="1" applyAlignment="1" applyProtection="1">
      <alignment horizontal="center"/>
    </xf>
    <xf numFmtId="184" fontId="98" fillId="0" borderId="6" xfId="4496" applyNumberFormat="1" applyFont="1" applyBorder="1"/>
    <xf numFmtId="0" fontId="137" fillId="0" borderId="0" xfId="4496" applyFont="1" applyAlignment="1">
      <alignment horizontal="right" vertical="top"/>
    </xf>
    <xf numFmtId="182" fontId="137" fillId="0" borderId="0" xfId="4496" applyNumberFormat="1" applyFont="1"/>
    <xf numFmtId="182" fontId="98" fillId="0" borderId="6" xfId="8721" applyNumberFormat="1" applyFont="1" applyBorder="1" applyProtection="1"/>
    <xf numFmtId="184" fontId="98" fillId="0" borderId="0" xfId="4496" applyNumberFormat="1" applyFont="1" applyAlignment="1">
      <alignment horizontal="center"/>
    </xf>
    <xf numFmtId="0" fontId="98" fillId="0" borderId="6" xfId="4496" applyFont="1" applyBorder="1" applyAlignment="1">
      <alignment horizontal="right" vertical="top" wrapText="1" indent="1"/>
    </xf>
    <xf numFmtId="0" fontId="98" fillId="0" borderId="67" xfId="4496" applyFont="1" applyBorder="1" applyAlignment="1">
      <alignment horizontal="right" indent="1"/>
    </xf>
    <xf numFmtId="0" fontId="98" fillId="0" borderId="72" xfId="4496" applyFont="1" applyBorder="1" applyAlignment="1">
      <alignment horizontal="right" indent="1"/>
    </xf>
    <xf numFmtId="0" fontId="98" fillId="0" borderId="72" xfId="4496" quotePrefix="1" applyFont="1" applyBorder="1" applyAlignment="1">
      <alignment horizontal="right" indent="1"/>
    </xf>
    <xf numFmtId="0" fontId="98" fillId="0" borderId="69" xfId="4496" applyFont="1" applyBorder="1" applyAlignment="1">
      <alignment horizontal="right" indent="1"/>
    </xf>
    <xf numFmtId="182" fontId="98" fillId="0" borderId="71" xfId="4496" applyNumberFormat="1" applyFont="1" applyBorder="1"/>
    <xf numFmtId="182" fontId="98" fillId="0" borderId="76" xfId="4496" applyNumberFormat="1" applyFont="1" applyBorder="1"/>
    <xf numFmtId="182" fontId="98" fillId="0" borderId="77" xfId="4496" applyNumberFormat="1" applyFont="1" applyBorder="1"/>
    <xf numFmtId="175" fontId="24" fillId="0" borderId="0" xfId="543" applyNumberFormat="1" applyFont="1" applyAlignment="1">
      <alignment vertical="center"/>
    </xf>
    <xf numFmtId="10" fontId="137" fillId="0" borderId="0" xfId="4494" applyNumberFormat="1" applyFont="1" applyProtection="1"/>
    <xf numFmtId="0" fontId="24" fillId="0" borderId="0" xfId="1192" applyFont="1" applyAlignment="1">
      <alignment horizontal="left" indent="1"/>
    </xf>
    <xf numFmtId="168" fontId="98" fillId="0" borderId="11" xfId="4499" applyNumberFormat="1" applyFont="1" applyFill="1" applyBorder="1" applyAlignment="1" applyProtection="1">
      <alignment horizontal="left" vertical="center" indent="1"/>
    </xf>
    <xf numFmtId="168" fontId="137" fillId="0" borderId="68" xfId="4499" applyNumberFormat="1" applyFont="1" applyFill="1" applyBorder="1" applyAlignment="1" applyProtection="1">
      <alignment horizontal="left" vertical="center" indent="1"/>
    </xf>
    <xf numFmtId="182" fontId="98" fillId="0" borderId="13" xfId="4496" applyNumberFormat="1" applyFont="1" applyBorder="1"/>
    <xf numFmtId="182" fontId="98" fillId="0" borderId="70" xfId="4496" applyNumberFormat="1" applyFont="1" applyBorder="1"/>
    <xf numFmtId="0" fontId="35" fillId="0" borderId="0" xfId="4495" applyFont="1" applyAlignment="1">
      <alignment vertical="center"/>
    </xf>
    <xf numFmtId="0" fontId="122" fillId="0" borderId="0" xfId="4496" applyFont="1" applyAlignment="1">
      <alignment vertical="center" wrapText="1"/>
    </xf>
    <xf numFmtId="0" fontId="22" fillId="43" borderId="0" xfId="1192" applyFont="1" applyFill="1"/>
    <xf numFmtId="3" fontId="68" fillId="43" borderId="6" xfId="1192" applyNumberFormat="1" applyFont="1" applyFill="1" applyBorder="1"/>
    <xf numFmtId="0" fontId="153" fillId="0" borderId="0" xfId="0" applyFont="1"/>
    <xf numFmtId="0" fontId="22" fillId="0" borderId="11" xfId="253" applyFont="1" applyBorder="1" applyAlignment="1" applyProtection="1">
      <alignment horizontal="center" wrapText="1"/>
      <protection locked="0"/>
    </xf>
    <xf numFmtId="0" fontId="154" fillId="0" borderId="0" xfId="0" applyFont="1"/>
    <xf numFmtId="0" fontId="155" fillId="0" borderId="0" xfId="0" applyFont="1" applyAlignment="1">
      <alignment horizontal="center"/>
    </xf>
    <xf numFmtId="0" fontId="53" fillId="5" borderId="11" xfId="0" applyFont="1" applyFill="1" applyBorder="1" applyAlignment="1" applyProtection="1">
      <alignment horizontal="right" vertical="top" wrapText="1"/>
      <protection locked="0"/>
    </xf>
    <xf numFmtId="0" fontId="17" fillId="43" borderId="3" xfId="569" applyFill="1" applyBorder="1"/>
    <xf numFmtId="0" fontId="158" fillId="0" borderId="0" xfId="0" applyFont="1" applyAlignment="1">
      <alignment horizontal="right"/>
    </xf>
    <xf numFmtId="1" fontId="25" fillId="0" borderId="0" xfId="4495" applyNumberFormat="1" applyFont="1"/>
    <xf numFmtId="0" fontId="24" fillId="0" borderId="4" xfId="569" applyFont="1" applyBorder="1" applyAlignment="1">
      <alignment horizontal="center"/>
    </xf>
    <xf numFmtId="43" fontId="24" fillId="0" borderId="0" xfId="4503" applyFont="1" applyAlignment="1" applyProtection="1">
      <alignment horizontal="center"/>
    </xf>
    <xf numFmtId="0" fontId="24" fillId="0" borderId="0" xfId="569" applyFont="1" applyAlignment="1">
      <alignment horizontal="center" vertical="center"/>
    </xf>
    <xf numFmtId="0" fontId="24" fillId="0" borderId="16" xfId="569" applyFont="1" applyBorder="1" applyAlignment="1">
      <alignment horizontal="center"/>
    </xf>
    <xf numFmtId="49" fontId="24" fillId="0" borderId="4" xfId="569" applyNumberFormat="1" applyFont="1" applyBorder="1" applyAlignment="1">
      <alignment horizontal="center"/>
    </xf>
    <xf numFmtId="4" fontId="24" fillId="0" borderId="0" xfId="569" applyNumberFormat="1" applyFont="1" applyAlignment="1">
      <alignment horizontal="center"/>
    </xf>
    <xf numFmtId="0" fontId="17" fillId="0" borderId="0" xfId="569" applyAlignment="1">
      <alignment horizontal="center" wrapText="1"/>
    </xf>
    <xf numFmtId="0" fontId="98" fillId="0" borderId="6" xfId="4496" applyFont="1" applyBorder="1" applyAlignment="1">
      <alignment horizontal="left" vertical="top"/>
    </xf>
    <xf numFmtId="0" fontId="17" fillId="0" borderId="0" xfId="0" applyFont="1" applyAlignment="1">
      <alignment vertical="center" wrapText="1"/>
    </xf>
    <xf numFmtId="3" fontId="22" fillId="43" borderId="11" xfId="271" applyNumberFormat="1" applyFont="1" applyFill="1" applyBorder="1" applyAlignment="1" applyProtection="1">
      <alignment horizontal="left"/>
      <protection locked="0"/>
    </xf>
    <xf numFmtId="0" fontId="98" fillId="43" borderId="6" xfId="4496" applyFont="1" applyFill="1" applyBorder="1" applyProtection="1">
      <protection locked="0"/>
    </xf>
    <xf numFmtId="1" fontId="98" fillId="0" borderId="0" xfId="4496" applyNumberFormat="1" applyFont="1" applyProtection="1">
      <protection locked="0"/>
    </xf>
    <xf numFmtId="182" fontId="163" fillId="0" borderId="11" xfId="4496" applyNumberFormat="1" applyFont="1" applyBorder="1"/>
    <xf numFmtId="44" fontId="98" fillId="0" borderId="0" xfId="4496" applyNumberFormat="1" applyFont="1"/>
    <xf numFmtId="182" fontId="22" fillId="0" borderId="11" xfId="4496" applyNumberFormat="1" applyFont="1" applyBorder="1"/>
    <xf numFmtId="9" fontId="98" fillId="0" borderId="0" xfId="4494" applyFont="1"/>
    <xf numFmtId="182" fontId="98" fillId="43" borderId="6" xfId="8721" applyNumberFormat="1" applyFont="1" applyFill="1" applyBorder="1" applyProtection="1">
      <protection locked="0"/>
    </xf>
    <xf numFmtId="0" fontId="17" fillId="0" borderId="0" xfId="4495" applyFont="1" applyAlignment="1">
      <alignment wrapText="1"/>
    </xf>
    <xf numFmtId="168" fontId="175" fillId="48" borderId="79" xfId="700" applyNumberFormat="1" applyFont="1" applyFill="1" applyBorder="1" applyAlignment="1" applyProtection="1">
      <protection locked="0"/>
    </xf>
    <xf numFmtId="3" fontId="45" fillId="10" borderId="0" xfId="543" applyNumberFormat="1" applyFont="1" applyFill="1" applyAlignment="1">
      <alignment vertical="center" wrapText="1"/>
    </xf>
    <xf numFmtId="0" fontId="182" fillId="0" borderId="0" xfId="543" applyFont="1" applyAlignment="1">
      <alignment horizontal="left" vertical="center"/>
    </xf>
    <xf numFmtId="0" fontId="183" fillId="0" borderId="0" xfId="543" applyFont="1" applyAlignment="1">
      <alignment horizontal="right" vertical="top" wrapText="1"/>
    </xf>
    <xf numFmtId="168" fontId="183" fillId="0" borderId="0" xfId="543" applyNumberFormat="1" applyFont="1" applyAlignment="1">
      <alignment horizontal="center" vertical="center"/>
    </xf>
    <xf numFmtId="0" fontId="184" fillId="0" borderId="0" xfId="543" applyFont="1" applyAlignment="1">
      <alignment horizontal="left" vertical="center"/>
    </xf>
    <xf numFmtId="0" fontId="184" fillId="0" borderId="0" xfId="543" applyFont="1" applyAlignment="1">
      <alignment horizontal="right" vertical="top" wrapText="1"/>
    </xf>
    <xf numFmtId="168" fontId="183" fillId="0" borderId="104" xfId="543" applyNumberFormat="1" applyFont="1" applyBorder="1" applyAlignment="1">
      <alignment horizontal="center" vertical="center"/>
    </xf>
    <xf numFmtId="0" fontId="184" fillId="0" borderId="106" xfId="543" applyFont="1" applyBorder="1" applyAlignment="1">
      <alignment horizontal="right" vertical="top" wrapText="1"/>
    </xf>
    <xf numFmtId="0" fontId="24" fillId="0" borderId="0" xfId="4495" applyFont="1" applyAlignment="1">
      <alignment wrapText="1"/>
    </xf>
    <xf numFmtId="182" fontId="17" fillId="0" borderId="0" xfId="700" applyNumberFormat="1" applyFont="1"/>
    <xf numFmtId="9" fontId="17" fillId="0" borderId="0" xfId="1022" applyFont="1"/>
    <xf numFmtId="168" fontId="17" fillId="0" borderId="110" xfId="0" applyNumberFormat="1" applyFont="1" applyBorder="1"/>
    <xf numFmtId="9" fontId="0" fillId="0" borderId="0" xfId="0" applyNumberFormat="1"/>
    <xf numFmtId="182" fontId="0" fillId="0" borderId="0" xfId="700" applyNumberFormat="1" applyFont="1" applyAlignment="1" applyProtection="1">
      <alignment horizontal="right"/>
    </xf>
    <xf numFmtId="182" fontId="0" fillId="0" borderId="11" xfId="700" applyNumberFormat="1" applyFont="1" applyBorder="1" applyAlignment="1" applyProtection="1">
      <alignment horizontal="right"/>
    </xf>
    <xf numFmtId="0" fontId="2" fillId="0" borderId="0" xfId="8733"/>
    <xf numFmtId="0" fontId="103" fillId="0" borderId="0" xfId="8733" applyFont="1"/>
    <xf numFmtId="0" fontId="2" fillId="47" borderId="66" xfId="8733" applyFill="1" applyBorder="1"/>
    <xf numFmtId="0" fontId="2" fillId="47" borderId="0" xfId="8733" applyFill="1"/>
    <xf numFmtId="0" fontId="102" fillId="47" borderId="41" xfId="8733" applyFont="1" applyFill="1" applyBorder="1" applyAlignment="1">
      <alignment horizontal="center"/>
    </xf>
    <xf numFmtId="0" fontId="102" fillId="47" borderId="0" xfId="8733" applyFont="1" applyFill="1"/>
    <xf numFmtId="182" fontId="174" fillId="47" borderId="0" xfId="8734" applyNumberFormat="1" applyFont="1" applyFill="1" applyBorder="1" applyAlignment="1"/>
    <xf numFmtId="0" fontId="2" fillId="47" borderId="41" xfId="8733" applyFill="1" applyBorder="1"/>
    <xf numFmtId="0" fontId="103" fillId="47" borderId="0" xfId="8733" applyFont="1" applyFill="1"/>
    <xf numFmtId="0" fontId="178" fillId="47" borderId="0" xfId="8733" applyFont="1" applyFill="1"/>
    <xf numFmtId="0" fontId="102" fillId="47" borderId="41" xfId="8733" applyFont="1" applyFill="1" applyBorder="1"/>
    <xf numFmtId="0" fontId="102" fillId="0" borderId="0" xfId="8733" applyFont="1"/>
    <xf numFmtId="0" fontId="102" fillId="54" borderId="100" xfId="8733" applyFont="1" applyFill="1" applyBorder="1"/>
    <xf numFmtId="0" fontId="2" fillId="53" borderId="99" xfId="8733" applyFill="1" applyBorder="1"/>
    <xf numFmtId="0" fontId="2" fillId="52" borderId="99" xfId="8733" applyFill="1" applyBorder="1"/>
    <xf numFmtId="0" fontId="102" fillId="45" borderId="65" xfId="8733" applyFont="1" applyFill="1" applyBorder="1"/>
    <xf numFmtId="0" fontId="2" fillId="45" borderId="80" xfId="8733" applyFill="1" applyBorder="1"/>
    <xf numFmtId="0" fontId="2" fillId="45" borderId="79" xfId="8733" applyFill="1" applyBorder="1"/>
    <xf numFmtId="0" fontId="2" fillId="45" borderId="78" xfId="8733" applyFill="1" applyBorder="1"/>
    <xf numFmtId="0" fontId="102" fillId="45" borderId="0" xfId="8733" applyFont="1" applyFill="1"/>
    <xf numFmtId="0" fontId="102" fillId="45" borderId="12" xfId="8733" applyFont="1" applyFill="1" applyBorder="1"/>
    <xf numFmtId="0" fontId="102" fillId="45" borderId="29" xfId="8733" applyFont="1" applyFill="1" applyBorder="1"/>
    <xf numFmtId="0" fontId="102" fillId="45" borderId="80" xfId="8733" applyFont="1" applyFill="1" applyBorder="1"/>
    <xf numFmtId="0" fontId="102" fillId="45" borderId="79" xfId="8733" applyFont="1" applyFill="1" applyBorder="1"/>
    <xf numFmtId="0" fontId="102" fillId="45" borderId="78" xfId="8733" applyFont="1" applyFill="1" applyBorder="1"/>
    <xf numFmtId="0" fontId="102" fillId="45" borderId="93" xfId="8733" applyFont="1" applyFill="1" applyBorder="1"/>
    <xf numFmtId="0" fontId="102" fillId="45" borderId="6" xfId="8733" applyFont="1" applyFill="1" applyBorder="1"/>
    <xf numFmtId="0" fontId="102" fillId="45" borderId="10" xfId="8733" applyFont="1" applyFill="1" applyBorder="1"/>
    <xf numFmtId="0" fontId="2" fillId="45" borderId="29" xfId="8733" applyFill="1" applyBorder="1"/>
    <xf numFmtId="0" fontId="2" fillId="45" borderId="31" xfId="8733" applyFill="1" applyBorder="1"/>
    <xf numFmtId="0" fontId="102" fillId="45" borderId="92" xfId="8733" applyFont="1" applyFill="1" applyBorder="1"/>
    <xf numFmtId="0" fontId="102" fillId="45" borderId="74" xfId="8733" applyFont="1" applyFill="1" applyBorder="1"/>
    <xf numFmtId="0" fontId="173" fillId="45" borderId="87" xfId="8733" applyFont="1" applyFill="1" applyBorder="1"/>
    <xf numFmtId="0" fontId="2" fillId="45" borderId="87" xfId="8733" applyFill="1" applyBorder="1"/>
    <xf numFmtId="0" fontId="2" fillId="45" borderId="86" xfId="8733" applyFill="1" applyBorder="1"/>
    <xf numFmtId="0" fontId="2" fillId="45" borderId="95" xfId="8733" applyFill="1" applyBorder="1"/>
    <xf numFmtId="0" fontId="180" fillId="47" borderId="0" xfId="8733" applyFont="1" applyFill="1"/>
    <xf numFmtId="0" fontId="102" fillId="45" borderId="31" xfId="8733" applyFont="1" applyFill="1" applyBorder="1"/>
    <xf numFmtId="0" fontId="2" fillId="47" borderId="0" xfId="8733" applyFill="1" applyAlignment="1">
      <alignment horizontal="left"/>
    </xf>
    <xf numFmtId="0" fontId="172" fillId="51" borderId="11" xfId="8733" applyFont="1" applyFill="1" applyBorder="1"/>
    <xf numFmtId="0" fontId="172" fillId="51" borderId="76" xfId="8733" applyFont="1" applyFill="1" applyBorder="1"/>
    <xf numFmtId="0" fontId="173" fillId="51" borderId="11" xfId="8733" applyFont="1" applyFill="1" applyBorder="1" applyAlignment="1">
      <alignment horizontal="center"/>
    </xf>
    <xf numFmtId="0" fontId="173" fillId="51" borderId="76" xfId="8733" applyFont="1" applyFill="1" applyBorder="1" applyAlignment="1">
      <alignment horizontal="center"/>
    </xf>
    <xf numFmtId="0" fontId="2" fillId="48" borderId="66" xfId="8733" applyFill="1" applyBorder="1"/>
    <xf numFmtId="0" fontId="2" fillId="48" borderId="0" xfId="8733" applyFill="1"/>
    <xf numFmtId="0" fontId="2" fillId="48" borderId="78" xfId="8733" applyFill="1" applyBorder="1"/>
    <xf numFmtId="0" fontId="102" fillId="47" borderId="66" xfId="8733" applyFont="1" applyFill="1" applyBorder="1"/>
    <xf numFmtId="49" fontId="102" fillId="47" borderId="66" xfId="8733" applyNumberFormat="1" applyFont="1" applyFill="1" applyBorder="1" applyAlignment="1">
      <alignment horizontal="right" vertical="top"/>
    </xf>
    <xf numFmtId="0" fontId="2" fillId="47" borderId="73" xfId="8733" applyFill="1" applyBorder="1"/>
    <xf numFmtId="0" fontId="2" fillId="47" borderId="42" xfId="8733" applyFill="1" applyBorder="1"/>
    <xf numFmtId="0" fontId="2" fillId="47" borderId="44" xfId="8733" applyFill="1" applyBorder="1"/>
    <xf numFmtId="0" fontId="2" fillId="44" borderId="66" xfId="8733" applyFill="1" applyBorder="1"/>
    <xf numFmtId="0" fontId="2" fillId="44" borderId="0" xfId="8733" applyFill="1"/>
    <xf numFmtId="0" fontId="2" fillId="44" borderId="41" xfId="8733" applyFill="1" applyBorder="1"/>
    <xf numFmtId="0" fontId="2" fillId="44" borderId="0" xfId="8733" applyFill="1" applyAlignment="1">
      <alignment horizontal="left"/>
    </xf>
    <xf numFmtId="0" fontId="2" fillId="44" borderId="73" xfId="8733" applyFill="1" applyBorder="1"/>
    <xf numFmtId="0" fontId="2" fillId="44" borderId="42" xfId="8733" applyFill="1" applyBorder="1"/>
    <xf numFmtId="0" fontId="2" fillId="44" borderId="44" xfId="8733" applyFill="1" applyBorder="1"/>
    <xf numFmtId="0" fontId="164" fillId="0" borderId="0" xfId="8733" applyFont="1"/>
    <xf numFmtId="168" fontId="0" fillId="0" borderId="0" xfId="0" applyNumberFormat="1"/>
    <xf numFmtId="0" fontId="122" fillId="52" borderId="113" xfId="0" applyFont="1" applyFill="1" applyBorder="1"/>
    <xf numFmtId="0" fontId="122" fillId="53" borderId="113" xfId="0" applyFont="1" applyFill="1" applyBorder="1"/>
    <xf numFmtId="1" fontId="0" fillId="0" borderId="0" xfId="0" applyNumberFormat="1"/>
    <xf numFmtId="0" fontId="18" fillId="0" borderId="0" xfId="244" applyFill="1" applyBorder="1" applyAlignment="1" applyProtection="1">
      <alignment horizontal="left"/>
      <protection locked="0"/>
    </xf>
    <xf numFmtId="9" fontId="0" fillId="0" borderId="0" xfId="1022" applyFont="1"/>
    <xf numFmtId="2" fontId="0" fillId="0" borderId="0" xfId="0" applyNumberFormat="1"/>
    <xf numFmtId="175" fontId="0" fillId="0" borderId="0" xfId="1022" applyNumberFormat="1" applyFont="1"/>
    <xf numFmtId="0" fontId="18" fillId="0" borderId="0" xfId="244" applyAlignment="1">
      <alignment horizontal="left" vertical="top"/>
    </xf>
    <xf numFmtId="9" fontId="17" fillId="0" borderId="0" xfId="0" applyNumberFormat="1" applyFont="1"/>
    <xf numFmtId="0" fontId="169" fillId="0" borderId="0" xfId="8733" applyFont="1"/>
    <xf numFmtId="0" fontId="166" fillId="0" borderId="0" xfId="8733" applyFont="1"/>
    <xf numFmtId="185" fontId="169" fillId="0" borderId="0" xfId="698" applyNumberFormat="1" applyFont="1"/>
    <xf numFmtId="10" fontId="169" fillId="0" borderId="0" xfId="1022" applyNumberFormat="1" applyFont="1"/>
    <xf numFmtId="0" fontId="23" fillId="3" borderId="0" xfId="0" applyFont="1" applyFill="1" applyAlignment="1">
      <alignment horizontal="center" vertical="center" wrapText="1"/>
    </xf>
    <xf numFmtId="0" fontId="23" fillId="3" borderId="16" xfId="0" applyFont="1" applyFill="1" applyBorder="1" applyAlignment="1">
      <alignment horizontal="center" vertical="center" wrapText="1"/>
    </xf>
    <xf numFmtId="0" fontId="17" fillId="0" borderId="0" xfId="0" applyFont="1" applyAlignment="1">
      <alignment horizontal="left" vertical="top" wrapText="1"/>
    </xf>
    <xf numFmtId="0" fontId="105" fillId="0" borderId="0" xfId="0" applyFont="1" applyAlignment="1">
      <alignment horizontal="left" vertical="top" wrapText="1"/>
    </xf>
    <xf numFmtId="0" fontId="18" fillId="0" borderId="0" xfId="244" applyAlignment="1">
      <alignment horizontal="left" vertical="top"/>
    </xf>
    <xf numFmtId="0" fontId="46" fillId="0" borderId="0" xfId="0" applyFont="1" applyAlignment="1">
      <alignment horizontal="left" vertical="top" wrapText="1"/>
    </xf>
    <xf numFmtId="0" fontId="113" fillId="0" borderId="0" xfId="0" applyFont="1" applyAlignment="1">
      <alignment horizontal="left" wrapText="1"/>
    </xf>
    <xf numFmtId="0" fontId="17" fillId="0" borderId="0" xfId="0" applyFont="1" applyAlignment="1">
      <alignment horizontal="left" wrapText="1"/>
    </xf>
    <xf numFmtId="0" fontId="26" fillId="0" borderId="0" xfId="0" applyFont="1" applyAlignment="1">
      <alignment horizontal="left" wrapText="1"/>
    </xf>
    <xf numFmtId="0" fontId="18" fillId="0" borderId="0" xfId="244" applyAlignment="1" applyProtection="1">
      <alignment horizontal="left"/>
    </xf>
    <xf numFmtId="0" fontId="18" fillId="0" borderId="0" xfId="244"/>
    <xf numFmtId="0" fontId="0" fillId="0" borderId="0" xfId="0"/>
    <xf numFmtId="0" fontId="17" fillId="0" borderId="0" xfId="1192" applyAlignment="1">
      <alignment horizontal="left" vertical="top" wrapText="1"/>
    </xf>
    <xf numFmtId="0" fontId="24" fillId="0" borderId="0" xfId="0" applyFont="1" applyAlignment="1">
      <alignment horizontal="left" vertical="top" wrapText="1"/>
    </xf>
    <xf numFmtId="0" fontId="114" fillId="0" borderId="0" xfId="569" applyFont="1" applyAlignment="1">
      <alignment horizontal="center"/>
    </xf>
    <xf numFmtId="0" fontId="115" fillId="0" borderId="0" xfId="569" applyFont="1"/>
    <xf numFmtId="0" fontId="17" fillId="0" borderId="0" xfId="569" applyAlignment="1">
      <alignment wrapText="1"/>
    </xf>
    <xf numFmtId="0" fontId="24" fillId="0" borderId="0" xfId="569" applyFont="1" applyAlignment="1">
      <alignment wrapText="1"/>
    </xf>
    <xf numFmtId="0" fontId="32" fillId="0" borderId="0" xfId="569" applyFont="1" applyAlignment="1">
      <alignment horizontal="center"/>
    </xf>
    <xf numFmtId="0" fontId="17" fillId="0" borderId="0" xfId="569"/>
    <xf numFmtId="0" fontId="17" fillId="0" borderId="0" xfId="1192" applyAlignment="1">
      <alignment vertical="top" wrapText="1"/>
    </xf>
    <xf numFmtId="4" fontId="17" fillId="0" borderId="0" xfId="569" applyNumberFormat="1" applyAlignment="1">
      <alignment horizontal="left"/>
    </xf>
    <xf numFmtId="0" fontId="35" fillId="0" borderId="0" xfId="569" applyFont="1" applyAlignment="1">
      <alignment horizontal="left" vertical="top"/>
    </xf>
    <xf numFmtId="4" fontId="35" fillId="0" borderId="0" xfId="0" applyNumberFormat="1" applyFont="1" applyAlignment="1">
      <alignment horizontal="left"/>
    </xf>
    <xf numFmtId="4" fontId="17" fillId="0" borderId="0" xfId="0" applyNumberFormat="1" applyFont="1" applyAlignment="1">
      <alignment horizontal="left"/>
    </xf>
    <xf numFmtId="0" fontId="24" fillId="0" borderId="4" xfId="0" applyFont="1" applyBorder="1" applyAlignment="1">
      <alignment horizontal="left"/>
    </xf>
    <xf numFmtId="0" fontId="35" fillId="0" borderId="0" xfId="0" applyFont="1" applyAlignment="1">
      <alignment horizontal="left" vertical="top"/>
    </xf>
    <xf numFmtId="0" fontId="17" fillId="0" borderId="0" xfId="0" applyFont="1" applyAlignment="1">
      <alignment horizontal="left" vertical="top"/>
    </xf>
    <xf numFmtId="0" fontId="17" fillId="0" borderId="0" xfId="0" applyFont="1" applyAlignment="1">
      <alignment horizontal="left"/>
    </xf>
    <xf numFmtId="49" fontId="17" fillId="0" borderId="0" xfId="0" applyNumberFormat="1" applyFont="1" applyAlignment="1">
      <alignment horizontal="left" vertical="top" wrapText="1"/>
    </xf>
    <xf numFmtId="0" fontId="17" fillId="0" borderId="0" xfId="0" applyFont="1" applyAlignment="1">
      <alignment horizontal="left" vertical="center" wrapText="1"/>
    </xf>
    <xf numFmtId="0" fontId="17" fillId="0" borderId="0" xfId="569" applyAlignment="1">
      <alignment horizontal="left" wrapText="1"/>
    </xf>
    <xf numFmtId="0" fontId="17" fillId="0" borderId="0" xfId="0" applyFont="1" applyAlignment="1">
      <alignment vertical="top" wrapText="1"/>
    </xf>
    <xf numFmtId="0" fontId="18" fillId="0" borderId="0" xfId="244" applyFill="1" applyBorder="1" applyAlignment="1">
      <alignment horizontal="left" vertical="top" wrapText="1"/>
    </xf>
    <xf numFmtId="4" fontId="17" fillId="0" borderId="0" xfId="0" applyNumberFormat="1" applyFont="1" applyAlignment="1">
      <alignment horizontal="left" vertical="top" wrapText="1"/>
    </xf>
    <xf numFmtId="0" fontId="35" fillId="0" borderId="0" xfId="0" applyFont="1" applyAlignment="1">
      <alignment horizontal="left"/>
    </xf>
    <xf numFmtId="0" fontId="24" fillId="0" borderId="0" xfId="0" applyFont="1" applyAlignment="1">
      <alignment vertical="top" wrapText="1"/>
    </xf>
    <xf numFmtId="0" fontId="24" fillId="0" borderId="0" xfId="1192" applyFont="1" applyAlignment="1">
      <alignment horizontal="left" vertical="top" wrapText="1"/>
    </xf>
    <xf numFmtId="4" fontId="35" fillId="0" borderId="0" xfId="569" applyNumberFormat="1" applyFont="1" applyAlignment="1">
      <alignment horizontal="left" vertical="top" wrapText="1"/>
    </xf>
    <xf numFmtId="0" fontId="17" fillId="0" borderId="0" xfId="569" applyAlignment="1">
      <alignment horizontal="left"/>
    </xf>
    <xf numFmtId="0" fontId="24" fillId="0" borderId="4" xfId="569" applyFont="1" applyBorder="1" applyAlignment="1">
      <alignment horizontal="left" vertical="top"/>
    </xf>
    <xf numFmtId="0" fontId="17" fillId="0" borderId="0" xfId="569" applyAlignment="1">
      <alignment horizontal="left" vertical="top" wrapText="1"/>
    </xf>
    <xf numFmtId="0" fontId="18" fillId="0" borderId="0" xfId="244" quotePrefix="1" applyAlignment="1" applyProtection="1">
      <alignment horizontal="left"/>
    </xf>
    <xf numFmtId="0" fontId="17" fillId="0" borderId="0" xfId="569" applyAlignment="1">
      <alignment horizontal="left" vertical="top"/>
    </xf>
    <xf numFmtId="0" fontId="17" fillId="0" borderId="0" xfId="0" quotePrefix="1" applyFont="1" applyAlignment="1">
      <alignment horizontal="left" vertical="top"/>
    </xf>
    <xf numFmtId="0" fontId="35" fillId="0" borderId="0" xfId="0" applyFont="1" applyAlignment="1">
      <alignment horizontal="left" vertical="top" wrapText="1"/>
    </xf>
    <xf numFmtId="0" fontId="17" fillId="0" borderId="0" xfId="0" quotePrefix="1" applyFont="1" applyAlignment="1">
      <alignment horizontal="left" vertical="top" wrapText="1"/>
    </xf>
    <xf numFmtId="4" fontId="17" fillId="0" borderId="0" xfId="569" applyNumberFormat="1" applyAlignment="1">
      <alignment horizontal="left" vertical="top" wrapText="1"/>
    </xf>
    <xf numFmtId="0" fontId="24" fillId="0" borderId="4" xfId="569" applyFont="1" applyBorder="1" applyAlignment="1">
      <alignment horizontal="left"/>
    </xf>
    <xf numFmtId="0" fontId="35" fillId="0" borderId="0" xfId="569" applyFont="1" applyAlignment="1">
      <alignment horizontal="left"/>
    </xf>
    <xf numFmtId="0" fontId="17" fillId="0" borderId="0" xfId="1192" applyAlignment="1" applyProtection="1">
      <alignment horizontal="left" vertical="top" wrapText="1"/>
      <protection locked="0"/>
    </xf>
    <xf numFmtId="0" fontId="0" fillId="0" borderId="0" xfId="0" applyAlignment="1">
      <alignment horizontal="left" vertical="top" wrapText="1"/>
    </xf>
    <xf numFmtId="0" fontId="35" fillId="0" borderId="0" xfId="1192" applyFont="1" applyAlignment="1">
      <alignment horizontal="left" vertical="top" wrapText="1"/>
    </xf>
    <xf numFmtId="4" fontId="17" fillId="0" borderId="0" xfId="1192" applyNumberFormat="1" applyAlignment="1">
      <alignment horizontal="left" vertical="top" wrapText="1"/>
    </xf>
    <xf numFmtId="0" fontId="17" fillId="0" borderId="0" xfId="569" applyAlignment="1">
      <alignment vertical="top" wrapText="1"/>
    </xf>
    <xf numFmtId="4" fontId="35" fillId="0" borderId="0" xfId="0" applyNumberFormat="1" applyFont="1" applyAlignment="1">
      <alignment horizontal="left" vertical="top" wrapText="1"/>
    </xf>
    <xf numFmtId="0" fontId="24" fillId="0" borderId="4" xfId="0" applyFont="1" applyBorder="1" applyAlignment="1">
      <alignment horizontal="left" vertical="top"/>
    </xf>
    <xf numFmtId="0" fontId="35" fillId="0" borderId="0" xfId="569" applyFont="1" applyAlignment="1">
      <alignment horizontal="left" vertical="top" wrapText="1"/>
    </xf>
    <xf numFmtId="0" fontId="17" fillId="0" borderId="0" xfId="1192" applyAlignment="1">
      <alignment horizontal="left"/>
    </xf>
    <xf numFmtId="0" fontId="24" fillId="0" borderId="0" xfId="569" applyFont="1" applyAlignment="1">
      <alignment horizontal="center"/>
    </xf>
    <xf numFmtId="0" fontId="18" fillId="0" borderId="0" xfId="244" applyNumberFormat="1" applyFill="1" applyAlignment="1" applyProtection="1">
      <alignment horizontal="left"/>
    </xf>
    <xf numFmtId="0" fontId="35" fillId="0" borderId="0" xfId="569" applyFont="1" applyAlignment="1">
      <alignment horizontal="left" wrapText="1"/>
    </xf>
    <xf numFmtId="0" fontId="35" fillId="0" borderId="0" xfId="569" applyFont="1" applyAlignment="1">
      <alignment horizontal="center" wrapText="1"/>
    </xf>
    <xf numFmtId="49" fontId="17" fillId="0" borderId="0" xfId="1192" applyNumberFormat="1" applyAlignment="1">
      <alignment horizontal="left" vertical="top" wrapText="1"/>
    </xf>
    <xf numFmtId="0" fontId="17" fillId="0" borderId="0" xfId="569" applyAlignment="1">
      <alignment horizontal="left" vertical="center" wrapText="1"/>
    </xf>
    <xf numFmtId="0" fontId="24" fillId="0" borderId="0" xfId="0" applyFont="1" applyAlignment="1">
      <alignment horizontal="left" vertical="top"/>
    </xf>
    <xf numFmtId="0" fontId="24" fillId="0" borderId="0" xfId="569" applyFont="1" applyAlignment="1">
      <alignment horizontal="left"/>
    </xf>
    <xf numFmtId="0" fontId="35" fillId="0" borderId="0" xfId="1192" applyFont="1" applyAlignment="1">
      <alignment horizontal="left"/>
    </xf>
    <xf numFmtId="0" fontId="17" fillId="0" borderId="27" xfId="569" applyBorder="1" applyAlignment="1">
      <alignment horizontal="left"/>
    </xf>
    <xf numFmtId="0" fontId="24" fillId="0" borderId="16" xfId="569" applyFont="1" applyBorder="1" applyAlignment="1">
      <alignment horizontal="left"/>
    </xf>
    <xf numFmtId="0" fontId="18" fillId="0" borderId="0" xfId="244" applyAlignment="1" applyProtection="1">
      <alignment horizontal="left" vertical="top" wrapText="1"/>
    </xf>
    <xf numFmtId="0" fontId="35" fillId="0" borderId="0" xfId="569" applyFont="1" applyAlignment="1">
      <alignment horizontal="center"/>
    </xf>
    <xf numFmtId="0" fontId="0" fillId="5" borderId="6" xfId="0" applyFill="1" applyBorder="1" applyAlignment="1" applyProtection="1">
      <alignment horizontal="center"/>
      <protection locked="0"/>
    </xf>
    <xf numFmtId="0" fontId="26" fillId="0" borderId="0" xfId="543" applyFont="1" applyAlignment="1">
      <alignment horizontal="center"/>
    </xf>
    <xf numFmtId="0" fontId="17" fillId="0" borderId="0" xfId="0" applyFont="1" applyAlignment="1">
      <alignment vertical="center" wrapText="1"/>
    </xf>
    <xf numFmtId="0" fontId="0" fillId="0" borderId="0" xfId="0" applyAlignment="1">
      <alignment horizontal="center"/>
    </xf>
    <xf numFmtId="0" fontId="17" fillId="0" borderId="0" xfId="543" applyAlignment="1">
      <alignment wrapText="1"/>
    </xf>
    <xf numFmtId="0" fontId="26" fillId="5" borderId="3" xfId="0" applyFont="1" applyFill="1" applyBorder="1" applyAlignment="1" applyProtection="1">
      <alignment horizontal="center"/>
      <protection locked="0"/>
    </xf>
    <xf numFmtId="0" fontId="26" fillId="5" borderId="4" xfId="0" applyFont="1" applyFill="1" applyBorder="1" applyAlignment="1" applyProtection="1">
      <alignment horizontal="center"/>
      <protection locked="0"/>
    </xf>
    <xf numFmtId="0" fontId="26" fillId="5" borderId="5" xfId="0" applyFont="1" applyFill="1" applyBorder="1" applyAlignment="1" applyProtection="1">
      <alignment horizontal="center"/>
      <protection locked="0"/>
    </xf>
    <xf numFmtId="168" fontId="26" fillId="5" borderId="3" xfId="0" applyNumberFormat="1" applyFont="1" applyFill="1" applyBorder="1" applyAlignment="1" applyProtection="1">
      <alignment horizontal="center"/>
      <protection locked="0"/>
    </xf>
    <xf numFmtId="168" fontId="26" fillId="5" borderId="4" xfId="0" applyNumberFormat="1" applyFont="1" applyFill="1" applyBorder="1" applyAlignment="1" applyProtection="1">
      <alignment horizontal="center"/>
      <protection locked="0"/>
    </xf>
    <xf numFmtId="168" fontId="26" fillId="5" borderId="5" xfId="0" applyNumberFormat="1" applyFont="1" applyFill="1" applyBorder="1" applyAlignment="1" applyProtection="1">
      <alignment horizontal="center"/>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166" fontId="26" fillId="5" borderId="4" xfId="0" applyNumberFormat="1" applyFont="1" applyFill="1" applyBorder="1" applyAlignment="1" applyProtection="1">
      <alignment horizontal="left"/>
      <protection locked="0"/>
    </xf>
    <xf numFmtId="0" fontId="26" fillId="5" borderId="4" xfId="0" applyFont="1" applyFill="1" applyBorder="1" applyAlignment="1" applyProtection="1">
      <alignment wrapText="1"/>
      <protection locked="0"/>
    </xf>
    <xf numFmtId="0" fontId="0" fillId="5" borderId="4" xfId="0" applyFill="1" applyBorder="1" applyAlignment="1" applyProtection="1">
      <alignment horizontal="left"/>
      <protection locked="0"/>
    </xf>
    <xf numFmtId="1" fontId="26" fillId="5" borderId="3" xfId="0" applyNumberFormat="1" applyFont="1" applyFill="1" applyBorder="1" applyAlignment="1" applyProtection="1">
      <alignment horizontal="center"/>
      <protection locked="0"/>
    </xf>
    <xf numFmtId="1" fontId="26" fillId="5" borderId="4" xfId="0" applyNumberFormat="1" applyFont="1" applyFill="1" applyBorder="1" applyAlignment="1" applyProtection="1">
      <alignment horizontal="center"/>
      <protection locked="0"/>
    </xf>
    <xf numFmtId="1" fontId="26" fillId="5" borderId="5" xfId="0" applyNumberFormat="1" applyFont="1" applyFill="1" applyBorder="1" applyAlignment="1" applyProtection="1">
      <alignment horizontal="center"/>
      <protection locked="0"/>
    </xf>
    <xf numFmtId="168" fontId="26" fillId="0" borderId="3" xfId="0" applyNumberFormat="1" applyFont="1" applyBorder="1" applyAlignment="1">
      <alignment horizontal="center"/>
    </xf>
    <xf numFmtId="168" fontId="26" fillId="0" borderId="4" xfId="0" applyNumberFormat="1" applyFont="1" applyBorder="1" applyAlignment="1">
      <alignment horizontal="center"/>
    </xf>
    <xf numFmtId="168" fontId="26" fillId="0" borderId="5" xfId="0" applyNumberFormat="1" applyFont="1" applyBorder="1" applyAlignment="1">
      <alignment horizontal="center"/>
    </xf>
    <xf numFmtId="165" fontId="26" fillId="0" borderId="1" xfId="0" applyNumberFormat="1" applyFont="1" applyBorder="1" applyAlignment="1">
      <alignment horizontal="right"/>
    </xf>
    <xf numFmtId="165" fontId="26" fillId="0" borderId="2" xfId="0" applyNumberFormat="1" applyFont="1" applyBorder="1" applyAlignment="1">
      <alignment horizontal="right"/>
    </xf>
    <xf numFmtId="165" fontId="26" fillId="0" borderId="7" xfId="0" applyNumberFormat="1" applyFont="1" applyBorder="1" applyAlignment="1">
      <alignment horizontal="right"/>
    </xf>
    <xf numFmtId="0" fontId="0" fillId="0" borderId="6" xfId="0" applyBorder="1" applyAlignment="1">
      <alignment horizontal="left"/>
    </xf>
    <xf numFmtId="9" fontId="26" fillId="5" borderId="3" xfId="0" applyNumberFormat="1" applyFont="1" applyFill="1" applyBorder="1" applyAlignment="1" applyProtection="1">
      <alignment horizontal="center"/>
      <protection locked="0"/>
    </xf>
    <xf numFmtId="9" fontId="26" fillId="5" borderId="4" xfId="0" applyNumberFormat="1" applyFont="1" applyFill="1" applyBorder="1" applyAlignment="1" applyProtection="1">
      <alignment horizontal="center"/>
      <protection locked="0"/>
    </xf>
    <xf numFmtId="9" fontId="26" fillId="5" borderId="5" xfId="0" applyNumberFormat="1" applyFont="1" applyFill="1" applyBorder="1" applyAlignment="1" applyProtection="1">
      <alignment horizontal="center"/>
      <protection locked="0"/>
    </xf>
    <xf numFmtId="0" fontId="26" fillId="0" borderId="1" xfId="0" applyFont="1" applyBorder="1" applyAlignment="1">
      <alignment horizontal="center" vertical="top" wrapText="1"/>
    </xf>
    <xf numFmtId="0" fontId="26" fillId="0" borderId="2" xfId="0" applyFont="1" applyBorder="1" applyAlignment="1">
      <alignment horizontal="center" vertical="top" wrapText="1"/>
    </xf>
    <xf numFmtId="0" fontId="26" fillId="0" borderId="7" xfId="0" applyFont="1" applyBorder="1" applyAlignment="1">
      <alignment horizontal="center" vertical="top" wrapText="1"/>
    </xf>
    <xf numFmtId="0" fontId="26" fillId="0" borderId="8" xfId="0" applyFont="1" applyBorder="1" applyAlignment="1">
      <alignment horizontal="center" vertical="top" wrapText="1"/>
    </xf>
    <xf numFmtId="0" fontId="26" fillId="0" borderId="0" xfId="0" applyFont="1" applyAlignment="1">
      <alignment horizontal="center" vertical="top" wrapText="1"/>
    </xf>
    <xf numFmtId="0" fontId="26" fillId="0" borderId="12" xfId="0" applyFont="1" applyBorder="1" applyAlignment="1">
      <alignment horizontal="center" vertical="top" wrapText="1"/>
    </xf>
    <xf numFmtId="0" fontId="26" fillId="0" borderId="9" xfId="0" applyFont="1" applyBorder="1" applyAlignment="1">
      <alignment horizontal="center" vertical="top" wrapText="1"/>
    </xf>
    <xf numFmtId="0" fontId="26" fillId="0" borderId="6" xfId="0" applyFont="1" applyBorder="1" applyAlignment="1">
      <alignment horizontal="center" vertical="top" wrapText="1"/>
    </xf>
    <xf numFmtId="0" fontId="26" fillId="0" borderId="10" xfId="0" applyFont="1" applyBorder="1" applyAlignment="1">
      <alignment horizontal="center" vertical="top" wrapText="1"/>
    </xf>
    <xf numFmtId="0" fontId="0" fillId="5" borderId="6" xfId="0" applyFill="1" applyBorder="1" applyAlignment="1" applyProtection="1">
      <alignment horizontal="left"/>
      <protection locked="0"/>
    </xf>
    <xf numFmtId="0" fontId="24" fillId="0" borderId="0" xfId="0" applyFont="1" applyAlignment="1">
      <alignment horizontal="center"/>
    </xf>
    <xf numFmtId="0" fontId="159" fillId="0" borderId="8" xfId="543" applyFont="1" applyBorder="1" applyAlignment="1">
      <alignment horizontal="center" wrapText="1"/>
    </xf>
    <xf numFmtId="0" fontId="159" fillId="0" borderId="0" xfId="543" applyFont="1" applyAlignment="1">
      <alignment horizontal="center" wrapText="1"/>
    </xf>
    <xf numFmtId="0" fontId="159" fillId="0" borderId="12" xfId="543" applyFont="1" applyBorder="1" applyAlignment="1">
      <alignment horizontal="center" wrapText="1"/>
    </xf>
    <xf numFmtId="0" fontId="159" fillId="0" borderId="9" xfId="543" applyFont="1" applyBorder="1" applyAlignment="1">
      <alignment horizontal="center" wrapText="1"/>
    </xf>
    <xf numFmtId="0" fontId="159" fillId="0" borderId="6" xfId="543" applyFont="1" applyBorder="1" applyAlignment="1">
      <alignment horizontal="center" wrapText="1"/>
    </xf>
    <xf numFmtId="0" fontId="159" fillId="0" borderId="10" xfId="543" applyFont="1" applyBorder="1" applyAlignment="1">
      <alignment horizontal="center" wrapText="1"/>
    </xf>
    <xf numFmtId="0" fontId="159" fillId="0" borderId="8" xfId="543" applyFont="1" applyBorder="1" applyAlignment="1">
      <alignment horizontal="center" vertical="top" wrapText="1"/>
    </xf>
    <xf numFmtId="0" fontId="159" fillId="0" borderId="0" xfId="543" applyFont="1" applyAlignment="1">
      <alignment horizontal="center" vertical="top" wrapText="1"/>
    </xf>
    <xf numFmtId="0" fontId="159" fillId="0" borderId="12" xfId="543" applyFont="1" applyBorder="1" applyAlignment="1">
      <alignment horizontal="center" vertical="top" wrapText="1"/>
    </xf>
    <xf numFmtId="0" fontId="159" fillId="0" borderId="9" xfId="543" applyFont="1" applyBorder="1" applyAlignment="1">
      <alignment horizontal="center" vertical="top" wrapText="1"/>
    </xf>
    <xf numFmtId="0" fontId="159" fillId="0" borderId="6" xfId="543" applyFont="1" applyBorder="1" applyAlignment="1">
      <alignment horizontal="center" vertical="top" wrapText="1"/>
    </xf>
    <xf numFmtId="0" fontId="159" fillId="0" borderId="10" xfId="543" applyFont="1" applyBorder="1" applyAlignment="1">
      <alignment horizontal="center" vertical="top" wrapText="1"/>
    </xf>
    <xf numFmtId="0" fontId="156" fillId="0" borderId="0" xfId="0" applyFont="1" applyAlignment="1">
      <alignment horizontal="center" vertical="center" wrapText="1"/>
    </xf>
    <xf numFmtId="0" fontId="17" fillId="0" borderId="3" xfId="543" applyBorder="1" applyAlignment="1">
      <alignment horizontal="center"/>
    </xf>
    <xf numFmtId="0" fontId="17" fillId="0" borderId="4" xfId="543" applyBorder="1" applyAlignment="1">
      <alignment horizontal="center"/>
    </xf>
    <xf numFmtId="0" fontId="17" fillId="0" borderId="5" xfId="543" applyBorder="1" applyAlignment="1">
      <alignment horizontal="center"/>
    </xf>
    <xf numFmtId="1" fontId="17" fillId="0" borderId="3" xfId="543" applyNumberFormat="1" applyBorder="1" applyAlignment="1">
      <alignment horizontal="center"/>
    </xf>
    <xf numFmtId="1" fontId="17" fillId="0" borderId="4" xfId="543" applyNumberFormat="1" applyBorder="1" applyAlignment="1">
      <alignment horizontal="center"/>
    </xf>
    <xf numFmtId="1" fontId="17" fillId="0" borderId="5" xfId="543" applyNumberFormat="1" applyBorder="1" applyAlignment="1">
      <alignment horizontal="center"/>
    </xf>
    <xf numFmtId="168" fontId="17" fillId="0" borderId="1" xfId="543" applyNumberFormat="1" applyBorder="1" applyAlignment="1">
      <alignment horizontal="center" vertical="center"/>
    </xf>
    <xf numFmtId="168" fontId="17" fillId="0" borderId="2" xfId="543" applyNumberFormat="1" applyBorder="1" applyAlignment="1">
      <alignment horizontal="center" vertical="center"/>
    </xf>
    <xf numFmtId="168" fontId="17" fillId="0" borderId="7" xfId="543" applyNumberFormat="1" applyBorder="1" applyAlignment="1">
      <alignment horizontal="center" vertical="center"/>
    </xf>
    <xf numFmtId="168" fontId="17" fillId="0" borderId="8" xfId="543" applyNumberFormat="1" applyBorder="1" applyAlignment="1">
      <alignment horizontal="center" vertical="center"/>
    </xf>
    <xf numFmtId="168" fontId="17" fillId="0" borderId="0" xfId="543" applyNumberFormat="1" applyAlignment="1">
      <alignment horizontal="center" vertical="center"/>
    </xf>
    <xf numFmtId="168" fontId="17" fillId="0" borderId="12" xfId="543" applyNumberFormat="1" applyBorder="1" applyAlignment="1">
      <alignment horizontal="center" vertical="center"/>
    </xf>
    <xf numFmtId="168" fontId="17" fillId="0" borderId="9" xfId="543" applyNumberFormat="1" applyBorder="1" applyAlignment="1">
      <alignment horizontal="center" vertical="center"/>
    </xf>
    <xf numFmtId="168" fontId="17" fillId="0" borderId="6" xfId="543" applyNumberFormat="1" applyBorder="1" applyAlignment="1">
      <alignment horizontal="center" vertical="center"/>
    </xf>
    <xf numFmtId="168" fontId="17" fillId="0" borderId="10" xfId="543" applyNumberFormat="1" applyBorder="1" applyAlignment="1">
      <alignment horizontal="center" vertical="center"/>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50" fillId="0" borderId="0" xfId="0" applyFont="1" applyAlignment="1">
      <alignment horizontal="center"/>
    </xf>
    <xf numFmtId="0" fontId="17" fillId="0" borderId="0" xfId="0" applyFont="1" applyAlignment="1">
      <alignment horizontal="center"/>
    </xf>
    <xf numFmtId="0" fontId="32" fillId="0" borderId="0" xfId="0" applyFont="1" applyAlignment="1">
      <alignment horizontal="center"/>
    </xf>
    <xf numFmtId="0" fontId="17" fillId="0" borderId="0" xfId="0" applyFont="1" applyAlignment="1">
      <alignment wrapText="1"/>
    </xf>
    <xf numFmtId="0" fontId="17" fillId="0" borderId="0" xfId="0" applyFont="1" applyAlignment="1">
      <alignment horizontal="center" vertical="top"/>
    </xf>
    <xf numFmtId="0" fontId="26" fillId="0" borderId="0" xfId="0" applyFont="1" applyAlignment="1">
      <alignment horizontal="left" vertical="top" wrapText="1"/>
    </xf>
    <xf numFmtId="0" fontId="17" fillId="5" borderId="6" xfId="0" applyFont="1" applyFill="1" applyBorder="1" applyAlignment="1" applyProtection="1">
      <alignment horizontal="left"/>
      <protection locked="0"/>
    </xf>
    <xf numFmtId="0" fontId="26" fillId="5" borderId="6" xfId="0" applyFont="1" applyFill="1" applyBorder="1" applyAlignment="1" applyProtection="1">
      <alignment horizontal="left"/>
      <protection locked="0"/>
    </xf>
    <xf numFmtId="168" fontId="26" fillId="0" borderId="6" xfId="0" applyNumberFormat="1" applyFont="1" applyBorder="1" applyAlignment="1">
      <alignment horizontal="center"/>
    </xf>
    <xf numFmtId="0" fontId="17" fillId="5" borderId="6" xfId="0" applyFont="1" applyFill="1" applyBorder="1" applyAlignment="1" applyProtection="1">
      <alignment horizontal="left" wrapText="1"/>
      <protection locked="0"/>
    </xf>
    <xf numFmtId="0" fontId="26" fillId="5" borderId="6" xfId="0" applyFont="1" applyFill="1" applyBorder="1" applyAlignment="1" applyProtection="1">
      <alignment horizontal="left" wrapText="1"/>
      <protection locked="0"/>
    </xf>
    <xf numFmtId="0" fontId="25" fillId="0" borderId="0" xfId="0" applyFont="1" applyAlignment="1">
      <alignment horizontal="center"/>
    </xf>
    <xf numFmtId="0" fontId="23" fillId="3" borderId="0" xfId="0" applyFont="1" applyFill="1" applyAlignment="1">
      <alignment horizontal="center" vertical="center"/>
    </xf>
    <xf numFmtId="166" fontId="17" fillId="5" borderId="6" xfId="0" applyNumberFormat="1" applyFont="1" applyFill="1" applyBorder="1" applyAlignment="1" applyProtection="1">
      <alignment horizontal="left"/>
      <protection locked="0"/>
    </xf>
    <xf numFmtId="166" fontId="26" fillId="5" borderId="6" xfId="0" applyNumberFormat="1" applyFont="1" applyFill="1" applyBorder="1" applyAlignment="1" applyProtection="1">
      <alignment horizontal="left"/>
      <protection locked="0"/>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24" fillId="0" borderId="2" xfId="0" applyFont="1" applyBorder="1" applyAlignment="1">
      <alignment horizontal="center" vertical="center" wrapText="1"/>
    </xf>
    <xf numFmtId="0" fontId="24" fillId="0" borderId="7" xfId="0" applyFont="1" applyBorder="1" applyAlignment="1">
      <alignment horizontal="center" vertical="center" wrapText="1"/>
    </xf>
    <xf numFmtId="0" fontId="24" fillId="0" borderId="0" xfId="0" applyFont="1" applyAlignment="1">
      <alignment horizontal="center" vertical="center" wrapText="1"/>
    </xf>
    <xf numFmtId="0" fontId="24" fillId="0" borderId="12"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10" xfId="0" applyFont="1" applyBorder="1" applyAlignment="1">
      <alignment horizontal="center" vertical="center" wrapText="1"/>
    </xf>
    <xf numFmtId="0" fontId="26" fillId="5" borderId="4" xfId="0" applyFont="1" applyFill="1" applyBorder="1" applyAlignment="1" applyProtection="1">
      <alignment horizontal="left"/>
      <protection locked="0"/>
    </xf>
    <xf numFmtId="175" fontId="17" fillId="43" borderId="3" xfId="0" applyNumberFormat="1" applyFont="1" applyFill="1" applyBorder="1" applyAlignment="1" applyProtection="1">
      <alignment horizontal="center"/>
      <protection locked="0"/>
    </xf>
    <xf numFmtId="175" fontId="17" fillId="43" borderId="4" xfId="0" applyNumberFormat="1" applyFont="1" applyFill="1" applyBorder="1" applyAlignment="1" applyProtection="1">
      <alignment horizontal="center"/>
      <protection locked="0"/>
    </xf>
    <xf numFmtId="175" fontId="17" fillId="43" borderId="5" xfId="0" applyNumberFormat="1" applyFont="1" applyFill="1" applyBorder="1" applyAlignment="1" applyProtection="1">
      <alignment horizontal="center"/>
      <protection locked="0"/>
    </xf>
    <xf numFmtId="180" fontId="0" fillId="0" borderId="6" xfId="0" applyNumberFormat="1" applyBorder="1" applyAlignment="1">
      <alignment horizontal="center"/>
    </xf>
    <xf numFmtId="0" fontId="24" fillId="0" borderId="11" xfId="0" applyFont="1" applyBorder="1" applyAlignment="1">
      <alignment horizontal="center" vertical="center" wrapText="1"/>
    </xf>
    <xf numFmtId="0" fontId="26" fillId="45" borderId="11" xfId="0" applyFont="1" applyFill="1" applyBorder="1" applyAlignment="1">
      <alignment horizontal="center"/>
    </xf>
    <xf numFmtId="0" fontId="26" fillId="2" borderId="11" xfId="0" applyFont="1" applyFill="1" applyBorder="1" applyAlignment="1">
      <alignment horizontal="center"/>
    </xf>
    <xf numFmtId="0" fontId="0" fillId="0" borderId="11" xfId="0" applyBorder="1" applyAlignment="1">
      <alignment horizontal="center"/>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24" fillId="0" borderId="3" xfId="0" applyFont="1" applyBorder="1" applyAlignment="1">
      <alignment horizontal="right"/>
    </xf>
    <xf numFmtId="0" fontId="24" fillId="0" borderId="4" xfId="0" applyFont="1" applyBorder="1" applyAlignment="1">
      <alignment horizontal="right"/>
    </xf>
    <xf numFmtId="0" fontId="24" fillId="0" borderId="5" xfId="0" applyFont="1" applyBorder="1" applyAlignment="1">
      <alignment horizontal="right"/>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75" fontId="17" fillId="43" borderId="3" xfId="0" applyNumberFormat="1" applyFont="1" applyFill="1" applyBorder="1" applyAlignment="1" applyProtection="1">
      <alignment horizontal="center" vertical="center"/>
      <protection locked="0"/>
    </xf>
    <xf numFmtId="175" fontId="17" fillId="43" borderId="4" xfId="0" applyNumberFormat="1" applyFont="1" applyFill="1" applyBorder="1" applyAlignment="1" applyProtection="1">
      <alignment horizontal="center" vertical="center"/>
      <protection locked="0"/>
    </xf>
    <xf numFmtId="175" fontId="17" fillId="43" borderId="5" xfId="0" applyNumberFormat="1" applyFont="1" applyFill="1" applyBorder="1" applyAlignment="1" applyProtection="1">
      <alignment horizontal="center" vertical="center"/>
      <protection locked="0"/>
    </xf>
    <xf numFmtId="0" fontId="26" fillId="45" borderId="3" xfId="0" applyFont="1" applyFill="1" applyBorder="1" applyAlignment="1">
      <alignment horizontal="center"/>
    </xf>
    <xf numFmtId="0" fontId="26" fillId="45" borderId="4" xfId="0" applyFont="1" applyFill="1" applyBorder="1" applyAlignment="1">
      <alignment horizontal="center"/>
    </xf>
    <xf numFmtId="0" fontId="26" fillId="45" borderId="5" xfId="0" applyFont="1" applyFill="1" applyBorder="1" applyAlignment="1">
      <alignment horizontal="center"/>
    </xf>
    <xf numFmtId="0" fontId="17" fillId="0" borderId="11" xfId="0" applyFont="1" applyBorder="1" applyAlignment="1">
      <alignment horizontal="center"/>
    </xf>
    <xf numFmtId="0" fontId="17" fillId="0" borderId="11" xfId="543" applyBorder="1" applyAlignment="1">
      <alignment horizontal="center"/>
    </xf>
    <xf numFmtId="0" fontId="17" fillId="0" borderId="3" xfId="0" applyFont="1" applyBorder="1" applyAlignment="1">
      <alignment horizontal="center"/>
    </xf>
    <xf numFmtId="0" fontId="17" fillId="0" borderId="5" xfId="0" applyFont="1" applyBorder="1" applyAlignment="1">
      <alignment horizontal="center"/>
    </xf>
    <xf numFmtId="0" fontId="17" fillId="0" borderId="4" xfId="0" applyFont="1" applyBorder="1" applyAlignment="1">
      <alignment horizontal="center"/>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0" fontId="26" fillId="0" borderId="3" xfId="0" applyFont="1" applyBorder="1" applyAlignment="1">
      <alignment horizontal="center"/>
    </xf>
    <xf numFmtId="0" fontId="26" fillId="0" borderId="5" xfId="0" applyFont="1" applyBorder="1" applyAlignment="1">
      <alignment horizontal="center"/>
    </xf>
    <xf numFmtId="0" fontId="26" fillId="0" borderId="4" xfId="0" applyFont="1" applyBorder="1" applyAlignment="1">
      <alignment horizontal="center"/>
    </xf>
    <xf numFmtId="0" fontId="40" fillId="0" borderId="3" xfId="0" applyFont="1" applyBorder="1" applyAlignment="1">
      <alignment horizontal="center"/>
    </xf>
    <xf numFmtId="0" fontId="40" fillId="0" borderId="4" xfId="0" applyFont="1" applyBorder="1" applyAlignment="1">
      <alignment horizontal="center"/>
    </xf>
    <xf numFmtId="0" fontId="40" fillId="0" borderId="5" xfId="0" applyFont="1" applyBorder="1" applyAlignment="1">
      <alignment horizontal="center"/>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25" fillId="5" borderId="3" xfId="0" applyFont="1" applyFill="1" applyBorder="1" applyAlignment="1" applyProtection="1">
      <alignment horizontal="center"/>
      <protection locked="0"/>
    </xf>
    <xf numFmtId="0" fontId="25" fillId="5" borderId="4" xfId="0" applyFont="1" applyFill="1" applyBorder="1" applyAlignment="1" applyProtection="1">
      <alignment horizontal="center"/>
      <protection locked="0"/>
    </xf>
    <xf numFmtId="0" fontId="25" fillId="5" borderId="5" xfId="0" applyFont="1" applyFill="1" applyBorder="1" applyAlignment="1" applyProtection="1">
      <alignment horizontal="center"/>
      <protection locked="0"/>
    </xf>
    <xf numFmtId="168" fontId="0" fillId="5" borderId="11" xfId="0" applyNumberFormat="1" applyFill="1" applyBorder="1" applyAlignment="1" applyProtection="1">
      <alignment horizontal="right"/>
      <protection locked="0"/>
    </xf>
    <xf numFmtId="0" fontId="24" fillId="0" borderId="9" xfId="0" applyFont="1" applyBorder="1" applyAlignment="1">
      <alignment horizontal="right"/>
    </xf>
    <xf numFmtId="0" fontId="24" fillId="0" borderId="6" xfId="0" applyFont="1" applyBorder="1" applyAlignment="1">
      <alignment horizontal="right"/>
    </xf>
    <xf numFmtId="0" fontId="24" fillId="0" borderId="10" xfId="0" applyFont="1" applyBorder="1" applyAlignment="1">
      <alignment horizontal="right"/>
    </xf>
    <xf numFmtId="0" fontId="25" fillId="5" borderId="3" xfId="543" applyFont="1" applyFill="1" applyBorder="1" applyAlignment="1" applyProtection="1">
      <alignment horizontal="left" vertical="top" wrapText="1"/>
      <protection locked="0"/>
    </xf>
    <xf numFmtId="0" fontId="25" fillId="5" borderId="4" xfId="543" applyFont="1" applyFill="1" applyBorder="1" applyAlignment="1" applyProtection="1">
      <alignment horizontal="left" vertical="top" wrapText="1"/>
      <protection locked="0"/>
    </xf>
    <xf numFmtId="0" fontId="25" fillId="5" borderId="5" xfId="543" applyFont="1" applyFill="1" applyBorder="1" applyAlignment="1" applyProtection="1">
      <alignment horizontal="left" vertical="top" wrapText="1"/>
      <protection locked="0"/>
    </xf>
    <xf numFmtId="168" fontId="17" fillId="10" borderId="3" xfId="543" applyNumberFormat="1" applyFill="1" applyBorder="1" applyAlignment="1">
      <alignment horizontal="center"/>
    </xf>
    <xf numFmtId="168" fontId="17" fillId="10" borderId="4" xfId="543" applyNumberFormat="1" applyFill="1" applyBorder="1" applyAlignment="1">
      <alignment horizontal="center"/>
    </xf>
    <xf numFmtId="168" fontId="17" fillId="10" borderId="5" xfId="543" applyNumberFormat="1" applyFill="1" applyBorder="1" applyAlignment="1">
      <alignment horizontal="center"/>
    </xf>
    <xf numFmtId="0" fontId="17" fillId="2" borderId="3" xfId="543" applyFill="1" applyBorder="1" applyAlignment="1">
      <alignment horizontal="center"/>
    </xf>
    <xf numFmtId="0" fontId="17" fillId="2" borderId="4" xfId="543" applyFill="1" applyBorder="1" applyAlignment="1">
      <alignment horizontal="center"/>
    </xf>
    <xf numFmtId="0" fontId="17" fillId="2" borderId="5" xfId="543" applyFill="1" applyBorder="1" applyAlignment="1">
      <alignment horizontal="center"/>
    </xf>
    <xf numFmtId="0" fontId="24" fillId="0" borderId="8" xfId="543" applyFont="1" applyBorder="1" applyAlignment="1">
      <alignment horizontal="left" vertical="center" wrapText="1"/>
    </xf>
    <xf numFmtId="0" fontId="24" fillId="0" borderId="0" xfId="543" applyFont="1" applyAlignment="1">
      <alignment horizontal="left" vertical="center" wrapText="1"/>
    </xf>
    <xf numFmtId="0" fontId="24" fillId="0" borderId="12" xfId="543" applyFont="1" applyBorder="1" applyAlignment="1">
      <alignment horizontal="left" vertical="center" wrapText="1"/>
    </xf>
    <xf numFmtId="0" fontId="24" fillId="10" borderId="3" xfId="543" applyFont="1" applyFill="1" applyBorder="1" applyAlignment="1">
      <alignment horizontal="center"/>
    </xf>
    <xf numFmtId="0" fontId="24" fillId="10" borderId="4" xfId="543" applyFont="1" applyFill="1" applyBorder="1" applyAlignment="1">
      <alignment horizontal="center"/>
    </xf>
    <xf numFmtId="0" fontId="24" fillId="10" borderId="5" xfId="543" applyFont="1" applyFill="1" applyBorder="1" applyAlignment="1">
      <alignment horizontal="center"/>
    </xf>
    <xf numFmtId="0" fontId="36" fillId="5" borderId="3" xfId="543" applyFont="1" applyFill="1" applyBorder="1" applyAlignment="1" applyProtection="1">
      <alignment horizontal="center" vertical="top"/>
      <protection locked="0"/>
    </xf>
    <xf numFmtId="0" fontId="36" fillId="5" borderId="5" xfId="543" applyFont="1" applyFill="1" applyBorder="1" applyAlignment="1" applyProtection="1">
      <alignment horizontal="center" vertical="top"/>
      <protection locked="0"/>
    </xf>
    <xf numFmtId="0" fontId="36" fillId="5" borderId="3" xfId="543" applyFont="1" applyFill="1" applyBorder="1" applyAlignment="1" applyProtection="1">
      <alignment horizontal="center"/>
      <protection locked="0"/>
    </xf>
    <xf numFmtId="0" fontId="36" fillId="5" borderId="5" xfId="543" applyFont="1" applyFill="1" applyBorder="1" applyAlignment="1" applyProtection="1">
      <alignment horizontal="center"/>
      <protection locked="0"/>
    </xf>
    <xf numFmtId="0" fontId="24" fillId="0" borderId="1" xfId="543" applyFont="1" applyBorder="1" applyAlignment="1">
      <alignment horizontal="left" vertical="center" wrapText="1"/>
    </xf>
    <xf numFmtId="0" fontId="24" fillId="0" borderId="2" xfId="543" applyFont="1" applyBorder="1" applyAlignment="1">
      <alignment horizontal="left" vertical="center" wrapText="1"/>
    </xf>
    <xf numFmtId="0" fontId="24" fillId="0" borderId="7" xfId="543" applyFont="1" applyBorder="1" applyAlignment="1">
      <alignment horizontal="left" vertical="center" wrapText="1"/>
    </xf>
    <xf numFmtId="0" fontId="17" fillId="0" borderId="8" xfId="543" applyBorder="1" applyAlignment="1">
      <alignment horizontal="left" vertical="top" wrapText="1"/>
    </xf>
    <xf numFmtId="0" fontId="17" fillId="0" borderId="0" xfId="543" applyAlignment="1">
      <alignment horizontal="left" vertical="top" wrapText="1"/>
    </xf>
    <xf numFmtId="0" fontId="17" fillId="0" borderId="12" xfId="543" applyBorder="1" applyAlignment="1">
      <alignment horizontal="left" vertical="top" wrapText="1"/>
    </xf>
    <xf numFmtId="0" fontId="17" fillId="0" borderId="9" xfId="543" applyBorder="1" applyAlignment="1">
      <alignment horizontal="left" vertical="top" wrapText="1"/>
    </xf>
    <xf numFmtId="0" fontId="17" fillId="0" borderId="6" xfId="543" applyBorder="1" applyAlignment="1">
      <alignment horizontal="left" vertical="top" wrapText="1"/>
    </xf>
    <xf numFmtId="0" fontId="17" fillId="0" borderId="10" xfId="543" applyBorder="1" applyAlignment="1">
      <alignment horizontal="left" vertical="top" wrapText="1"/>
    </xf>
    <xf numFmtId="0" fontId="44" fillId="0" borderId="8" xfId="543" applyFont="1" applyBorder="1" applyAlignment="1">
      <alignment horizontal="center" vertical="center" wrapText="1"/>
    </xf>
    <xf numFmtId="0" fontId="44" fillId="0" borderId="0" xfId="543" applyFont="1" applyAlignment="1">
      <alignment horizontal="center" vertical="center" wrapText="1"/>
    </xf>
    <xf numFmtId="0" fontId="44" fillId="0" borderId="12" xfId="543" applyFont="1" applyBorder="1" applyAlignment="1">
      <alignment horizontal="center" vertical="center" wrapText="1"/>
    </xf>
    <xf numFmtId="0" fontId="17" fillId="0" borderId="8" xfId="0" applyFont="1" applyBorder="1" applyAlignment="1">
      <alignment horizontal="left" wrapText="1"/>
    </xf>
    <xf numFmtId="0" fontId="17" fillId="0" borderId="12" xfId="0" applyFont="1" applyBorder="1" applyAlignment="1">
      <alignment horizontal="left" wrapText="1"/>
    </xf>
    <xf numFmtId="0" fontId="17" fillId="0" borderId="9" xfId="0" applyFont="1" applyBorder="1" applyAlignment="1">
      <alignment horizontal="left" wrapText="1"/>
    </xf>
    <xf numFmtId="0" fontId="17" fillId="0" borderId="6" xfId="0" applyFont="1" applyBorder="1" applyAlignment="1">
      <alignment horizontal="left" wrapText="1"/>
    </xf>
    <xf numFmtId="0" fontId="17" fillId="0" borderId="10" xfId="0" applyFont="1" applyBorder="1" applyAlignment="1">
      <alignment horizontal="left" wrapText="1"/>
    </xf>
    <xf numFmtId="0" fontId="24" fillId="0" borderId="1" xfId="543" applyFont="1" applyBorder="1" applyAlignment="1">
      <alignment horizontal="left" vertical="top" wrapText="1"/>
    </xf>
    <xf numFmtId="0" fontId="24" fillId="0" borderId="2" xfId="543" applyFont="1" applyBorder="1" applyAlignment="1">
      <alignment horizontal="left" vertical="top" wrapText="1"/>
    </xf>
    <xf numFmtId="0" fontId="24" fillId="0" borderId="7" xfId="543" applyFont="1" applyBorder="1" applyAlignment="1">
      <alignment horizontal="left" vertical="top" wrapText="1"/>
    </xf>
    <xf numFmtId="0" fontId="24" fillId="0" borderId="8" xfId="543" applyFont="1" applyBorder="1" applyAlignment="1">
      <alignment horizontal="left" vertical="top" wrapText="1"/>
    </xf>
    <xf numFmtId="0" fontId="24" fillId="0" borderId="0" xfId="543" applyFont="1" applyAlignment="1">
      <alignment horizontal="left" vertical="top" wrapText="1"/>
    </xf>
    <xf numFmtId="0" fontId="24" fillId="0" borderId="12" xfId="543" applyFont="1" applyBorder="1" applyAlignment="1">
      <alignment horizontal="left" vertical="top" wrapText="1"/>
    </xf>
    <xf numFmtId="0" fontId="152" fillId="0" borderId="8" xfId="543" applyFont="1" applyBorder="1" applyAlignment="1">
      <alignment horizontal="center" vertical="center" wrapText="1"/>
    </xf>
    <xf numFmtId="0" fontId="152" fillId="0" borderId="0" xfId="543" applyFont="1" applyAlignment="1">
      <alignment horizontal="center" vertical="center" wrapText="1"/>
    </xf>
    <xf numFmtId="0" fontId="152" fillId="0" borderId="12" xfId="543" applyFont="1" applyBorder="1" applyAlignment="1">
      <alignment horizontal="center" vertical="center" wrapText="1"/>
    </xf>
    <xf numFmtId="168" fontId="17" fillId="5" borderId="3" xfId="0" applyNumberFormat="1" applyFont="1" applyFill="1" applyBorder="1" applyAlignment="1" applyProtection="1">
      <alignment horizontal="right"/>
      <protection locked="0"/>
    </xf>
    <xf numFmtId="168" fontId="17" fillId="5" borderId="4" xfId="0" applyNumberFormat="1" applyFont="1" applyFill="1" applyBorder="1" applyAlignment="1" applyProtection="1">
      <alignment horizontal="right"/>
      <protection locked="0"/>
    </xf>
    <xf numFmtId="168" fontId="17" fillId="5" borderId="5" xfId="0" applyNumberFormat="1" applyFont="1" applyFill="1" applyBorder="1" applyAlignment="1" applyProtection="1">
      <alignment horizontal="right"/>
      <protection locked="0"/>
    </xf>
    <xf numFmtId="14" fontId="0" fillId="5" borderId="3" xfId="0"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4" fontId="36" fillId="5" borderId="3" xfId="0" applyNumberFormat="1" applyFont="1" applyFill="1" applyBorder="1" applyAlignment="1" applyProtection="1">
      <alignment horizontal="left"/>
      <protection locked="0"/>
    </xf>
    <xf numFmtId="164" fontId="36" fillId="5" borderId="4" xfId="0" applyNumberFormat="1" applyFont="1" applyFill="1" applyBorder="1" applyAlignment="1" applyProtection="1">
      <alignment horizontal="left"/>
      <protection locked="0"/>
    </xf>
    <xf numFmtId="164" fontId="36" fillId="5" borderId="5" xfId="0" applyNumberFormat="1" applyFont="1" applyFill="1" applyBorder="1" applyAlignment="1" applyProtection="1">
      <alignment horizontal="left"/>
      <protection locked="0"/>
    </xf>
    <xf numFmtId="0" fontId="17" fillId="0" borderId="8" xfId="543" applyBorder="1" applyAlignment="1">
      <alignment horizontal="left" vertical="center" wrapText="1"/>
    </xf>
    <xf numFmtId="0" fontId="17" fillId="0" borderId="0" xfId="543" applyAlignment="1">
      <alignment horizontal="left" vertical="center" wrapText="1"/>
    </xf>
    <xf numFmtId="0" fontId="17" fillId="0" borderId="12" xfId="543" applyBorder="1" applyAlignment="1">
      <alignment horizontal="left" vertical="center" wrapText="1"/>
    </xf>
    <xf numFmtId="0" fontId="17" fillId="0" borderId="9" xfId="543" applyBorder="1" applyAlignment="1">
      <alignment horizontal="left" vertical="center" wrapText="1"/>
    </xf>
    <xf numFmtId="0" fontId="17" fillId="0" borderId="6" xfId="543" applyBorder="1" applyAlignment="1">
      <alignment horizontal="left" vertical="center" wrapText="1"/>
    </xf>
    <xf numFmtId="0" fontId="17" fillId="0" borderId="10" xfId="543" applyBorder="1" applyAlignment="1">
      <alignment horizontal="left" vertical="center" wrapText="1"/>
    </xf>
    <xf numFmtId="0" fontId="17" fillId="5" borderId="3" xfId="0" applyFont="1" applyFill="1" applyBorder="1" applyAlignment="1" applyProtection="1">
      <alignment horizontal="left"/>
      <protection locked="0"/>
    </xf>
    <xf numFmtId="0" fontId="17" fillId="5" borderId="4" xfId="0" applyFont="1" applyFill="1" applyBorder="1" applyAlignment="1" applyProtection="1">
      <alignment horizontal="left"/>
      <protection locked="0"/>
    </xf>
    <xf numFmtId="0" fontId="17" fillId="5" borderId="5" xfId="0" applyFont="1" applyFill="1" applyBorder="1" applyAlignment="1" applyProtection="1">
      <alignment horizontal="left"/>
      <protection locked="0"/>
    </xf>
    <xf numFmtId="0" fontId="0" fillId="0" borderId="9" xfId="0" applyBorder="1" applyAlignment="1">
      <alignment horizontal="left"/>
    </xf>
    <xf numFmtId="0" fontId="38" fillId="0" borderId="3" xfId="543" applyFont="1" applyBorder="1" applyAlignment="1">
      <alignment horizontal="center"/>
    </xf>
    <xf numFmtId="0" fontId="38" fillId="0" borderId="4" xfId="543" applyFont="1" applyBorder="1" applyAlignment="1">
      <alignment horizontal="center"/>
    </xf>
    <xf numFmtId="0" fontId="38" fillId="0" borderId="5" xfId="543" applyFont="1" applyBorder="1" applyAlignment="1">
      <alignment horizontal="center"/>
    </xf>
    <xf numFmtId="168" fontId="17" fillId="0" borderId="11" xfId="543" applyNumberFormat="1" applyBorder="1" applyAlignment="1">
      <alignment horizontal="center"/>
    </xf>
    <xf numFmtId="0" fontId="53" fillId="5" borderId="3" xfId="0" applyFont="1" applyFill="1" applyBorder="1" applyAlignment="1" applyProtection="1">
      <alignment horizontal="right"/>
      <protection locked="0"/>
    </xf>
    <xf numFmtId="0" fontId="53" fillId="5" borderId="4" xfId="0" applyFont="1" applyFill="1" applyBorder="1" applyAlignment="1" applyProtection="1">
      <alignment horizontal="right"/>
      <protection locked="0"/>
    </xf>
    <xf numFmtId="0" fontId="53" fillId="5" borderId="5" xfId="0" applyFont="1" applyFill="1" applyBorder="1" applyAlignment="1" applyProtection="1">
      <alignment horizontal="right"/>
      <protection locked="0"/>
    </xf>
    <xf numFmtId="182" fontId="25" fillId="43" borderId="11" xfId="8721" applyNumberFormat="1" applyFont="1" applyFill="1" applyBorder="1" applyAlignment="1" applyProtection="1">
      <alignment horizontal="center" vertical="center" wrapText="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25" fillId="5" borderId="3" xfId="0" applyFont="1" applyFill="1" applyBorder="1" applyAlignment="1" applyProtection="1">
      <alignment horizontal="left"/>
      <protection locked="0"/>
    </xf>
    <xf numFmtId="0" fontId="25" fillId="5" borderId="4" xfId="0" applyFont="1" applyFill="1" applyBorder="1" applyAlignment="1" applyProtection="1">
      <alignment horizontal="left"/>
      <protection locked="0"/>
    </xf>
    <xf numFmtId="0" fontId="25" fillId="5" borderId="5" xfId="0" applyFont="1" applyFill="1" applyBorder="1" applyAlignment="1" applyProtection="1">
      <alignment horizontal="left"/>
      <protection locked="0"/>
    </xf>
    <xf numFmtId="0" fontId="37" fillId="0" borderId="4" xfId="543" applyFont="1" applyBorder="1" applyAlignment="1">
      <alignment horizontal="right" vertical="top" wrapText="1"/>
    </xf>
    <xf numFmtId="0" fontId="37" fillId="0" borderId="5" xfId="543" applyFont="1" applyBorder="1" applyAlignment="1">
      <alignment horizontal="right" vertical="top" wrapText="1"/>
    </xf>
    <xf numFmtId="0" fontId="25" fillId="0" borderId="3" xfId="543" applyFont="1" applyBorder="1" applyAlignment="1">
      <alignment horizontal="center"/>
    </xf>
    <xf numFmtId="0" fontId="25" fillId="0" borderId="5" xfId="543" applyFont="1" applyBorder="1" applyAlignment="1">
      <alignment horizontal="center"/>
    </xf>
    <xf numFmtId="1" fontId="25" fillId="0" borderId="3" xfId="543" applyNumberFormat="1" applyFont="1" applyBorder="1" applyAlignment="1">
      <alignment horizontal="center"/>
    </xf>
    <xf numFmtId="1" fontId="25" fillId="0" borderId="5" xfId="543" applyNumberFormat="1" applyFont="1" applyBorder="1" applyAlignment="1">
      <alignment horizontal="center"/>
    </xf>
    <xf numFmtId="0" fontId="36" fillId="0" borderId="3" xfId="543" applyFont="1" applyBorder="1" applyAlignment="1">
      <alignment horizontal="center"/>
    </xf>
    <xf numFmtId="0" fontId="36" fillId="0" borderId="5" xfId="543" applyFont="1" applyBorder="1" applyAlignment="1">
      <alignment horizontal="center"/>
    </xf>
    <xf numFmtId="0" fontId="37" fillId="0" borderId="1" xfId="543" applyFont="1" applyBorder="1" applyAlignment="1">
      <alignment horizontal="right"/>
    </xf>
    <xf numFmtId="0" fontId="37" fillId="0" borderId="2" xfId="543" applyFont="1" applyBorder="1" applyAlignment="1">
      <alignment horizontal="right"/>
    </xf>
    <xf numFmtId="0" fontId="37" fillId="0" borderId="7" xfId="543" applyFont="1" applyBorder="1" applyAlignment="1">
      <alignment horizontal="right"/>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24" fillId="0" borderId="3" xfId="543" applyNumberFormat="1" applyFont="1" applyBorder="1" applyAlignment="1">
      <alignment horizontal="center" vertical="center"/>
    </xf>
    <xf numFmtId="168" fontId="24" fillId="0" borderId="4" xfId="543" applyNumberFormat="1" applyFont="1" applyBorder="1" applyAlignment="1">
      <alignment horizontal="center" vertical="center"/>
    </xf>
    <xf numFmtId="168" fontId="24" fillId="0" borderId="5" xfId="543" applyNumberFormat="1" applyFont="1" applyBorder="1" applyAlignment="1">
      <alignment horizontal="center" vertical="center"/>
    </xf>
    <xf numFmtId="0" fontId="36" fillId="5" borderId="9" xfId="543" applyFont="1" applyFill="1" applyBorder="1" applyAlignment="1" applyProtection="1">
      <alignment horizontal="center"/>
      <protection locked="0"/>
    </xf>
    <xf numFmtId="0" fontId="36" fillId="5" borderId="10" xfId="543" applyFont="1" applyFill="1" applyBorder="1" applyAlignment="1" applyProtection="1">
      <alignment horizontal="center"/>
      <protection locked="0"/>
    </xf>
    <xf numFmtId="0" fontId="24" fillId="0" borderId="1" xfId="0" applyFont="1" applyBorder="1" applyAlignment="1">
      <alignment horizontal="center" wrapText="1"/>
    </xf>
    <xf numFmtId="0" fontId="24" fillId="0" borderId="2" xfId="0" applyFont="1" applyBorder="1" applyAlignment="1">
      <alignment horizontal="center" wrapText="1"/>
    </xf>
    <xf numFmtId="0" fontId="24" fillId="0" borderId="8" xfId="0" applyFont="1" applyBorder="1" applyAlignment="1">
      <alignment horizontal="center" wrapText="1"/>
    </xf>
    <xf numFmtId="0" fontId="24" fillId="0" borderId="0" xfId="0" applyFont="1" applyAlignment="1">
      <alignment horizontal="center" wrapText="1"/>
    </xf>
    <xf numFmtId="0" fontId="24" fillId="0" borderId="9" xfId="0" applyFont="1" applyBorder="1" applyAlignment="1">
      <alignment horizontal="center" wrapText="1"/>
    </xf>
    <xf numFmtId="0" fontId="24" fillId="0" borderId="6" xfId="0" applyFont="1" applyBorder="1" applyAlignment="1">
      <alignment horizontal="center" wrapText="1"/>
    </xf>
    <xf numFmtId="168" fontId="17"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164" fontId="25" fillId="5" borderId="3" xfId="0" applyNumberFormat="1" applyFont="1" applyFill="1" applyBorder="1" applyAlignment="1" applyProtection="1">
      <alignment horizontal="left"/>
      <protection locked="0"/>
    </xf>
    <xf numFmtId="164" fontId="25" fillId="5" borderId="4" xfId="0" applyNumberFormat="1" applyFont="1" applyFill="1" applyBorder="1" applyAlignment="1" applyProtection="1">
      <alignment horizontal="left"/>
      <protection locked="0"/>
    </xf>
    <xf numFmtId="164" fontId="25" fillId="5" borderId="5" xfId="0" applyNumberFormat="1" applyFont="1" applyFill="1" applyBorder="1" applyAlignment="1" applyProtection="1">
      <alignment horizontal="left"/>
      <protection locked="0"/>
    </xf>
    <xf numFmtId="9" fontId="0" fillId="5" borderId="3" xfId="0" applyNumberForma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24" fillId="0" borderId="12" xfId="0" applyFont="1" applyBorder="1" applyAlignment="1">
      <alignment horizontal="center" wrapText="1"/>
    </xf>
    <xf numFmtId="0" fontId="24" fillId="0" borderId="10" xfId="0" applyFont="1" applyBorder="1" applyAlignment="1">
      <alignment horizontal="center" wrapText="1"/>
    </xf>
    <xf numFmtId="0" fontId="0" fillId="0" borderId="3" xfId="0" applyBorder="1"/>
    <xf numFmtId="0" fontId="0" fillId="0" borderId="4" xfId="0" applyBorder="1"/>
    <xf numFmtId="0" fontId="0" fillId="0" borderId="5" xfId="0" applyBorder="1"/>
    <xf numFmtId="165" fontId="24" fillId="0" borderId="3" xfId="271" applyNumberFormat="1" applyFont="1" applyBorder="1" applyAlignment="1">
      <alignment horizontal="center"/>
    </xf>
    <xf numFmtId="165" fontId="24" fillId="0" borderId="4" xfId="271" applyNumberFormat="1" applyFont="1" applyBorder="1" applyAlignment="1">
      <alignment horizontal="center"/>
    </xf>
    <xf numFmtId="165" fontId="24" fillId="0" borderId="5" xfId="271" applyNumberFormat="1" applyFont="1" applyBorder="1" applyAlignment="1">
      <alignment horizontal="center"/>
    </xf>
    <xf numFmtId="0" fontId="24" fillId="0" borderId="3" xfId="543" applyFont="1" applyBorder="1" applyAlignment="1">
      <alignment horizontal="right"/>
    </xf>
    <xf numFmtId="0" fontId="24" fillId="0" borderId="4" xfId="543" applyFont="1" applyBorder="1" applyAlignment="1">
      <alignment horizontal="right"/>
    </xf>
    <xf numFmtId="0" fontId="24" fillId="0" borderId="5" xfId="543" applyFont="1" applyBorder="1" applyAlignment="1">
      <alignment horizontal="right"/>
    </xf>
    <xf numFmtId="0" fontId="17" fillId="5" borderId="3" xfId="543" applyFill="1" applyBorder="1" applyAlignment="1" applyProtection="1">
      <alignment horizontal="left" vertical="top" wrapText="1"/>
      <protection locked="0"/>
    </xf>
    <xf numFmtId="0" fontId="26" fillId="5" borderId="4" xfId="543" applyFont="1" applyFill="1" applyBorder="1" applyAlignment="1" applyProtection="1">
      <alignment horizontal="left" vertical="top" wrapText="1"/>
      <protection locked="0"/>
    </xf>
    <xf numFmtId="0" fontId="26" fillId="5" borderId="5" xfId="543" applyFont="1" applyFill="1" applyBorder="1" applyAlignment="1" applyProtection="1">
      <alignment horizontal="left" vertical="top" wrapText="1"/>
      <protection locked="0"/>
    </xf>
    <xf numFmtId="1" fontId="26" fillId="5" borderId="11" xfId="0" applyNumberFormat="1" applyFont="1" applyFill="1" applyBorder="1" applyAlignment="1" applyProtection="1">
      <alignment horizontal="center"/>
      <protection locked="0"/>
    </xf>
    <xf numFmtId="0" fontId="24" fillId="0" borderId="11" xfId="0" applyFont="1" applyBorder="1" applyAlignment="1">
      <alignment horizontal="center"/>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17" fillId="5" borderId="11" xfId="0" applyFont="1" applyFill="1" applyBorder="1" applyAlignment="1" applyProtection="1">
      <alignment horizontal="left" wrapText="1"/>
      <protection locked="0"/>
    </xf>
    <xf numFmtId="0" fontId="26" fillId="0" borderId="11" xfId="0" applyFont="1" applyBorder="1" applyAlignment="1">
      <alignment horizontal="center" vertical="top" wrapText="1"/>
    </xf>
    <xf numFmtId="0" fontId="24" fillId="0" borderId="0" xfId="0" applyFont="1" applyAlignment="1">
      <alignment horizontal="center" vertical="center"/>
    </xf>
    <xf numFmtId="1" fontId="17" fillId="0" borderId="3" xfId="0" applyNumberFormat="1" applyFont="1" applyBorder="1" applyAlignment="1">
      <alignment horizontal="center"/>
    </xf>
    <xf numFmtId="1" fontId="26" fillId="0" borderId="4" xfId="0" applyNumberFormat="1" applyFont="1" applyBorder="1" applyAlignment="1">
      <alignment horizontal="center"/>
    </xf>
    <xf numFmtId="1" fontId="26" fillId="0" borderId="5" xfId="0" applyNumberFormat="1" applyFont="1" applyBorder="1" applyAlignment="1">
      <alignment horizontal="center"/>
    </xf>
    <xf numFmtId="0" fontId="26" fillId="5" borderId="6" xfId="271" applyFill="1" applyBorder="1" applyProtection="1">
      <protection locked="0"/>
    </xf>
    <xf numFmtId="0" fontId="0" fillId="0" borderId="3" xfId="0" applyBorder="1" applyAlignment="1">
      <alignment horizontal="left"/>
    </xf>
    <xf numFmtId="0" fontId="0" fillId="0" borderId="4" xfId="0" applyBorder="1" applyAlignment="1">
      <alignment horizontal="left"/>
    </xf>
    <xf numFmtId="0" fontId="17" fillId="43" borderId="11" xfId="0" applyFont="1" applyFill="1" applyBorder="1" applyAlignment="1" applyProtection="1">
      <alignment horizontal="center"/>
      <protection locked="0"/>
    </xf>
    <xf numFmtId="0" fontId="17" fillId="0" borderId="0" xfId="543" applyAlignment="1">
      <alignment horizontal="center"/>
    </xf>
    <xf numFmtId="2" fontId="17" fillId="0" borderId="0" xfId="543" applyNumberFormat="1" applyAlignment="1">
      <alignment horizontal="center"/>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24" fillId="5" borderId="3" xfId="0" applyFont="1" applyFill="1" applyBorder="1" applyAlignment="1" applyProtection="1">
      <alignment horizontal="right"/>
      <protection locked="0"/>
    </xf>
    <xf numFmtId="0" fontId="24" fillId="5" borderId="4" xfId="0" applyFont="1" applyFill="1" applyBorder="1" applyAlignment="1" applyProtection="1">
      <alignment horizontal="right"/>
      <protection locked="0"/>
    </xf>
    <xf numFmtId="0" fontId="24" fillId="5" borderId="5" xfId="0" applyFont="1" applyFill="1" applyBorder="1" applyAlignment="1" applyProtection="1">
      <alignment horizontal="right"/>
      <protection locked="0"/>
    </xf>
    <xf numFmtId="168" fontId="0" fillId="0" borderId="11" xfId="0" applyNumberFormat="1" applyBorder="1" applyAlignment="1">
      <alignment horizontal="center"/>
    </xf>
    <xf numFmtId="0" fontId="24" fillId="0" borderId="6" xfId="0" applyFont="1" applyBorder="1" applyAlignment="1">
      <alignment horizontal="center"/>
    </xf>
    <xf numFmtId="9" fontId="17" fillId="5" borderId="3" xfId="0" applyNumberFormat="1" applyFont="1" applyFill="1" applyBorder="1" applyAlignment="1" applyProtection="1">
      <alignment horizontal="right"/>
      <protection locked="0"/>
    </xf>
    <xf numFmtId="0" fontId="17" fillId="0" borderId="3" xfId="0" applyFont="1" applyBorder="1"/>
    <xf numFmtId="0" fontId="17" fillId="0" borderId="4" xfId="0" applyFont="1" applyBorder="1"/>
    <xf numFmtId="0" fontId="17" fillId="0" borderId="5" xfId="0" applyFont="1" applyBorder="1"/>
    <xf numFmtId="168" fontId="0" fillId="5" borderId="11" xfId="0" applyNumberFormat="1" applyFill="1" applyBorder="1" applyAlignment="1" applyProtection="1">
      <alignment horizontal="center"/>
      <protection locked="0"/>
    </xf>
    <xf numFmtId="168" fontId="17" fillId="5" borderId="3" xfId="0" applyNumberFormat="1" applyFont="1" applyFill="1" applyBorder="1" applyAlignment="1" applyProtection="1">
      <alignment horizontal="left"/>
      <protection locked="0"/>
    </xf>
    <xf numFmtId="168" fontId="17" fillId="5" borderId="4" xfId="0" applyNumberFormat="1" applyFont="1" applyFill="1" applyBorder="1" applyAlignment="1" applyProtection="1">
      <alignment horizontal="left"/>
      <protection locked="0"/>
    </xf>
    <xf numFmtId="168" fontId="17" fillId="5" borderId="5" xfId="0" applyNumberFormat="1" applyFont="1" applyFill="1" applyBorder="1" applyAlignment="1" applyProtection="1">
      <alignment horizontal="left"/>
      <protection locked="0"/>
    </xf>
    <xf numFmtId="0" fontId="24" fillId="0" borderId="2" xfId="0" applyFont="1" applyBorder="1" applyAlignment="1">
      <alignment horizontal="right"/>
    </xf>
    <xf numFmtId="0" fontId="24" fillId="0" borderId="7" xfId="0" applyFont="1" applyBorder="1" applyAlignment="1">
      <alignment horizontal="right"/>
    </xf>
    <xf numFmtId="0" fontId="24" fillId="0" borderId="1" xfId="0" applyFont="1" applyBorder="1" applyAlignment="1">
      <alignment horizontal="center"/>
    </xf>
    <xf numFmtId="0" fontId="24" fillId="0" borderId="2" xfId="0" applyFont="1" applyBorder="1" applyAlignment="1">
      <alignment horizontal="center"/>
    </xf>
    <xf numFmtId="0" fontId="24" fillId="0" borderId="7" xfId="0" applyFont="1" applyBorder="1" applyAlignment="1">
      <alignment horizontal="center"/>
    </xf>
    <xf numFmtId="168" fontId="0" fillId="5" borderId="11" xfId="0" applyNumberFormat="1" applyFill="1" applyBorder="1" applyProtection="1">
      <protection locked="0"/>
    </xf>
    <xf numFmtId="0" fontId="26" fillId="0" borderId="3" xfId="0" applyFont="1" applyBorder="1" applyAlignment="1">
      <alignment horizontal="left"/>
    </xf>
    <xf numFmtId="0" fontId="24" fillId="0" borderId="7" xfId="0" applyFont="1" applyBorder="1" applyAlignment="1">
      <alignment horizontal="center" wrapText="1"/>
    </xf>
    <xf numFmtId="0" fontId="36" fillId="5" borderId="3" xfId="543" applyFont="1" applyFill="1" applyBorder="1" applyAlignment="1">
      <alignment horizontal="center"/>
    </xf>
    <xf numFmtId="0" fontId="36" fillId="5" borderId="4" xfId="543" applyFont="1" applyFill="1" applyBorder="1" applyAlignment="1">
      <alignment horizontal="center"/>
    </xf>
    <xf numFmtId="0" fontId="36" fillId="5" borderId="5" xfId="543" applyFont="1" applyFill="1" applyBorder="1" applyAlignment="1">
      <alignment horizontal="center"/>
    </xf>
    <xf numFmtId="49" fontId="17" fillId="5" borderId="3" xfId="543" applyNumberFormat="1" applyFill="1" applyBorder="1" applyAlignment="1">
      <alignment horizontal="center"/>
    </xf>
    <xf numFmtId="49" fontId="17" fillId="5" borderId="5" xfId="543" applyNumberFormat="1" applyFill="1" applyBorder="1" applyAlignment="1">
      <alignment horizontal="center"/>
    </xf>
    <xf numFmtId="0" fontId="17" fillId="0" borderId="1" xfId="0" applyFont="1" applyBorder="1" applyAlignment="1">
      <alignment horizontal="center" vertical="top" wrapText="1"/>
    </xf>
    <xf numFmtId="171" fontId="17" fillId="0" borderId="0" xfId="543" applyNumberFormat="1" applyAlignment="1">
      <alignment horizontal="center"/>
    </xf>
    <xf numFmtId="10" fontId="0" fillId="5" borderId="4" xfId="0" applyNumberFormat="1" applyFill="1" applyBorder="1" applyAlignment="1" applyProtection="1">
      <alignment horizontal="center"/>
      <protection locked="0"/>
    </xf>
    <xf numFmtId="0" fontId="26" fillId="5" borderId="9" xfId="0" applyFont="1" applyFill="1" applyBorder="1" applyAlignment="1" applyProtection="1">
      <alignment horizontal="center"/>
      <protection locked="0"/>
    </xf>
    <xf numFmtId="0" fontId="26" fillId="5" borderId="6" xfId="0" applyFont="1" applyFill="1" applyBorder="1" applyAlignment="1" applyProtection="1">
      <alignment horizontal="center"/>
      <protection locked="0"/>
    </xf>
    <xf numFmtId="0" fontId="24" fillId="0" borderId="9" xfId="0" applyFont="1" applyBorder="1" applyAlignment="1">
      <alignment horizontal="center"/>
    </xf>
    <xf numFmtId="1" fontId="26" fillId="5" borderId="3" xfId="0" applyNumberFormat="1" applyFont="1" applyFill="1" applyBorder="1" applyAlignment="1" applyProtection="1">
      <alignment horizontal="right" vertical="top"/>
      <protection locked="0"/>
    </xf>
    <xf numFmtId="1" fontId="26" fillId="5" borderId="4" xfId="0" applyNumberFormat="1" applyFont="1" applyFill="1" applyBorder="1" applyAlignment="1" applyProtection="1">
      <alignment horizontal="right" vertical="top"/>
      <protection locked="0"/>
    </xf>
    <xf numFmtId="1" fontId="26" fillId="5" borderId="5" xfId="0" applyNumberFormat="1" applyFont="1" applyFill="1" applyBorder="1" applyAlignment="1" applyProtection="1">
      <alignment horizontal="right" vertical="top"/>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0" fillId="0" borderId="12" xfId="0" applyBorder="1" applyAlignment="1">
      <alignment horizontal="center"/>
    </xf>
    <xf numFmtId="0" fontId="24" fillId="0" borderId="1"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9" xfId="0" applyFont="1" applyBorder="1" applyAlignment="1">
      <alignment horizontal="center" vertical="center" wrapText="1"/>
    </xf>
    <xf numFmtId="180" fontId="25" fillId="43" borderId="3" xfId="0" applyNumberFormat="1" applyFont="1" applyFill="1" applyBorder="1" applyAlignment="1" applyProtection="1">
      <alignment horizontal="center" vertical="center"/>
      <protection locked="0"/>
    </xf>
    <xf numFmtId="180" fontId="25" fillId="43" borderId="4" xfId="0" applyNumberFormat="1" applyFont="1" applyFill="1" applyBorder="1" applyAlignment="1" applyProtection="1">
      <alignment horizontal="center" vertical="center"/>
      <protection locked="0"/>
    </xf>
    <xf numFmtId="180" fontId="25" fillId="43" borderId="5" xfId="0" applyNumberFormat="1" applyFont="1" applyFill="1" applyBorder="1" applyAlignment="1" applyProtection="1">
      <alignment horizontal="center" vertical="center"/>
      <protection locked="0"/>
    </xf>
    <xf numFmtId="168" fontId="17" fillId="43" borderId="3" xfId="0" applyNumberFormat="1" applyFont="1" applyFill="1" applyBorder="1" applyAlignment="1" applyProtection="1">
      <alignment horizontal="center" vertical="center"/>
      <protection locked="0"/>
    </xf>
    <xf numFmtId="168" fontId="17" fillId="43" borderId="4" xfId="0" applyNumberFormat="1" applyFont="1" applyFill="1" applyBorder="1" applyAlignment="1" applyProtection="1">
      <alignment horizontal="center" vertical="center"/>
      <protection locked="0"/>
    </xf>
    <xf numFmtId="168" fontId="17" fillId="43" borderId="5" xfId="0" applyNumberFormat="1" applyFont="1" applyFill="1" applyBorder="1" applyAlignment="1" applyProtection="1">
      <alignment horizontal="center" vertical="center"/>
      <protection locked="0"/>
    </xf>
    <xf numFmtId="0" fontId="17" fillId="5" borderId="11" xfId="0" applyFont="1" applyFill="1" applyBorder="1" applyAlignment="1" applyProtection="1">
      <alignment horizontal="left" vertical="center" wrapText="1"/>
      <protection locked="0"/>
    </xf>
    <xf numFmtId="0" fontId="54" fillId="0" borderId="1" xfId="0" applyFont="1" applyBorder="1" applyAlignment="1">
      <alignment horizontal="center" vertical="center" wrapText="1"/>
    </xf>
    <xf numFmtId="0" fontId="54" fillId="0" borderId="2" xfId="0" applyFont="1" applyBorder="1" applyAlignment="1">
      <alignment horizontal="center" vertical="center" wrapText="1"/>
    </xf>
    <xf numFmtId="0" fontId="54" fillId="0" borderId="7" xfId="0" applyFont="1" applyBorder="1" applyAlignment="1">
      <alignment horizontal="center" vertical="center" wrapText="1"/>
    </xf>
    <xf numFmtId="0" fontId="54" fillId="0" borderId="8" xfId="0" applyFont="1" applyBorder="1" applyAlignment="1">
      <alignment horizontal="center" vertical="center" wrapText="1"/>
    </xf>
    <xf numFmtId="0" fontId="54" fillId="0" borderId="0" xfId="0" applyFont="1" applyAlignment="1">
      <alignment horizontal="center" vertical="center" wrapText="1"/>
    </xf>
    <xf numFmtId="0" fontId="54" fillId="0" borderId="12" xfId="0" applyFont="1" applyBorder="1" applyAlignment="1">
      <alignment horizontal="center" vertical="center" wrapText="1"/>
    </xf>
    <xf numFmtId="0" fontId="54" fillId="0" borderId="9" xfId="0" applyFont="1" applyBorder="1" applyAlignment="1">
      <alignment horizontal="center" vertical="center" wrapText="1"/>
    </xf>
    <xf numFmtId="0" fontId="54" fillId="0" borderId="6" xfId="0" applyFont="1" applyBorder="1" applyAlignment="1">
      <alignment horizontal="center" vertical="center" wrapText="1"/>
    </xf>
    <xf numFmtId="0" fontId="54" fillId="0" borderId="10" xfId="0" applyFont="1" applyBorder="1" applyAlignment="1">
      <alignment horizontal="center" vertical="center" wrapText="1"/>
    </xf>
    <xf numFmtId="14" fontId="0" fillId="5" borderId="6" xfId="0" applyNumberFormat="1" applyFill="1" applyBorder="1" applyAlignment="1" applyProtection="1">
      <alignment horizontal="center"/>
      <protection locked="0"/>
    </xf>
    <xf numFmtId="0" fontId="17" fillId="5" borderId="4" xfId="0" applyFont="1" applyFill="1" applyBorder="1" applyAlignment="1" applyProtection="1">
      <alignment wrapText="1"/>
      <protection locked="0"/>
    </xf>
    <xf numFmtId="0" fontId="17" fillId="5" borderId="11" xfId="0" applyFont="1" applyFill="1" applyBorder="1" applyAlignment="1" applyProtection="1">
      <alignment vertical="center" wrapText="1"/>
      <protection locked="0"/>
    </xf>
    <xf numFmtId="175" fontId="0" fillId="5" borderId="4" xfId="0" applyNumberFormat="1" applyFill="1" applyBorder="1" applyAlignment="1" applyProtection="1">
      <alignment horizontal="left" vertical="center" wrapText="1"/>
      <protection locked="0"/>
    </xf>
    <xf numFmtId="3" fontId="26" fillId="5" borderId="11" xfId="0" applyNumberFormat="1" applyFont="1" applyFill="1" applyBorder="1" applyAlignment="1" applyProtection="1">
      <alignment horizontal="center"/>
      <protection locked="0"/>
    </xf>
    <xf numFmtId="0" fontId="0" fillId="43" borderId="4" xfId="0" applyFill="1" applyBorder="1" applyAlignment="1" applyProtection="1">
      <alignment horizontal="center"/>
      <protection locked="0"/>
    </xf>
    <xf numFmtId="168" fontId="26" fillId="5" borderId="3" xfId="0" applyNumberFormat="1" applyFont="1" applyFill="1" applyBorder="1" applyAlignment="1" applyProtection="1">
      <alignment horizontal="left" vertical="top"/>
      <protection locked="0"/>
    </xf>
    <xf numFmtId="168" fontId="26" fillId="5" borderId="4" xfId="0" applyNumberFormat="1" applyFont="1" applyFill="1" applyBorder="1" applyAlignment="1" applyProtection="1">
      <alignment horizontal="left" vertical="top"/>
      <protection locked="0"/>
    </xf>
    <xf numFmtId="168" fontId="26" fillId="5" borderId="5" xfId="0" applyNumberFormat="1" applyFont="1" applyFill="1" applyBorder="1" applyAlignment="1" applyProtection="1">
      <alignment horizontal="left" vertical="top"/>
      <protection locked="0"/>
    </xf>
    <xf numFmtId="0" fontId="24" fillId="0" borderId="11" xfId="0" applyFont="1" applyBorder="1" applyAlignment="1">
      <alignment horizontal="center" vertical="center"/>
    </xf>
    <xf numFmtId="172" fontId="24" fillId="0" borderId="11" xfId="0" applyNumberFormat="1" applyFont="1" applyBorder="1" applyAlignment="1">
      <alignment horizontal="center" vertical="center" wrapText="1"/>
    </xf>
    <xf numFmtId="14" fontId="0" fillId="5" borderId="4" xfId="0" applyNumberFormat="1" applyFill="1" applyBorder="1" applyAlignment="1" applyProtection="1">
      <alignment horizontal="center"/>
      <protection locked="0"/>
    </xf>
    <xf numFmtId="168" fontId="0" fillId="0" borderId="11" xfId="0" applyNumberFormat="1" applyBorder="1" applyAlignment="1">
      <alignment horizontal="right"/>
    </xf>
    <xf numFmtId="171" fontId="17" fillId="0" borderId="0" xfId="543" applyNumberFormat="1" applyAlignment="1">
      <alignment horizontal="right"/>
    </xf>
    <xf numFmtId="168" fontId="0" fillId="0" borderId="11" xfId="0" applyNumberFormat="1" applyBorder="1"/>
    <xf numFmtId="0" fontId="26" fillId="5" borderId="3" xfId="0" applyFont="1" applyFill="1" applyBorder="1" applyProtection="1">
      <protection locked="0"/>
    </xf>
    <xf numFmtId="0" fontId="26" fillId="0" borderId="4" xfId="0" applyFont="1" applyBorder="1" applyProtection="1">
      <protection locked="0"/>
    </xf>
    <xf numFmtId="0" fontId="26" fillId="0" borderId="5" xfId="0" applyFont="1" applyBorder="1" applyProtection="1">
      <protection locked="0"/>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3" fontId="0" fillId="0" borderId="4" xfId="0" applyNumberFormat="1" applyBorder="1" applyAlignment="1">
      <alignment horizontal="right"/>
    </xf>
    <xf numFmtId="3" fontId="0" fillId="0" borderId="5" xfId="0" applyNumberFormat="1" applyBorder="1" applyAlignment="1">
      <alignment horizontal="right"/>
    </xf>
    <xf numFmtId="168" fontId="17" fillId="5" borderId="10" xfId="0" applyNumberFormat="1" applyFont="1" applyFill="1" applyBorder="1" applyAlignment="1" applyProtection="1">
      <alignment horizontal="right"/>
      <protection locked="0"/>
    </xf>
    <xf numFmtId="168" fontId="17" fillId="5" borderId="13" xfId="0" applyNumberFormat="1" applyFont="1" applyFill="1" applyBorder="1" applyAlignment="1" applyProtection="1">
      <alignment horizontal="right"/>
      <protection locked="0"/>
    </xf>
    <xf numFmtId="9" fontId="17" fillId="0" borderId="0" xfId="543" applyNumberFormat="1" applyAlignment="1">
      <alignment horizontal="center" vertical="center"/>
    </xf>
    <xf numFmtId="0" fontId="17"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4" fontId="0" fillId="5" borderId="3" xfId="0" quotePrefix="1" applyNumberFormat="1" applyFill="1" applyBorder="1" applyAlignment="1" applyProtection="1">
      <alignment horizontal="right"/>
      <protection locked="0"/>
    </xf>
    <xf numFmtId="0" fontId="26" fillId="0" borderId="11" xfId="0" applyFont="1" applyBorder="1" applyAlignment="1">
      <alignment horizontal="center"/>
    </xf>
    <xf numFmtId="0" fontId="24" fillId="5" borderId="11" xfId="0" applyFont="1" applyFill="1" applyBorder="1" applyAlignment="1" applyProtection="1">
      <alignment horizontal="center"/>
      <protection locked="0"/>
    </xf>
    <xf numFmtId="0" fontId="0" fillId="5" borderId="3" xfId="0" quotePrefix="1" applyFill="1" applyBorder="1" applyAlignment="1" applyProtection="1">
      <alignment horizontal="right"/>
      <protection locked="0"/>
    </xf>
    <xf numFmtId="168" fontId="156" fillId="0" borderId="0" xfId="0" applyNumberFormat="1" applyFont="1" applyAlignment="1">
      <alignment horizontal="center" vertical="center" wrapText="1"/>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8" xfId="0" applyFont="1" applyBorder="1" applyAlignment="1">
      <alignment horizontal="center" vertical="center" wrapText="1"/>
    </xf>
    <xf numFmtId="0" fontId="33" fillId="0" borderId="0" xfId="0" applyFont="1" applyAlignment="1">
      <alignment horizontal="center" vertical="center" wrapText="1"/>
    </xf>
    <xf numFmtId="0" fontId="33" fillId="0" borderId="12" xfId="0" applyFont="1" applyBorder="1" applyAlignment="1">
      <alignment horizontal="center" vertical="center" wrapText="1"/>
    </xf>
    <xf numFmtId="0" fontId="33" fillId="0" borderId="9" xfId="0" applyFont="1" applyBorder="1" applyAlignment="1">
      <alignment horizontal="center" vertical="center" wrapText="1"/>
    </xf>
    <xf numFmtId="0" fontId="33" fillId="0" borderId="6" xfId="0" applyFont="1" applyBorder="1" applyAlignment="1">
      <alignment horizontal="center" vertical="center" wrapText="1"/>
    </xf>
    <xf numFmtId="0" fontId="33" fillId="0" borderId="10" xfId="0" applyFont="1" applyBorder="1" applyAlignment="1">
      <alignment horizontal="center" vertical="center" wrapText="1"/>
    </xf>
    <xf numFmtId="0" fontId="17" fillId="0" borderId="3" xfId="0" applyFont="1" applyBorder="1" applyAlignment="1">
      <alignment horizontal="left"/>
    </xf>
    <xf numFmtId="0" fontId="17" fillId="0" borderId="4" xfId="0" applyFont="1" applyBorder="1" applyAlignment="1">
      <alignment horizontal="left"/>
    </xf>
    <xf numFmtId="0" fontId="17" fillId="0" borderId="5" xfId="0" applyFont="1" applyBorder="1" applyAlignment="1">
      <alignment horizontal="left"/>
    </xf>
    <xf numFmtId="168" fontId="53" fillId="0" borderId="2" xfId="0" applyNumberFormat="1" applyFont="1" applyBorder="1" applyAlignment="1">
      <alignment horizontal="left" vertical="top" wrapText="1"/>
    </xf>
    <xf numFmtId="168" fontId="53" fillId="0" borderId="0" xfId="0" applyNumberFormat="1" applyFont="1" applyAlignment="1">
      <alignment horizontal="left" vertical="top" wrapText="1"/>
    </xf>
    <xf numFmtId="0" fontId="0" fillId="0" borderId="6" xfId="0" applyBorder="1" applyAlignment="1">
      <alignment horizontal="center"/>
    </xf>
    <xf numFmtId="0" fontId="0" fillId="0" borderId="10" xfId="0" applyBorder="1" applyAlignment="1">
      <alignment horizontal="center"/>
    </xf>
    <xf numFmtId="0" fontId="17"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14" fontId="17" fillId="5" borderId="4" xfId="0" applyNumberFormat="1" applyFont="1" applyFill="1" applyBorder="1" applyAlignment="1" applyProtection="1">
      <alignment horizontal="right"/>
      <protection locked="0"/>
    </xf>
    <xf numFmtId="14" fontId="26" fillId="5" borderId="4" xfId="0" applyNumberFormat="1" applyFont="1" applyFill="1" applyBorder="1" applyAlignment="1" applyProtection="1">
      <alignment horizontal="right"/>
      <protection locked="0"/>
    </xf>
    <xf numFmtId="168" fontId="26" fillId="0" borderId="3" xfId="0" applyNumberFormat="1" applyFont="1" applyBorder="1" applyAlignment="1">
      <alignment horizontal="left" vertical="top"/>
    </xf>
    <xf numFmtId="168" fontId="26" fillId="0" borderId="4" xfId="0" applyNumberFormat="1" applyFont="1" applyBorder="1" applyAlignment="1">
      <alignment horizontal="left" vertical="top"/>
    </xf>
    <xf numFmtId="168" fontId="26" fillId="0" borderId="5" xfId="0" applyNumberFormat="1" applyFont="1" applyBorder="1" applyAlignment="1">
      <alignment horizontal="left" vertical="top"/>
    </xf>
    <xf numFmtId="10" fontId="26" fillId="5" borderId="4" xfId="0" applyNumberFormat="1" applyFont="1" applyFill="1" applyBorder="1" applyAlignment="1" applyProtection="1">
      <alignment horizontal="right"/>
      <protection locked="0"/>
    </xf>
    <xf numFmtId="0" fontId="25"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72" fontId="0" fillId="5" borderId="6" xfId="0" applyNumberFormat="1" applyFill="1" applyBorder="1" applyAlignment="1" applyProtection="1">
      <alignment horizontal="center"/>
      <protection locked="0"/>
    </xf>
    <xf numFmtId="2" fontId="0" fillId="5" borderId="6" xfId="0" applyNumberFormat="1" applyFill="1" applyBorder="1" applyAlignment="1" applyProtection="1">
      <alignment horizontal="center"/>
      <protection locked="0"/>
    </xf>
    <xf numFmtId="2" fontId="0" fillId="0" borderId="6" xfId="0" applyNumberFormat="1" applyBorder="1" applyAlignment="1">
      <alignment horizontal="center"/>
    </xf>
    <xf numFmtId="0" fontId="0" fillId="0" borderId="5" xfId="0" applyBorder="1" applyAlignment="1">
      <alignment horizontal="left"/>
    </xf>
    <xf numFmtId="168" fontId="17" fillId="0" borderId="3" xfId="0" applyNumberFormat="1" applyFont="1" applyBorder="1" applyAlignment="1">
      <alignment horizontal="left" vertical="top"/>
    </xf>
    <xf numFmtId="166" fontId="17" fillId="5" borderId="4" xfId="0" applyNumberFormat="1" applyFont="1" applyFill="1" applyBorder="1" applyAlignment="1" applyProtection="1">
      <alignment horizontal="left"/>
      <protection locked="0"/>
    </xf>
    <xf numFmtId="0" fontId="24" fillId="0" borderId="3" xfId="0" applyFont="1" applyBorder="1" applyAlignment="1">
      <alignment horizontal="center"/>
    </xf>
    <xf numFmtId="0" fontId="24" fillId="0" borderId="4" xfId="0" applyFont="1" applyBorder="1" applyAlignment="1">
      <alignment horizontal="center"/>
    </xf>
    <xf numFmtId="0" fontId="24" fillId="0" borderId="5" xfId="0" applyFont="1" applyBorder="1" applyAlignment="1">
      <alignment horizontal="center"/>
    </xf>
    <xf numFmtId="0" fontId="17" fillId="0" borderId="3" xfId="271" applyFont="1" applyBorder="1" applyAlignment="1">
      <alignment horizontal="left"/>
    </xf>
    <xf numFmtId="0" fontId="17" fillId="0" borderId="4" xfId="271" applyFont="1" applyBorder="1" applyAlignment="1">
      <alignment horizontal="left"/>
    </xf>
    <xf numFmtId="0" fontId="17" fillId="0" borderId="5" xfId="271" applyFont="1" applyBorder="1" applyAlignment="1">
      <alignment horizontal="left"/>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166" fontId="17" fillId="5" borderId="6" xfId="271" applyNumberFormat="1" applyFont="1" applyFill="1" applyBorder="1" applyAlignment="1" applyProtection="1">
      <alignment horizontal="left"/>
      <protection locked="0"/>
    </xf>
    <xf numFmtId="166" fontId="26" fillId="5" borderId="6" xfId="271" applyNumberFormat="1" applyFill="1" applyBorder="1" applyAlignment="1" applyProtection="1">
      <alignment horizontal="left"/>
      <protection locked="0"/>
    </xf>
    <xf numFmtId="166" fontId="26" fillId="5" borderId="4" xfId="271" applyNumberFormat="1" applyFill="1" applyBorder="1" applyAlignment="1" applyProtection="1">
      <alignment horizontal="left"/>
      <protection locked="0"/>
    </xf>
    <xf numFmtId="0" fontId="0" fillId="43" borderId="6" xfId="0" applyFill="1" applyBorder="1" applyAlignment="1" applyProtection="1">
      <alignment horizontal="center"/>
      <protection locked="0"/>
    </xf>
    <xf numFmtId="0" fontId="26" fillId="0" borderId="6" xfId="0" applyFont="1" applyBorder="1" applyAlignment="1">
      <alignment horizontal="left"/>
    </xf>
    <xf numFmtId="166" fontId="0" fillId="5" borderId="6" xfId="0" applyNumberFormat="1" applyFill="1" applyBorder="1" applyAlignment="1" applyProtection="1">
      <alignment horizontal="left"/>
      <protection locked="0"/>
    </xf>
    <xf numFmtId="168" fontId="0" fillId="0" borderId="6" xfId="0" applyNumberFormat="1" applyBorder="1" applyAlignment="1">
      <alignment horizontal="center"/>
    </xf>
    <xf numFmtId="0" fontId="0" fillId="5" borderId="6" xfId="0" applyFill="1" applyBorder="1" applyAlignment="1" applyProtection="1">
      <alignment horizontal="right"/>
      <protection locked="0"/>
    </xf>
    <xf numFmtId="173" fontId="0" fillId="5" borderId="6" xfId="0" applyNumberFormat="1" applyFill="1" applyBorder="1" applyAlignment="1" applyProtection="1">
      <alignment horizontal="center"/>
      <protection locked="0"/>
    </xf>
    <xf numFmtId="0" fontId="17" fillId="5" borderId="6" xfId="244" applyFont="1" applyFill="1" applyBorder="1" applyAlignment="1" applyProtection="1">
      <alignment horizontal="left"/>
      <protection locked="0"/>
    </xf>
    <xf numFmtId="0" fontId="0" fillId="0" borderId="0" xfId="0" applyAlignment="1">
      <alignment vertical="top" wrapText="1"/>
    </xf>
    <xf numFmtId="0" fontId="0" fillId="0" borderId="0" xfId="0" applyAlignment="1">
      <alignment wrapText="1"/>
    </xf>
    <xf numFmtId="0" fontId="17" fillId="0" borderId="0" xfId="271" applyFont="1" applyAlignment="1">
      <alignment horizontal="left" vertical="top" wrapText="1"/>
    </xf>
    <xf numFmtId="0" fontId="17" fillId="0" borderId="6" xfId="0" applyFont="1" applyBorder="1" applyAlignment="1" applyProtection="1">
      <alignment horizontal="center"/>
      <protection locked="0"/>
    </xf>
    <xf numFmtId="174" fontId="0" fillId="5" borderId="4" xfId="0" applyNumberFormat="1" applyFill="1" applyBorder="1" applyAlignment="1" applyProtection="1">
      <alignment horizontal="left"/>
      <protection locked="0"/>
    </xf>
    <xf numFmtId="0" fontId="26" fillId="0" borderId="6" xfId="0" applyFont="1" applyBorder="1" applyAlignment="1">
      <alignment horizontal="left" wrapText="1"/>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0" fontId="17" fillId="0" borderId="0" xfId="0" applyFont="1" applyAlignment="1" applyProtection="1">
      <alignment horizontal="left"/>
      <protection locked="0"/>
    </xf>
    <xf numFmtId="9" fontId="25" fillId="0" borderId="3" xfId="4494" applyFont="1" applyBorder="1" applyAlignment="1" applyProtection="1">
      <alignment horizontal="center"/>
    </xf>
    <xf numFmtId="9" fontId="25" fillId="0" borderId="5" xfId="4494" applyFont="1" applyBorder="1" applyAlignment="1" applyProtection="1">
      <alignment horizontal="center"/>
    </xf>
    <xf numFmtId="0" fontId="25" fillId="43" borderId="6" xfId="0" applyFont="1" applyFill="1" applyBorder="1" applyAlignment="1" applyProtection="1">
      <alignment horizontal="left"/>
      <protection locked="0"/>
    </xf>
    <xf numFmtId="0" fontId="153" fillId="0" borderId="0" xfId="0" applyFont="1" applyAlignment="1" applyProtection="1">
      <alignment horizontal="left" vertical="top" wrapText="1"/>
      <protection locked="0"/>
    </xf>
    <xf numFmtId="0" fontId="17" fillId="0" borderId="6" xfId="0" applyFont="1" applyBorder="1" applyAlignment="1" applyProtection="1">
      <alignment horizontal="left"/>
      <protection locked="0"/>
    </xf>
    <xf numFmtId="0" fontId="18" fillId="0" borderId="0" xfId="244" applyFill="1" applyAlignment="1" applyProtection="1">
      <alignment horizontal="left"/>
      <protection locked="0"/>
    </xf>
    <xf numFmtId="168" fontId="17" fillId="0" borderId="6" xfId="0" applyNumberFormat="1" applyFont="1" applyBorder="1" applyAlignment="1">
      <alignment horizontal="center"/>
    </xf>
    <xf numFmtId="0" fontId="0" fillId="5" borderId="0" xfId="0" applyFill="1" applyAlignment="1" applyProtection="1">
      <alignment horizontal="left" vertical="top" wrapText="1"/>
      <protection locked="0"/>
    </xf>
    <xf numFmtId="49" fontId="0" fillId="5" borderId="6" xfId="0" applyNumberFormat="1" applyFill="1" applyBorder="1" applyAlignment="1" applyProtection="1">
      <alignment horizontal="center"/>
      <protection locked="0"/>
    </xf>
    <xf numFmtId="0" fontId="17" fillId="5" borderId="0" xfId="244" applyFont="1" applyFill="1" applyBorder="1" applyAlignment="1" applyProtection="1">
      <alignment horizontal="left"/>
      <protection locked="0"/>
    </xf>
    <xf numFmtId="10" fontId="26" fillId="0" borderId="11" xfId="0" applyNumberFormat="1" applyFont="1" applyBorder="1" applyAlignment="1">
      <alignment horizontal="center"/>
    </xf>
    <xf numFmtId="0" fontId="0" fillId="5" borderId="6" xfId="0" applyFill="1" applyBorder="1" applyProtection="1">
      <protection locked="0"/>
    </xf>
    <xf numFmtId="0" fontId="26" fillId="0" borderId="4" xfId="0" applyFont="1" applyBorder="1" applyAlignment="1" applyProtection="1">
      <alignment horizontal="left"/>
      <protection locked="0"/>
    </xf>
    <xf numFmtId="0" fontId="17" fillId="43" borderId="6" xfId="0" applyFont="1" applyFill="1" applyBorder="1" applyAlignment="1" applyProtection="1">
      <alignment vertical="center"/>
      <protection locked="0"/>
    </xf>
    <xf numFmtId="0" fontId="26" fillId="43" borderId="6" xfId="0" applyFont="1" applyFill="1" applyBorder="1" applyAlignment="1" applyProtection="1">
      <alignment horizontal="left"/>
      <protection locked="0"/>
    </xf>
    <xf numFmtId="0" fontId="17" fillId="0" borderId="6" xfId="0" applyFont="1" applyBorder="1" applyAlignment="1">
      <alignment horizontal="left"/>
    </xf>
    <xf numFmtId="168" fontId="26" fillId="0" borderId="11" xfId="0" applyNumberFormat="1" applyFont="1" applyBorder="1" applyAlignment="1">
      <alignment horizontal="center"/>
    </xf>
    <xf numFmtId="0" fontId="26" fillId="5" borderId="0" xfId="0" applyFont="1" applyFill="1" applyAlignment="1" applyProtection="1">
      <alignment horizontal="left" vertical="top" wrapText="1"/>
      <protection locked="0"/>
    </xf>
    <xf numFmtId="0" fontId="26" fillId="5" borderId="6" xfId="0" applyFont="1" applyFill="1" applyBorder="1" applyAlignment="1" applyProtection="1">
      <alignment horizontal="left" vertical="top" wrapText="1"/>
      <protection locked="0"/>
    </xf>
    <xf numFmtId="1" fontId="0" fillId="5" borderId="6" xfId="0" applyNumberFormat="1" applyFill="1" applyBorder="1" applyAlignment="1" applyProtection="1">
      <alignment horizontal="center"/>
      <protection locked="0"/>
    </xf>
    <xf numFmtId="168" fontId="0" fillId="43" borderId="6" xfId="0" applyNumberFormat="1" applyFill="1" applyBorder="1" applyAlignment="1" applyProtection="1">
      <alignment horizontal="right"/>
      <protection locked="0"/>
    </xf>
    <xf numFmtId="168" fontId="26" fillId="5" borderId="6" xfId="0" applyNumberFormat="1" applyFont="1" applyFill="1" applyBorder="1" applyAlignment="1" applyProtection="1">
      <alignment horizontal="right"/>
      <protection locked="0"/>
    </xf>
    <xf numFmtId="178" fontId="17" fillId="5" borderId="4" xfId="0" applyNumberFormat="1" applyFont="1" applyFill="1" applyBorder="1" applyAlignment="1" applyProtection="1">
      <alignment horizontal="right"/>
      <protection locked="0"/>
    </xf>
    <xf numFmtId="178" fontId="26" fillId="5" borderId="4" xfId="0" applyNumberFormat="1" applyFont="1" applyFill="1" applyBorder="1" applyAlignment="1" applyProtection="1">
      <alignment horizontal="right"/>
      <protection locked="0"/>
    </xf>
    <xf numFmtId="0" fontId="0" fillId="5" borderId="4" xfId="0" applyFill="1" applyBorder="1" applyAlignment="1" applyProtection="1">
      <alignment horizontal="right"/>
      <protection locked="0"/>
    </xf>
    <xf numFmtId="0" fontId="26" fillId="5" borderId="11" xfId="0" applyFont="1" applyFill="1" applyBorder="1" applyAlignment="1" applyProtection="1">
      <alignment horizontal="center"/>
      <protection locked="0"/>
    </xf>
    <xf numFmtId="1" fontId="26" fillId="5" borderId="6" xfId="0" applyNumberFormat="1" applyFont="1" applyFill="1" applyBorder="1" applyAlignment="1" applyProtection="1">
      <alignment horizontal="right"/>
      <protection locked="0"/>
    </xf>
    <xf numFmtId="0" fontId="36" fillId="5" borderId="6" xfId="0" applyFont="1" applyFill="1" applyBorder="1" applyAlignment="1" applyProtection="1">
      <alignment horizontal="left"/>
      <protection locked="0"/>
    </xf>
    <xf numFmtId="0" fontId="0" fillId="0" borderId="6" xfId="0" applyBorder="1" applyAlignment="1" applyProtection="1">
      <alignment horizontal="center"/>
      <protection locked="0"/>
    </xf>
    <xf numFmtId="1" fontId="26" fillId="5" borderId="11" xfId="0" quotePrefix="1" applyNumberFormat="1" applyFont="1" applyFill="1" applyBorder="1" applyAlignment="1" applyProtection="1">
      <alignment horizontal="center"/>
      <protection locked="0"/>
    </xf>
    <xf numFmtId="3" fontId="0" fillId="0" borderId="6" xfId="0" applyNumberFormat="1" applyBorder="1" applyAlignment="1">
      <alignment horizontal="right"/>
    </xf>
    <xf numFmtId="0" fontId="17" fillId="43" borderId="4" xfId="0" applyFont="1" applyFill="1" applyBorder="1" applyAlignment="1" applyProtection="1">
      <alignment horizontal="left" wrapText="1"/>
      <protection locked="0"/>
    </xf>
    <xf numFmtId="0" fontId="26" fillId="5" borderId="4" xfId="0" applyFont="1" applyFill="1" applyBorder="1" applyAlignment="1" applyProtection="1">
      <alignment horizontal="right"/>
      <protection locked="0"/>
    </xf>
    <xf numFmtId="168" fontId="17" fillId="5" borderId="6" xfId="0" applyNumberFormat="1" applyFont="1" applyFill="1" applyBorder="1" applyAlignment="1" applyProtection="1">
      <alignment horizontal="right"/>
      <protection locked="0"/>
    </xf>
    <xf numFmtId="168" fontId="26" fillId="5" borderId="4" xfId="0" applyNumberFormat="1" applyFont="1" applyFill="1" applyBorder="1" applyAlignment="1" applyProtection="1">
      <alignment horizontal="right"/>
      <protection locked="0"/>
    </xf>
    <xf numFmtId="165" fontId="26" fillId="5" borderId="3" xfId="0" applyNumberFormat="1" applyFont="1" applyFill="1" applyBorder="1" applyAlignment="1" applyProtection="1">
      <alignment horizontal="center"/>
      <protection locked="0"/>
    </xf>
    <xf numFmtId="165" fontId="26" fillId="5" borderId="4" xfId="0" applyNumberFormat="1" applyFont="1" applyFill="1" applyBorder="1" applyAlignment="1" applyProtection="1">
      <alignment horizontal="center"/>
      <protection locked="0"/>
    </xf>
    <xf numFmtId="165" fontId="26" fillId="5" borderId="5" xfId="0" applyNumberFormat="1" applyFont="1" applyFill="1" applyBorder="1" applyAlignment="1" applyProtection="1">
      <alignment horizontal="center"/>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24" fillId="0" borderId="10" xfId="0" applyFont="1" applyBorder="1" applyAlignment="1">
      <alignment horizontal="center"/>
    </xf>
    <xf numFmtId="0" fontId="0" fillId="43" borderId="10" xfId="0" applyFill="1" applyBorder="1" applyAlignment="1" applyProtection="1">
      <alignment horizontal="left"/>
      <protection locked="0"/>
    </xf>
    <xf numFmtId="3" fontId="26" fillId="0" borderId="11" xfId="0" applyNumberFormat="1" applyFont="1" applyBorder="1" applyAlignment="1">
      <alignment horizontal="center"/>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68" fontId="17" fillId="0" borderId="4" xfId="0" applyNumberFormat="1" applyFont="1" applyBorder="1" applyAlignment="1">
      <alignment horizontal="left" vertical="top"/>
    </xf>
    <xf numFmtId="168" fontId="17" fillId="0" borderId="5" xfId="0" applyNumberFormat="1" applyFont="1" applyBorder="1" applyAlignment="1">
      <alignment horizontal="left" vertical="top"/>
    </xf>
    <xf numFmtId="168" fontId="184" fillId="0" borderId="105" xfId="543" applyNumberFormat="1" applyFont="1" applyBorder="1" applyAlignment="1">
      <alignment horizontal="right" vertical="center" wrapText="1"/>
    </xf>
    <xf numFmtId="175" fontId="184" fillId="0" borderId="107" xfId="543" applyNumberFormat="1" applyFont="1" applyBorder="1" applyAlignment="1">
      <alignment horizontal="center" vertical="center" wrapText="1"/>
    </xf>
    <xf numFmtId="175" fontId="184" fillId="0" borderId="108" xfId="543" applyNumberFormat="1" applyFont="1" applyBorder="1" applyAlignment="1">
      <alignment horizontal="center" vertical="center" wrapText="1"/>
    </xf>
    <xf numFmtId="175" fontId="184" fillId="0" borderId="109" xfId="543" applyNumberFormat="1" applyFont="1" applyBorder="1" applyAlignment="1">
      <alignment horizontal="center" vertical="center" wrapText="1"/>
    </xf>
    <xf numFmtId="0" fontId="183" fillId="0" borderId="0" xfId="543" applyFont="1" applyAlignment="1">
      <alignment horizontal="left" vertical="center" wrapText="1"/>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58" fillId="2" borderId="3" xfId="0" applyFont="1" applyFill="1" applyBorder="1" applyAlignment="1">
      <alignment horizontal="center" vertical="top"/>
    </xf>
    <xf numFmtId="0" fontId="58" fillId="2" borderId="4" xfId="0" applyFont="1" applyFill="1" applyBorder="1" applyAlignment="1">
      <alignment horizontal="center" vertical="top"/>
    </xf>
    <xf numFmtId="0" fontId="58" fillId="2" borderId="5" xfId="0" applyFont="1" applyFill="1" applyBorder="1" applyAlignment="1">
      <alignment horizontal="center" vertical="top"/>
    </xf>
    <xf numFmtId="0" fontId="26" fillId="0" borderId="6" xfId="0" applyFont="1" applyBorder="1" applyAlignment="1">
      <alignment vertical="top" wrapText="1"/>
    </xf>
    <xf numFmtId="177" fontId="26" fillId="5" borderId="6" xfId="0" applyNumberFormat="1" applyFont="1" applyFill="1" applyBorder="1" applyAlignment="1" applyProtection="1">
      <alignment horizontal="left" vertical="top" wrapText="1"/>
      <protection locked="0"/>
    </xf>
    <xf numFmtId="0" fontId="26" fillId="0" borderId="2" xfId="0" applyFont="1" applyBorder="1" applyAlignment="1">
      <alignment vertical="top" wrapText="1"/>
    </xf>
    <xf numFmtId="0" fontId="53" fillId="0" borderId="0" xfId="0" applyFont="1" applyAlignment="1">
      <alignment vertical="top" wrapText="1"/>
    </xf>
    <xf numFmtId="0" fontId="26" fillId="0" borderId="2" xfId="0" applyFont="1" applyBorder="1" applyAlignment="1">
      <alignment horizontal="left" vertical="top" wrapText="1"/>
    </xf>
    <xf numFmtId="0" fontId="54" fillId="0" borderId="0" xfId="0" applyFont="1" applyAlignment="1">
      <alignment vertical="top" wrapText="1"/>
    </xf>
    <xf numFmtId="0" fontId="26" fillId="0" borderId="0" xfId="0" applyFont="1" applyAlignment="1">
      <alignment vertical="top" wrapText="1"/>
    </xf>
    <xf numFmtId="0" fontId="26" fillId="0" borderId="6" xfId="0" applyFont="1" applyBorder="1" applyAlignment="1">
      <alignment horizontal="right" vertical="top" wrapText="1"/>
    </xf>
    <xf numFmtId="0" fontId="54" fillId="0" borderId="0" xfId="569" applyFont="1" applyAlignment="1">
      <alignment vertical="top" wrapText="1"/>
    </xf>
    <xf numFmtId="0" fontId="17" fillId="0" borderId="0" xfId="569" applyAlignment="1">
      <alignment horizontal="right" vertical="top" wrapText="1"/>
    </xf>
    <xf numFmtId="0" fontId="23" fillId="3" borderId="3" xfId="0" applyFont="1" applyFill="1" applyBorder="1" applyAlignment="1">
      <alignment horizontal="left" vertical="top"/>
    </xf>
    <xf numFmtId="0" fontId="23" fillId="3" borderId="4" xfId="0" applyFont="1" applyFill="1" applyBorder="1" applyAlignment="1">
      <alignment horizontal="left" vertical="top"/>
    </xf>
    <xf numFmtId="0" fontId="23" fillId="3" borderId="5" xfId="0" applyFont="1" applyFill="1" applyBorder="1" applyAlignment="1">
      <alignment horizontal="left" vertical="top"/>
    </xf>
    <xf numFmtId="0" fontId="102" fillId="44" borderId="0" xfId="8733" applyFont="1" applyFill="1" applyAlignment="1">
      <alignment horizontal="left"/>
    </xf>
    <xf numFmtId="0" fontId="1" fillId="48" borderId="80" xfId="8733" applyFont="1" applyFill="1" applyBorder="1" applyAlignment="1" applyProtection="1">
      <alignment horizontal="left"/>
      <protection locked="0"/>
    </xf>
    <xf numFmtId="0" fontId="2" fillId="48" borderId="79" xfId="8733" applyFill="1" applyBorder="1" applyAlignment="1" applyProtection="1">
      <alignment horizontal="left"/>
      <protection locked="0"/>
    </xf>
    <xf numFmtId="0" fontId="2" fillId="48" borderId="78" xfId="8733" applyFill="1" applyBorder="1" applyAlignment="1" applyProtection="1">
      <alignment horizontal="left"/>
      <protection locked="0"/>
    </xf>
    <xf numFmtId="0" fontId="165" fillId="44" borderId="0" xfId="8733" applyFont="1" applyFill="1" applyAlignment="1">
      <alignment horizontal="left" vertical="top"/>
    </xf>
    <xf numFmtId="0" fontId="102" fillId="44" borderId="0" xfId="8730" applyFont="1" applyFill="1" applyBorder="1" applyAlignment="1">
      <alignment horizontal="left" vertical="top"/>
    </xf>
    <xf numFmtId="14" fontId="2" fillId="48" borderId="80" xfId="8733" applyNumberFormat="1" applyFill="1" applyBorder="1" applyAlignment="1" applyProtection="1">
      <alignment horizontal="center"/>
      <protection locked="0"/>
    </xf>
    <xf numFmtId="14" fontId="2" fillId="48" borderId="79" xfId="8733" applyNumberFormat="1" applyFill="1" applyBorder="1" applyAlignment="1" applyProtection="1">
      <alignment horizontal="center"/>
      <protection locked="0"/>
    </xf>
    <xf numFmtId="14" fontId="2" fillId="48" borderId="78" xfId="8733" applyNumberFormat="1" applyFill="1" applyBorder="1" applyAlignment="1" applyProtection="1">
      <alignment horizontal="center"/>
      <protection locked="0"/>
    </xf>
    <xf numFmtId="0" fontId="166" fillId="47" borderId="0" xfId="8733" applyFont="1" applyFill="1" applyAlignment="1">
      <alignment horizontal="left" vertical="top" wrapText="1"/>
    </xf>
    <xf numFmtId="0" fontId="102" fillId="47" borderId="42" xfId="8733" applyFont="1" applyFill="1" applyBorder="1" applyAlignment="1">
      <alignment horizontal="center"/>
    </xf>
    <xf numFmtId="0" fontId="2" fillId="48" borderId="80" xfId="8733" applyFill="1" applyBorder="1" applyAlignment="1" applyProtection="1">
      <alignment horizontal="center"/>
      <protection locked="0"/>
    </xf>
    <xf numFmtId="0" fontId="2" fillId="48" borderId="79" xfId="8733" applyFill="1" applyBorder="1" applyAlignment="1" applyProtection="1">
      <alignment horizontal="center"/>
      <protection locked="0"/>
    </xf>
    <xf numFmtId="0" fontId="2" fillId="48" borderId="78" xfId="8733" applyFill="1" applyBorder="1" applyAlignment="1" applyProtection="1">
      <alignment horizontal="center"/>
      <protection locked="0"/>
    </xf>
    <xf numFmtId="0" fontId="167" fillId="47" borderId="65" xfId="8733" applyFont="1" applyFill="1" applyBorder="1" applyAlignment="1">
      <alignment horizontal="center"/>
    </xf>
    <xf numFmtId="0" fontId="167" fillId="47" borderId="29" xfId="8733" applyFont="1" applyFill="1" applyBorder="1" applyAlignment="1">
      <alignment horizontal="center"/>
    </xf>
    <xf numFmtId="0" fontId="167" fillId="47" borderId="31" xfId="8733" applyFont="1" applyFill="1" applyBorder="1" applyAlignment="1">
      <alignment horizontal="center"/>
    </xf>
    <xf numFmtId="0" fontId="2" fillId="47" borderId="66" xfId="8733" applyFill="1" applyBorder="1" applyAlignment="1">
      <alignment horizontal="center"/>
    </xf>
    <xf numFmtId="0" fontId="2" fillId="47" borderId="0" xfId="8733" applyFill="1" applyAlignment="1">
      <alignment horizontal="center"/>
    </xf>
    <xf numFmtId="0" fontId="2" fillId="47" borderId="41" xfId="8733" applyFill="1" applyBorder="1" applyAlignment="1">
      <alignment horizontal="center"/>
    </xf>
    <xf numFmtId="0" fontId="166" fillId="47" borderId="66" xfId="8733" applyFont="1" applyFill="1" applyBorder="1" applyAlignment="1">
      <alignment horizontal="center"/>
    </xf>
    <xf numFmtId="0" fontId="166" fillId="47" borderId="0" xfId="8733" applyFont="1" applyFill="1" applyAlignment="1">
      <alignment horizontal="center"/>
    </xf>
    <xf numFmtId="0" fontId="166" fillId="47" borderId="41" xfId="8733" applyFont="1" applyFill="1" applyBorder="1" applyAlignment="1">
      <alignment horizontal="center"/>
    </xf>
    <xf numFmtId="0" fontId="102" fillId="47" borderId="66" xfId="8733" applyFont="1" applyFill="1" applyBorder="1" applyAlignment="1">
      <alignment horizontal="center"/>
    </xf>
    <xf numFmtId="0" fontId="102" fillId="47" borderId="0" xfId="8733" applyFont="1" applyFill="1" applyAlignment="1">
      <alignment horizontal="center"/>
    </xf>
    <xf numFmtId="0" fontId="102" fillId="47" borderId="41" xfId="8733" applyFont="1" applyFill="1" applyBorder="1" applyAlignment="1">
      <alignment horizontal="center"/>
    </xf>
    <xf numFmtId="0" fontId="102" fillId="47" borderId="0" xfId="8733" applyFont="1" applyFill="1" applyAlignment="1">
      <alignment horizontal="left"/>
    </xf>
    <xf numFmtId="0" fontId="168" fillId="50" borderId="3" xfId="698" applyNumberFormat="1" applyFont="1" applyFill="1" applyBorder="1" applyAlignment="1" applyProtection="1">
      <alignment horizontal="center"/>
      <protection locked="0"/>
    </xf>
    <xf numFmtId="0" fontId="168" fillId="50" borderId="4" xfId="698" applyNumberFormat="1" applyFont="1" applyFill="1" applyBorder="1" applyAlignment="1" applyProtection="1">
      <alignment horizontal="center"/>
      <protection locked="0"/>
    </xf>
    <xf numFmtId="0" fontId="168" fillId="50" borderId="81" xfId="698" applyNumberFormat="1" applyFont="1" applyFill="1" applyBorder="1" applyAlignment="1" applyProtection="1">
      <alignment horizontal="center"/>
      <protection locked="0"/>
    </xf>
    <xf numFmtId="43" fontId="166" fillId="49" borderId="72" xfId="698" applyFont="1" applyFill="1" applyBorder="1" applyAlignment="1" applyProtection="1">
      <alignment horizontal="right"/>
      <protection hidden="1"/>
    </xf>
    <xf numFmtId="43" fontId="166" fillId="49" borderId="11" xfId="698" applyFont="1" applyFill="1" applyBorder="1" applyAlignment="1" applyProtection="1">
      <alignment horizontal="right"/>
      <protection hidden="1"/>
    </xf>
    <xf numFmtId="44" fontId="166" fillId="0" borderId="11" xfId="700" applyFont="1" applyBorder="1" applyAlignment="1" applyProtection="1">
      <alignment horizontal="center"/>
      <protection hidden="1"/>
    </xf>
    <xf numFmtId="168" fontId="166" fillId="0" borderId="11" xfId="700" applyNumberFormat="1" applyFont="1" applyBorder="1" applyAlignment="1" applyProtection="1">
      <alignment horizontal="center"/>
      <protection hidden="1"/>
    </xf>
    <xf numFmtId="9" fontId="166" fillId="0" borderId="11" xfId="4494" applyFont="1" applyBorder="1" applyAlignment="1" applyProtection="1">
      <alignment horizontal="center"/>
      <protection hidden="1"/>
    </xf>
    <xf numFmtId="43" fontId="166" fillId="49" borderId="3" xfId="698" applyFont="1" applyFill="1" applyBorder="1" applyAlignment="1" applyProtection="1">
      <alignment horizontal="center"/>
      <protection hidden="1"/>
    </xf>
    <xf numFmtId="43" fontId="166" fillId="49" borderId="4" xfId="698" applyFont="1" applyFill="1" applyBorder="1" applyAlignment="1" applyProtection="1">
      <alignment horizontal="center"/>
      <protection hidden="1"/>
    </xf>
    <xf numFmtId="43" fontId="166" fillId="49" borderId="81" xfId="698" applyFont="1" applyFill="1" applyBorder="1" applyAlignment="1" applyProtection="1">
      <alignment horizontal="center"/>
      <protection hidden="1"/>
    </xf>
    <xf numFmtId="0" fontId="169" fillId="49" borderId="72" xfId="698" applyNumberFormat="1" applyFont="1" applyFill="1" applyBorder="1" applyAlignment="1" applyProtection="1">
      <alignment horizontal="center"/>
      <protection hidden="1"/>
    </xf>
    <xf numFmtId="0" fontId="169" fillId="49" borderId="11" xfId="698" applyNumberFormat="1" applyFont="1" applyFill="1" applyBorder="1" applyAlignment="1" applyProtection="1">
      <alignment horizontal="center"/>
      <protection hidden="1"/>
    </xf>
    <xf numFmtId="0" fontId="169" fillId="48" borderId="11" xfId="0" applyFont="1" applyFill="1" applyBorder="1" applyAlignment="1" applyProtection="1">
      <alignment horizontal="center"/>
      <protection locked="0"/>
    </xf>
    <xf numFmtId="14" fontId="168" fillId="48" borderId="11" xfId="700" applyNumberFormat="1" applyFont="1" applyFill="1" applyBorder="1" applyAlignment="1" applyProtection="1">
      <alignment horizontal="center"/>
      <protection locked="0"/>
    </xf>
    <xf numFmtId="168" fontId="169" fillId="48" borderId="11" xfId="700" applyNumberFormat="1" applyFont="1" applyFill="1" applyBorder="1" applyAlignment="1" applyProtection="1">
      <alignment horizontal="center"/>
      <protection locked="0"/>
    </xf>
    <xf numFmtId="9" fontId="169" fillId="48" borderId="11" xfId="1022" applyFont="1" applyFill="1" applyBorder="1" applyAlignment="1" applyProtection="1">
      <alignment horizontal="center"/>
      <protection locked="0"/>
    </xf>
    <xf numFmtId="44" fontId="168" fillId="48" borderId="11" xfId="700" applyFont="1" applyFill="1" applyBorder="1" applyAlignment="1" applyProtection="1">
      <alignment horizontal="center"/>
      <protection locked="0"/>
    </xf>
    <xf numFmtId="0" fontId="171" fillId="45" borderId="11" xfId="8733" applyFont="1" applyFill="1" applyBorder="1" applyAlignment="1">
      <alignment horizontal="left" wrapText="1"/>
    </xf>
    <xf numFmtId="43" fontId="166" fillId="45" borderId="80" xfId="698" applyFont="1" applyFill="1" applyBorder="1" applyAlignment="1" applyProtection="1">
      <alignment horizontal="center"/>
      <protection hidden="1"/>
    </xf>
    <xf numFmtId="43" fontId="166" fillId="45" borderId="79" xfId="698" applyFont="1" applyFill="1" applyBorder="1" applyAlignment="1" applyProtection="1">
      <alignment horizontal="center"/>
      <protection hidden="1"/>
    </xf>
    <xf numFmtId="43" fontId="166" fillId="45" borderId="78" xfId="698" applyFont="1" applyFill="1" applyBorder="1" applyAlignment="1" applyProtection="1">
      <alignment horizontal="center"/>
      <protection hidden="1"/>
    </xf>
    <xf numFmtId="43" fontId="170" fillId="49" borderId="66" xfId="698" applyFont="1" applyFill="1" applyBorder="1" applyAlignment="1" applyProtection="1">
      <alignment horizontal="center" wrapText="1"/>
      <protection hidden="1"/>
    </xf>
    <xf numFmtId="43" fontId="170" fillId="49" borderId="0" xfId="698" applyFont="1" applyFill="1" applyBorder="1" applyAlignment="1" applyProtection="1">
      <alignment horizontal="center" wrapText="1"/>
      <protection hidden="1"/>
    </xf>
    <xf numFmtId="43" fontId="170" fillId="49" borderId="12" xfId="698" applyFont="1" applyFill="1" applyBorder="1" applyAlignment="1" applyProtection="1">
      <alignment horizontal="center" wrapText="1"/>
      <protection hidden="1"/>
    </xf>
    <xf numFmtId="43" fontId="170" fillId="49" borderId="83" xfId="698" applyFont="1" applyFill="1" applyBorder="1" applyAlignment="1" applyProtection="1">
      <alignment horizontal="center" wrapText="1"/>
      <protection hidden="1"/>
    </xf>
    <xf numFmtId="43" fontId="170" fillId="49" borderId="6" xfId="698" applyFont="1" applyFill="1" applyBorder="1" applyAlignment="1" applyProtection="1">
      <alignment horizontal="center" wrapText="1"/>
      <protection hidden="1"/>
    </xf>
    <xf numFmtId="43" fontId="170" fillId="49" borderId="10" xfId="698" applyFont="1" applyFill="1" applyBorder="1" applyAlignment="1" applyProtection="1">
      <alignment horizontal="center" wrapText="1"/>
      <protection hidden="1"/>
    </xf>
    <xf numFmtId="43" fontId="170" fillId="49" borderId="8" xfId="698" applyFont="1" applyFill="1" applyBorder="1" applyAlignment="1" applyProtection="1">
      <alignment horizontal="center" wrapText="1"/>
      <protection hidden="1"/>
    </xf>
    <xf numFmtId="43" fontId="170" fillId="49" borderId="9" xfId="698" applyFont="1" applyFill="1" applyBorder="1" applyAlignment="1" applyProtection="1">
      <alignment horizontal="center" wrapText="1"/>
      <protection hidden="1"/>
    </xf>
    <xf numFmtId="14" fontId="170" fillId="0" borderId="8" xfId="700" applyNumberFormat="1" applyFont="1" applyFill="1" applyBorder="1" applyAlignment="1" applyProtection="1">
      <alignment horizontal="center" wrapText="1"/>
      <protection hidden="1"/>
    </xf>
    <xf numFmtId="14" fontId="170" fillId="0" borderId="0" xfId="700" applyNumberFormat="1" applyFont="1" applyFill="1" applyBorder="1" applyAlignment="1" applyProtection="1">
      <alignment horizontal="center" wrapText="1"/>
      <protection hidden="1"/>
    </xf>
    <xf numFmtId="14" fontId="170" fillId="0" borderId="12" xfId="700" applyNumberFormat="1" applyFont="1" applyFill="1" applyBorder="1" applyAlignment="1" applyProtection="1">
      <alignment horizontal="center" wrapText="1"/>
      <protection hidden="1"/>
    </xf>
    <xf numFmtId="14" fontId="170" fillId="0" borderId="9" xfId="700" applyNumberFormat="1" applyFont="1" applyFill="1" applyBorder="1" applyAlignment="1" applyProtection="1">
      <alignment horizontal="center" wrapText="1"/>
      <protection hidden="1"/>
    </xf>
    <xf numFmtId="14" fontId="170" fillId="0" borderId="6" xfId="700" applyNumberFormat="1" applyFont="1" applyFill="1" applyBorder="1" applyAlignment="1" applyProtection="1">
      <alignment horizontal="center" wrapText="1"/>
      <protection hidden="1"/>
    </xf>
    <xf numFmtId="14" fontId="170" fillId="0" borderId="10" xfId="700" applyNumberFormat="1" applyFont="1" applyFill="1" applyBorder="1" applyAlignment="1" applyProtection="1">
      <alignment horizontal="center" wrapText="1"/>
      <protection hidden="1"/>
    </xf>
    <xf numFmtId="44" fontId="170" fillId="0" borderId="8" xfId="700" applyFont="1" applyBorder="1" applyAlignment="1" applyProtection="1">
      <alignment horizontal="center" wrapText="1"/>
      <protection hidden="1"/>
    </xf>
    <xf numFmtId="44" fontId="170" fillId="0" borderId="0" xfId="700" applyFont="1" applyBorder="1" applyAlignment="1" applyProtection="1">
      <alignment horizontal="center" wrapText="1"/>
      <protection hidden="1"/>
    </xf>
    <xf numFmtId="44" fontId="170" fillId="0" borderId="12" xfId="700" applyFont="1" applyBorder="1" applyAlignment="1" applyProtection="1">
      <alignment horizontal="center" wrapText="1"/>
      <protection hidden="1"/>
    </xf>
    <xf numFmtId="44" fontId="170" fillId="0" borderId="9" xfId="700" applyFont="1" applyBorder="1" applyAlignment="1" applyProtection="1">
      <alignment horizontal="center" wrapText="1"/>
      <protection hidden="1"/>
    </xf>
    <xf numFmtId="44" fontId="170" fillId="0" borderId="6" xfId="700" applyFont="1" applyBorder="1" applyAlignment="1" applyProtection="1">
      <alignment horizontal="center" wrapText="1"/>
      <protection hidden="1"/>
    </xf>
    <xf numFmtId="44" fontId="170" fillId="0" borderId="10" xfId="700" applyFont="1" applyBorder="1" applyAlignment="1" applyProtection="1">
      <alignment horizontal="center" wrapText="1"/>
      <protection hidden="1"/>
    </xf>
    <xf numFmtId="43" fontId="170" fillId="49" borderId="41" xfId="698" applyFont="1" applyFill="1" applyBorder="1" applyAlignment="1" applyProtection="1">
      <alignment horizontal="center" wrapText="1"/>
      <protection hidden="1"/>
    </xf>
    <xf numFmtId="43" fontId="170" fillId="49" borderId="82" xfId="698" applyFont="1" applyFill="1" applyBorder="1" applyAlignment="1" applyProtection="1">
      <alignment horizontal="center" wrapText="1"/>
      <protection hidden="1"/>
    </xf>
    <xf numFmtId="0" fontId="172" fillId="45" borderId="11" xfId="8733" applyFont="1" applyFill="1" applyBorder="1" applyAlignment="1">
      <alignment horizontal="left"/>
    </xf>
    <xf numFmtId="182" fontId="2" fillId="48" borderId="11" xfId="700" applyNumberFormat="1" applyFont="1" applyFill="1" applyBorder="1" applyAlignment="1" applyProtection="1">
      <alignment horizontal="center"/>
      <protection locked="0"/>
    </xf>
    <xf numFmtId="10" fontId="172" fillId="48" borderId="11" xfId="1022" applyNumberFormat="1" applyFont="1" applyFill="1" applyBorder="1" applyAlignment="1" applyProtection="1">
      <alignment horizontal="center"/>
      <protection locked="0"/>
    </xf>
    <xf numFmtId="182" fontId="2" fillId="0" borderId="13" xfId="8733" applyNumberFormat="1" applyBorder="1" applyAlignment="1">
      <alignment horizontal="center"/>
    </xf>
    <xf numFmtId="0" fontId="2" fillId="0" borderId="13" xfId="8733" applyBorder="1" applyAlignment="1">
      <alignment horizontal="center"/>
    </xf>
    <xf numFmtId="0" fontId="165" fillId="45" borderId="80" xfId="0" applyFont="1" applyFill="1" applyBorder="1" applyAlignment="1" applyProtection="1">
      <alignment horizontal="center" wrapText="1"/>
      <protection hidden="1"/>
    </xf>
    <xf numFmtId="0" fontId="165" fillId="45" borderId="79" xfId="0" applyFont="1" applyFill="1" applyBorder="1" applyAlignment="1" applyProtection="1">
      <alignment horizontal="center" wrapText="1"/>
      <protection hidden="1"/>
    </xf>
    <xf numFmtId="0" fontId="165" fillId="45" borderId="78" xfId="0" applyFont="1" applyFill="1" applyBorder="1" applyAlignment="1" applyProtection="1">
      <alignment horizontal="center" wrapText="1"/>
      <protection hidden="1"/>
    </xf>
    <xf numFmtId="0" fontId="165" fillId="45" borderId="13" xfId="0" applyFont="1" applyFill="1" applyBorder="1" applyAlignment="1" applyProtection="1">
      <alignment horizontal="left" wrapText="1"/>
      <protection hidden="1"/>
    </xf>
    <xf numFmtId="0" fontId="165" fillId="45" borderId="13" xfId="0" applyFont="1" applyFill="1" applyBorder="1" applyAlignment="1" applyProtection="1">
      <alignment horizontal="center" wrapText="1"/>
      <protection hidden="1"/>
    </xf>
    <xf numFmtId="0" fontId="174" fillId="45" borderId="67" xfId="8733" applyFont="1" applyFill="1" applyBorder="1" applyAlignment="1">
      <alignment horizontal="right"/>
    </xf>
    <xf numFmtId="0" fontId="174" fillId="45" borderId="68" xfId="8733" applyFont="1" applyFill="1" applyBorder="1" applyAlignment="1">
      <alignment horizontal="right"/>
    </xf>
    <xf numFmtId="168" fontId="169" fillId="44" borderId="68" xfId="700" applyNumberFormat="1" applyFont="1" applyFill="1" applyBorder="1" applyAlignment="1">
      <alignment horizontal="left"/>
    </xf>
    <xf numFmtId="168" fontId="169" fillId="44" borderId="71" xfId="700" applyNumberFormat="1" applyFont="1" applyFill="1" applyBorder="1" applyAlignment="1">
      <alignment horizontal="left"/>
    </xf>
    <xf numFmtId="0" fontId="171" fillId="48" borderId="66" xfId="8733" applyFont="1" applyFill="1" applyBorder="1" applyAlignment="1">
      <alignment horizontal="left" wrapText="1"/>
    </xf>
    <xf numFmtId="0" fontId="171" fillId="48" borderId="0" xfId="8733" applyFont="1" applyFill="1" applyAlignment="1">
      <alignment horizontal="left" wrapText="1"/>
    </xf>
    <xf numFmtId="0" fontId="171" fillId="48" borderId="41" xfId="8733" applyFont="1" applyFill="1" applyBorder="1" applyAlignment="1">
      <alignment horizontal="left" wrapText="1"/>
    </xf>
    <xf numFmtId="0" fontId="171" fillId="48" borderId="73" xfId="8733" applyFont="1" applyFill="1" applyBorder="1" applyAlignment="1">
      <alignment horizontal="left" wrapText="1"/>
    </xf>
    <xf numFmtId="0" fontId="171" fillId="48" borderId="42" xfId="8733" applyFont="1" applyFill="1" applyBorder="1" applyAlignment="1">
      <alignment horizontal="left" wrapText="1"/>
    </xf>
    <xf numFmtId="0" fontId="171" fillId="48" borderId="44" xfId="8733" applyFont="1" applyFill="1" applyBorder="1" applyAlignment="1">
      <alignment horizontal="left" wrapText="1"/>
    </xf>
    <xf numFmtId="0" fontId="173" fillId="45" borderId="69" xfId="8733" applyFont="1" applyFill="1" applyBorder="1" applyAlignment="1">
      <alignment horizontal="right"/>
    </xf>
    <xf numFmtId="0" fontId="173" fillId="45" borderId="70" xfId="8733" applyFont="1" applyFill="1" applyBorder="1" applyAlignment="1">
      <alignment horizontal="right"/>
    </xf>
    <xf numFmtId="0" fontId="165" fillId="44" borderId="70" xfId="700" applyNumberFormat="1" applyFont="1" applyFill="1" applyBorder="1" applyAlignment="1">
      <alignment horizontal="left"/>
    </xf>
    <xf numFmtId="168" fontId="165" fillId="44" borderId="70" xfId="700" applyNumberFormat="1" applyFont="1" applyFill="1" applyBorder="1" applyAlignment="1">
      <alignment horizontal="left"/>
    </xf>
    <xf numFmtId="168" fontId="165" fillId="44" borderId="77" xfId="700" applyNumberFormat="1" applyFont="1" applyFill="1" applyBorder="1" applyAlignment="1">
      <alignment horizontal="left"/>
    </xf>
    <xf numFmtId="0" fontId="166" fillId="47" borderId="0" xfId="8733" applyFont="1" applyFill="1" applyAlignment="1">
      <alignment horizontal="right"/>
    </xf>
    <xf numFmtId="168" fontId="170" fillId="47" borderId="0" xfId="700" applyNumberFormat="1" applyFont="1" applyFill="1" applyBorder="1" applyAlignment="1" applyProtection="1">
      <alignment horizontal="left"/>
      <protection locked="0"/>
    </xf>
    <xf numFmtId="0" fontId="172" fillId="48" borderId="87" xfId="8733" applyFont="1" applyFill="1" applyBorder="1" applyAlignment="1" applyProtection="1">
      <alignment horizontal="center"/>
      <protection locked="0"/>
    </xf>
    <xf numFmtId="0" fontId="172" fillId="48" borderId="86" xfId="8733" applyFont="1" applyFill="1" applyBorder="1" applyAlignment="1" applyProtection="1">
      <alignment horizontal="center"/>
      <protection locked="0"/>
    </xf>
    <xf numFmtId="0" fontId="174" fillId="48" borderId="70" xfId="8733" applyFont="1" applyFill="1" applyBorder="1" applyAlignment="1" applyProtection="1">
      <alignment horizontal="left"/>
      <protection locked="0"/>
    </xf>
    <xf numFmtId="0" fontId="174" fillId="48" borderId="77" xfId="8733" applyFont="1" applyFill="1" applyBorder="1" applyAlignment="1" applyProtection="1">
      <alignment horizontal="left"/>
      <protection locked="0"/>
    </xf>
    <xf numFmtId="168" fontId="172" fillId="48" borderId="86" xfId="700" applyNumberFormat="1" applyFont="1" applyFill="1" applyBorder="1" applyAlignment="1" applyProtection="1">
      <alignment horizontal="left"/>
      <protection locked="0"/>
    </xf>
    <xf numFmtId="168" fontId="172" fillId="48" borderId="85" xfId="700" applyNumberFormat="1" applyFont="1" applyFill="1" applyBorder="1" applyAlignment="1" applyProtection="1">
      <alignment horizontal="left"/>
      <protection locked="0"/>
    </xf>
    <xf numFmtId="0" fontId="172" fillId="48" borderId="87" xfId="8733" applyFont="1" applyFill="1" applyBorder="1" applyAlignment="1" applyProtection="1">
      <alignment horizontal="left"/>
      <protection locked="0"/>
    </xf>
    <xf numFmtId="0" fontId="172" fillId="48" borderId="86" xfId="8733" applyFont="1" applyFill="1" applyBorder="1" applyAlignment="1" applyProtection="1">
      <alignment horizontal="left"/>
      <protection locked="0"/>
    </xf>
    <xf numFmtId="0" fontId="172" fillId="48" borderId="85" xfId="8733" applyFont="1" applyFill="1" applyBorder="1" applyAlignment="1" applyProtection="1">
      <alignment horizontal="left"/>
      <protection locked="0"/>
    </xf>
    <xf numFmtId="0" fontId="102" fillId="48" borderId="80" xfId="8733" applyFont="1" applyFill="1" applyBorder="1" applyAlignment="1">
      <alignment horizontal="left"/>
    </xf>
    <xf numFmtId="0" fontId="102" fillId="48" borderId="79" xfId="8733" applyFont="1" applyFill="1" applyBorder="1" applyAlignment="1">
      <alignment horizontal="left"/>
    </xf>
    <xf numFmtId="44" fontId="2" fillId="48" borderId="84" xfId="700" applyFont="1" applyFill="1" applyBorder="1" applyAlignment="1" applyProtection="1">
      <alignment horizontal="center"/>
      <protection locked="0"/>
    </xf>
    <xf numFmtId="0" fontId="172" fillId="48" borderId="72" xfId="8733" applyFont="1" applyFill="1" applyBorder="1" applyAlignment="1" applyProtection="1">
      <alignment horizontal="center"/>
      <protection locked="0"/>
    </xf>
    <xf numFmtId="0" fontId="172" fillId="48" borderId="11" xfId="8733" applyFont="1" applyFill="1" applyBorder="1" applyAlignment="1" applyProtection="1">
      <alignment horizontal="center"/>
      <protection locked="0"/>
    </xf>
    <xf numFmtId="0" fontId="174" fillId="48" borderId="11" xfId="8733" applyFont="1" applyFill="1" applyBorder="1" applyAlignment="1" applyProtection="1">
      <alignment horizontal="left"/>
      <protection locked="0"/>
    </xf>
    <xf numFmtId="168" fontId="172" fillId="48" borderId="11" xfId="700" applyNumberFormat="1" applyFont="1" applyFill="1" applyBorder="1" applyAlignment="1" applyProtection="1">
      <alignment horizontal="left"/>
      <protection locked="0"/>
    </xf>
    <xf numFmtId="0" fontId="172" fillId="48" borderId="11" xfId="8733" applyFont="1" applyFill="1" applyBorder="1" applyAlignment="1" applyProtection="1">
      <alignment horizontal="left"/>
      <protection locked="0"/>
    </xf>
    <xf numFmtId="0" fontId="172" fillId="48" borderId="76" xfId="8733" applyFont="1" applyFill="1" applyBorder="1" applyAlignment="1" applyProtection="1">
      <alignment horizontal="left"/>
      <protection locked="0"/>
    </xf>
    <xf numFmtId="0" fontId="2" fillId="48" borderId="1" xfId="8733" applyFill="1" applyBorder="1" applyAlignment="1">
      <alignment horizontal="center"/>
    </xf>
    <xf numFmtId="0" fontId="2" fillId="48" borderId="2" xfId="8733" applyFill="1" applyBorder="1" applyAlignment="1">
      <alignment horizontal="center"/>
    </xf>
    <xf numFmtId="0" fontId="2" fillId="48" borderId="112" xfId="8733" applyFill="1" applyBorder="1" applyAlignment="1">
      <alignment horizontal="center"/>
    </xf>
    <xf numFmtId="0" fontId="174" fillId="48" borderId="72" xfId="8733" applyFont="1" applyFill="1" applyBorder="1" applyAlignment="1" applyProtection="1">
      <alignment horizontal="center"/>
      <protection locked="0"/>
    </xf>
    <xf numFmtId="0" fontId="174" fillId="48" borderId="11" xfId="8733" applyFont="1" applyFill="1" applyBorder="1" applyAlignment="1" applyProtection="1">
      <alignment horizontal="center"/>
      <protection locked="0"/>
    </xf>
    <xf numFmtId="43" fontId="169" fillId="50" borderId="72" xfId="698" applyFont="1" applyFill="1" applyBorder="1" applyAlignment="1" applyProtection="1">
      <alignment horizontal="left" wrapText="1"/>
      <protection hidden="1"/>
    </xf>
    <xf numFmtId="43" fontId="169" fillId="50" borderId="11" xfId="698" applyFont="1" applyFill="1" applyBorder="1" applyAlignment="1" applyProtection="1">
      <alignment horizontal="left" wrapText="1"/>
      <protection hidden="1"/>
    </xf>
    <xf numFmtId="44" fontId="2" fillId="48" borderId="11" xfId="700" applyFont="1" applyFill="1" applyBorder="1" applyAlignment="1" applyProtection="1">
      <alignment horizontal="center"/>
      <protection hidden="1"/>
    </xf>
    <xf numFmtId="43" fontId="166" fillId="50" borderId="111" xfId="698" applyFont="1" applyFill="1" applyBorder="1" applyAlignment="1" applyProtection="1">
      <alignment horizontal="center"/>
      <protection hidden="1"/>
    </xf>
    <xf numFmtId="43" fontId="166" fillId="50" borderId="84" xfId="698" applyFont="1" applyFill="1" applyBorder="1" applyAlignment="1" applyProtection="1">
      <alignment horizontal="center"/>
      <protection hidden="1"/>
    </xf>
    <xf numFmtId="43" fontId="166" fillId="50" borderId="102" xfId="698" applyFont="1" applyFill="1" applyBorder="1" applyAlignment="1" applyProtection="1">
      <alignment horizontal="center"/>
      <protection hidden="1"/>
    </xf>
    <xf numFmtId="0" fontId="172" fillId="45" borderId="72" xfId="8733" applyFont="1" applyFill="1" applyBorder="1" applyAlignment="1">
      <alignment horizontal="right"/>
    </xf>
    <xf numFmtId="0" fontId="172" fillId="45" borderId="11" xfId="8733" applyFont="1" applyFill="1" applyBorder="1" applyAlignment="1">
      <alignment horizontal="right"/>
    </xf>
    <xf numFmtId="43" fontId="169" fillId="50" borderId="98" xfId="698" applyFont="1" applyFill="1" applyBorder="1" applyAlignment="1" applyProtection="1">
      <alignment horizontal="left"/>
      <protection hidden="1"/>
    </xf>
    <xf numFmtId="43" fontId="169" fillId="50" borderId="13" xfId="698" applyFont="1" applyFill="1" applyBorder="1" applyAlignment="1" applyProtection="1">
      <alignment horizontal="left"/>
      <protection hidden="1"/>
    </xf>
    <xf numFmtId="44" fontId="2" fillId="48" borderId="13" xfId="700" applyFont="1" applyFill="1" applyBorder="1" applyAlignment="1" applyProtection="1">
      <alignment horizontal="center"/>
      <protection locked="0"/>
    </xf>
    <xf numFmtId="0" fontId="172" fillId="48" borderId="9" xfId="8733" applyFont="1" applyFill="1" applyBorder="1" applyAlignment="1">
      <alignment horizontal="center"/>
    </xf>
    <xf numFmtId="0" fontId="172" fillId="48" borderId="6" xfId="8733" applyFont="1" applyFill="1" applyBorder="1" applyAlignment="1">
      <alignment horizontal="center"/>
    </xf>
    <xf numFmtId="0" fontId="172" fillId="48" borderId="82" xfId="8733" applyFont="1" applyFill="1" applyBorder="1" applyAlignment="1">
      <alignment horizontal="center"/>
    </xf>
    <xf numFmtId="0" fontId="2" fillId="48" borderId="3" xfId="8733" applyFill="1" applyBorder="1" applyAlignment="1">
      <alignment horizontal="center"/>
    </xf>
    <xf numFmtId="0" fontId="2" fillId="48" borderId="4" xfId="8733" applyFill="1" applyBorder="1" applyAlignment="1">
      <alignment horizontal="center"/>
    </xf>
    <xf numFmtId="0" fontId="2" fillId="48" borderId="81" xfId="8733" applyFill="1" applyBorder="1" applyAlignment="1">
      <alignment horizontal="center"/>
    </xf>
    <xf numFmtId="168" fontId="174" fillId="44" borderId="11" xfId="700" applyNumberFormat="1" applyFont="1" applyFill="1" applyBorder="1" applyAlignment="1">
      <alignment horizontal="left"/>
    </xf>
    <xf numFmtId="0" fontId="102" fillId="45" borderId="65" xfId="8733" applyFont="1" applyFill="1" applyBorder="1" applyAlignment="1">
      <alignment horizontal="left" wrapText="1"/>
    </xf>
    <xf numFmtId="0" fontId="102" fillId="45" borderId="29" xfId="8733" applyFont="1" applyFill="1" applyBorder="1" applyAlignment="1">
      <alignment horizontal="left" wrapText="1"/>
    </xf>
    <xf numFmtId="0" fontId="102" fillId="45" borderId="31" xfId="8733" applyFont="1" applyFill="1" applyBorder="1" applyAlignment="1">
      <alignment horizontal="left" wrapText="1"/>
    </xf>
    <xf numFmtId="0" fontId="102" fillId="45" borderId="73" xfId="8733" applyFont="1" applyFill="1" applyBorder="1" applyAlignment="1">
      <alignment horizontal="left" wrapText="1"/>
    </xf>
    <xf numFmtId="0" fontId="102" fillId="45" borderId="42" xfId="8733" applyFont="1" applyFill="1" applyBorder="1" applyAlignment="1">
      <alignment horizontal="left" wrapText="1"/>
    </xf>
    <xf numFmtId="0" fontId="102" fillId="45" borderId="44" xfId="8733" applyFont="1" applyFill="1" applyBorder="1" applyAlignment="1">
      <alignment horizontal="left" wrapText="1"/>
    </xf>
    <xf numFmtId="43" fontId="169" fillId="50" borderId="72" xfId="698" applyFont="1" applyFill="1" applyBorder="1" applyAlignment="1" applyProtection="1">
      <alignment horizontal="left"/>
      <protection hidden="1"/>
    </xf>
    <xf numFmtId="43" fontId="169" fillId="50" borderId="11" xfId="698" applyFont="1" applyFill="1" applyBorder="1" applyAlignment="1" applyProtection="1">
      <alignment horizontal="left"/>
      <protection hidden="1"/>
    </xf>
    <xf numFmtId="44" fontId="2" fillId="48" borderId="11" xfId="700" applyFont="1" applyFill="1" applyBorder="1" applyAlignment="1" applyProtection="1">
      <alignment horizontal="center"/>
      <protection locked="0"/>
    </xf>
    <xf numFmtId="0" fontId="102" fillId="45" borderId="67" xfId="8733" applyFont="1" applyFill="1" applyBorder="1" applyAlignment="1">
      <alignment horizontal="center"/>
    </xf>
    <xf numFmtId="0" fontId="102" fillId="45" borderId="68" xfId="8733" applyFont="1" applyFill="1" applyBorder="1" applyAlignment="1">
      <alignment horizontal="center"/>
    </xf>
    <xf numFmtId="0" fontId="166" fillId="45" borderId="68" xfId="8733" applyFont="1" applyFill="1" applyBorder="1" applyAlignment="1">
      <alignment horizontal="center"/>
    </xf>
    <xf numFmtId="0" fontId="166" fillId="45" borderId="71" xfId="8733" applyFont="1" applyFill="1" applyBorder="1" applyAlignment="1">
      <alignment horizontal="center"/>
    </xf>
    <xf numFmtId="0" fontId="173" fillId="51" borderId="11" xfId="8733" applyFont="1" applyFill="1" applyBorder="1" applyAlignment="1">
      <alignment horizontal="center"/>
    </xf>
    <xf numFmtId="0" fontId="173" fillId="51" borderId="76" xfId="8733" applyFont="1" applyFill="1" applyBorder="1" applyAlignment="1">
      <alignment horizontal="center"/>
    </xf>
    <xf numFmtId="0" fontId="174" fillId="45" borderId="72" xfId="8733" applyFont="1" applyFill="1" applyBorder="1" applyAlignment="1">
      <alignment horizontal="right"/>
    </xf>
    <xf numFmtId="0" fontId="174" fillId="45" borderId="11" xfId="8733" applyFont="1" applyFill="1" applyBorder="1" applyAlignment="1">
      <alignment horizontal="right"/>
    </xf>
    <xf numFmtId="168" fontId="174" fillId="48" borderId="11" xfId="700" applyNumberFormat="1" applyFont="1" applyFill="1" applyBorder="1" applyAlignment="1" applyProtection="1">
      <alignment horizontal="left"/>
      <protection locked="0"/>
    </xf>
    <xf numFmtId="168" fontId="172" fillId="44" borderId="11" xfId="700" applyNumberFormat="1" applyFont="1" applyFill="1" applyBorder="1" applyAlignment="1" applyProtection="1">
      <alignment horizontal="left"/>
      <protection locked="0"/>
    </xf>
    <xf numFmtId="0" fontId="102" fillId="45" borderId="71" xfId="8733" applyFont="1" applyFill="1" applyBorder="1" applyAlignment="1">
      <alignment horizontal="center"/>
    </xf>
    <xf numFmtId="0" fontId="166" fillId="45" borderId="67" xfId="8733" applyFont="1" applyFill="1" applyBorder="1" applyAlignment="1">
      <alignment horizontal="left"/>
    </xf>
    <xf numFmtId="0" fontId="166" fillId="45" borderId="68" xfId="8733" applyFont="1" applyFill="1" applyBorder="1" applyAlignment="1">
      <alignment horizontal="left"/>
    </xf>
    <xf numFmtId="0" fontId="166" fillId="45" borderId="71" xfId="8733" applyFont="1" applyFill="1" applyBorder="1" applyAlignment="1">
      <alignment horizontal="left"/>
    </xf>
    <xf numFmtId="0" fontId="102" fillId="45" borderId="72" xfId="8733" applyFont="1" applyFill="1" applyBorder="1" applyAlignment="1">
      <alignment horizontal="center"/>
    </xf>
    <xf numFmtId="0" fontId="102" fillId="45" borderId="11" xfId="8733" applyFont="1" applyFill="1" applyBorder="1" applyAlignment="1">
      <alignment horizontal="center"/>
    </xf>
    <xf numFmtId="0" fontId="102" fillId="45" borderId="76" xfId="8733" applyFont="1" applyFill="1" applyBorder="1" applyAlignment="1">
      <alignment horizontal="center"/>
    </xf>
    <xf numFmtId="0" fontId="172" fillId="48" borderId="72" xfId="8733" applyFont="1" applyFill="1" applyBorder="1" applyAlignment="1" applyProtection="1">
      <alignment horizontal="left" vertical="top"/>
      <protection locked="0"/>
    </xf>
    <xf numFmtId="0" fontId="172" fillId="48" borderId="11" xfId="8733" applyFont="1" applyFill="1" applyBorder="1" applyAlignment="1" applyProtection="1">
      <alignment horizontal="left" vertical="top"/>
      <protection locked="0"/>
    </xf>
    <xf numFmtId="0" fontId="172" fillId="48" borderId="76" xfId="8733" applyFont="1" applyFill="1" applyBorder="1" applyAlignment="1" applyProtection="1">
      <alignment horizontal="left" vertical="top"/>
      <protection locked="0"/>
    </xf>
    <xf numFmtId="0" fontId="172" fillId="48" borderId="69" xfId="8733" applyFont="1" applyFill="1" applyBorder="1" applyAlignment="1" applyProtection="1">
      <alignment horizontal="left" vertical="top"/>
      <protection locked="0"/>
    </xf>
    <xf numFmtId="0" fontId="172" fillId="48" borderId="70" xfId="8733" applyFont="1" applyFill="1" applyBorder="1" applyAlignment="1" applyProtection="1">
      <alignment horizontal="left" vertical="top"/>
      <protection locked="0"/>
    </xf>
    <xf numFmtId="0" fontId="172" fillId="48" borderId="77" xfId="8733" applyFont="1" applyFill="1" applyBorder="1" applyAlignment="1" applyProtection="1">
      <alignment horizontal="left" vertical="top"/>
      <protection locked="0"/>
    </xf>
    <xf numFmtId="14" fontId="172" fillId="48" borderId="11" xfId="8733" applyNumberFormat="1" applyFont="1" applyFill="1" applyBorder="1" applyAlignment="1" applyProtection="1">
      <alignment horizontal="center"/>
      <protection locked="0"/>
    </xf>
    <xf numFmtId="14" fontId="172" fillId="48" borderId="76" xfId="8733" applyNumberFormat="1" applyFont="1" applyFill="1" applyBorder="1" applyAlignment="1" applyProtection="1">
      <alignment horizontal="center"/>
      <protection locked="0"/>
    </xf>
    <xf numFmtId="0" fontId="172" fillId="48" borderId="69" xfId="8733" applyFont="1" applyFill="1" applyBorder="1" applyAlignment="1" applyProtection="1">
      <alignment horizontal="center"/>
      <protection locked="0"/>
    </xf>
    <xf numFmtId="0" fontId="172" fillId="48" borderId="70" xfId="8733" applyFont="1" applyFill="1" applyBorder="1" applyAlignment="1" applyProtection="1">
      <alignment horizontal="center"/>
      <protection locked="0"/>
    </xf>
    <xf numFmtId="14" fontId="172" fillId="48" borderId="70" xfId="8733" applyNumberFormat="1" applyFont="1" applyFill="1" applyBorder="1" applyAlignment="1" applyProtection="1">
      <alignment horizontal="center"/>
      <protection locked="0"/>
    </xf>
    <xf numFmtId="14" fontId="172" fillId="48" borderId="77" xfId="8733" applyNumberFormat="1" applyFont="1" applyFill="1" applyBorder="1" applyAlignment="1" applyProtection="1">
      <alignment horizontal="center"/>
      <protection locked="0"/>
    </xf>
    <xf numFmtId="0" fontId="171" fillId="45" borderId="72" xfId="8733" applyFont="1" applyFill="1" applyBorder="1" applyAlignment="1">
      <alignment horizontal="center"/>
    </xf>
    <xf numFmtId="0" fontId="171" fillId="45" borderId="11" xfId="8733" applyFont="1" applyFill="1" applyBorder="1" applyAlignment="1">
      <alignment horizontal="center"/>
    </xf>
    <xf numFmtId="0" fontId="175" fillId="48" borderId="11" xfId="8733" applyFont="1" applyFill="1" applyBorder="1" applyAlignment="1" applyProtection="1">
      <alignment horizontal="left"/>
      <protection locked="0"/>
    </xf>
    <xf numFmtId="14" fontId="174" fillId="48" borderId="11" xfId="8733" applyNumberFormat="1" applyFont="1" applyFill="1" applyBorder="1" applyAlignment="1" applyProtection="1">
      <alignment horizontal="center"/>
      <protection locked="0"/>
    </xf>
    <xf numFmtId="168" fontId="174" fillId="48" borderId="11" xfId="8734" applyNumberFormat="1" applyFont="1" applyFill="1" applyBorder="1" applyAlignment="1" applyProtection="1">
      <alignment horizontal="center"/>
      <protection locked="0"/>
    </xf>
    <xf numFmtId="168" fontId="174" fillId="48" borderId="76" xfId="8734" applyNumberFormat="1" applyFont="1" applyFill="1" applyBorder="1" applyAlignment="1" applyProtection="1">
      <alignment horizontal="center"/>
      <protection locked="0"/>
    </xf>
    <xf numFmtId="0" fontId="171" fillId="45" borderId="69" xfId="8733" applyFont="1" applyFill="1" applyBorder="1" applyAlignment="1">
      <alignment horizontal="center"/>
    </xf>
    <xf numFmtId="0" fontId="171" fillId="45" borderId="70" xfId="8733" applyFont="1" applyFill="1" applyBorder="1" applyAlignment="1">
      <alignment horizontal="center"/>
    </xf>
    <xf numFmtId="0" fontId="175" fillId="48" borderId="70" xfId="8733" applyFont="1" applyFill="1" applyBorder="1" applyAlignment="1" applyProtection="1">
      <alignment horizontal="left"/>
      <protection locked="0"/>
    </xf>
    <xf numFmtId="0" fontId="174" fillId="48" borderId="70" xfId="8733" applyFont="1" applyFill="1" applyBorder="1" applyAlignment="1" applyProtection="1">
      <alignment horizontal="center"/>
      <protection locked="0"/>
    </xf>
    <xf numFmtId="14" fontId="174" fillId="48" borderId="70" xfId="8733" applyNumberFormat="1" applyFont="1" applyFill="1" applyBorder="1" applyAlignment="1" applyProtection="1">
      <alignment horizontal="center"/>
      <protection locked="0"/>
    </xf>
    <xf numFmtId="168" fontId="174" fillId="48" borderId="70" xfId="8734" applyNumberFormat="1" applyFont="1" applyFill="1" applyBorder="1" applyAlignment="1" applyProtection="1">
      <alignment horizontal="center"/>
      <protection locked="0"/>
    </xf>
    <xf numFmtId="168" fontId="174" fillId="48" borderId="77" xfId="8734" applyNumberFormat="1" applyFont="1" applyFill="1" applyBorder="1" applyAlignment="1" applyProtection="1">
      <alignment horizontal="center"/>
      <protection locked="0"/>
    </xf>
    <xf numFmtId="0" fontId="176" fillId="45" borderId="69" xfId="8733" applyFont="1" applyFill="1" applyBorder="1" applyAlignment="1">
      <alignment horizontal="left"/>
    </xf>
    <xf numFmtId="0" fontId="176" fillId="45" borderId="70" xfId="8733" applyFont="1" applyFill="1" applyBorder="1" applyAlignment="1">
      <alignment horizontal="left"/>
    </xf>
    <xf numFmtId="0" fontId="2" fillId="48" borderId="70" xfId="8733" applyFill="1" applyBorder="1" applyAlignment="1" applyProtection="1">
      <alignment horizontal="center"/>
      <protection locked="0"/>
    </xf>
    <xf numFmtId="0" fontId="2" fillId="48" borderId="77" xfId="8733" applyFill="1" applyBorder="1" applyAlignment="1" applyProtection="1">
      <alignment horizontal="center"/>
      <protection locked="0"/>
    </xf>
    <xf numFmtId="0" fontId="166" fillId="45" borderId="67" xfId="8733" applyFont="1" applyFill="1" applyBorder="1" applyAlignment="1">
      <alignment horizontal="center"/>
    </xf>
    <xf numFmtId="0" fontId="165" fillId="45" borderId="11" xfId="8733" applyFont="1" applyFill="1" applyBorder="1" applyAlignment="1">
      <alignment horizontal="center"/>
    </xf>
    <xf numFmtId="0" fontId="176" fillId="45" borderId="72" xfId="8733" applyFont="1" applyFill="1" applyBorder="1" applyAlignment="1">
      <alignment horizontal="left"/>
    </xf>
    <xf numFmtId="0" fontId="176" fillId="45" borderId="11" xfId="8733" applyFont="1" applyFill="1" applyBorder="1" applyAlignment="1">
      <alignment horizontal="left"/>
    </xf>
    <xf numFmtId="0" fontId="2" fillId="48" borderId="11" xfId="8733" applyFill="1" applyBorder="1" applyAlignment="1" applyProtection="1">
      <alignment horizontal="center"/>
      <protection locked="0"/>
    </xf>
    <xf numFmtId="0" fontId="2" fillId="48" borderId="76" xfId="8733" applyFill="1" applyBorder="1" applyAlignment="1" applyProtection="1">
      <alignment horizontal="center"/>
      <protection locked="0"/>
    </xf>
    <xf numFmtId="0" fontId="165" fillId="45" borderId="11" xfId="8733" applyFont="1" applyFill="1" applyBorder="1" applyAlignment="1">
      <alignment horizontal="center" wrapText="1"/>
    </xf>
    <xf numFmtId="0" fontId="165" fillId="45" borderId="76" xfId="8733" applyFont="1" applyFill="1" applyBorder="1" applyAlignment="1">
      <alignment horizontal="center" wrapText="1"/>
    </xf>
    <xf numFmtId="0" fontId="165" fillId="48" borderId="90" xfId="8733" applyFont="1" applyFill="1" applyBorder="1" applyAlignment="1">
      <alignment horizontal="left"/>
    </xf>
    <xf numFmtId="0" fontId="165" fillId="48" borderId="4" xfId="8733" applyFont="1" applyFill="1" applyBorder="1" applyAlignment="1">
      <alignment horizontal="left"/>
    </xf>
    <xf numFmtId="0" fontId="165" fillId="48" borderId="5" xfId="8733" applyFont="1" applyFill="1" applyBorder="1" applyAlignment="1">
      <alignment horizontal="left"/>
    </xf>
    <xf numFmtId="0" fontId="169" fillId="48" borderId="68" xfId="8733" applyFont="1" applyFill="1" applyBorder="1" applyAlignment="1" applyProtection="1">
      <alignment horizontal="left"/>
      <protection locked="0"/>
    </xf>
    <xf numFmtId="0" fontId="169" fillId="48" borderId="71" xfId="8733" applyFont="1" applyFill="1" applyBorder="1" applyAlignment="1" applyProtection="1">
      <alignment horizontal="left"/>
      <protection locked="0"/>
    </xf>
    <xf numFmtId="0" fontId="165" fillId="45" borderId="72" xfId="8733" applyFont="1" applyFill="1" applyBorder="1" applyAlignment="1">
      <alignment horizontal="left"/>
    </xf>
    <xf numFmtId="0" fontId="165" fillId="45" borderId="11" xfId="8733" applyFont="1" applyFill="1" applyBorder="1" applyAlignment="1">
      <alignment horizontal="left"/>
    </xf>
    <xf numFmtId="0" fontId="177" fillId="48" borderId="11" xfId="8733" applyFont="1" applyFill="1" applyBorder="1" applyAlignment="1" applyProtection="1">
      <alignment horizontal="left"/>
      <protection locked="0"/>
    </xf>
    <xf numFmtId="0" fontId="177" fillId="48" borderId="76" xfId="8733" applyFont="1" applyFill="1" applyBorder="1" applyAlignment="1" applyProtection="1">
      <alignment horizontal="left"/>
      <protection locked="0"/>
    </xf>
    <xf numFmtId="0" fontId="174" fillId="48" borderId="72" xfId="8733" applyFont="1" applyFill="1" applyBorder="1" applyAlignment="1" applyProtection="1">
      <alignment horizontal="left" vertical="top" wrapText="1"/>
      <protection locked="0"/>
    </xf>
    <xf numFmtId="0" fontId="174" fillId="48" borderId="11" xfId="8733" applyFont="1" applyFill="1" applyBorder="1" applyAlignment="1" applyProtection="1">
      <alignment horizontal="left" vertical="top"/>
      <protection locked="0"/>
    </xf>
    <xf numFmtId="0" fontId="174" fillId="48" borderId="76" xfId="8733" applyFont="1" applyFill="1" applyBorder="1" applyAlignment="1" applyProtection="1">
      <alignment horizontal="left" vertical="top"/>
      <protection locked="0"/>
    </xf>
    <xf numFmtId="0" fontId="174" fillId="48" borderId="72" xfId="8733" applyFont="1" applyFill="1" applyBorder="1" applyAlignment="1" applyProtection="1">
      <alignment horizontal="left" vertical="top"/>
      <protection locked="0"/>
    </xf>
    <xf numFmtId="0" fontId="174" fillId="48" borderId="69" xfId="8733" applyFont="1" applyFill="1" applyBorder="1" applyAlignment="1" applyProtection="1">
      <alignment horizontal="left" vertical="top"/>
      <protection locked="0"/>
    </xf>
    <xf numFmtId="0" fontId="174" fillId="48" borderId="70" xfId="8733" applyFont="1" applyFill="1" applyBorder="1" applyAlignment="1" applyProtection="1">
      <alignment horizontal="left" vertical="top"/>
      <protection locked="0"/>
    </xf>
    <xf numFmtId="0" fontId="174" fillId="48" borderId="77" xfId="8733" applyFont="1" applyFill="1" applyBorder="1" applyAlignment="1" applyProtection="1">
      <alignment horizontal="left" vertical="top"/>
      <protection locked="0"/>
    </xf>
    <xf numFmtId="0" fontId="165" fillId="45" borderId="67" xfId="8733" applyFont="1" applyFill="1" applyBorder="1" applyAlignment="1">
      <alignment horizontal="left"/>
    </xf>
    <xf numFmtId="0" fontId="165" fillId="45" borderId="68" xfId="8733" applyFont="1" applyFill="1" applyBorder="1" applyAlignment="1">
      <alignment horizontal="left"/>
    </xf>
    <xf numFmtId="0" fontId="169" fillId="48" borderId="3" xfId="8733" applyFont="1" applyFill="1" applyBorder="1" applyAlignment="1" applyProtection="1">
      <alignment horizontal="center"/>
      <protection locked="0"/>
    </xf>
    <xf numFmtId="0" fontId="169" fillId="48" borderId="4" xfId="8733" applyFont="1" applyFill="1" applyBorder="1" applyAlignment="1" applyProtection="1">
      <alignment horizontal="center"/>
      <protection locked="0"/>
    </xf>
    <xf numFmtId="0" fontId="169" fillId="48" borderId="81" xfId="8733" applyFont="1" applyFill="1" applyBorder="1" applyAlignment="1" applyProtection="1">
      <alignment horizontal="center"/>
      <protection locked="0"/>
    </xf>
    <xf numFmtId="0" fontId="166" fillId="45" borderId="93" xfId="8733" applyFont="1" applyFill="1" applyBorder="1" applyAlignment="1">
      <alignment horizontal="center"/>
    </xf>
    <xf numFmtId="0" fontId="166" fillId="45" borderId="92" xfId="8733" applyFont="1" applyFill="1" applyBorder="1" applyAlignment="1">
      <alignment horizontal="center"/>
    </xf>
    <xf numFmtId="0" fontId="166" fillId="45" borderId="91" xfId="8733" applyFont="1" applyFill="1" applyBorder="1" applyAlignment="1">
      <alignment horizontal="center"/>
    </xf>
    <xf numFmtId="0" fontId="173" fillId="45" borderId="11" xfId="8733" applyFont="1" applyFill="1" applyBorder="1" applyAlignment="1">
      <alignment horizontal="center"/>
    </xf>
    <xf numFmtId="0" fontId="179" fillId="45" borderId="11" xfId="8733" applyFont="1" applyFill="1" applyBorder="1" applyAlignment="1">
      <alignment horizontal="left"/>
    </xf>
    <xf numFmtId="0" fontId="179" fillId="45" borderId="76" xfId="8733" applyFont="1" applyFill="1" applyBorder="1" applyAlignment="1">
      <alignment horizontal="left"/>
    </xf>
    <xf numFmtId="0" fontId="2" fillId="51" borderId="70" xfId="8733" applyFill="1" applyBorder="1" applyAlignment="1" applyProtection="1">
      <alignment horizontal="center"/>
      <protection locked="0"/>
    </xf>
    <xf numFmtId="0" fontId="2" fillId="51" borderId="77" xfId="8733" applyFill="1" applyBorder="1" applyAlignment="1" applyProtection="1">
      <alignment horizontal="center"/>
      <protection locked="0"/>
    </xf>
    <xf numFmtId="0" fontId="102" fillId="45" borderId="67" xfId="8733" applyFont="1" applyFill="1" applyBorder="1" applyAlignment="1" applyProtection="1">
      <alignment horizontal="left" vertical="center" wrapText="1"/>
      <protection locked="0"/>
    </xf>
    <xf numFmtId="0" fontId="102" fillId="45" borderId="68" xfId="8733" applyFont="1" applyFill="1" applyBorder="1" applyAlignment="1" applyProtection="1">
      <alignment horizontal="left" vertical="center" wrapText="1"/>
      <protection locked="0"/>
    </xf>
    <xf numFmtId="0" fontId="102" fillId="45" borderId="72" xfId="8733" applyFont="1" applyFill="1" applyBorder="1" applyAlignment="1" applyProtection="1">
      <alignment horizontal="left" vertical="center" wrapText="1"/>
      <protection locked="0"/>
    </xf>
    <xf numFmtId="0" fontId="102" fillId="45" borderId="11" xfId="8733" applyFont="1" applyFill="1" applyBorder="1" applyAlignment="1" applyProtection="1">
      <alignment horizontal="left" vertical="center" wrapText="1"/>
      <protection locked="0"/>
    </xf>
    <xf numFmtId="0" fontId="169" fillId="48" borderId="68" xfId="8733" applyFont="1" applyFill="1" applyBorder="1" applyAlignment="1" applyProtection="1">
      <alignment horizontal="left" vertical="center" wrapText="1"/>
      <protection locked="0"/>
    </xf>
    <xf numFmtId="0" fontId="169" fillId="48" borderId="71" xfId="8733" applyFont="1" applyFill="1" applyBorder="1" applyAlignment="1" applyProtection="1">
      <alignment horizontal="left" vertical="center" wrapText="1"/>
      <protection locked="0"/>
    </xf>
    <xf numFmtId="0" fontId="169" fillId="48" borderId="11" xfId="8733" applyFont="1" applyFill="1" applyBorder="1" applyAlignment="1" applyProtection="1">
      <alignment horizontal="left" vertical="center" wrapText="1"/>
      <protection locked="0"/>
    </xf>
    <xf numFmtId="0" fontId="169" fillId="48" borderId="76" xfId="8733" applyFont="1" applyFill="1" applyBorder="1" applyAlignment="1" applyProtection="1">
      <alignment horizontal="left" vertical="center" wrapText="1"/>
      <protection locked="0"/>
    </xf>
    <xf numFmtId="0" fontId="172" fillId="48" borderId="72" xfId="8733" applyFont="1" applyFill="1" applyBorder="1" applyAlignment="1" applyProtection="1">
      <alignment horizontal="left" vertical="top" wrapText="1"/>
      <protection locked="0"/>
    </xf>
    <xf numFmtId="0" fontId="172" fillId="48" borderId="11" xfId="8733" applyFont="1" applyFill="1" applyBorder="1" applyAlignment="1" applyProtection="1">
      <alignment horizontal="left" vertical="top" wrapText="1"/>
      <protection locked="0"/>
    </xf>
    <xf numFmtId="0" fontId="172" fillId="48" borderId="69" xfId="8733" applyFont="1" applyFill="1" applyBorder="1" applyAlignment="1" applyProtection="1">
      <alignment horizontal="left" vertical="top" wrapText="1"/>
      <protection locked="0"/>
    </xf>
    <xf numFmtId="0" fontId="172" fillId="48" borderId="70" xfId="8733" applyFont="1" applyFill="1" applyBorder="1" applyAlignment="1" applyProtection="1">
      <alignment horizontal="left" vertical="top" wrapText="1"/>
      <protection locked="0"/>
    </xf>
    <xf numFmtId="0" fontId="169" fillId="48" borderId="11" xfId="8733" applyFont="1" applyFill="1" applyBorder="1" applyAlignment="1" applyProtection="1">
      <alignment horizontal="center" vertical="center" wrapText="1"/>
      <protection locked="0"/>
    </xf>
    <xf numFmtId="0" fontId="169" fillId="48" borderId="76" xfId="8733" applyFont="1" applyFill="1" applyBorder="1" applyAlignment="1" applyProtection="1">
      <alignment horizontal="center" vertical="center" wrapText="1"/>
      <protection locked="0"/>
    </xf>
    <xf numFmtId="0" fontId="169" fillId="48" borderId="70" xfId="8733" applyFont="1" applyFill="1" applyBorder="1" applyAlignment="1" applyProtection="1">
      <alignment horizontal="center" vertical="center" wrapText="1"/>
      <protection locked="0"/>
    </xf>
    <xf numFmtId="0" fontId="169" fillId="48" borderId="77" xfId="8733" applyFont="1" applyFill="1" applyBorder="1" applyAlignment="1" applyProtection="1">
      <alignment horizontal="center" vertical="center" wrapText="1"/>
      <protection locked="0"/>
    </xf>
    <xf numFmtId="0" fontId="102" fillId="45" borderId="67" xfId="8733" applyFont="1" applyFill="1" applyBorder="1" applyAlignment="1">
      <alignment horizontal="left" wrapText="1"/>
    </xf>
    <xf numFmtId="0" fontId="102" fillId="45" borderId="68" xfId="8733" applyFont="1" applyFill="1" applyBorder="1" applyAlignment="1">
      <alignment horizontal="left" wrapText="1"/>
    </xf>
    <xf numFmtId="0" fontId="102" fillId="45" borderId="71" xfId="8733" applyFont="1" applyFill="1" applyBorder="1" applyAlignment="1">
      <alignment horizontal="left" wrapText="1"/>
    </xf>
    <xf numFmtId="0" fontId="102" fillId="45" borderId="72" xfId="8733" applyFont="1" applyFill="1" applyBorder="1" applyAlignment="1">
      <alignment horizontal="left" wrapText="1"/>
    </xf>
    <xf numFmtId="0" fontId="102" fillId="45" borderId="11" xfId="8733" applyFont="1" applyFill="1" applyBorder="1" applyAlignment="1">
      <alignment horizontal="left" wrapText="1"/>
    </xf>
    <xf numFmtId="0" fontId="102" fillId="45" borderId="76" xfId="8733" applyFont="1" applyFill="1" applyBorder="1" applyAlignment="1">
      <alignment horizontal="left" wrapText="1"/>
    </xf>
    <xf numFmtId="0" fontId="102" fillId="45" borderId="65" xfId="8733" applyFont="1" applyFill="1" applyBorder="1" applyAlignment="1">
      <alignment horizontal="center"/>
    </xf>
    <xf numFmtId="0" fontId="102" fillId="45" borderId="29" xfId="8733" applyFont="1" applyFill="1" applyBorder="1" applyAlignment="1">
      <alignment horizontal="center"/>
    </xf>
    <xf numFmtId="0" fontId="102" fillId="45" borderId="31" xfId="8733" applyFont="1" applyFill="1" applyBorder="1" applyAlignment="1">
      <alignment horizontal="center"/>
    </xf>
    <xf numFmtId="0" fontId="173" fillId="45" borderId="69" xfId="8733" applyFont="1" applyFill="1" applyBorder="1" applyAlignment="1">
      <alignment horizontal="center"/>
    </xf>
    <xf numFmtId="0" fontId="173" fillId="45" borderId="70" xfId="8733" applyFont="1" applyFill="1" applyBorder="1" applyAlignment="1">
      <alignment horizontal="center"/>
    </xf>
    <xf numFmtId="0" fontId="173" fillId="45" borderId="72" xfId="8733" applyFont="1" applyFill="1" applyBorder="1" applyAlignment="1">
      <alignment horizontal="center"/>
    </xf>
    <xf numFmtId="10" fontId="2" fillId="48" borderId="94" xfId="8733" applyNumberFormat="1" applyFill="1" applyBorder="1" applyAlignment="1" applyProtection="1">
      <alignment horizontal="center"/>
      <protection locked="0"/>
    </xf>
    <xf numFmtId="10" fontId="2" fillId="48" borderId="86" xfId="8733" applyNumberFormat="1" applyFill="1" applyBorder="1" applyAlignment="1" applyProtection="1">
      <alignment horizontal="center"/>
      <protection locked="0"/>
    </xf>
    <xf numFmtId="10" fontId="2" fillId="48" borderId="85" xfId="8733" applyNumberFormat="1" applyFill="1" applyBorder="1" applyAlignment="1" applyProtection="1">
      <alignment horizontal="center"/>
      <protection locked="0"/>
    </xf>
    <xf numFmtId="0" fontId="173" fillId="45" borderId="11" xfId="8733" applyFont="1" applyFill="1" applyBorder="1" applyAlignment="1">
      <alignment horizontal="center" wrapText="1"/>
    </xf>
    <xf numFmtId="0" fontId="165" fillId="45" borderId="76" xfId="8733" applyFont="1" applyFill="1" applyBorder="1" applyAlignment="1">
      <alignment horizontal="center"/>
    </xf>
    <xf numFmtId="0" fontId="169" fillId="48" borderId="68" xfId="8733" applyFont="1" applyFill="1" applyBorder="1" applyAlignment="1" applyProtection="1">
      <alignment horizontal="left" wrapText="1"/>
      <protection locked="0"/>
    </xf>
    <xf numFmtId="0" fontId="169" fillId="48" borderId="71" xfId="8733" applyFont="1" applyFill="1" applyBorder="1" applyAlignment="1" applyProtection="1">
      <alignment horizontal="left" wrapText="1"/>
      <protection locked="0"/>
    </xf>
    <xf numFmtId="0" fontId="169" fillId="48" borderId="11" xfId="8733" applyFont="1" applyFill="1" applyBorder="1" applyAlignment="1" applyProtection="1">
      <alignment horizontal="left" wrapText="1"/>
      <protection locked="0"/>
    </xf>
    <xf numFmtId="0" fontId="169" fillId="48" borderId="76" xfId="8733" applyFont="1" applyFill="1" applyBorder="1" applyAlignment="1" applyProtection="1">
      <alignment horizontal="left" wrapText="1"/>
      <protection locked="0"/>
    </xf>
    <xf numFmtId="0" fontId="2" fillId="48" borderId="9" xfId="8733" applyFill="1" applyBorder="1" applyAlignment="1" applyProtection="1">
      <alignment horizontal="center"/>
      <protection locked="0"/>
    </xf>
    <xf numFmtId="0" fontId="2" fillId="48" borderId="6" xfId="8733" applyFill="1" applyBorder="1" applyAlignment="1" applyProtection="1">
      <alignment horizontal="center"/>
      <protection locked="0"/>
    </xf>
    <xf numFmtId="0" fontId="2" fillId="48" borderId="82" xfId="8733" applyFill="1" applyBorder="1" applyAlignment="1" applyProtection="1">
      <alignment horizontal="center"/>
      <protection locked="0"/>
    </xf>
    <xf numFmtId="0" fontId="173" fillId="45" borderId="97" xfId="8733" applyFont="1" applyFill="1" applyBorder="1" applyAlignment="1">
      <alignment horizontal="left"/>
    </xf>
    <xf numFmtId="0" fontId="173" fillId="45" borderId="2" xfId="8733" applyFont="1" applyFill="1" applyBorder="1" applyAlignment="1">
      <alignment horizontal="left"/>
    </xf>
    <xf numFmtId="0" fontId="173" fillId="45" borderId="7" xfId="8733" applyFont="1" applyFill="1" applyBorder="1" applyAlignment="1">
      <alignment horizontal="left"/>
    </xf>
    <xf numFmtId="10" fontId="2" fillId="0" borderId="94" xfId="8733" applyNumberFormat="1" applyBorder="1" applyAlignment="1">
      <alignment horizontal="center"/>
    </xf>
    <xf numFmtId="10" fontId="2" fillId="0" borderId="86" xfId="8733" applyNumberFormat="1" applyBorder="1" applyAlignment="1">
      <alignment horizontal="center"/>
    </xf>
    <xf numFmtId="10" fontId="2" fillId="0" borderId="85" xfId="8733" applyNumberFormat="1" applyBorder="1" applyAlignment="1">
      <alignment horizontal="center"/>
    </xf>
    <xf numFmtId="0" fontId="173" fillId="45" borderId="73" xfId="8733" applyFont="1" applyFill="1" applyBorder="1" applyAlignment="1">
      <alignment horizontal="left"/>
    </xf>
    <xf numFmtId="0" fontId="173" fillId="45" borderId="42" xfId="8733" applyFont="1" applyFill="1" applyBorder="1" applyAlignment="1">
      <alignment horizontal="left"/>
    </xf>
    <xf numFmtId="0" fontId="173" fillId="45" borderId="96" xfId="8733" applyFont="1" applyFill="1" applyBorder="1" applyAlignment="1">
      <alignment horizontal="left"/>
    </xf>
    <xf numFmtId="0" fontId="102" fillId="45" borderId="67" xfId="8733" applyFont="1" applyFill="1" applyBorder="1" applyAlignment="1">
      <alignment horizontal="center" wrapText="1"/>
    </xf>
    <xf numFmtId="0" fontId="102" fillId="45" borderId="68" xfId="8733" applyFont="1" applyFill="1" applyBorder="1" applyAlignment="1">
      <alignment horizontal="center" wrapText="1"/>
    </xf>
    <xf numFmtId="0" fontId="102" fillId="45" borderId="71" xfId="8733" applyFont="1" applyFill="1" applyBorder="1" applyAlignment="1">
      <alignment horizontal="center" wrapText="1"/>
    </xf>
    <xf numFmtId="0" fontId="174" fillId="48" borderId="72" xfId="8733" applyFont="1" applyFill="1" applyBorder="1" applyAlignment="1" applyProtection="1">
      <alignment horizontal="right"/>
      <protection locked="0"/>
    </xf>
    <xf numFmtId="0" fontId="174" fillId="48" borderId="11" xfId="8733" applyFont="1" applyFill="1" applyBorder="1" applyAlignment="1" applyProtection="1">
      <alignment horizontal="right"/>
      <protection locked="0"/>
    </xf>
    <xf numFmtId="168" fontId="174" fillId="48" borderId="76" xfId="700" applyNumberFormat="1" applyFont="1" applyFill="1" applyBorder="1" applyAlignment="1" applyProtection="1">
      <alignment horizontal="left"/>
      <protection locked="0"/>
    </xf>
    <xf numFmtId="0" fontId="166" fillId="45" borderId="98" xfId="8733" applyFont="1" applyFill="1" applyBorder="1" applyAlignment="1">
      <alignment horizontal="center"/>
    </xf>
    <xf numFmtId="0" fontId="166" fillId="45" borderId="13" xfId="8733" applyFont="1" applyFill="1" applyBorder="1" applyAlignment="1">
      <alignment horizontal="center"/>
    </xf>
    <xf numFmtId="0" fontId="172" fillId="48" borderId="72" xfId="8733" applyFont="1" applyFill="1" applyBorder="1" applyAlignment="1" applyProtection="1">
      <alignment horizontal="right"/>
      <protection locked="0"/>
    </xf>
    <xf numFmtId="0" fontId="172" fillId="48" borderId="11" xfId="8733" applyFont="1" applyFill="1" applyBorder="1" applyAlignment="1" applyProtection="1">
      <alignment horizontal="right"/>
      <protection locked="0"/>
    </xf>
    <xf numFmtId="0" fontId="166" fillId="45" borderId="89" xfId="8733" applyFont="1" applyFill="1" applyBorder="1" applyAlignment="1">
      <alignment horizontal="right"/>
    </xf>
    <xf numFmtId="0" fontId="166" fillId="45" borderId="43" xfId="8733" applyFont="1" applyFill="1" applyBorder="1" applyAlignment="1">
      <alignment horizontal="right"/>
    </xf>
    <xf numFmtId="168" fontId="166" fillId="45" borderId="43" xfId="8733" applyNumberFormat="1" applyFont="1" applyFill="1" applyBorder="1" applyAlignment="1">
      <alignment horizontal="left"/>
    </xf>
    <xf numFmtId="168" fontId="166" fillId="45" borderId="88" xfId="8733" applyNumberFormat="1" applyFont="1" applyFill="1" applyBorder="1" applyAlignment="1">
      <alignment horizontal="left"/>
    </xf>
    <xf numFmtId="0" fontId="172" fillId="48" borderId="68" xfId="8733" applyFont="1" applyFill="1" applyBorder="1" applyAlignment="1" applyProtection="1">
      <alignment horizontal="left"/>
      <protection locked="0"/>
    </xf>
    <xf numFmtId="0" fontId="172" fillId="48" borderId="71" xfId="8733" applyFont="1" applyFill="1" applyBorder="1" applyAlignment="1" applyProtection="1">
      <alignment horizontal="left"/>
      <protection locked="0"/>
    </xf>
    <xf numFmtId="0" fontId="166" fillId="45" borderId="69" xfId="8733" applyFont="1" applyFill="1" applyBorder="1" applyAlignment="1">
      <alignment horizontal="center"/>
    </xf>
    <xf numFmtId="0" fontId="166" fillId="45" borderId="70" xfId="8733" applyFont="1" applyFill="1" applyBorder="1" applyAlignment="1">
      <alignment horizontal="center"/>
    </xf>
    <xf numFmtId="0" fontId="172" fillId="48" borderId="70" xfId="8733" applyFont="1" applyFill="1" applyBorder="1" applyAlignment="1" applyProtection="1">
      <alignment horizontal="left"/>
      <protection locked="0"/>
    </xf>
    <xf numFmtId="0" fontId="172" fillId="48" borderId="77" xfId="8733" applyFont="1" applyFill="1" applyBorder="1" applyAlignment="1" applyProtection="1">
      <alignment horizontal="left"/>
      <protection locked="0"/>
    </xf>
    <xf numFmtId="0" fontId="169" fillId="48" borderId="74" xfId="8733" applyFont="1" applyFill="1" applyBorder="1" applyAlignment="1" applyProtection="1">
      <alignment horizontal="left"/>
      <protection locked="0"/>
    </xf>
    <xf numFmtId="0" fontId="166" fillId="45" borderId="72" xfId="8733" applyFont="1" applyFill="1" applyBorder="1" applyAlignment="1">
      <alignment horizontal="center"/>
    </xf>
    <xf numFmtId="0" fontId="166" fillId="45" borderId="11" xfId="8733" applyFont="1" applyFill="1" applyBorder="1" applyAlignment="1">
      <alignment horizontal="center"/>
    </xf>
    <xf numFmtId="0" fontId="166" fillId="45" borderId="3" xfId="8733" applyFont="1" applyFill="1" applyBorder="1" applyAlignment="1">
      <alignment horizontal="center"/>
    </xf>
    <xf numFmtId="0" fontId="166" fillId="45" borderId="4" xfId="8733" applyFont="1" applyFill="1" applyBorder="1" applyAlignment="1">
      <alignment horizontal="center"/>
    </xf>
    <xf numFmtId="0" fontId="166" fillId="45" borderId="81" xfId="8733" applyFont="1" applyFill="1" applyBorder="1" applyAlignment="1">
      <alignment horizontal="center"/>
    </xf>
    <xf numFmtId="0" fontId="102" fillId="45" borderId="69" xfId="8733" applyFont="1" applyFill="1" applyBorder="1" applyAlignment="1">
      <alignment horizontal="center"/>
    </xf>
    <xf numFmtId="0" fontId="102" fillId="45" borderId="70" xfId="8733" applyFont="1" applyFill="1" applyBorder="1" applyAlignment="1">
      <alignment horizontal="center"/>
    </xf>
    <xf numFmtId="0" fontId="172" fillId="44" borderId="72" xfId="8733" applyFont="1" applyFill="1" applyBorder="1" applyAlignment="1" applyProtection="1">
      <alignment horizontal="right"/>
      <protection locked="0"/>
    </xf>
    <xf numFmtId="0" fontId="172" fillId="44" borderId="11" xfId="8733" applyFont="1" applyFill="1" applyBorder="1" applyAlignment="1" applyProtection="1">
      <alignment horizontal="right"/>
      <protection locked="0"/>
    </xf>
    <xf numFmtId="0" fontId="172" fillId="44" borderId="76" xfId="8733" applyFont="1" applyFill="1" applyBorder="1" applyAlignment="1" applyProtection="1">
      <alignment horizontal="right"/>
      <protection locked="0"/>
    </xf>
    <xf numFmtId="0" fontId="172" fillId="48" borderId="5" xfId="8733" applyFont="1" applyFill="1" applyBorder="1" applyAlignment="1" applyProtection="1">
      <alignment horizontal="left"/>
      <protection locked="0"/>
    </xf>
    <xf numFmtId="0" fontId="172" fillId="44" borderId="69" xfId="8733" applyFont="1" applyFill="1" applyBorder="1" applyAlignment="1" applyProtection="1">
      <alignment horizontal="right"/>
      <protection locked="0"/>
    </xf>
    <xf numFmtId="0" fontId="172" fillId="44" borderId="70" xfId="8733" applyFont="1" applyFill="1" applyBorder="1" applyAlignment="1" applyProtection="1">
      <alignment horizontal="right"/>
      <protection locked="0"/>
    </xf>
    <xf numFmtId="0" fontId="172" fillId="44" borderId="77" xfId="8733" applyFont="1" applyFill="1" applyBorder="1" applyAlignment="1" applyProtection="1">
      <alignment horizontal="right"/>
      <protection locked="0"/>
    </xf>
    <xf numFmtId="0" fontId="172" fillId="48" borderId="95" xfId="8733" applyFont="1" applyFill="1" applyBorder="1" applyAlignment="1" applyProtection="1">
      <alignment horizontal="left"/>
      <protection locked="0"/>
    </xf>
    <xf numFmtId="0" fontId="166" fillId="45" borderId="65" xfId="8733" applyFont="1" applyFill="1" applyBorder="1" applyAlignment="1">
      <alignment horizontal="center"/>
    </xf>
    <xf numFmtId="0" fontId="166" fillId="45" borderId="29" xfId="8733" applyFont="1" applyFill="1" applyBorder="1" applyAlignment="1">
      <alignment horizontal="center"/>
    </xf>
    <xf numFmtId="0" fontId="166" fillId="45" borderId="31" xfId="8733" applyFont="1" applyFill="1" applyBorder="1" applyAlignment="1">
      <alignment horizontal="center"/>
    </xf>
    <xf numFmtId="0" fontId="172" fillId="48" borderId="5" xfId="8733" applyFont="1" applyFill="1" applyBorder="1" applyAlignment="1" applyProtection="1">
      <alignment horizontal="left" wrapText="1"/>
      <protection locked="0"/>
    </xf>
    <xf numFmtId="168" fontId="172" fillId="48" borderId="11" xfId="8734" applyNumberFormat="1" applyFont="1" applyFill="1" applyBorder="1" applyAlignment="1" applyProtection="1">
      <alignment horizontal="center"/>
      <protection locked="0"/>
    </xf>
    <xf numFmtId="1" fontId="172" fillId="48" borderId="11" xfId="8733" applyNumberFormat="1" applyFont="1" applyFill="1" applyBorder="1" applyAlignment="1" applyProtection="1">
      <alignment horizontal="center"/>
      <protection locked="0"/>
    </xf>
    <xf numFmtId="0" fontId="172" fillId="48" borderId="11" xfId="700" applyNumberFormat="1" applyFont="1" applyFill="1" applyBorder="1" applyAlignment="1" applyProtection="1">
      <alignment horizontal="left"/>
      <protection locked="0"/>
    </xf>
    <xf numFmtId="0" fontId="172" fillId="48" borderId="76" xfId="700" applyNumberFormat="1" applyFont="1" applyFill="1" applyBorder="1" applyAlignment="1" applyProtection="1">
      <alignment horizontal="left"/>
      <protection locked="0"/>
    </xf>
    <xf numFmtId="168" fontId="173" fillId="45" borderId="70" xfId="8734" applyNumberFormat="1" applyFont="1" applyFill="1" applyBorder="1" applyAlignment="1">
      <alignment horizontal="center"/>
    </xf>
    <xf numFmtId="1" fontId="173" fillId="45" borderId="70" xfId="8734" applyNumberFormat="1" applyFont="1" applyFill="1" applyBorder="1" applyAlignment="1">
      <alignment horizontal="center"/>
    </xf>
    <xf numFmtId="0" fontId="173" fillId="45" borderId="70" xfId="8734" applyNumberFormat="1" applyFont="1" applyFill="1" applyBorder="1" applyAlignment="1">
      <alignment horizontal="center"/>
    </xf>
    <xf numFmtId="0" fontId="173" fillId="45" borderId="77" xfId="8734" applyNumberFormat="1" applyFont="1" applyFill="1" applyBorder="1" applyAlignment="1">
      <alignment horizontal="center"/>
    </xf>
    <xf numFmtId="0" fontId="165" fillId="45" borderId="11" xfId="8733" applyFont="1" applyFill="1" applyBorder="1" applyAlignment="1">
      <alignment horizontal="center" vertical="center" wrapText="1"/>
    </xf>
    <xf numFmtId="0" fontId="165" fillId="45" borderId="76" xfId="8733" applyFont="1" applyFill="1" applyBorder="1" applyAlignment="1">
      <alignment horizontal="center" vertical="center" wrapText="1"/>
    </xf>
    <xf numFmtId="1" fontId="177" fillId="48" borderId="70" xfId="8733" applyNumberFormat="1" applyFont="1" applyFill="1" applyBorder="1" applyAlignment="1" applyProtection="1">
      <alignment horizontal="center"/>
      <protection locked="0"/>
    </xf>
    <xf numFmtId="1" fontId="177" fillId="48" borderId="94" xfId="8733" applyNumberFormat="1" applyFont="1" applyFill="1" applyBorder="1" applyAlignment="1" applyProtection="1">
      <alignment horizontal="center"/>
      <protection locked="0"/>
    </xf>
    <xf numFmtId="1" fontId="177" fillId="48" borderId="86" xfId="8733" applyNumberFormat="1" applyFont="1" applyFill="1" applyBorder="1" applyAlignment="1" applyProtection="1">
      <alignment horizontal="center"/>
      <protection locked="0"/>
    </xf>
    <xf numFmtId="1" fontId="177" fillId="48" borderId="95" xfId="8733" applyNumberFormat="1" applyFont="1" applyFill="1" applyBorder="1" applyAlignment="1" applyProtection="1">
      <alignment horizontal="center"/>
      <protection locked="0"/>
    </xf>
    <xf numFmtId="1" fontId="177" fillId="48" borderId="3" xfId="8733" applyNumberFormat="1" applyFont="1" applyFill="1" applyBorder="1" applyAlignment="1" applyProtection="1">
      <alignment horizontal="center"/>
      <protection locked="0"/>
    </xf>
    <xf numFmtId="1" fontId="177" fillId="48" borderId="4" xfId="8733" applyNumberFormat="1" applyFont="1" applyFill="1" applyBorder="1" applyAlignment="1" applyProtection="1">
      <alignment horizontal="center"/>
      <protection locked="0"/>
    </xf>
    <xf numFmtId="1" fontId="177" fillId="48" borderId="5" xfId="8733" applyNumberFormat="1" applyFont="1" applyFill="1" applyBorder="1" applyAlignment="1" applyProtection="1">
      <alignment horizontal="center"/>
      <protection locked="0"/>
    </xf>
    <xf numFmtId="1" fontId="165" fillId="44" borderId="3" xfId="8733" applyNumberFormat="1" applyFont="1" applyFill="1" applyBorder="1" applyAlignment="1">
      <alignment horizontal="center"/>
    </xf>
    <xf numFmtId="1" fontId="165" fillId="44" borderId="4" xfId="8733" applyNumberFormat="1" applyFont="1" applyFill="1" applyBorder="1" applyAlignment="1">
      <alignment horizontal="center"/>
    </xf>
    <xf numFmtId="1" fontId="165" fillId="44" borderId="5" xfId="8733" applyNumberFormat="1" applyFont="1" applyFill="1" applyBorder="1" applyAlignment="1">
      <alignment horizontal="center"/>
    </xf>
    <xf numFmtId="9" fontId="165" fillId="44" borderId="3" xfId="8735" applyFont="1" applyFill="1" applyBorder="1" applyAlignment="1">
      <alignment horizontal="center"/>
    </xf>
    <xf numFmtId="9" fontId="165" fillId="44" borderId="4" xfId="8735" applyFont="1" applyFill="1" applyBorder="1" applyAlignment="1">
      <alignment horizontal="center"/>
    </xf>
    <xf numFmtId="9" fontId="165" fillId="44" borderId="81" xfId="8735" applyFont="1" applyFill="1" applyBorder="1" applyAlignment="1">
      <alignment horizontal="center"/>
    </xf>
    <xf numFmtId="0" fontId="172" fillId="48" borderId="69" xfId="8733" applyFont="1" applyFill="1" applyBorder="1" applyAlignment="1" applyProtection="1">
      <alignment horizontal="right"/>
      <protection locked="0"/>
    </xf>
    <xf numFmtId="0" fontId="172" fillId="48" borderId="70" xfId="8733" applyFont="1" applyFill="1" applyBorder="1" applyAlignment="1" applyProtection="1">
      <alignment horizontal="right"/>
      <protection locked="0"/>
    </xf>
    <xf numFmtId="0" fontId="177" fillId="48" borderId="70" xfId="8733" applyFont="1" applyFill="1" applyBorder="1" applyAlignment="1" applyProtection="1">
      <alignment horizontal="center"/>
      <protection locked="0"/>
    </xf>
    <xf numFmtId="9" fontId="165" fillId="44" borderId="94" xfId="8735" applyFont="1" applyFill="1" applyBorder="1" applyAlignment="1">
      <alignment horizontal="center"/>
    </xf>
    <xf numFmtId="9" fontId="165" fillId="44" borderId="86" xfId="8735" applyFont="1" applyFill="1" applyBorder="1" applyAlignment="1">
      <alignment horizontal="center"/>
    </xf>
    <xf numFmtId="9" fontId="165" fillId="44" borderId="85" xfId="8735" applyFont="1" applyFill="1" applyBorder="1" applyAlignment="1">
      <alignment horizontal="center"/>
    </xf>
    <xf numFmtId="0" fontId="177" fillId="48" borderId="11" xfId="8733" applyFont="1" applyFill="1" applyBorder="1" applyAlignment="1" applyProtection="1">
      <alignment horizontal="center"/>
      <protection locked="0"/>
    </xf>
    <xf numFmtId="1" fontId="177" fillId="48" borderId="11" xfId="8733" applyNumberFormat="1" applyFont="1" applyFill="1" applyBorder="1" applyAlignment="1" applyProtection="1">
      <alignment horizontal="center"/>
      <protection locked="0"/>
    </xf>
    <xf numFmtId="0" fontId="173" fillId="44" borderId="101" xfId="8733" applyFont="1" applyFill="1" applyBorder="1" applyAlignment="1">
      <alignment horizontal="center"/>
    </xf>
    <xf numFmtId="0" fontId="173" fillId="44" borderId="42" xfId="8733" applyFont="1" applyFill="1" applyBorder="1" applyAlignment="1">
      <alignment horizontal="center"/>
    </xf>
    <xf numFmtId="0" fontId="173" fillId="44" borderId="96" xfId="8733" applyFont="1" applyFill="1" applyBorder="1" applyAlignment="1">
      <alignment horizontal="center"/>
    </xf>
    <xf numFmtId="9" fontId="173" fillId="44" borderId="101" xfId="1022" applyFont="1" applyFill="1" applyBorder="1" applyAlignment="1">
      <alignment horizontal="center"/>
    </xf>
    <xf numFmtId="9" fontId="173" fillId="44" borderId="42" xfId="1022" applyFont="1" applyFill="1" applyBorder="1" applyAlignment="1">
      <alignment horizontal="center"/>
    </xf>
    <xf numFmtId="9" fontId="173" fillId="44" borderId="44" xfId="1022" applyFont="1" applyFill="1" applyBorder="1" applyAlignment="1">
      <alignment horizontal="center"/>
    </xf>
    <xf numFmtId="0" fontId="166" fillId="45" borderId="80" xfId="8733" applyFont="1" applyFill="1" applyBorder="1" applyAlignment="1">
      <alignment horizontal="center"/>
    </xf>
    <xf numFmtId="0" fontId="166" fillId="45" borderId="79" xfId="8733" applyFont="1" applyFill="1" applyBorder="1" applyAlignment="1">
      <alignment horizontal="center"/>
    </xf>
    <xf numFmtId="0" fontId="166" fillId="45" borderId="78" xfId="8733" applyFont="1" applyFill="1" applyBorder="1" applyAlignment="1">
      <alignment horizontal="center"/>
    </xf>
    <xf numFmtId="0" fontId="165" fillId="45" borderId="98" xfId="8733" applyFont="1" applyFill="1" applyBorder="1" applyAlignment="1">
      <alignment horizontal="center" vertical="center" wrapText="1"/>
    </xf>
    <xf numFmtId="0" fontId="165" fillId="45" borderId="13" xfId="8733" applyFont="1" applyFill="1" applyBorder="1" applyAlignment="1">
      <alignment horizontal="center" vertical="center"/>
    </xf>
    <xf numFmtId="0" fontId="165" fillId="45" borderId="72" xfId="8733" applyFont="1" applyFill="1" applyBorder="1" applyAlignment="1">
      <alignment horizontal="center" vertical="center"/>
    </xf>
    <xf numFmtId="0" fontId="165" fillId="45" borderId="11" xfId="8733" applyFont="1" applyFill="1" applyBorder="1" applyAlignment="1">
      <alignment horizontal="center" vertical="center"/>
    </xf>
    <xf numFmtId="0" fontId="173" fillId="45" borderId="13" xfId="8733" applyFont="1" applyFill="1" applyBorder="1" applyAlignment="1">
      <alignment horizontal="center" vertical="center" wrapText="1"/>
    </xf>
    <xf numFmtId="0" fontId="173" fillId="45" borderId="13" xfId="8733" applyFont="1" applyFill="1" applyBorder="1" applyAlignment="1">
      <alignment horizontal="center" vertical="center"/>
    </xf>
    <xf numFmtId="0" fontId="173" fillId="45" borderId="11" xfId="8733" applyFont="1" applyFill="1" applyBorder="1" applyAlignment="1">
      <alignment horizontal="center" vertical="center"/>
    </xf>
    <xf numFmtId="0" fontId="173" fillId="45" borderId="9" xfId="8733" applyFont="1" applyFill="1" applyBorder="1" applyAlignment="1">
      <alignment horizontal="center" vertical="center"/>
    </xf>
    <xf numFmtId="0" fontId="173" fillId="45" borderId="3" xfId="8733" applyFont="1" applyFill="1" applyBorder="1" applyAlignment="1">
      <alignment horizontal="center" vertical="center"/>
    </xf>
    <xf numFmtId="0" fontId="165" fillId="45" borderId="80" xfId="8733" applyFont="1" applyFill="1" applyBorder="1" applyAlignment="1">
      <alignment horizontal="center"/>
    </xf>
    <xf numFmtId="0" fontId="165" fillId="45" borderId="79" xfId="8733" applyFont="1" applyFill="1" applyBorder="1" applyAlignment="1">
      <alignment horizontal="center"/>
    </xf>
    <xf numFmtId="0" fontId="165" fillId="45" borderId="78" xfId="8733" applyFont="1" applyFill="1" applyBorder="1" applyAlignment="1">
      <alignment horizontal="center"/>
    </xf>
    <xf numFmtId="0" fontId="165" fillId="45" borderId="65" xfId="8733" applyFont="1" applyFill="1" applyBorder="1" applyAlignment="1">
      <alignment horizontal="center" vertical="center" wrapText="1"/>
    </xf>
    <xf numFmtId="0" fontId="165" fillId="45" borderId="29" xfId="8733" applyFont="1" applyFill="1" applyBorder="1" applyAlignment="1">
      <alignment horizontal="center" vertical="center" wrapText="1"/>
    </xf>
    <xf numFmtId="0" fontId="165" fillId="45" borderId="31" xfId="8733" applyFont="1" applyFill="1" applyBorder="1" applyAlignment="1">
      <alignment horizontal="center" vertical="center" wrapText="1"/>
    </xf>
    <xf numFmtId="0" fontId="165" fillId="45" borderId="73" xfId="8733" applyFont="1" applyFill="1" applyBorder="1" applyAlignment="1">
      <alignment horizontal="center" vertical="center" wrapText="1"/>
    </xf>
    <xf numFmtId="0" fontId="165" fillId="45" borderId="42" xfId="8733" applyFont="1" applyFill="1" applyBorder="1" applyAlignment="1">
      <alignment horizontal="center" vertical="center" wrapText="1"/>
    </xf>
    <xf numFmtId="0" fontId="165" fillId="45" borderId="44" xfId="8733" applyFont="1" applyFill="1" applyBorder="1" applyAlignment="1">
      <alignment horizontal="center" vertical="center" wrapText="1"/>
    </xf>
    <xf numFmtId="9" fontId="173" fillId="48" borderId="13" xfId="8733" applyNumberFormat="1" applyFont="1" applyFill="1" applyBorder="1" applyAlignment="1" applyProtection="1">
      <alignment horizontal="center"/>
      <protection locked="0"/>
    </xf>
    <xf numFmtId="0" fontId="173" fillId="44" borderId="73" xfId="8733" applyFont="1" applyFill="1" applyBorder="1" applyAlignment="1">
      <alignment horizontal="center"/>
    </xf>
    <xf numFmtId="0" fontId="165" fillId="44" borderId="9" xfId="8733" applyFont="1" applyFill="1" applyBorder="1" applyAlignment="1">
      <alignment horizontal="center"/>
    </xf>
    <xf numFmtId="0" fontId="165" fillId="44" borderId="6" xfId="8733" applyFont="1" applyFill="1" applyBorder="1" applyAlignment="1">
      <alignment horizontal="center"/>
    </xf>
    <xf numFmtId="0" fontId="165" fillId="44" borderId="82" xfId="8733" applyFont="1" applyFill="1" applyBorder="1" applyAlignment="1">
      <alignment horizontal="center"/>
    </xf>
    <xf numFmtId="9" fontId="173" fillId="48" borderId="9" xfId="8733" applyNumberFormat="1" applyFont="1" applyFill="1" applyBorder="1" applyAlignment="1" applyProtection="1">
      <alignment horizontal="center"/>
      <protection locked="0"/>
    </xf>
    <xf numFmtId="9" fontId="173" fillId="48" borderId="6" xfId="8733" applyNumberFormat="1" applyFont="1" applyFill="1" applyBorder="1" applyAlignment="1" applyProtection="1">
      <alignment horizontal="center"/>
      <protection locked="0"/>
    </xf>
    <xf numFmtId="9" fontId="173" fillId="48" borderId="10" xfId="8733" applyNumberFormat="1" applyFont="1" applyFill="1" applyBorder="1" applyAlignment="1" applyProtection="1">
      <alignment horizontal="center"/>
      <protection locked="0"/>
    </xf>
    <xf numFmtId="9" fontId="165" fillId="48" borderId="9" xfId="8733" applyNumberFormat="1" applyFont="1" applyFill="1" applyBorder="1" applyAlignment="1" applyProtection="1">
      <alignment horizontal="center"/>
      <protection locked="0"/>
    </xf>
    <xf numFmtId="9" fontId="165" fillId="48" borderId="6" xfId="8733" applyNumberFormat="1" applyFont="1" applyFill="1" applyBorder="1" applyAlignment="1" applyProtection="1">
      <alignment horizontal="center"/>
      <protection locked="0"/>
    </xf>
    <xf numFmtId="9" fontId="165" fillId="48" borderId="10" xfId="8733" applyNumberFormat="1" applyFont="1" applyFill="1" applyBorder="1" applyAlignment="1" applyProtection="1">
      <alignment horizontal="center"/>
      <protection locked="0"/>
    </xf>
    <xf numFmtId="0" fontId="165" fillId="44" borderId="10" xfId="8733" applyFont="1" applyFill="1" applyBorder="1" applyAlignment="1">
      <alignment horizontal="center"/>
    </xf>
    <xf numFmtId="0" fontId="172" fillId="48" borderId="3" xfId="8733" applyFont="1" applyFill="1" applyBorder="1" applyAlignment="1" applyProtection="1">
      <alignment horizontal="center"/>
      <protection locked="0"/>
    </xf>
    <xf numFmtId="0" fontId="172" fillId="48" borderId="4" xfId="8733" applyFont="1" applyFill="1" applyBorder="1" applyAlignment="1" applyProtection="1">
      <alignment horizontal="center"/>
      <protection locked="0"/>
    </xf>
    <xf numFmtId="0" fontId="172" fillId="48" borderId="5" xfId="8733" applyFont="1" applyFill="1" applyBorder="1" applyAlignment="1" applyProtection="1">
      <alignment horizontal="center"/>
      <protection locked="0"/>
    </xf>
    <xf numFmtId="9" fontId="173" fillId="44" borderId="3" xfId="8733" applyNumberFormat="1" applyFont="1" applyFill="1" applyBorder="1" applyAlignment="1">
      <alignment horizontal="center"/>
    </xf>
    <xf numFmtId="9" fontId="173" fillId="44" borderId="4" xfId="8733" applyNumberFormat="1" applyFont="1" applyFill="1" applyBorder="1" applyAlignment="1">
      <alignment horizontal="center"/>
    </xf>
    <xf numFmtId="9" fontId="173" fillId="44" borderId="81" xfId="8733" applyNumberFormat="1" applyFont="1" applyFill="1" applyBorder="1" applyAlignment="1">
      <alignment horizontal="center"/>
    </xf>
    <xf numFmtId="0" fontId="173" fillId="44" borderId="87" xfId="8733" applyFont="1" applyFill="1" applyBorder="1" applyAlignment="1">
      <alignment horizontal="center"/>
    </xf>
    <xf numFmtId="0" fontId="173" fillId="44" borderId="86" xfId="8733" applyFont="1" applyFill="1" applyBorder="1" applyAlignment="1">
      <alignment horizontal="center"/>
    </xf>
    <xf numFmtId="0" fontId="173" fillId="44" borderId="95" xfId="8733" applyFont="1" applyFill="1" applyBorder="1" applyAlignment="1">
      <alignment horizontal="center"/>
    </xf>
    <xf numFmtId="0" fontId="172" fillId="44" borderId="94" xfId="8733" applyFont="1" applyFill="1" applyBorder="1" applyAlignment="1">
      <alignment horizontal="center"/>
    </xf>
    <xf numFmtId="0" fontId="172" fillId="44" borderId="86" xfId="8733" applyFont="1" applyFill="1" applyBorder="1" applyAlignment="1">
      <alignment horizontal="center"/>
    </xf>
    <xf numFmtId="0" fontId="172" fillId="44" borderId="95" xfId="8733" applyFont="1" applyFill="1" applyBorder="1" applyAlignment="1">
      <alignment horizontal="center"/>
    </xf>
    <xf numFmtId="9" fontId="173" fillId="44" borderId="94" xfId="8733" applyNumberFormat="1" applyFont="1" applyFill="1" applyBorder="1" applyAlignment="1">
      <alignment horizontal="center"/>
    </xf>
    <xf numFmtId="9" fontId="173" fillId="44" borderId="86" xfId="8733" applyNumberFormat="1" applyFont="1" applyFill="1" applyBorder="1" applyAlignment="1">
      <alignment horizontal="center"/>
    </xf>
    <xf numFmtId="9" fontId="173" fillId="44" borderId="85" xfId="8733" applyNumberFormat="1" applyFont="1" applyFill="1" applyBorder="1" applyAlignment="1">
      <alignment horizontal="center"/>
    </xf>
    <xf numFmtId="9" fontId="172" fillId="48" borderId="90" xfId="8733" applyNumberFormat="1" applyFont="1" applyFill="1" applyBorder="1" applyAlignment="1" applyProtection="1">
      <alignment horizontal="center"/>
      <protection locked="0"/>
    </xf>
    <xf numFmtId="9" fontId="172" fillId="48" borderId="4" xfId="8733" applyNumberFormat="1" applyFont="1" applyFill="1" applyBorder="1" applyAlignment="1" applyProtection="1">
      <alignment horizontal="center"/>
      <protection locked="0"/>
    </xf>
    <xf numFmtId="9" fontId="172" fillId="48" borderId="5" xfId="8733" applyNumberFormat="1" applyFont="1" applyFill="1" applyBorder="1" applyAlignment="1" applyProtection="1">
      <alignment horizontal="center"/>
      <protection locked="0"/>
    </xf>
    <xf numFmtId="0" fontId="172" fillId="44" borderId="3" xfId="8733" applyFont="1" applyFill="1" applyBorder="1" applyAlignment="1">
      <alignment horizontal="center"/>
    </xf>
    <xf numFmtId="0" fontId="172" fillId="44" borderId="4" xfId="8733" applyFont="1" applyFill="1" applyBorder="1" applyAlignment="1">
      <alignment horizontal="center"/>
    </xf>
    <xf numFmtId="0" fontId="172" fillId="44" borderId="5" xfId="8733" applyFont="1" applyFill="1" applyBorder="1" applyAlignment="1">
      <alignment horizontal="center"/>
    </xf>
    <xf numFmtId="0" fontId="102" fillId="45" borderId="80" xfId="8733" applyFont="1" applyFill="1" applyBorder="1" applyAlignment="1">
      <alignment horizontal="right"/>
    </xf>
    <xf numFmtId="0" fontId="102" fillId="45" borderId="79" xfId="8733" applyFont="1" applyFill="1" applyBorder="1" applyAlignment="1">
      <alignment horizontal="right"/>
    </xf>
    <xf numFmtId="0" fontId="102" fillId="45" borderId="103" xfId="8733" applyFont="1" applyFill="1" applyBorder="1" applyAlignment="1">
      <alignment horizontal="right"/>
    </xf>
    <xf numFmtId="0" fontId="2" fillId="44" borderId="84" xfId="8733" applyFill="1" applyBorder="1" applyAlignment="1">
      <alignment horizontal="center"/>
    </xf>
    <xf numFmtId="0" fontId="2" fillId="44" borderId="102" xfId="8733" applyFill="1" applyBorder="1" applyAlignment="1">
      <alignment horizontal="center"/>
    </xf>
    <xf numFmtId="0" fontId="173" fillId="45" borderId="11" xfId="8733" applyFont="1" applyFill="1" applyBorder="1" applyAlignment="1">
      <alignment horizontal="right"/>
    </xf>
    <xf numFmtId="14" fontId="169" fillId="48" borderId="11" xfId="8733" applyNumberFormat="1" applyFont="1" applyFill="1" applyBorder="1" applyAlignment="1" applyProtection="1">
      <alignment horizontal="center" vertical="center"/>
      <protection locked="0"/>
    </xf>
    <xf numFmtId="0" fontId="169" fillId="48" borderId="11" xfId="8733" applyFont="1" applyFill="1" applyBorder="1" applyAlignment="1" applyProtection="1">
      <alignment horizontal="center" vertical="center"/>
      <protection locked="0"/>
    </xf>
    <xf numFmtId="0" fontId="173" fillId="45" borderId="97" xfId="8733" applyFont="1" applyFill="1" applyBorder="1" applyAlignment="1">
      <alignment horizontal="center"/>
    </xf>
    <xf numFmtId="0" fontId="173" fillId="45" borderId="2" xfId="8733" applyFont="1" applyFill="1" applyBorder="1" applyAlignment="1">
      <alignment horizontal="center"/>
    </xf>
    <xf numFmtId="0" fontId="173" fillId="45" borderId="7" xfId="8733" applyFont="1" applyFill="1" applyBorder="1" applyAlignment="1">
      <alignment horizontal="center"/>
    </xf>
    <xf numFmtId="0" fontId="173" fillId="45" borderId="3" xfId="8733" applyFont="1" applyFill="1" applyBorder="1" applyAlignment="1">
      <alignment horizontal="center"/>
    </xf>
    <xf numFmtId="0" fontId="173" fillId="45" borderId="4" xfId="8733" applyFont="1" applyFill="1" applyBorder="1" applyAlignment="1">
      <alignment horizontal="center"/>
    </xf>
    <xf numFmtId="0" fontId="173" fillId="45" borderId="5" xfId="8733" applyFont="1" applyFill="1" applyBorder="1" applyAlignment="1">
      <alignment horizontal="center"/>
    </xf>
    <xf numFmtId="0" fontId="173" fillId="45" borderId="81" xfId="8733" applyFont="1" applyFill="1" applyBorder="1" applyAlignment="1">
      <alignment horizontal="center"/>
    </xf>
    <xf numFmtId="0" fontId="102" fillId="45" borderId="80" xfId="8733" applyFont="1" applyFill="1" applyBorder="1" applyAlignment="1">
      <alignment horizontal="center"/>
    </xf>
    <xf numFmtId="0" fontId="102" fillId="45" borderId="79" xfId="8733" applyFont="1" applyFill="1" applyBorder="1" applyAlignment="1">
      <alignment horizontal="center"/>
    </xf>
    <xf numFmtId="0" fontId="102" fillId="45" borderId="78" xfId="8733" applyFont="1" applyFill="1" applyBorder="1" applyAlignment="1">
      <alignment horizontal="center"/>
    </xf>
    <xf numFmtId="0" fontId="169" fillId="48" borderId="80" xfId="8733" applyFont="1" applyFill="1" applyBorder="1" applyAlignment="1" applyProtection="1">
      <alignment horizontal="center"/>
      <protection locked="0"/>
    </xf>
    <xf numFmtId="0" fontId="169" fillId="48" borderId="79" xfId="8733" applyFont="1" applyFill="1" applyBorder="1" applyAlignment="1" applyProtection="1">
      <alignment horizontal="center"/>
      <protection locked="0"/>
    </xf>
    <xf numFmtId="0" fontId="169" fillId="48" borderId="78" xfId="8733" applyFont="1" applyFill="1" applyBorder="1" applyAlignment="1" applyProtection="1">
      <alignment horizontal="center"/>
      <protection locked="0"/>
    </xf>
    <xf numFmtId="1" fontId="2" fillId="44" borderId="11" xfId="8733" applyNumberFormat="1" applyFill="1" applyBorder="1" applyAlignment="1">
      <alignment horizontal="center"/>
    </xf>
    <xf numFmtId="0" fontId="2" fillId="44" borderId="11" xfId="8733" applyFill="1" applyBorder="1" applyAlignment="1">
      <alignment horizontal="center"/>
    </xf>
    <xf numFmtId="0" fontId="170" fillId="45" borderId="11" xfId="8733" applyFont="1" applyFill="1" applyBorder="1" applyAlignment="1">
      <alignment horizontal="right" wrapText="1"/>
    </xf>
    <xf numFmtId="0" fontId="176" fillId="45" borderId="11" xfId="8733" applyFont="1" applyFill="1" applyBorder="1" applyAlignment="1">
      <alignment horizontal="right"/>
    </xf>
    <xf numFmtId="14" fontId="169" fillId="48" borderId="11" xfId="8733" applyNumberFormat="1" applyFont="1" applyFill="1" applyBorder="1" applyAlignment="1" applyProtection="1">
      <alignment horizontal="center"/>
      <protection locked="0"/>
    </xf>
    <xf numFmtId="0" fontId="169" fillId="48" borderId="11" xfId="8733" applyFont="1" applyFill="1" applyBorder="1" applyAlignment="1" applyProtection="1">
      <alignment horizontal="center"/>
      <protection locked="0"/>
    </xf>
    <xf numFmtId="168" fontId="174" fillId="44" borderId="11" xfId="8734" applyNumberFormat="1" applyFont="1" applyFill="1" applyBorder="1" applyAlignment="1" applyProtection="1">
      <alignment horizontal="left"/>
    </xf>
    <xf numFmtId="0" fontId="169" fillId="44" borderId="80" xfId="8733" applyFont="1" applyFill="1" applyBorder="1" applyAlignment="1">
      <alignment horizontal="left"/>
    </xf>
    <xf numFmtId="0" fontId="169" fillId="44" borderId="79" xfId="8733" applyFont="1" applyFill="1" applyBorder="1" applyAlignment="1">
      <alignment horizontal="left"/>
    </xf>
    <xf numFmtId="0" fontId="169" fillId="44" borderId="78" xfId="8733" applyFont="1" applyFill="1" applyBorder="1" applyAlignment="1">
      <alignment horizontal="left"/>
    </xf>
    <xf numFmtId="0" fontId="170" fillId="45" borderId="11" xfId="8733" applyFont="1" applyFill="1" applyBorder="1" applyAlignment="1">
      <alignment horizontal="right"/>
    </xf>
    <xf numFmtId="1" fontId="169" fillId="48" borderId="11" xfId="8733" applyNumberFormat="1" applyFont="1" applyFill="1" applyBorder="1" applyAlignment="1" applyProtection="1">
      <alignment horizontal="center"/>
      <protection locked="0"/>
    </xf>
    <xf numFmtId="0" fontId="2" fillId="44" borderId="80" xfId="8733" applyFill="1" applyBorder="1" applyAlignment="1">
      <alignment horizontal="center"/>
    </xf>
    <xf numFmtId="0" fontId="2" fillId="44" borderId="79" xfId="8733" applyFill="1" applyBorder="1" applyAlignment="1">
      <alignment horizontal="center"/>
    </xf>
    <xf numFmtId="0" fontId="2" fillId="44" borderId="78" xfId="8733" applyFill="1" applyBorder="1" applyAlignment="1">
      <alignment horizontal="center"/>
    </xf>
    <xf numFmtId="0" fontId="181" fillId="51" borderId="65" xfId="8733" applyFont="1" applyFill="1" applyBorder="1" applyAlignment="1">
      <alignment horizontal="center"/>
    </xf>
    <xf numFmtId="0" fontId="181" fillId="51" borderId="29" xfId="8733" applyFont="1" applyFill="1" applyBorder="1" applyAlignment="1">
      <alignment horizontal="center"/>
    </xf>
    <xf numFmtId="0" fontId="181" fillId="51" borderId="31" xfId="8733" applyFont="1" applyFill="1" applyBorder="1" applyAlignment="1">
      <alignment horizontal="center"/>
    </xf>
    <xf numFmtId="0" fontId="166" fillId="48" borderId="66" xfId="8733" applyFont="1" applyFill="1" applyBorder="1" applyAlignment="1">
      <alignment horizontal="center"/>
    </xf>
    <xf numFmtId="0" fontId="166" fillId="48" borderId="0" xfId="8733" applyFont="1" applyFill="1" applyAlignment="1">
      <alignment horizontal="center"/>
    </xf>
    <xf numFmtId="0" fontId="166" fillId="48" borderId="41" xfId="8733" applyFont="1" applyFill="1" applyBorder="1" applyAlignment="1">
      <alignment horizontal="center"/>
    </xf>
    <xf numFmtId="168" fontId="17" fillId="0" borderId="11" xfId="569" applyNumberFormat="1" applyBorder="1"/>
    <xf numFmtId="168" fontId="17" fillId="0" borderId="3" xfId="569" applyNumberFormat="1" applyBorder="1"/>
    <xf numFmtId="168" fontId="17" fillId="0" borderId="4" xfId="569" applyNumberFormat="1" applyBorder="1"/>
    <xf numFmtId="168" fontId="17" fillId="0" borderId="5" xfId="569" applyNumberFormat="1" applyBorder="1"/>
    <xf numFmtId="168" fontId="17" fillId="0" borderId="11" xfId="569" applyNumberFormat="1" applyBorder="1" applyAlignment="1">
      <alignment wrapText="1"/>
    </xf>
    <xf numFmtId="168" fontId="17" fillId="0" borderId="11" xfId="569" applyNumberFormat="1" applyBorder="1" applyAlignment="1">
      <alignment horizontal="right"/>
    </xf>
    <xf numFmtId="9" fontId="17" fillId="0" borderId="15" xfId="569" applyNumberFormat="1" applyBorder="1" applyAlignment="1">
      <alignment horizontal="center"/>
    </xf>
    <xf numFmtId="168" fontId="17" fillId="0" borderId="11" xfId="569" applyNumberFormat="1" applyBorder="1" applyAlignment="1">
      <alignment horizontal="center"/>
    </xf>
    <xf numFmtId="0" fontId="17" fillId="0" borderId="11" xfId="569" applyBorder="1" applyAlignment="1">
      <alignment horizontal="center"/>
    </xf>
    <xf numFmtId="176" fontId="17" fillId="5" borderId="3" xfId="569" applyNumberFormat="1" applyFill="1" applyBorder="1" applyAlignment="1" applyProtection="1">
      <alignment horizontal="right"/>
      <protection locked="0"/>
    </xf>
    <xf numFmtId="176" fontId="17" fillId="5" borderId="4" xfId="569" applyNumberFormat="1" applyFill="1" applyBorder="1" applyAlignment="1" applyProtection="1">
      <alignment horizontal="right"/>
      <protection locked="0"/>
    </xf>
    <xf numFmtId="176" fontId="17" fillId="5" borderId="5" xfId="569" applyNumberFormat="1" applyFill="1" applyBorder="1" applyAlignment="1" applyProtection="1">
      <alignment horizontal="right"/>
      <protection locked="0"/>
    </xf>
    <xf numFmtId="0" fontId="107" fillId="0" borderId="0" xfId="0" applyFont="1" applyAlignment="1">
      <alignment horizontal="left" vertical="top" wrapText="1"/>
    </xf>
    <xf numFmtId="0" fontId="24" fillId="0" borderId="3" xfId="569" applyFont="1" applyBorder="1" applyAlignment="1">
      <alignment horizontal="right"/>
    </xf>
    <xf numFmtId="0" fontId="24" fillId="0" borderId="4" xfId="569" applyFont="1" applyBorder="1" applyAlignment="1">
      <alignment horizontal="right"/>
    </xf>
    <xf numFmtId="0" fontId="24" fillId="0" borderId="5" xfId="569" applyFont="1" applyBorder="1" applyAlignment="1">
      <alignment horizontal="right"/>
    </xf>
    <xf numFmtId="0" fontId="24" fillId="0" borderId="6" xfId="569" applyFont="1" applyBorder="1" applyAlignment="1">
      <alignment horizontal="center"/>
    </xf>
    <xf numFmtId="168" fontId="17" fillId="0" borderId="3" xfId="569" applyNumberFormat="1" applyBorder="1" applyAlignment="1">
      <alignment horizontal="center"/>
    </xf>
    <xf numFmtId="0" fontId="17" fillId="0" borderId="4" xfId="569" applyBorder="1" applyAlignment="1">
      <alignment horizontal="center"/>
    </xf>
    <xf numFmtId="0" fontId="17" fillId="0" borderId="5" xfId="569" applyBorder="1" applyAlignment="1">
      <alignment horizontal="center"/>
    </xf>
    <xf numFmtId="0" fontId="107" fillId="0" borderId="0" xfId="569" applyFont="1" applyAlignment="1">
      <alignment horizontal="left" wrapText="1"/>
    </xf>
    <xf numFmtId="168" fontId="17" fillId="0" borderId="3" xfId="569" applyNumberFormat="1" applyBorder="1" applyAlignment="1">
      <alignment horizontal="right"/>
    </xf>
    <xf numFmtId="168" fontId="17" fillId="0" borderId="4" xfId="569" applyNumberFormat="1" applyBorder="1" applyAlignment="1">
      <alignment horizontal="right"/>
    </xf>
    <xf numFmtId="168" fontId="17" fillId="0" borderId="5" xfId="569" applyNumberFormat="1" applyBorder="1" applyAlignment="1">
      <alignment horizontal="right"/>
    </xf>
    <xf numFmtId="0" fontId="24" fillId="0" borderId="16" xfId="271" applyFont="1" applyBorder="1" applyAlignment="1">
      <alignment horizontal="center"/>
    </xf>
    <xf numFmtId="168" fontId="17" fillId="0" borderId="4" xfId="569" applyNumberFormat="1" applyBorder="1" applyAlignment="1">
      <alignment horizontal="center"/>
    </xf>
    <xf numFmtId="168" fontId="17" fillId="0" borderId="5" xfId="569" applyNumberFormat="1" applyBorder="1" applyAlignment="1">
      <alignment horizontal="center"/>
    </xf>
    <xf numFmtId="0" fontId="24" fillId="0" borderId="11" xfId="569" applyFont="1" applyBorder="1" applyAlignment="1">
      <alignment horizontal="center" wrapText="1"/>
    </xf>
    <xf numFmtId="0" fontId="24" fillId="0" borderId="11" xfId="569" applyFont="1" applyBorder="1" applyAlignment="1">
      <alignment horizontal="center"/>
    </xf>
    <xf numFmtId="165" fontId="17" fillId="0" borderId="11" xfId="569" applyNumberFormat="1" applyBorder="1" applyAlignment="1" applyProtection="1">
      <alignment horizontal="center"/>
      <protection locked="0"/>
    </xf>
    <xf numFmtId="0" fontId="53" fillId="0" borderId="0" xfId="569" applyFont="1" applyAlignment="1">
      <alignment horizontal="left"/>
    </xf>
    <xf numFmtId="5" fontId="17" fillId="0" borderId="5" xfId="569" applyNumberFormat="1" applyBorder="1" applyAlignment="1">
      <alignment horizontal="center"/>
    </xf>
    <xf numFmtId="5" fontId="17" fillId="0" borderId="11" xfId="569" applyNumberFormat="1" applyBorder="1" applyAlignment="1">
      <alignment horizontal="center"/>
    </xf>
    <xf numFmtId="5" fontId="17" fillId="0" borderId="3" xfId="569" applyNumberFormat="1" applyBorder="1" applyAlignment="1">
      <alignment horizontal="center"/>
    </xf>
    <xf numFmtId="5" fontId="17" fillId="0" borderId="4" xfId="569" applyNumberFormat="1" applyBorder="1" applyAlignment="1">
      <alignment horizontal="center"/>
    </xf>
    <xf numFmtId="168" fontId="17" fillId="5" borderId="5" xfId="569" applyNumberFormat="1" applyFill="1" applyBorder="1" applyAlignment="1" applyProtection="1">
      <alignment horizontal="center"/>
      <protection locked="0"/>
    </xf>
    <xf numFmtId="168" fontId="17" fillId="5" borderId="11" xfId="569" applyNumberFormat="1" applyFill="1" applyBorder="1" applyAlignment="1" applyProtection="1">
      <alignment horizontal="center"/>
      <protection locked="0"/>
    </xf>
    <xf numFmtId="9" fontId="17" fillId="0" borderId="5" xfId="569" applyNumberFormat="1" applyBorder="1" applyAlignment="1">
      <alignment horizontal="center"/>
    </xf>
    <xf numFmtId="9" fontId="17" fillId="0" borderId="11" xfId="569" applyNumberFormat="1" applyBorder="1" applyAlignment="1">
      <alignment horizontal="center"/>
    </xf>
    <xf numFmtId="9" fontId="17" fillId="0" borderId="9" xfId="569" applyNumberFormat="1" applyBorder="1" applyAlignment="1">
      <alignment horizontal="center" vertical="center"/>
    </xf>
    <xf numFmtId="9" fontId="17" fillId="0" borderId="6" xfId="569" applyNumberFormat="1" applyBorder="1" applyAlignment="1">
      <alignment horizontal="center" vertical="center"/>
    </xf>
    <xf numFmtId="9" fontId="17" fillId="0" borderId="10" xfId="569" applyNumberFormat="1" applyBorder="1" applyAlignment="1">
      <alignment horizontal="center" vertical="center"/>
    </xf>
    <xf numFmtId="168" fontId="17" fillId="2" borderId="3" xfId="569" applyNumberFormat="1" applyFill="1" applyBorder="1" applyAlignment="1">
      <alignment horizontal="center"/>
    </xf>
    <xf numFmtId="168" fontId="17" fillId="2" borderId="4" xfId="569" applyNumberFormat="1" applyFill="1" applyBorder="1" applyAlignment="1">
      <alignment horizontal="center"/>
    </xf>
    <xf numFmtId="168" fontId="17" fillId="2" borderId="5" xfId="569" applyNumberFormat="1" applyFill="1" applyBorder="1" applyAlignment="1">
      <alignment horizontal="center"/>
    </xf>
    <xf numFmtId="168" fontId="17" fillId="5" borderId="10" xfId="569" applyNumberFormat="1" applyFill="1" applyBorder="1" applyAlignment="1" applyProtection="1">
      <alignment horizontal="center"/>
      <protection locked="0"/>
    </xf>
    <xf numFmtId="168" fontId="17" fillId="5" borderId="13" xfId="569" applyNumberFormat="1" applyFill="1" applyBorder="1" applyAlignment="1" applyProtection="1">
      <alignment horizontal="center"/>
      <protection locked="0"/>
    </xf>
    <xf numFmtId="0" fontId="23" fillId="3" borderId="2" xfId="569" applyFont="1" applyFill="1" applyBorder="1" applyAlignment="1">
      <alignment horizontal="center" vertical="center"/>
    </xf>
    <xf numFmtId="0" fontId="23" fillId="3" borderId="16" xfId="569" applyFont="1" applyFill="1" applyBorder="1" applyAlignment="1">
      <alignment horizontal="center" vertical="center"/>
    </xf>
    <xf numFmtId="168" fontId="17" fillId="0" borderId="7" xfId="569" applyNumberFormat="1" applyBorder="1" applyAlignment="1">
      <alignment horizontal="center"/>
    </xf>
    <xf numFmtId="168" fontId="17" fillId="0" borderId="15" xfId="569" applyNumberFormat="1" applyBorder="1" applyAlignment="1">
      <alignment horizontal="center"/>
    </xf>
    <xf numFmtId="0" fontId="24" fillId="0" borderId="3" xfId="569" applyFont="1" applyBorder="1" applyAlignment="1">
      <alignment horizontal="left"/>
    </xf>
    <xf numFmtId="0" fontId="24" fillId="0" borderId="5" xfId="569" applyFont="1" applyBorder="1" applyAlignment="1">
      <alignment horizontal="left"/>
    </xf>
    <xf numFmtId="0" fontId="25" fillId="0" borderId="4" xfId="569" applyFont="1" applyBorder="1" applyAlignment="1">
      <alignment horizontal="left"/>
    </xf>
    <xf numFmtId="0" fontId="25" fillId="0" borderId="5" xfId="569" applyFont="1" applyBorder="1" applyAlignment="1">
      <alignment horizontal="left"/>
    </xf>
    <xf numFmtId="179" fontId="24" fillId="0" borderId="0" xfId="569" applyNumberFormat="1" applyFont="1" applyAlignment="1">
      <alignment horizontal="center" wrapText="1"/>
    </xf>
    <xf numFmtId="164" fontId="24" fillId="0" borderId="0" xfId="569" applyNumberFormat="1" applyFont="1" applyAlignment="1">
      <alignment horizontal="center" wrapText="1"/>
    </xf>
    <xf numFmtId="0" fontId="17" fillId="0" borderId="3" xfId="569" applyBorder="1" applyAlignment="1">
      <alignment horizontal="right"/>
    </xf>
    <xf numFmtId="0" fontId="17" fillId="0" borderId="4" xfId="569" applyBorder="1" applyAlignment="1">
      <alignment horizontal="right"/>
    </xf>
    <xf numFmtId="0" fontId="17" fillId="0" borderId="5" xfId="569" applyBorder="1" applyAlignment="1">
      <alignment horizontal="right"/>
    </xf>
    <xf numFmtId="0" fontId="25" fillId="0" borderId="3" xfId="569" applyFont="1" applyBorder="1" applyAlignment="1">
      <alignment horizontal="right"/>
    </xf>
    <xf numFmtId="0" fontId="25" fillId="0" borderId="4" xfId="569" applyFont="1" applyBorder="1" applyAlignment="1">
      <alignment horizontal="right"/>
    </xf>
    <xf numFmtId="0" fontId="25" fillId="0" borderId="5" xfId="569" applyFont="1" applyBorder="1" applyAlignment="1">
      <alignment horizontal="right"/>
    </xf>
    <xf numFmtId="165" fontId="122" fillId="0" borderId="55" xfId="4496" applyNumberFormat="1" applyFont="1" applyBorder="1" applyAlignment="1">
      <alignment horizontal="center" vertical="top" wrapText="1"/>
    </xf>
    <xf numFmtId="165" fontId="122" fillId="0" borderId="6" xfId="4496" applyNumberFormat="1" applyFont="1" applyBorder="1" applyAlignment="1">
      <alignment horizontal="center" vertical="top" wrapText="1"/>
    </xf>
    <xf numFmtId="165" fontId="122" fillId="0" borderId="60" xfId="4496" applyNumberFormat="1" applyFont="1" applyBorder="1" applyAlignment="1">
      <alignment horizontal="center" vertical="top" wrapText="1"/>
    </xf>
    <xf numFmtId="165" fontId="122" fillId="0" borderId="4" xfId="4496" applyNumberFormat="1" applyFont="1" applyBorder="1" applyAlignment="1">
      <alignment horizontal="center" vertical="top" wrapText="1"/>
    </xf>
    <xf numFmtId="0" fontId="122" fillId="5" borderId="60" xfId="4496" applyFont="1" applyFill="1" applyBorder="1" applyAlignment="1" applyProtection="1">
      <alignment horizontal="center"/>
      <protection locked="0"/>
    </xf>
    <xf numFmtId="0" fontId="122" fillId="5" borderId="4" xfId="4496" applyFont="1" applyFill="1" applyBorder="1" applyAlignment="1" applyProtection="1">
      <alignment horizontal="center"/>
      <protection locked="0"/>
    </xf>
    <xf numFmtId="0" fontId="122" fillId="5" borderId="6" xfId="4496" applyFont="1" applyFill="1" applyBorder="1" applyAlignment="1" applyProtection="1">
      <alignment horizontal="center"/>
      <protection locked="0"/>
    </xf>
    <xf numFmtId="0" fontId="17" fillId="0" borderId="50" xfId="4495" applyFont="1" applyBorder="1" applyAlignment="1">
      <alignment horizontal="left" vertical="center" wrapText="1"/>
    </xf>
    <xf numFmtId="0" fontId="17" fillId="0" borderId="51" xfId="4495" applyFont="1" applyBorder="1" applyAlignment="1">
      <alignment horizontal="left" vertical="center" wrapText="1"/>
    </xf>
    <xf numFmtId="0" fontId="17" fillId="0" borderId="52" xfId="4495" applyFont="1" applyBorder="1" applyAlignment="1">
      <alignment horizontal="left" vertical="center" wrapText="1"/>
    </xf>
    <xf numFmtId="0" fontId="17" fillId="0" borderId="57" xfId="4495" applyFont="1" applyBorder="1" applyAlignment="1">
      <alignment horizontal="left" vertical="center" wrapText="1"/>
    </xf>
    <xf numFmtId="0" fontId="17" fillId="0" borderId="58" xfId="4495" applyFont="1" applyBorder="1" applyAlignment="1">
      <alignment horizontal="left" vertical="center" wrapText="1"/>
    </xf>
    <xf numFmtId="0" fontId="17" fillId="0" borderId="59" xfId="4495" applyFont="1" applyBorder="1" applyAlignment="1">
      <alignment horizontal="left" vertical="center" wrapText="1"/>
    </xf>
    <xf numFmtId="0" fontId="17" fillId="0" borderId="53" xfId="4495" applyFont="1" applyBorder="1" applyAlignment="1">
      <alignment horizontal="left" vertical="center" wrapText="1"/>
    </xf>
    <xf numFmtId="0" fontId="17" fillId="0" borderId="0" xfId="4495" applyFont="1" applyAlignment="1">
      <alignment horizontal="left" vertical="center" wrapText="1"/>
    </xf>
    <xf numFmtId="0" fontId="17" fillId="0" borderId="54" xfId="4495" applyFont="1" applyBorder="1" applyAlignment="1">
      <alignment horizontal="left" vertical="center" wrapText="1"/>
    </xf>
    <xf numFmtId="0" fontId="24" fillId="0" borderId="0" xfId="4495" applyFont="1" applyAlignment="1">
      <alignment horizontal="right"/>
    </xf>
    <xf numFmtId="0" fontId="122" fillId="0" borderId="50" xfId="4496" applyFont="1" applyBorder="1" applyAlignment="1">
      <alignment horizontal="left" vertical="top" wrapText="1"/>
    </xf>
    <xf numFmtId="0" fontId="122" fillId="0" borderId="51" xfId="4496" applyFont="1" applyBorder="1" applyAlignment="1">
      <alignment horizontal="left" vertical="top" wrapText="1"/>
    </xf>
    <xf numFmtId="0" fontId="122" fillId="0" borderId="52" xfId="4496" applyFont="1" applyBorder="1" applyAlignment="1">
      <alignment horizontal="left" vertical="top" wrapText="1"/>
    </xf>
    <xf numFmtId="0" fontId="122" fillId="0" borderId="53" xfId="4496" applyFont="1" applyBorder="1" applyAlignment="1">
      <alignment horizontal="left" vertical="top" wrapText="1"/>
    </xf>
    <xf numFmtId="0" fontId="122" fillId="0" borderId="0" xfId="4496" applyFont="1" applyAlignment="1">
      <alignment horizontal="left" vertical="top" wrapText="1"/>
    </xf>
    <xf numFmtId="0" fontId="122" fillId="0" borderId="54" xfId="4496" applyFont="1" applyBorder="1" applyAlignment="1">
      <alignment horizontal="left" vertical="top" wrapText="1"/>
    </xf>
    <xf numFmtId="0" fontId="122" fillId="0" borderId="57" xfId="4496" applyFont="1" applyBorder="1" applyAlignment="1">
      <alignment horizontal="left" vertical="top" wrapText="1"/>
    </xf>
    <xf numFmtId="0" fontId="122" fillId="0" borderId="58" xfId="4496" applyFont="1" applyBorder="1" applyAlignment="1">
      <alignment horizontal="left" vertical="top" wrapText="1"/>
    </xf>
    <xf numFmtId="0" fontId="122" fillId="0" borderId="59" xfId="4496" applyFont="1" applyBorder="1" applyAlignment="1">
      <alignment horizontal="left" vertical="top" wrapText="1"/>
    </xf>
    <xf numFmtId="0" fontId="122" fillId="5" borderId="55" xfId="4496" applyFont="1" applyFill="1" applyBorder="1" applyAlignment="1" applyProtection="1">
      <alignment horizontal="center"/>
      <protection locked="0"/>
    </xf>
    <xf numFmtId="0" fontId="122" fillId="0" borderId="47" xfId="4496" applyFont="1" applyBorder="1"/>
    <xf numFmtId="0" fontId="122" fillId="0" borderId="48" xfId="4496" applyFont="1" applyBorder="1"/>
    <xf numFmtId="0" fontId="122" fillId="0" borderId="49" xfId="4496" applyFont="1" applyBorder="1"/>
    <xf numFmtId="0" fontId="17" fillId="0" borderId="47" xfId="4495" applyFont="1" applyBorder="1" applyAlignment="1">
      <alignment horizontal="left" vertical="center" wrapText="1"/>
    </xf>
    <xf numFmtId="0" fontId="17" fillId="0" borderId="48" xfId="4495" applyFont="1" applyBorder="1" applyAlignment="1">
      <alignment horizontal="left" vertical="center" wrapText="1"/>
    </xf>
    <xf numFmtId="0" fontId="17" fillId="0" borderId="49" xfId="4495" applyFont="1" applyBorder="1" applyAlignment="1">
      <alignment horizontal="left" vertical="center" wrapText="1"/>
    </xf>
    <xf numFmtId="0" fontId="122" fillId="0" borderId="55" xfId="4496" applyFont="1" applyBorder="1" applyAlignment="1">
      <alignment horizontal="center" vertical="top" wrapText="1"/>
    </xf>
    <xf numFmtId="0" fontId="122" fillId="0" borderId="6" xfId="4496" applyFont="1" applyBorder="1" applyAlignment="1">
      <alignment horizontal="center" vertical="top" wrapText="1"/>
    </xf>
    <xf numFmtId="0" fontId="23" fillId="3" borderId="2" xfId="4495" applyFont="1" applyFill="1" applyBorder="1" applyAlignment="1">
      <alignment horizontal="center" vertical="center"/>
    </xf>
    <xf numFmtId="0" fontId="23" fillId="3" borderId="16" xfId="4495" applyFont="1" applyFill="1" applyBorder="1" applyAlignment="1">
      <alignment horizontal="center" vertical="center"/>
    </xf>
    <xf numFmtId="0" fontId="24" fillId="0" borderId="48" xfId="4495" applyFont="1" applyBorder="1" applyAlignment="1">
      <alignment horizontal="left" vertical="top"/>
    </xf>
    <xf numFmtId="0" fontId="24" fillId="0" borderId="49" xfId="4495" applyFont="1" applyBorder="1" applyAlignment="1">
      <alignment horizontal="left" vertical="top"/>
    </xf>
    <xf numFmtId="1" fontId="17" fillId="0" borderId="3" xfId="4495" applyNumberFormat="1" applyFont="1" applyBorder="1" applyAlignment="1">
      <alignment horizontal="center"/>
    </xf>
    <xf numFmtId="1" fontId="17" fillId="0" borderId="4" xfId="4495" applyNumberFormat="1" applyFont="1" applyBorder="1" applyAlignment="1">
      <alignment horizontal="center"/>
    </xf>
    <xf numFmtId="1" fontId="17" fillId="0" borderId="5" xfId="4495" applyNumberFormat="1" applyFont="1" applyBorder="1" applyAlignment="1">
      <alignment horizontal="center"/>
    </xf>
    <xf numFmtId="0" fontId="17" fillId="0" borderId="50" xfId="4495" applyFont="1" applyBorder="1" applyAlignment="1">
      <alignment vertical="center" wrapText="1"/>
    </xf>
    <xf numFmtId="0" fontId="17" fillId="0" borderId="51" xfId="4495" applyFont="1" applyBorder="1" applyAlignment="1">
      <alignment vertical="center" wrapText="1"/>
    </xf>
    <xf numFmtId="0" fontId="17" fillId="0" borderId="52" xfId="4495" applyFont="1" applyBorder="1" applyAlignment="1">
      <alignment vertical="center" wrapText="1"/>
    </xf>
    <xf numFmtId="0" fontId="17" fillId="0" borderId="57" xfId="4495" applyFont="1" applyBorder="1" applyAlignment="1">
      <alignment vertical="center" wrapText="1"/>
    </xf>
    <xf numFmtId="0" fontId="17" fillId="0" borderId="58" xfId="4495" applyFont="1" applyBorder="1" applyAlignment="1">
      <alignment vertical="center" wrapText="1"/>
    </xf>
    <xf numFmtId="0" fontId="17" fillId="0" borderId="59" xfId="4495" applyFont="1" applyBorder="1" applyAlignment="1">
      <alignment vertical="center" wrapText="1"/>
    </xf>
    <xf numFmtId="0" fontId="122" fillId="43" borderId="55" xfId="4496" applyFont="1" applyFill="1" applyBorder="1" applyAlignment="1" applyProtection="1">
      <alignment horizontal="left" vertical="top" wrapText="1"/>
      <protection locked="0"/>
    </xf>
    <xf numFmtId="0" fontId="122" fillId="43" borderId="6" xfId="4496" applyFont="1" applyFill="1" applyBorder="1" applyAlignment="1" applyProtection="1">
      <alignment horizontal="left" vertical="top" wrapText="1"/>
      <protection locked="0"/>
    </xf>
    <xf numFmtId="0" fontId="122" fillId="43" borderId="56" xfId="4496" applyFont="1" applyFill="1" applyBorder="1" applyAlignment="1" applyProtection="1">
      <alignment horizontal="left" vertical="top" wrapText="1"/>
      <protection locked="0"/>
    </xf>
    <xf numFmtId="0" fontId="24" fillId="0" borderId="0" xfId="4495" applyFont="1" applyAlignment="1">
      <alignment horizontal="center" vertical="top"/>
    </xf>
    <xf numFmtId="0" fontId="17" fillId="5" borderId="6" xfId="4495" applyFont="1" applyFill="1" applyBorder="1" applyAlignment="1" applyProtection="1">
      <alignment horizontal="left"/>
      <protection locked="0"/>
    </xf>
    <xf numFmtId="168" fontId="122" fillId="0" borderId="55" xfId="4496" applyNumberFormat="1" applyFont="1" applyBorder="1" applyAlignment="1">
      <alignment horizontal="center" vertical="top"/>
    </xf>
    <xf numFmtId="168" fontId="122" fillId="0" borderId="6" xfId="4496" applyNumberFormat="1" applyFont="1" applyBorder="1" applyAlignment="1">
      <alignment horizontal="center" vertical="top"/>
    </xf>
    <xf numFmtId="10" fontId="122" fillId="0" borderId="3" xfId="4496" applyNumberFormat="1" applyFont="1" applyBorder="1" applyAlignment="1">
      <alignment horizontal="center" vertical="top" wrapText="1"/>
    </xf>
    <xf numFmtId="10" fontId="122" fillId="0" borderId="4" xfId="4496" applyNumberFormat="1" applyFont="1" applyBorder="1" applyAlignment="1">
      <alignment horizontal="center" vertical="top" wrapText="1"/>
    </xf>
    <xf numFmtId="10" fontId="122" fillId="0" borderId="5" xfId="4496" applyNumberFormat="1" applyFont="1" applyBorder="1" applyAlignment="1">
      <alignment horizontal="center" vertical="top" wrapText="1"/>
    </xf>
    <xf numFmtId="1" fontId="122" fillId="0" borderId="55" xfId="4496" applyNumberFormat="1" applyFont="1" applyBorder="1" applyAlignment="1">
      <alignment horizontal="center" vertical="top" wrapText="1"/>
    </xf>
    <xf numFmtId="1" fontId="122" fillId="0" borderId="6" xfId="4496" applyNumberFormat="1" applyFont="1" applyBorder="1" applyAlignment="1">
      <alignment horizontal="center" vertical="top" wrapText="1"/>
    </xf>
    <xf numFmtId="168" fontId="122" fillId="43" borderId="55" xfId="4496" applyNumberFormat="1" applyFont="1" applyFill="1" applyBorder="1" applyAlignment="1" applyProtection="1">
      <alignment horizontal="center" vertical="top" wrapText="1"/>
      <protection locked="0"/>
    </xf>
    <xf numFmtId="168" fontId="122" fillId="43" borderId="6" xfId="4496" applyNumberFormat="1" applyFont="1" applyFill="1" applyBorder="1" applyAlignment="1" applyProtection="1">
      <alignment horizontal="center" vertical="top" wrapText="1"/>
      <protection locked="0"/>
    </xf>
    <xf numFmtId="0" fontId="17" fillId="0" borderId="0" xfId="1192" applyAlignment="1">
      <alignment horizontal="right"/>
    </xf>
    <xf numFmtId="0" fontId="17" fillId="5" borderId="6" xfId="1192" applyFill="1" applyBorder="1" applyAlignment="1" applyProtection="1">
      <alignment horizontal="left"/>
      <protection locked="0"/>
    </xf>
    <xf numFmtId="168" fontId="17" fillId="43" borderId="6" xfId="4495" applyNumberFormat="1" applyFont="1" applyFill="1" applyBorder="1" applyAlignment="1" applyProtection="1">
      <alignment horizontal="right"/>
      <protection locked="0"/>
    </xf>
    <xf numFmtId="9" fontId="17" fillId="0" borderId="6" xfId="1192" applyNumberFormat="1" applyBorder="1" applyAlignment="1">
      <alignment horizontal="center"/>
    </xf>
    <xf numFmtId="9" fontId="17" fillId="0" borderId="6" xfId="1192" quotePrefix="1" applyNumberFormat="1" applyBorder="1" applyAlignment="1">
      <alignment horizontal="center"/>
    </xf>
    <xf numFmtId="9" fontId="17" fillId="0" borderId="0" xfId="1192" quotePrefix="1" applyNumberFormat="1" applyAlignment="1">
      <alignment horizontal="center"/>
    </xf>
    <xf numFmtId="1" fontId="17" fillId="5" borderId="2" xfId="1192" applyNumberFormat="1" applyFill="1" applyBorder="1" applyAlignment="1" applyProtection="1">
      <alignment horizontal="center"/>
      <protection locked="0"/>
    </xf>
    <xf numFmtId="9" fontId="17" fillId="5" borderId="4" xfId="1192" applyNumberFormat="1" applyFill="1" applyBorder="1" applyAlignment="1" applyProtection="1">
      <alignment horizontal="left"/>
      <protection locked="0"/>
    </xf>
    <xf numFmtId="168" fontId="17" fillId="0" borderId="0" xfId="1192" applyNumberFormat="1" applyAlignment="1">
      <alignment horizontal="right"/>
    </xf>
    <xf numFmtId="1" fontId="17" fillId="5" borderId="4" xfId="1192" applyNumberFormat="1" applyFill="1" applyBorder="1" applyAlignment="1" applyProtection="1">
      <alignment horizontal="center"/>
      <protection locked="0"/>
    </xf>
    <xf numFmtId="0" fontId="142" fillId="0" borderId="6" xfId="1192" applyFont="1" applyBorder="1" applyAlignment="1">
      <alignment horizontal="center"/>
    </xf>
    <xf numFmtId="168" fontId="17" fillId="5" borderId="4" xfId="1192" applyNumberFormat="1" applyFill="1" applyBorder="1" applyAlignment="1" applyProtection="1">
      <alignment horizontal="center"/>
      <protection locked="0"/>
    </xf>
    <xf numFmtId="0" fontId="17" fillId="0" borderId="6" xfId="1192" applyBorder="1" applyAlignment="1">
      <alignment horizontal="left"/>
    </xf>
    <xf numFmtId="2" fontId="17" fillId="0" borderId="0" xfId="1192" applyNumberFormat="1" applyAlignment="1">
      <alignment horizontal="right"/>
    </xf>
    <xf numFmtId="0" fontId="25" fillId="5" borderId="6" xfId="4495" applyFont="1" applyFill="1" applyBorder="1" applyAlignment="1" applyProtection="1">
      <alignment horizontal="left"/>
      <protection locked="0"/>
    </xf>
    <xf numFmtId="0" fontId="17" fillId="0" borderId="0" xfId="4495" applyFont="1" applyAlignment="1">
      <alignment horizontal="left"/>
    </xf>
    <xf numFmtId="0" fontId="53" fillId="5" borderId="6" xfId="4495" applyFont="1" applyFill="1" applyBorder="1" applyAlignment="1" applyProtection="1">
      <alignment horizontal="left"/>
      <protection locked="0"/>
    </xf>
    <xf numFmtId="0" fontId="17" fillId="5" borderId="6" xfId="4495" applyFont="1" applyFill="1" applyBorder="1" applyAlignment="1" applyProtection="1">
      <alignment horizontal="center"/>
      <protection locked="0"/>
    </xf>
    <xf numFmtId="0" fontId="17" fillId="44" borderId="6" xfId="4495" applyFont="1" applyFill="1" applyBorder="1" applyAlignment="1">
      <alignment horizontal="left"/>
    </xf>
    <xf numFmtId="1" fontId="17" fillId="0" borderId="11" xfId="4495" applyNumberFormat="1" applyFont="1" applyBorder="1" applyAlignment="1">
      <alignment horizontal="center"/>
    </xf>
    <xf numFmtId="0" fontId="17" fillId="0" borderId="11" xfId="4495" applyFont="1" applyBorder="1" applyAlignment="1">
      <alignment horizontal="center"/>
    </xf>
    <xf numFmtId="0" fontId="120" fillId="5" borderId="6" xfId="4495" applyFill="1" applyBorder="1" applyAlignment="1" applyProtection="1">
      <alignment horizontal="center"/>
      <protection locked="0"/>
    </xf>
    <xf numFmtId="0" fontId="24" fillId="0" borderId="0" xfId="4495" applyFont="1" applyAlignment="1">
      <alignment horizontal="left" vertical="top"/>
    </xf>
    <xf numFmtId="0" fontId="120" fillId="0" borderId="0" xfId="4495" applyAlignment="1" applyProtection="1">
      <alignment horizontal="center"/>
      <protection locked="0"/>
    </xf>
    <xf numFmtId="0" fontId="17" fillId="0" borderId="3" xfId="4495" applyFont="1" applyBorder="1" applyAlignment="1">
      <alignment horizontal="center"/>
    </xf>
    <xf numFmtId="0" fontId="17" fillId="0" borderId="4" xfId="4495" applyFont="1" applyBorder="1" applyAlignment="1">
      <alignment horizontal="center"/>
    </xf>
    <xf numFmtId="0" fontId="17" fillId="0" borderId="5" xfId="4495" applyFont="1" applyBorder="1" applyAlignment="1">
      <alignment horizontal="center"/>
    </xf>
    <xf numFmtId="168" fontId="17" fillId="0" borderId="6" xfId="4496" applyNumberFormat="1" applyFont="1" applyBorder="1" applyAlignment="1">
      <alignment horizontal="center"/>
    </xf>
    <xf numFmtId="9" fontId="17" fillId="0" borderId="4" xfId="543" applyNumberFormat="1" applyBorder="1" applyAlignment="1">
      <alignment horizontal="center"/>
    </xf>
    <xf numFmtId="0" fontId="17" fillId="0" borderId="4" xfId="4496" applyFont="1" applyBorder="1" applyAlignment="1">
      <alignment horizontal="center"/>
    </xf>
    <xf numFmtId="0" fontId="17" fillId="0" borderId="5" xfId="4496" applyFont="1" applyBorder="1" applyAlignment="1">
      <alignment horizontal="center"/>
    </xf>
    <xf numFmtId="168" fontId="17" fillId="0" borderId="6" xfId="4495" applyNumberFormat="1" applyFont="1" applyBorder="1" applyAlignment="1">
      <alignment horizontal="right"/>
    </xf>
    <xf numFmtId="168" fontId="118" fillId="0" borderId="6" xfId="4495" applyNumberFormat="1" applyFont="1" applyBorder="1" applyAlignment="1">
      <alignment horizontal="right"/>
    </xf>
    <xf numFmtId="6" fontId="17" fillId="0" borderId="3" xfId="1192" applyNumberFormat="1" applyBorder="1" applyAlignment="1">
      <alignment horizontal="right"/>
    </xf>
    <xf numFmtId="6" fontId="17" fillId="0" borderId="4" xfId="1192" applyNumberFormat="1" applyBorder="1" applyAlignment="1">
      <alignment horizontal="right"/>
    </xf>
    <xf numFmtId="6" fontId="17" fillId="0" borderId="5" xfId="1192" applyNumberFormat="1" applyBorder="1" applyAlignment="1">
      <alignment horizontal="right"/>
    </xf>
    <xf numFmtId="168" fontId="17" fillId="0" borderId="4" xfId="4495" applyNumberFormat="1" applyFont="1" applyBorder="1" applyAlignment="1">
      <alignment horizontal="right"/>
    </xf>
    <xf numFmtId="165" fontId="17" fillId="43" borderId="3" xfId="4495" applyNumberFormat="1" applyFont="1" applyFill="1" applyBorder="1" applyAlignment="1" applyProtection="1">
      <alignment horizontal="center"/>
      <protection locked="0"/>
    </xf>
    <xf numFmtId="165" fontId="17" fillId="43" borderId="4" xfId="4495" applyNumberFormat="1" applyFont="1" applyFill="1" applyBorder="1" applyAlignment="1" applyProtection="1">
      <alignment horizontal="center"/>
      <protection locked="0"/>
    </xf>
    <xf numFmtId="165" fontId="17" fillId="43" borderId="5" xfId="4495" applyNumberFormat="1" applyFont="1" applyFill="1" applyBorder="1" applyAlignment="1" applyProtection="1">
      <alignment horizontal="center"/>
      <protection locked="0"/>
    </xf>
    <xf numFmtId="165" fontId="17" fillId="0" borderId="6" xfId="1192" applyNumberFormat="1" applyBorder="1" applyAlignment="1">
      <alignment horizontal="right"/>
    </xf>
    <xf numFmtId="168" fontId="17" fillId="0" borderId="2" xfId="1192" applyNumberFormat="1" applyBorder="1" applyAlignment="1">
      <alignment horizontal="right"/>
    </xf>
    <xf numFmtId="165" fontId="17" fillId="0" borderId="0" xfId="1192" applyNumberFormat="1" applyAlignment="1">
      <alignment horizontal="right"/>
    </xf>
    <xf numFmtId="0" fontId="17" fillId="0" borderId="53" xfId="4495" applyFont="1" applyBorder="1" applyAlignment="1">
      <alignment horizontal="left" vertical="top" wrapText="1"/>
    </xf>
    <xf numFmtId="0" fontId="17" fillId="0" borderId="0" xfId="4495" applyFont="1" applyAlignment="1">
      <alignment horizontal="left" vertical="top" wrapText="1"/>
    </xf>
    <xf numFmtId="0" fontId="17" fillId="0" borderId="54" xfId="4495" applyFont="1" applyBorder="1" applyAlignment="1">
      <alignment horizontal="left" vertical="top" wrapText="1"/>
    </xf>
    <xf numFmtId="0" fontId="17" fillId="0" borderId="57" xfId="4495" applyFont="1" applyBorder="1" applyAlignment="1">
      <alignment horizontal="left" vertical="top" wrapText="1"/>
    </xf>
    <xf numFmtId="0" fontId="17" fillId="0" borderId="58" xfId="4495" applyFont="1" applyBorder="1" applyAlignment="1">
      <alignment horizontal="left" vertical="top" wrapText="1"/>
    </xf>
    <xf numFmtId="0" fontId="17" fillId="0" borderId="59" xfId="4495" applyFont="1" applyBorder="1" applyAlignment="1">
      <alignment horizontal="left" vertical="top" wrapText="1"/>
    </xf>
    <xf numFmtId="0" fontId="17" fillId="0" borderId="50" xfId="4495" applyFont="1" applyBorder="1" applyAlignment="1">
      <alignment horizontal="left" vertical="top" wrapText="1"/>
    </xf>
    <xf numFmtId="0" fontId="17" fillId="0" borderId="51" xfId="4495" applyFont="1" applyBorder="1" applyAlignment="1">
      <alignment horizontal="left" vertical="top" wrapText="1"/>
    </xf>
    <xf numFmtId="0" fontId="17" fillId="0" borderId="52" xfId="4495" applyFont="1" applyBorder="1" applyAlignment="1">
      <alignment horizontal="left" vertical="top" wrapText="1"/>
    </xf>
    <xf numFmtId="0" fontId="24" fillId="0" borderId="0" xfId="4495" applyFont="1"/>
    <xf numFmtId="0" fontId="17" fillId="43" borderId="53" xfId="4495" applyFont="1" applyFill="1" applyBorder="1" applyAlignment="1" applyProtection="1">
      <alignment vertical="top" wrapText="1"/>
      <protection locked="0"/>
    </xf>
    <xf numFmtId="0" fontId="17" fillId="43" borderId="0" xfId="4495" applyFont="1" applyFill="1" applyAlignment="1" applyProtection="1">
      <alignment vertical="top" wrapText="1"/>
      <protection locked="0"/>
    </xf>
    <xf numFmtId="0" fontId="17" fillId="43" borderId="54" xfId="4495" applyFont="1" applyFill="1" applyBorder="1" applyAlignment="1" applyProtection="1">
      <alignment vertical="top" wrapText="1"/>
      <protection locked="0"/>
    </xf>
    <xf numFmtId="0" fontId="17" fillId="43" borderId="55" xfId="4495" applyFont="1" applyFill="1" applyBorder="1" applyAlignment="1" applyProtection="1">
      <alignment vertical="top" wrapText="1"/>
      <protection locked="0"/>
    </xf>
    <xf numFmtId="0" fontId="17" fillId="43" borderId="6" xfId="4495" applyFont="1" applyFill="1" applyBorder="1" applyAlignment="1" applyProtection="1">
      <alignment vertical="top" wrapText="1"/>
      <protection locked="0"/>
    </xf>
    <xf numFmtId="0" fontId="17" fillId="43" borderId="56" xfId="4495" applyFont="1" applyFill="1" applyBorder="1" applyAlignment="1" applyProtection="1">
      <alignment vertical="top" wrapText="1"/>
      <protection locked="0"/>
    </xf>
    <xf numFmtId="0" fontId="17" fillId="43" borderId="0" xfId="4495" applyFont="1" applyFill="1" applyAlignment="1" applyProtection="1">
      <alignment horizontal="left" vertical="center" wrapText="1"/>
      <protection locked="0"/>
    </xf>
    <xf numFmtId="0" fontId="17" fillId="43" borderId="54" xfId="4495" applyFont="1" applyFill="1" applyBorder="1" applyAlignment="1" applyProtection="1">
      <alignment horizontal="left" vertical="center" wrapText="1"/>
      <protection locked="0"/>
    </xf>
    <xf numFmtId="0" fontId="17" fillId="43" borderId="6" xfId="4495" applyFont="1" applyFill="1" applyBorder="1" applyAlignment="1" applyProtection="1">
      <alignment horizontal="left" vertical="center" wrapText="1"/>
      <protection locked="0"/>
    </xf>
    <xf numFmtId="0" fontId="17" fillId="43" borderId="56" xfId="4495" applyFont="1" applyFill="1" applyBorder="1" applyAlignment="1" applyProtection="1">
      <alignment horizontal="left" vertical="center" wrapText="1"/>
      <protection locked="0"/>
    </xf>
    <xf numFmtId="0" fontId="130" fillId="0" borderId="0" xfId="4495" applyFont="1" applyAlignment="1">
      <alignment horizontal="left" vertical="top" wrapText="1"/>
    </xf>
    <xf numFmtId="0" fontId="120" fillId="5" borderId="55" xfId="4495" applyFill="1" applyBorder="1" applyAlignment="1" applyProtection="1">
      <alignment horizontal="center"/>
      <protection locked="0"/>
    </xf>
    <xf numFmtId="0" fontId="24" fillId="0" borderId="0" xfId="4495" applyFont="1" applyAlignment="1">
      <alignment horizontal="center"/>
    </xf>
    <xf numFmtId="0" fontId="24" fillId="0" borderId="54" xfId="4495" applyFont="1" applyBorder="1" applyAlignment="1">
      <alignment horizontal="center"/>
    </xf>
    <xf numFmtId="0" fontId="25" fillId="0" borderId="51" xfId="4495" applyFont="1" applyBorder="1" applyAlignment="1">
      <alignment horizontal="left" vertical="top" wrapText="1"/>
    </xf>
    <xf numFmtId="0" fontId="25" fillId="0" borderId="0" xfId="4495" applyFont="1" applyAlignment="1">
      <alignment horizontal="left" vertical="top" wrapText="1"/>
    </xf>
    <xf numFmtId="0" fontId="24" fillId="0" borderId="54" xfId="4495" applyFont="1" applyBorder="1" applyAlignment="1">
      <alignment horizontal="center" vertical="top"/>
    </xf>
    <xf numFmtId="0" fontId="120" fillId="5" borderId="62" xfId="4495" applyFill="1" applyBorder="1" applyAlignment="1" applyProtection="1">
      <alignment horizontal="center"/>
      <protection locked="0"/>
    </xf>
    <xf numFmtId="0" fontId="120" fillId="5" borderId="63" xfId="4495" applyFill="1" applyBorder="1" applyAlignment="1" applyProtection="1">
      <alignment horizontal="center"/>
      <protection locked="0"/>
    </xf>
    <xf numFmtId="0" fontId="17" fillId="0" borderId="0" xfId="4495" applyFont="1" applyAlignment="1">
      <alignment horizontal="left" vertical="center" wrapText="1" shrinkToFit="1"/>
    </xf>
    <xf numFmtId="0" fontId="17" fillId="5" borderId="6" xfId="4495" applyFont="1" applyFill="1" applyBorder="1" applyAlignment="1" applyProtection="1">
      <alignment horizontal="center" vertical="center" wrapText="1" shrinkToFit="1"/>
      <protection locked="0"/>
    </xf>
    <xf numFmtId="0" fontId="17" fillId="5" borderId="6" xfId="4495" applyFont="1" applyFill="1" applyBorder="1" applyAlignment="1" applyProtection="1">
      <alignment horizontal="left" wrapText="1" shrinkToFit="1"/>
      <protection locked="0"/>
    </xf>
    <xf numFmtId="0" fontId="17" fillId="43" borderId="6" xfId="1192" applyFill="1" applyBorder="1" applyAlignment="1" applyProtection="1">
      <alignment horizontal="left" vertical="top"/>
      <protection locked="0"/>
    </xf>
    <xf numFmtId="0" fontId="157" fillId="0" borderId="0" xfId="0" applyFont="1" applyAlignment="1" applyProtection="1">
      <alignment horizontal="left"/>
      <protection locked="0"/>
    </xf>
    <xf numFmtId="168" fontId="156" fillId="0" borderId="0" xfId="0" applyNumberFormat="1" applyFont="1" applyAlignment="1">
      <alignment horizontal="center" vertical="top" wrapText="1"/>
    </xf>
    <xf numFmtId="168" fontId="156" fillId="0" borderId="12" xfId="0" applyNumberFormat="1" applyFont="1" applyBorder="1" applyAlignment="1">
      <alignment horizontal="center" vertical="top" wrapText="1"/>
    </xf>
    <xf numFmtId="0" fontId="25" fillId="0" borderId="0" xfId="4495" applyFont="1" applyAlignment="1">
      <alignment horizontal="center"/>
    </xf>
    <xf numFmtId="0" fontId="17" fillId="0" borderId="0" xfId="4495" applyFont="1" applyAlignment="1">
      <alignment wrapText="1"/>
    </xf>
    <xf numFmtId="0" fontId="17" fillId="0" borderId="0" xfId="4495" applyFont="1" applyAlignment="1">
      <alignment horizontal="left" vertical="top" wrapText="1" shrinkToFit="1"/>
    </xf>
    <xf numFmtId="44" fontId="17" fillId="0" borderId="0" xfId="707" applyFont="1" applyFill="1" applyBorder="1" applyAlignment="1" applyProtection="1">
      <alignment horizontal="left" vertical="top" wrapText="1"/>
    </xf>
    <xf numFmtId="0" fontId="24" fillId="0" borderId="0" xfId="4495" applyFont="1" applyAlignment="1">
      <alignment horizontal="left" vertical="top" wrapText="1"/>
    </xf>
    <xf numFmtId="0" fontId="17" fillId="45" borderId="11" xfId="4495" applyFont="1" applyFill="1" applyBorder="1" applyAlignment="1">
      <alignment horizontal="center"/>
    </xf>
    <xf numFmtId="0" fontId="130" fillId="0" borderId="0" xfId="4495" applyFont="1" applyAlignment="1">
      <alignment horizontal="left" vertical="center" wrapText="1"/>
    </xf>
    <xf numFmtId="0" fontId="24" fillId="0" borderId="11" xfId="4495" applyFont="1" applyBorder="1" applyAlignment="1">
      <alignment horizontal="center"/>
    </xf>
    <xf numFmtId="0" fontId="25" fillId="0" borderId="58" xfId="4495" applyFont="1" applyBorder="1" applyAlignment="1">
      <alignment horizontal="left" vertical="top" wrapText="1"/>
    </xf>
    <xf numFmtId="0" fontId="24" fillId="0" borderId="51" xfId="4495" applyFont="1" applyBorder="1" applyAlignment="1">
      <alignment horizontal="center" vertical="top"/>
    </xf>
    <xf numFmtId="0" fontId="24" fillId="0" borderId="52" xfId="4495" applyFont="1" applyBorder="1" applyAlignment="1">
      <alignment horizontal="center" vertical="top"/>
    </xf>
    <xf numFmtId="0" fontId="120" fillId="5" borderId="50" xfId="4495" applyFill="1" applyBorder="1" applyAlignment="1">
      <alignment horizontal="center"/>
    </xf>
    <xf numFmtId="0" fontId="120" fillId="5" borderId="51" xfId="4495" applyFill="1" applyBorder="1" applyAlignment="1">
      <alignment horizontal="center"/>
    </xf>
    <xf numFmtId="0" fontId="53" fillId="0" borderId="51" xfId="4495" applyFont="1" applyBorder="1" applyAlignment="1">
      <alignment horizontal="left" wrapText="1"/>
    </xf>
    <xf numFmtId="0" fontId="53" fillId="0" borderId="0" xfId="4495" applyFont="1" applyAlignment="1">
      <alignment horizontal="left" wrapText="1"/>
    </xf>
    <xf numFmtId="0" fontId="120" fillId="5" borderId="53" xfId="4495" applyFill="1" applyBorder="1" applyAlignment="1">
      <alignment horizontal="center"/>
    </xf>
    <xf numFmtId="0" fontId="120" fillId="5" borderId="0" xfId="4495" applyFill="1" applyAlignment="1">
      <alignment horizontal="center"/>
    </xf>
    <xf numFmtId="0" fontId="120" fillId="5" borderId="55" xfId="4495" applyFill="1" applyBorder="1" applyAlignment="1">
      <alignment horizontal="center"/>
    </xf>
    <xf numFmtId="0" fontId="120" fillId="5" borderId="6" xfId="4495" applyFill="1" applyBorder="1" applyAlignment="1">
      <alignment horizontal="center"/>
    </xf>
    <xf numFmtId="0" fontId="25" fillId="5" borderId="0" xfId="4495" applyFont="1" applyFill="1" applyAlignment="1">
      <alignment horizontal="left" vertical="top" wrapText="1"/>
    </xf>
    <xf numFmtId="0" fontId="25" fillId="5" borderId="58" xfId="4495" applyFont="1" applyFill="1" applyBorder="1" applyAlignment="1">
      <alignment horizontal="left" vertical="top" wrapText="1"/>
    </xf>
    <xf numFmtId="0" fontId="24" fillId="0" borderId="4" xfId="4495" applyFont="1" applyBorder="1" applyAlignment="1">
      <alignment horizontal="left"/>
    </xf>
    <xf numFmtId="0" fontId="24" fillId="0" borderId="5" xfId="4495" applyFont="1" applyBorder="1" applyAlignment="1">
      <alignment horizontal="left"/>
    </xf>
    <xf numFmtId="1" fontId="24" fillId="0" borderId="4" xfId="4495" applyNumberFormat="1" applyFont="1" applyBorder="1" applyAlignment="1">
      <alignment horizontal="center" wrapText="1"/>
    </xf>
    <xf numFmtId="0" fontId="24" fillId="0" borderId="4" xfId="4495" applyFont="1" applyBorder="1" applyAlignment="1">
      <alignment horizontal="center" wrapText="1"/>
    </xf>
    <xf numFmtId="0" fontId="24" fillId="0" borderId="5" xfId="4495" applyFont="1" applyBorder="1" applyAlignment="1">
      <alignment horizontal="center" wrapText="1"/>
    </xf>
    <xf numFmtId="0" fontId="24" fillId="0" borderId="3" xfId="4495" applyFont="1" applyBorder="1" applyAlignment="1">
      <alignment horizontal="center" wrapText="1"/>
    </xf>
    <xf numFmtId="0" fontId="17" fillId="0" borderId="50" xfId="4496" applyFont="1" applyBorder="1" applyAlignment="1">
      <alignment horizontal="left" wrapText="1"/>
    </xf>
    <xf numFmtId="0" fontId="17" fillId="0" borderId="51" xfId="4496" applyFont="1" applyBorder="1" applyAlignment="1">
      <alignment horizontal="left" wrapText="1"/>
    </xf>
    <xf numFmtId="0" fontId="17" fillId="0" borderId="52" xfId="4496" applyFont="1" applyBorder="1" applyAlignment="1">
      <alignment horizontal="left" wrapText="1"/>
    </xf>
    <xf numFmtId="0" fontId="17" fillId="0" borderId="53" xfId="4496" applyFont="1" applyBorder="1" applyAlignment="1">
      <alignment horizontal="left" wrapText="1"/>
    </xf>
    <xf numFmtId="0" fontId="17" fillId="0" borderId="0" xfId="4496" applyFont="1" applyAlignment="1">
      <alignment horizontal="left" wrapText="1"/>
    </xf>
    <xf numFmtId="0" fontId="17" fillId="0" borderId="54" xfId="4496" applyFont="1" applyBorder="1" applyAlignment="1">
      <alignment horizontal="left" wrapText="1"/>
    </xf>
    <xf numFmtId="0" fontId="17" fillId="0" borderId="57" xfId="4496" applyFont="1" applyBorder="1" applyAlignment="1">
      <alignment horizontal="left" wrapText="1"/>
    </xf>
    <xf numFmtId="0" fontId="17" fillId="0" borderId="58" xfId="4496" applyFont="1" applyBorder="1" applyAlignment="1">
      <alignment horizontal="left" wrapText="1"/>
    </xf>
    <xf numFmtId="0" fontId="17" fillId="0" borderId="59" xfId="4496" applyFont="1" applyBorder="1" applyAlignment="1">
      <alignment horizontal="left" wrapText="1"/>
    </xf>
    <xf numFmtId="1" fontId="17" fillId="0" borderId="4" xfId="4496" applyNumberFormat="1" applyFont="1" applyBorder="1" applyAlignment="1">
      <alignment horizontal="center"/>
    </xf>
    <xf numFmtId="1" fontId="17" fillId="0" borderId="5" xfId="4496" applyNumberFormat="1" applyFont="1" applyBorder="1" applyAlignment="1">
      <alignment horizontal="center"/>
    </xf>
    <xf numFmtId="49" fontId="23" fillId="3" borderId="2" xfId="4495" applyNumberFormat="1" applyFont="1" applyFill="1" applyBorder="1" applyAlignment="1">
      <alignment horizontal="center" vertical="center" wrapText="1"/>
    </xf>
    <xf numFmtId="49" fontId="23" fillId="3" borderId="2" xfId="4495" applyNumberFormat="1" applyFont="1" applyFill="1" applyBorder="1" applyAlignment="1">
      <alignment horizontal="center" vertical="center"/>
    </xf>
    <xf numFmtId="49" fontId="23" fillId="3" borderId="0" xfId="4495" applyNumberFormat="1" applyFont="1" applyFill="1" applyAlignment="1">
      <alignment horizontal="center" vertical="center"/>
    </xf>
    <xf numFmtId="0" fontId="24" fillId="0" borderId="1" xfId="4495" applyFont="1" applyBorder="1" applyAlignment="1">
      <alignment horizontal="center" wrapText="1"/>
    </xf>
    <xf numFmtId="0" fontId="24" fillId="0" borderId="2" xfId="4495" applyFont="1" applyBorder="1" applyAlignment="1">
      <alignment horizontal="center" wrapText="1"/>
    </xf>
    <xf numFmtId="0" fontId="24" fillId="0" borderId="7" xfId="4495" applyFont="1" applyBorder="1" applyAlignment="1">
      <alignment horizontal="center" wrapText="1"/>
    </xf>
    <xf numFmtId="0" fontId="24" fillId="0" borderId="9" xfId="4495" applyFont="1" applyBorder="1" applyAlignment="1">
      <alignment horizontal="center" wrapText="1"/>
    </xf>
    <xf numFmtId="0" fontId="24" fillId="0" borderId="6" xfId="4495" applyFont="1" applyBorder="1" applyAlignment="1">
      <alignment horizontal="center" wrapText="1"/>
    </xf>
    <xf numFmtId="0" fontId="24" fillId="0" borderId="10" xfId="4495" applyFont="1" applyBorder="1" applyAlignment="1">
      <alignment horizontal="center" wrapText="1"/>
    </xf>
    <xf numFmtId="1" fontId="24" fillId="0" borderId="11" xfId="4495" applyNumberFormat="1" applyFont="1" applyBorder="1" applyAlignment="1">
      <alignment horizontal="center"/>
    </xf>
    <xf numFmtId="0" fontId="17" fillId="0" borderId="4" xfId="4495" applyFont="1" applyBorder="1" applyAlignment="1">
      <alignment horizontal="left"/>
    </xf>
    <xf numFmtId="0" fontId="17" fillId="0" borderId="5" xfId="4495" applyFont="1" applyBorder="1" applyAlignment="1">
      <alignment horizontal="left"/>
    </xf>
    <xf numFmtId="1" fontId="17" fillId="46" borderId="11" xfId="4495" applyNumberFormat="1" applyFont="1" applyFill="1" applyBorder="1" applyAlignment="1">
      <alignment horizontal="center"/>
    </xf>
    <xf numFmtId="0" fontId="24" fillId="0" borderId="3" xfId="4495" applyFont="1" applyBorder="1" applyAlignment="1">
      <alignment horizontal="left"/>
    </xf>
    <xf numFmtId="0" fontId="17" fillId="5" borderId="11" xfId="4495" applyFont="1" applyFill="1" applyBorder="1" applyAlignment="1" applyProtection="1">
      <alignment horizontal="center"/>
      <protection locked="0"/>
    </xf>
    <xf numFmtId="0" fontId="24" fillId="0" borderId="3" xfId="4495" applyFont="1" applyBorder="1" applyAlignment="1">
      <alignment horizontal="center"/>
    </xf>
    <xf numFmtId="0" fontId="24" fillId="0" borderId="4" xfId="4495" applyFont="1" applyBorder="1" applyAlignment="1">
      <alignment horizontal="center"/>
    </xf>
    <xf numFmtId="0" fontId="24" fillId="0" borderId="5" xfId="4495" applyFont="1" applyBorder="1" applyAlignment="1">
      <alignment horizontal="center"/>
    </xf>
    <xf numFmtId="164" fontId="64" fillId="0" borderId="1" xfId="4495" applyNumberFormat="1" applyFont="1" applyBorder="1" applyAlignment="1">
      <alignment horizontal="right" vertical="center"/>
    </xf>
    <xf numFmtId="164" fontId="64" fillId="0" borderId="2" xfId="4495" applyNumberFormat="1" applyFont="1" applyBorder="1" applyAlignment="1">
      <alignment horizontal="right" vertical="center"/>
    </xf>
    <xf numFmtId="164" fontId="64" fillId="0" borderId="7" xfId="4495" applyNumberFormat="1" applyFont="1" applyBorder="1" applyAlignment="1">
      <alignment horizontal="right" vertical="center"/>
    </xf>
    <xf numFmtId="164" fontId="64" fillId="0" borderId="9" xfId="4495" applyNumberFormat="1" applyFont="1" applyBorder="1" applyAlignment="1">
      <alignment horizontal="right" vertical="center"/>
    </xf>
    <xf numFmtId="164" fontId="64" fillId="0" borderId="6" xfId="4495" applyNumberFormat="1" applyFont="1" applyBorder="1" applyAlignment="1">
      <alignment horizontal="right" vertical="center"/>
    </xf>
    <xf numFmtId="164" fontId="64" fillId="0" borderId="10" xfId="4495" applyNumberFormat="1" applyFont="1" applyBorder="1" applyAlignment="1">
      <alignment horizontal="right" vertical="center"/>
    </xf>
    <xf numFmtId="180" fontId="64" fillId="0" borderId="1" xfId="4495" applyNumberFormat="1" applyFont="1" applyBorder="1" applyAlignment="1">
      <alignment horizontal="center" vertical="center"/>
    </xf>
    <xf numFmtId="180" fontId="64" fillId="0" borderId="2" xfId="4495" applyNumberFormat="1" applyFont="1" applyBorder="1" applyAlignment="1">
      <alignment horizontal="center" vertical="center"/>
    </xf>
    <xf numFmtId="180" fontId="64" fillId="0" borderId="7" xfId="4495" applyNumberFormat="1" applyFont="1" applyBorder="1" applyAlignment="1">
      <alignment horizontal="center" vertical="center"/>
    </xf>
    <xf numFmtId="180" fontId="64" fillId="0" borderId="9" xfId="4495" applyNumberFormat="1" applyFont="1" applyBorder="1" applyAlignment="1">
      <alignment horizontal="center" vertical="center"/>
    </xf>
    <xf numFmtId="180" fontId="64" fillId="0" borderId="6" xfId="4495" applyNumberFormat="1" applyFont="1" applyBorder="1" applyAlignment="1">
      <alignment horizontal="center" vertical="center"/>
    </xf>
    <xf numFmtId="180" fontId="64" fillId="0" borderId="10" xfId="4495" applyNumberFormat="1" applyFont="1" applyBorder="1" applyAlignment="1">
      <alignment horizontal="center" vertical="center"/>
    </xf>
    <xf numFmtId="0" fontId="17" fillId="0" borderId="6" xfId="1192" applyBorder="1" applyAlignment="1">
      <alignment horizontal="right"/>
    </xf>
    <xf numFmtId="0" fontId="122" fillId="0" borderId="50" xfId="4496" applyFont="1" applyBorder="1" applyAlignment="1">
      <alignment horizontal="left" wrapText="1"/>
    </xf>
    <xf numFmtId="0" fontId="122" fillId="0" borderId="51" xfId="4496" applyFont="1" applyBorder="1" applyAlignment="1">
      <alignment horizontal="left" wrapText="1"/>
    </xf>
    <xf numFmtId="0" fontId="122" fillId="0" borderId="52" xfId="4496" applyFont="1" applyBorder="1" applyAlignment="1">
      <alignment horizontal="left" wrapText="1"/>
    </xf>
    <xf numFmtId="0" fontId="122" fillId="0" borderId="57" xfId="4496" applyFont="1" applyBorder="1" applyAlignment="1">
      <alignment horizontal="left" wrapText="1"/>
    </xf>
    <xf numFmtId="0" fontId="122" fillId="0" borderId="58" xfId="4496" applyFont="1" applyBorder="1" applyAlignment="1">
      <alignment horizontal="left" wrapText="1"/>
    </xf>
    <xf numFmtId="0" fontId="122" fillId="0" borderId="59" xfId="4496" applyFont="1" applyBorder="1" applyAlignment="1">
      <alignment horizontal="left" wrapText="1"/>
    </xf>
    <xf numFmtId="0" fontId="120" fillId="0" borderId="53" xfId="4495" applyBorder="1" applyAlignment="1">
      <alignment horizontal="center"/>
    </xf>
    <xf numFmtId="0" fontId="120" fillId="0" borderId="0" xfId="4495" applyAlignment="1">
      <alignment horizontal="center"/>
    </xf>
    <xf numFmtId="0" fontId="25" fillId="5" borderId="0" xfId="4495" applyFont="1" applyFill="1" applyAlignment="1">
      <alignment horizontal="left" vertical="top"/>
    </xf>
    <xf numFmtId="168" fontId="17" fillId="0" borderId="6" xfId="1192" applyNumberFormat="1" applyBorder="1" applyAlignment="1">
      <alignment horizontal="right"/>
    </xf>
    <xf numFmtId="0" fontId="118" fillId="0" borderId="4" xfId="1192" applyFont="1" applyBorder="1" applyAlignment="1">
      <alignment horizontal="left"/>
    </xf>
    <xf numFmtId="168" fontId="17" fillId="43" borderId="6" xfId="543" applyNumberFormat="1" applyFill="1" applyBorder="1" applyAlignment="1" applyProtection="1">
      <alignment horizontal="center"/>
      <protection locked="0"/>
    </xf>
    <xf numFmtId="168" fontId="17" fillId="43" borderId="6" xfId="1192" applyNumberFormat="1" applyFill="1" applyBorder="1" applyAlignment="1" applyProtection="1">
      <alignment horizontal="right"/>
      <protection locked="0"/>
    </xf>
    <xf numFmtId="0" fontId="25" fillId="5" borderId="58" xfId="4495" applyFont="1" applyFill="1" applyBorder="1" applyAlignment="1">
      <alignment horizontal="left"/>
    </xf>
    <xf numFmtId="0" fontId="53" fillId="0" borderId="51" xfId="4495" applyFont="1" applyBorder="1" applyAlignment="1">
      <alignment horizontal="left" vertical="top" wrapText="1"/>
    </xf>
    <xf numFmtId="0" fontId="53" fillId="0" borderId="0" xfId="4495" applyFont="1" applyAlignment="1">
      <alignment horizontal="left" vertical="top" wrapText="1"/>
    </xf>
    <xf numFmtId="9" fontId="25" fillId="5" borderId="58" xfId="4495" applyNumberFormat="1" applyFont="1" applyFill="1" applyBorder="1" applyAlignment="1">
      <alignment horizontal="left"/>
    </xf>
    <xf numFmtId="9" fontId="25" fillId="5" borderId="6" xfId="4495" applyNumberFormat="1" applyFont="1" applyFill="1" applyBorder="1" applyAlignment="1">
      <alignment horizontal="left"/>
    </xf>
    <xf numFmtId="0" fontId="25" fillId="5" borderId="6" xfId="4495" applyFont="1" applyFill="1" applyBorder="1" applyAlignment="1">
      <alignment horizontal="left"/>
    </xf>
    <xf numFmtId="0" fontId="120" fillId="5" borderId="62" xfId="4495" applyFill="1" applyBorder="1" applyAlignment="1">
      <alignment horizontal="center"/>
    </xf>
    <xf numFmtId="0" fontId="120" fillId="5" borderId="63" xfId="4495" applyFill="1" applyBorder="1" applyAlignment="1">
      <alignment horizontal="center"/>
    </xf>
    <xf numFmtId="10" fontId="25" fillId="0" borderId="2" xfId="4495" applyNumberFormat="1" applyFont="1" applyBorder="1" applyAlignment="1">
      <alignment horizontal="center"/>
    </xf>
    <xf numFmtId="4" fontId="25" fillId="0" borderId="0" xfId="4495" applyNumberFormat="1" applyFont="1" applyAlignment="1">
      <alignment horizontal="center"/>
    </xf>
    <xf numFmtId="0" fontId="33" fillId="42" borderId="2" xfId="4495" applyFont="1" applyFill="1" applyBorder="1" applyAlignment="1">
      <alignment horizontal="center"/>
    </xf>
    <xf numFmtId="0" fontId="33" fillId="42" borderId="6" xfId="4495" applyFont="1" applyFill="1" applyBorder="1" applyAlignment="1">
      <alignment horizontal="center"/>
    </xf>
    <xf numFmtId="4" fontId="25" fillId="0" borderId="6" xfId="4495" applyNumberFormat="1" applyFont="1" applyBorder="1" applyAlignment="1">
      <alignment horizontal="center"/>
    </xf>
    <xf numFmtId="168" fontId="17" fillId="0" borderId="4" xfId="1192" applyNumberFormat="1" applyBorder="1" applyAlignment="1">
      <alignment horizontal="right"/>
    </xf>
    <xf numFmtId="168" fontId="17" fillId="0" borderId="4" xfId="4496" applyNumberFormat="1" applyFont="1" applyBorder="1" applyAlignment="1">
      <alignment horizontal="center"/>
    </xf>
    <xf numFmtId="9" fontId="17" fillId="0" borderId="4" xfId="4496" applyNumberFormat="1" applyFont="1" applyBorder="1" applyAlignment="1">
      <alignment horizontal="center"/>
    </xf>
    <xf numFmtId="0" fontId="24" fillId="0" borderId="0" xfId="4495" applyFont="1" applyAlignment="1">
      <alignment horizontal="left" wrapText="1"/>
    </xf>
    <xf numFmtId="164" fontId="17" fillId="0" borderId="50" xfId="4495" applyNumberFormat="1" applyFont="1" applyBorder="1" applyAlignment="1">
      <alignment horizontal="left" vertical="top" wrapText="1"/>
    </xf>
    <xf numFmtId="164" fontId="17" fillId="0" borderId="51" xfId="4495" applyNumberFormat="1" applyFont="1" applyBorder="1" applyAlignment="1">
      <alignment horizontal="left" vertical="top" wrapText="1"/>
    </xf>
    <xf numFmtId="164" fontId="17" fillId="0" borderId="52" xfId="4495" applyNumberFormat="1" applyFont="1" applyBorder="1" applyAlignment="1">
      <alignment horizontal="left" vertical="top" wrapText="1"/>
    </xf>
    <xf numFmtId="164" fontId="17" fillId="0" borderId="53" xfId="4495" applyNumberFormat="1" applyFont="1" applyBorder="1" applyAlignment="1">
      <alignment horizontal="left" vertical="top" wrapText="1"/>
    </xf>
    <xf numFmtId="164" fontId="17" fillId="0" borderId="0" xfId="4495" applyNumberFormat="1" applyFont="1" applyAlignment="1">
      <alignment horizontal="left" vertical="top" wrapText="1"/>
    </xf>
    <xf numFmtId="164" fontId="17" fillId="0" borderId="54" xfId="4495" applyNumberFormat="1" applyFont="1" applyBorder="1" applyAlignment="1">
      <alignment horizontal="left" vertical="top" wrapText="1"/>
    </xf>
    <xf numFmtId="164" fontId="17" fillId="0" borderId="57" xfId="4495" applyNumberFormat="1" applyFont="1" applyBorder="1" applyAlignment="1">
      <alignment horizontal="left" vertical="top" wrapText="1"/>
    </xf>
    <xf numFmtId="164" fontId="17" fillId="0" borderId="58" xfId="4495" applyNumberFormat="1" applyFont="1" applyBorder="1" applyAlignment="1">
      <alignment horizontal="left" vertical="top" wrapText="1"/>
    </xf>
    <xf numFmtId="164" fontId="17" fillId="0" borderId="59" xfId="4495" applyNumberFormat="1" applyFont="1" applyBorder="1" applyAlignment="1">
      <alignment horizontal="left" vertical="top" wrapText="1"/>
    </xf>
    <xf numFmtId="4" fontId="25" fillId="0" borderId="3" xfId="4495" applyNumberFormat="1" applyFont="1" applyBorder="1" applyAlignment="1">
      <alignment horizontal="center"/>
    </xf>
    <xf numFmtId="4" fontId="25" fillId="0" borderId="4" xfId="4495" applyNumberFormat="1" applyFont="1" applyBorder="1" applyAlignment="1">
      <alignment horizontal="center"/>
    </xf>
    <xf numFmtId="4" fontId="25" fillId="0" borderId="5" xfId="4495" applyNumberFormat="1" applyFont="1" applyBorder="1" applyAlignment="1">
      <alignment horizontal="center"/>
    </xf>
    <xf numFmtId="165" fontId="122" fillId="0" borderId="3" xfId="4496" applyNumberFormat="1" applyFont="1" applyBorder="1" applyAlignment="1">
      <alignment horizontal="center" vertical="top" wrapText="1"/>
    </xf>
    <xf numFmtId="165" fontId="122" fillId="0" borderId="5" xfId="4496" applyNumberFormat="1" applyFont="1" applyBorder="1" applyAlignment="1">
      <alignment horizontal="center" vertical="top" wrapText="1"/>
    </xf>
    <xf numFmtId="3" fontId="17" fillId="43" borderId="6" xfId="1192" applyNumberFormat="1" applyFill="1" applyBorder="1" applyAlignment="1" applyProtection="1">
      <alignment horizontal="right"/>
      <protection locked="0"/>
    </xf>
    <xf numFmtId="0" fontId="142" fillId="0" borderId="0" xfId="1192" applyFont="1" applyAlignment="1">
      <alignment horizontal="center"/>
    </xf>
    <xf numFmtId="0" fontId="98" fillId="0" borderId="69" xfId="4496" applyFont="1" applyBorder="1" applyAlignment="1">
      <alignment horizontal="right"/>
    </xf>
    <xf numFmtId="0" fontId="98" fillId="0" borderId="70" xfId="4496" applyFont="1" applyBorder="1" applyAlignment="1">
      <alignment horizontal="right"/>
    </xf>
    <xf numFmtId="0" fontId="98" fillId="0" borderId="11" xfId="4496" applyFont="1" applyBorder="1"/>
    <xf numFmtId="0" fontId="98" fillId="0" borderId="76" xfId="4496" applyFont="1" applyBorder="1"/>
    <xf numFmtId="0" fontId="98" fillId="0" borderId="70" xfId="4496" applyFont="1" applyBorder="1"/>
    <xf numFmtId="0" fontId="98" fillId="0" borderId="77" xfId="4496" applyFont="1" applyBorder="1"/>
    <xf numFmtId="0" fontId="98" fillId="0" borderId="68" xfId="4496" applyFont="1" applyBorder="1"/>
    <xf numFmtId="0" fontId="98" fillId="0" borderId="71" xfId="4496" applyFont="1" applyBorder="1"/>
    <xf numFmtId="0" fontId="98" fillId="0" borderId="67" xfId="4496" applyFont="1" applyBorder="1" applyAlignment="1">
      <alignment horizontal="right"/>
    </xf>
    <xf numFmtId="0" fontId="98" fillId="0" borderId="68" xfId="4496" applyFont="1" applyBorder="1" applyAlignment="1">
      <alignment horizontal="right"/>
    </xf>
    <xf numFmtId="0" fontId="98" fillId="0" borderId="0" xfId="4496" applyFont="1" applyAlignment="1">
      <alignment horizontal="left" wrapText="1" indent="1"/>
    </xf>
    <xf numFmtId="49" fontId="136" fillId="3" borderId="0" xfId="1192" applyNumberFormat="1" applyFont="1" applyFill="1" applyAlignment="1">
      <alignment horizontal="center" vertical="center"/>
    </xf>
    <xf numFmtId="0" fontId="98" fillId="0" borderId="11" xfId="4496" applyFont="1" applyBorder="1" applyAlignment="1">
      <alignment horizontal="left" indent="1"/>
    </xf>
    <xf numFmtId="0" fontId="98" fillId="0" borderId="11" xfId="4496" applyFont="1" applyBorder="1" applyAlignment="1">
      <alignment horizontal="left" indent="2"/>
    </xf>
    <xf numFmtId="0" fontId="137" fillId="45" borderId="3" xfId="4496" applyFont="1" applyFill="1" applyBorder="1" applyAlignment="1">
      <alignment horizontal="center" vertical="center"/>
    </xf>
    <xf numFmtId="0" fontId="137" fillId="45" borderId="4" xfId="4496" applyFont="1" applyFill="1" applyBorder="1" applyAlignment="1">
      <alignment horizontal="center" vertical="center"/>
    </xf>
    <xf numFmtId="0" fontId="137" fillId="45" borderId="5" xfId="4496" applyFont="1" applyFill="1" applyBorder="1" applyAlignment="1">
      <alignment horizontal="center" vertical="center"/>
    </xf>
    <xf numFmtId="9" fontId="137" fillId="45" borderId="3" xfId="4499" applyFont="1" applyFill="1" applyBorder="1" applyAlignment="1" applyProtection="1">
      <alignment horizontal="center" vertical="center"/>
    </xf>
    <xf numFmtId="9" fontId="137" fillId="45" borderId="4" xfId="4499" applyFont="1" applyFill="1" applyBorder="1" applyAlignment="1" applyProtection="1">
      <alignment horizontal="center" vertical="center"/>
    </xf>
    <xf numFmtId="9" fontId="137" fillId="45" borderId="5" xfId="4499" applyFont="1" applyFill="1" applyBorder="1" applyAlignment="1" applyProtection="1">
      <alignment horizontal="center" vertical="center"/>
    </xf>
    <xf numFmtId="168" fontId="98" fillId="0" borderId="11" xfId="4499" applyNumberFormat="1" applyFont="1" applyFill="1" applyBorder="1" applyAlignment="1" applyProtection="1">
      <alignment horizontal="left" vertical="center" indent="1"/>
    </xf>
    <xf numFmtId="49" fontId="98" fillId="45" borderId="15" xfId="4496" applyNumberFormat="1" applyFont="1" applyFill="1" applyBorder="1" applyAlignment="1">
      <alignment horizontal="center" vertical="center" wrapText="1"/>
    </xf>
    <xf numFmtId="49" fontId="98" fillId="45" borderId="13" xfId="4496" applyNumberFormat="1" applyFont="1" applyFill="1" applyBorder="1" applyAlignment="1">
      <alignment horizontal="center" vertical="center" wrapText="1"/>
    </xf>
    <xf numFmtId="0" fontId="137" fillId="0" borderId="68" xfId="4496" applyFont="1" applyBorder="1" applyAlignment="1">
      <alignment horizontal="left" indent="1"/>
    </xf>
    <xf numFmtId="168" fontId="98" fillId="0" borderId="70" xfId="4499" applyNumberFormat="1" applyFont="1" applyFill="1" applyBorder="1" applyAlignment="1" applyProtection="1">
      <alignment horizontal="left" vertical="center" indent="1"/>
    </xf>
    <xf numFmtId="0" fontId="98" fillId="0" borderId="72" xfId="4496" applyFont="1" applyBorder="1" applyAlignment="1">
      <alignment horizontal="right"/>
    </xf>
    <xf numFmtId="0" fontId="98" fillId="0" borderId="11" xfId="4496" applyFont="1" applyBorder="1" applyAlignment="1">
      <alignment horizontal="right"/>
    </xf>
    <xf numFmtId="168" fontId="98" fillId="0" borderId="13" xfId="4499" applyNumberFormat="1" applyFont="1" applyFill="1" applyBorder="1" applyAlignment="1" applyProtection="1">
      <alignment horizontal="left" vertical="center" indent="1"/>
    </xf>
    <xf numFmtId="0" fontId="98" fillId="0" borderId="3" xfId="4496" applyFont="1" applyBorder="1" applyAlignment="1">
      <alignment horizontal="left" indent="1"/>
    </xf>
    <xf numFmtId="0" fontId="98" fillId="0" borderId="4" xfId="4496" applyFont="1" applyBorder="1" applyAlignment="1">
      <alignment horizontal="left" indent="1"/>
    </xf>
    <xf numFmtId="0" fontId="98" fillId="0" borderId="5" xfId="4496" applyFont="1" applyBorder="1" applyAlignment="1">
      <alignment horizontal="left" indent="1"/>
    </xf>
    <xf numFmtId="0" fontId="98" fillId="0" borderId="3" xfId="4496" applyFont="1" applyBorder="1" applyAlignment="1">
      <alignment horizontal="left" indent="2"/>
    </xf>
    <xf numFmtId="0" fontId="98" fillId="0" borderId="4" xfId="4496" applyFont="1" applyBorder="1" applyAlignment="1">
      <alignment horizontal="left" indent="2"/>
    </xf>
    <xf numFmtId="0" fontId="98" fillId="0" borderId="5" xfId="4496" applyFont="1" applyBorder="1" applyAlignment="1">
      <alignment horizontal="left" indent="2"/>
    </xf>
    <xf numFmtId="0" fontId="98" fillId="0" borderId="0" xfId="4496" applyFont="1" applyAlignment="1">
      <alignment wrapText="1"/>
    </xf>
    <xf numFmtId="0" fontId="137" fillId="0" borderId="75" xfId="4496" applyFont="1" applyBorder="1" applyAlignment="1">
      <alignment horizontal="center" vertical="top" wrapText="1"/>
    </xf>
    <xf numFmtId="0" fontId="137" fillId="0" borderId="74" xfId="4496" applyFont="1" applyBorder="1" applyAlignment="1">
      <alignment horizontal="center" vertical="top" wrapText="1"/>
    </xf>
    <xf numFmtId="0" fontId="98" fillId="0" borderId="0" xfId="4496" applyFont="1" applyAlignment="1">
      <alignment horizontal="left" wrapText="1"/>
    </xf>
    <xf numFmtId="0" fontId="98" fillId="0" borderId="0" xfId="4496" applyFont="1" applyAlignment="1">
      <alignment horizontal="center" vertical="center" wrapText="1"/>
    </xf>
    <xf numFmtId="0" fontId="98" fillId="43" borderId="0" xfId="4496" applyFont="1" applyFill="1" applyAlignment="1" applyProtection="1">
      <alignment horizontal="left" vertical="top" wrapText="1"/>
      <protection locked="0"/>
    </xf>
    <xf numFmtId="0" fontId="98" fillId="43" borderId="6" xfId="4496" applyFont="1" applyFill="1" applyBorder="1" applyAlignment="1" applyProtection="1">
      <alignment horizontal="left" vertical="top" wrapText="1"/>
      <protection locked="0"/>
    </xf>
    <xf numFmtId="0" fontId="22" fillId="0" borderId="6" xfId="271" applyFont="1" applyBorder="1" applyAlignment="1">
      <alignment horizontal="center"/>
    </xf>
    <xf numFmtId="0" fontId="22" fillId="0" borderId="0" xfId="0" applyFont="1" applyAlignment="1" applyProtection="1">
      <alignment wrapText="1"/>
      <protection locked="0"/>
    </xf>
    <xf numFmtId="3" fontId="17" fillId="0" borderId="0" xfId="0" applyNumberFormat="1" applyFont="1" applyAlignment="1">
      <alignment horizontal="left" vertical="top" wrapText="1"/>
    </xf>
    <xf numFmtId="3" fontId="26" fillId="0" borderId="0" xfId="0" applyNumberFormat="1" applyFont="1" applyAlignment="1">
      <alignment horizontal="left" vertical="top" wrapText="1"/>
    </xf>
    <xf numFmtId="0" fontId="17" fillId="43" borderId="0" xfId="0" applyFont="1" applyFill="1" applyAlignment="1">
      <alignment horizontal="left"/>
    </xf>
  </cellXfs>
  <cellStyles count="8736">
    <cellStyle name="20% - Accent1" xfId="1" builtinId="30" customBuiltin="1"/>
    <cellStyle name="20% - Accent1 10" xfId="4504"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6" xr:uid="{00000000-0005-0000-0000-000007000000}"/>
    <cellStyle name="20% - Accent1 2 2 2 2 3" xfId="4921" xr:uid="{00000000-0005-0000-0000-000008000000}"/>
    <cellStyle name="20% - Accent1 2 2 2 3" xfId="1026" xr:uid="{00000000-0005-0000-0000-000009000000}"/>
    <cellStyle name="20% - Accent1 2 2 2 3 2" xfId="3257" xr:uid="{00000000-0005-0000-0000-00000A000000}"/>
    <cellStyle name="20% - Accent1 2 2 2 3 2 2" xfId="7479" xr:uid="{00000000-0005-0000-0000-00000B000000}"/>
    <cellStyle name="20% - Accent1 2 2 2 3 3" xfId="5334" xr:uid="{00000000-0005-0000-0000-00000C000000}"/>
    <cellStyle name="20% - Accent1 2 2 2 4" xfId="1440" xr:uid="{00000000-0005-0000-0000-00000D000000}"/>
    <cellStyle name="20% - Accent1 2 2 2 4 2" xfId="3670" xr:uid="{00000000-0005-0000-0000-00000E000000}"/>
    <cellStyle name="20% - Accent1 2 2 2 4 2 2" xfId="7892" xr:uid="{00000000-0005-0000-0000-00000F000000}"/>
    <cellStyle name="20% - Accent1 2 2 2 4 3" xfId="5747" xr:uid="{00000000-0005-0000-0000-000010000000}"/>
    <cellStyle name="20% - Accent1 2 2 2 5" xfId="1854" xr:uid="{00000000-0005-0000-0000-000011000000}"/>
    <cellStyle name="20% - Accent1 2 2 2 5 2" xfId="4083" xr:uid="{00000000-0005-0000-0000-000012000000}"/>
    <cellStyle name="20% - Accent1 2 2 2 5 2 2" xfId="8305" xr:uid="{00000000-0005-0000-0000-000013000000}"/>
    <cellStyle name="20% - Accent1 2 2 2 5 3" xfId="6160" xr:uid="{00000000-0005-0000-0000-000014000000}"/>
    <cellStyle name="20% - Accent1 2 2 2 6" xfId="2267" xr:uid="{00000000-0005-0000-0000-000015000000}"/>
    <cellStyle name="20% - Accent1 2 2 2 6 2" xfId="6573" xr:uid="{00000000-0005-0000-0000-000016000000}"/>
    <cellStyle name="20% - Accent1 2 2 2 7" xfId="4507" xr:uid="{00000000-0005-0000-0000-000017000000}"/>
    <cellStyle name="20% - Accent1 2 2 3" xfId="572" xr:uid="{00000000-0005-0000-0000-000018000000}"/>
    <cellStyle name="20% - Accent1 2 2 3 2" xfId="2843" xr:uid="{00000000-0005-0000-0000-000019000000}"/>
    <cellStyle name="20% - Accent1 2 2 3 2 2" xfId="7065" xr:uid="{00000000-0005-0000-0000-00001A000000}"/>
    <cellStyle name="20% - Accent1 2 2 3 3" xfId="4920" xr:uid="{00000000-0005-0000-0000-00001B000000}"/>
    <cellStyle name="20% - Accent1 2 2 4" xfId="1025" xr:uid="{00000000-0005-0000-0000-00001C000000}"/>
    <cellStyle name="20% - Accent1 2 2 4 2" xfId="3256" xr:uid="{00000000-0005-0000-0000-00001D000000}"/>
    <cellStyle name="20% - Accent1 2 2 4 2 2" xfId="7478" xr:uid="{00000000-0005-0000-0000-00001E000000}"/>
    <cellStyle name="20% - Accent1 2 2 4 3" xfId="5333" xr:uid="{00000000-0005-0000-0000-00001F000000}"/>
    <cellStyle name="20% - Accent1 2 2 5" xfId="1439" xr:uid="{00000000-0005-0000-0000-000020000000}"/>
    <cellStyle name="20% - Accent1 2 2 5 2" xfId="3669" xr:uid="{00000000-0005-0000-0000-000021000000}"/>
    <cellStyle name="20% - Accent1 2 2 5 2 2" xfId="7891" xr:uid="{00000000-0005-0000-0000-000022000000}"/>
    <cellStyle name="20% - Accent1 2 2 5 3" xfId="5746" xr:uid="{00000000-0005-0000-0000-000023000000}"/>
    <cellStyle name="20% - Accent1 2 2 6" xfId="1853" xr:uid="{00000000-0005-0000-0000-000024000000}"/>
    <cellStyle name="20% - Accent1 2 2 6 2" xfId="4082" xr:uid="{00000000-0005-0000-0000-000025000000}"/>
    <cellStyle name="20% - Accent1 2 2 6 2 2" xfId="8304" xr:uid="{00000000-0005-0000-0000-000026000000}"/>
    <cellStyle name="20% - Accent1 2 2 6 3" xfId="6159" xr:uid="{00000000-0005-0000-0000-000027000000}"/>
    <cellStyle name="20% - Accent1 2 2 7" xfId="2266" xr:uid="{00000000-0005-0000-0000-000028000000}"/>
    <cellStyle name="20% - Accent1 2 2 7 2" xfId="6572" xr:uid="{00000000-0005-0000-0000-000029000000}"/>
    <cellStyle name="20% - Accent1 2 2 8" xfId="4506"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7" xr:uid="{00000000-0005-0000-0000-00002E000000}"/>
    <cellStyle name="20% - Accent1 2 3 2 3" xfId="4922" xr:uid="{00000000-0005-0000-0000-00002F000000}"/>
    <cellStyle name="20% - Accent1 2 3 3" xfId="1027" xr:uid="{00000000-0005-0000-0000-000030000000}"/>
    <cellStyle name="20% - Accent1 2 3 3 2" xfId="3258" xr:uid="{00000000-0005-0000-0000-000031000000}"/>
    <cellStyle name="20% - Accent1 2 3 3 2 2" xfId="7480" xr:uid="{00000000-0005-0000-0000-000032000000}"/>
    <cellStyle name="20% - Accent1 2 3 3 3" xfId="5335" xr:uid="{00000000-0005-0000-0000-000033000000}"/>
    <cellStyle name="20% - Accent1 2 3 4" xfId="1441" xr:uid="{00000000-0005-0000-0000-000034000000}"/>
    <cellStyle name="20% - Accent1 2 3 4 2" xfId="3671" xr:uid="{00000000-0005-0000-0000-000035000000}"/>
    <cellStyle name="20% - Accent1 2 3 4 2 2" xfId="7893" xr:uid="{00000000-0005-0000-0000-000036000000}"/>
    <cellStyle name="20% - Accent1 2 3 4 3" xfId="5748" xr:uid="{00000000-0005-0000-0000-000037000000}"/>
    <cellStyle name="20% - Accent1 2 3 5" xfId="1855" xr:uid="{00000000-0005-0000-0000-000038000000}"/>
    <cellStyle name="20% - Accent1 2 3 5 2" xfId="4084" xr:uid="{00000000-0005-0000-0000-000039000000}"/>
    <cellStyle name="20% - Accent1 2 3 5 2 2" xfId="8306" xr:uid="{00000000-0005-0000-0000-00003A000000}"/>
    <cellStyle name="20% - Accent1 2 3 5 3" xfId="6161" xr:uid="{00000000-0005-0000-0000-00003B000000}"/>
    <cellStyle name="20% - Accent1 2 3 6" xfId="2268" xr:uid="{00000000-0005-0000-0000-00003C000000}"/>
    <cellStyle name="20% - Accent1 2 3 6 2" xfId="6574" xr:uid="{00000000-0005-0000-0000-00003D000000}"/>
    <cellStyle name="20% - Accent1 2 3 7" xfId="4508" xr:uid="{00000000-0005-0000-0000-00003E000000}"/>
    <cellStyle name="20% - Accent1 2 4" xfId="571" xr:uid="{00000000-0005-0000-0000-00003F000000}"/>
    <cellStyle name="20% - Accent1 2 4 2" xfId="2842" xr:uid="{00000000-0005-0000-0000-000040000000}"/>
    <cellStyle name="20% - Accent1 2 4 2 2" xfId="7064" xr:uid="{00000000-0005-0000-0000-000041000000}"/>
    <cellStyle name="20% - Accent1 2 4 3" xfId="4919" xr:uid="{00000000-0005-0000-0000-000042000000}"/>
    <cellStyle name="20% - Accent1 2 5" xfId="1024" xr:uid="{00000000-0005-0000-0000-000043000000}"/>
    <cellStyle name="20% - Accent1 2 5 2" xfId="3255" xr:uid="{00000000-0005-0000-0000-000044000000}"/>
    <cellStyle name="20% - Accent1 2 5 2 2" xfId="7477" xr:uid="{00000000-0005-0000-0000-000045000000}"/>
    <cellStyle name="20% - Accent1 2 5 3" xfId="5332" xr:uid="{00000000-0005-0000-0000-000046000000}"/>
    <cellStyle name="20% - Accent1 2 6" xfId="1438" xr:uid="{00000000-0005-0000-0000-000047000000}"/>
    <cellStyle name="20% - Accent1 2 6 2" xfId="3668" xr:uid="{00000000-0005-0000-0000-000048000000}"/>
    <cellStyle name="20% - Accent1 2 6 2 2" xfId="7890" xr:uid="{00000000-0005-0000-0000-000049000000}"/>
    <cellStyle name="20% - Accent1 2 6 3" xfId="5745" xr:uid="{00000000-0005-0000-0000-00004A000000}"/>
    <cellStyle name="20% - Accent1 2 7" xfId="1852" xr:uid="{00000000-0005-0000-0000-00004B000000}"/>
    <cellStyle name="20% - Accent1 2 7 2" xfId="4081" xr:uid="{00000000-0005-0000-0000-00004C000000}"/>
    <cellStyle name="20% - Accent1 2 7 2 2" xfId="8303" xr:uid="{00000000-0005-0000-0000-00004D000000}"/>
    <cellStyle name="20% - Accent1 2 7 3" xfId="6158" xr:uid="{00000000-0005-0000-0000-00004E000000}"/>
    <cellStyle name="20% - Accent1 2 8" xfId="2265" xr:uid="{00000000-0005-0000-0000-00004F000000}"/>
    <cellStyle name="20% - Accent1 2 8 2" xfId="6571" xr:uid="{00000000-0005-0000-0000-000050000000}"/>
    <cellStyle name="20% - Accent1 2 9" xfId="4505"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69" xr:uid="{00000000-0005-0000-0000-000056000000}"/>
    <cellStyle name="20% - Accent1 3 2 2 3" xfId="4924" xr:uid="{00000000-0005-0000-0000-000057000000}"/>
    <cellStyle name="20% - Accent1 3 2 3" xfId="1029" xr:uid="{00000000-0005-0000-0000-000058000000}"/>
    <cellStyle name="20% - Accent1 3 2 3 2" xfId="3260" xr:uid="{00000000-0005-0000-0000-000059000000}"/>
    <cellStyle name="20% - Accent1 3 2 3 2 2" xfId="7482" xr:uid="{00000000-0005-0000-0000-00005A000000}"/>
    <cellStyle name="20% - Accent1 3 2 3 3" xfId="5337" xr:uid="{00000000-0005-0000-0000-00005B000000}"/>
    <cellStyle name="20% - Accent1 3 2 4" xfId="1443" xr:uid="{00000000-0005-0000-0000-00005C000000}"/>
    <cellStyle name="20% - Accent1 3 2 4 2" xfId="3673" xr:uid="{00000000-0005-0000-0000-00005D000000}"/>
    <cellStyle name="20% - Accent1 3 2 4 2 2" xfId="7895" xr:uid="{00000000-0005-0000-0000-00005E000000}"/>
    <cellStyle name="20% - Accent1 3 2 4 3" xfId="5750" xr:uid="{00000000-0005-0000-0000-00005F000000}"/>
    <cellStyle name="20% - Accent1 3 2 5" xfId="1857" xr:uid="{00000000-0005-0000-0000-000060000000}"/>
    <cellStyle name="20% - Accent1 3 2 5 2" xfId="4086" xr:uid="{00000000-0005-0000-0000-000061000000}"/>
    <cellStyle name="20% - Accent1 3 2 5 2 2" xfId="8308" xr:uid="{00000000-0005-0000-0000-000062000000}"/>
    <cellStyle name="20% - Accent1 3 2 5 3" xfId="6163" xr:uid="{00000000-0005-0000-0000-000063000000}"/>
    <cellStyle name="20% - Accent1 3 2 6" xfId="2270" xr:uid="{00000000-0005-0000-0000-000064000000}"/>
    <cellStyle name="20% - Accent1 3 2 6 2" xfId="6576" xr:uid="{00000000-0005-0000-0000-000065000000}"/>
    <cellStyle name="20% - Accent1 3 2 7" xfId="4510" xr:uid="{00000000-0005-0000-0000-000066000000}"/>
    <cellStyle name="20% - Accent1 3 3" xfId="575" xr:uid="{00000000-0005-0000-0000-000067000000}"/>
    <cellStyle name="20% - Accent1 3 3 2" xfId="2846" xr:uid="{00000000-0005-0000-0000-000068000000}"/>
    <cellStyle name="20% - Accent1 3 3 2 2" xfId="7068" xr:uid="{00000000-0005-0000-0000-000069000000}"/>
    <cellStyle name="20% - Accent1 3 3 3" xfId="4923" xr:uid="{00000000-0005-0000-0000-00006A000000}"/>
    <cellStyle name="20% - Accent1 3 4" xfId="1028" xr:uid="{00000000-0005-0000-0000-00006B000000}"/>
    <cellStyle name="20% - Accent1 3 4 2" xfId="3259" xr:uid="{00000000-0005-0000-0000-00006C000000}"/>
    <cellStyle name="20% - Accent1 3 4 2 2" xfId="7481" xr:uid="{00000000-0005-0000-0000-00006D000000}"/>
    <cellStyle name="20% - Accent1 3 4 3" xfId="5336" xr:uid="{00000000-0005-0000-0000-00006E000000}"/>
    <cellStyle name="20% - Accent1 3 5" xfId="1442" xr:uid="{00000000-0005-0000-0000-00006F000000}"/>
    <cellStyle name="20% - Accent1 3 5 2" xfId="3672" xr:uid="{00000000-0005-0000-0000-000070000000}"/>
    <cellStyle name="20% - Accent1 3 5 2 2" xfId="7894" xr:uid="{00000000-0005-0000-0000-000071000000}"/>
    <cellStyle name="20% - Accent1 3 5 3" xfId="5749" xr:uid="{00000000-0005-0000-0000-000072000000}"/>
    <cellStyle name="20% - Accent1 3 6" xfId="1856" xr:uid="{00000000-0005-0000-0000-000073000000}"/>
    <cellStyle name="20% - Accent1 3 6 2" xfId="4085" xr:uid="{00000000-0005-0000-0000-000074000000}"/>
    <cellStyle name="20% - Accent1 3 6 2 2" xfId="8307" xr:uid="{00000000-0005-0000-0000-000075000000}"/>
    <cellStyle name="20% - Accent1 3 6 3" xfId="6162" xr:uid="{00000000-0005-0000-0000-000076000000}"/>
    <cellStyle name="20% - Accent1 3 7" xfId="2269" xr:uid="{00000000-0005-0000-0000-000077000000}"/>
    <cellStyle name="20% - Accent1 3 7 2" xfId="6575" xr:uid="{00000000-0005-0000-0000-000078000000}"/>
    <cellStyle name="20% - Accent1 3 8" xfId="4509"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0" xr:uid="{00000000-0005-0000-0000-00007D000000}"/>
    <cellStyle name="20% - Accent1 4 2 3" xfId="4925" xr:uid="{00000000-0005-0000-0000-00007E000000}"/>
    <cellStyle name="20% - Accent1 4 3" xfId="1030" xr:uid="{00000000-0005-0000-0000-00007F000000}"/>
    <cellStyle name="20% - Accent1 4 3 2" xfId="3261" xr:uid="{00000000-0005-0000-0000-000080000000}"/>
    <cellStyle name="20% - Accent1 4 3 2 2" xfId="7483" xr:uid="{00000000-0005-0000-0000-000081000000}"/>
    <cellStyle name="20% - Accent1 4 3 3" xfId="5338" xr:uid="{00000000-0005-0000-0000-000082000000}"/>
    <cellStyle name="20% - Accent1 4 4" xfId="1444" xr:uid="{00000000-0005-0000-0000-000083000000}"/>
    <cellStyle name="20% - Accent1 4 4 2" xfId="3674" xr:uid="{00000000-0005-0000-0000-000084000000}"/>
    <cellStyle name="20% - Accent1 4 4 2 2" xfId="7896" xr:uid="{00000000-0005-0000-0000-000085000000}"/>
    <cellStyle name="20% - Accent1 4 4 3" xfId="5751" xr:uid="{00000000-0005-0000-0000-000086000000}"/>
    <cellStyle name="20% - Accent1 4 5" xfId="1858" xr:uid="{00000000-0005-0000-0000-000087000000}"/>
    <cellStyle name="20% - Accent1 4 5 2" xfId="4087" xr:uid="{00000000-0005-0000-0000-000088000000}"/>
    <cellStyle name="20% - Accent1 4 5 2 2" xfId="8309" xr:uid="{00000000-0005-0000-0000-000089000000}"/>
    <cellStyle name="20% - Accent1 4 5 3" xfId="6164" xr:uid="{00000000-0005-0000-0000-00008A000000}"/>
    <cellStyle name="20% - Accent1 4 6" xfId="2271" xr:uid="{00000000-0005-0000-0000-00008B000000}"/>
    <cellStyle name="20% - Accent1 4 6 2" xfId="6577" xr:uid="{00000000-0005-0000-0000-00008C000000}"/>
    <cellStyle name="20% - Accent1 4 7" xfId="4511" xr:uid="{00000000-0005-0000-0000-00008D000000}"/>
    <cellStyle name="20% - Accent1 5" xfId="570" xr:uid="{00000000-0005-0000-0000-00008E000000}"/>
    <cellStyle name="20% - Accent1 5 2" xfId="2841" xr:uid="{00000000-0005-0000-0000-00008F000000}"/>
    <cellStyle name="20% - Accent1 5 2 2" xfId="7063" xr:uid="{00000000-0005-0000-0000-000090000000}"/>
    <cellStyle name="20% - Accent1 5 3" xfId="4918" xr:uid="{00000000-0005-0000-0000-000091000000}"/>
    <cellStyle name="20% - Accent1 6" xfId="1023" xr:uid="{00000000-0005-0000-0000-000092000000}"/>
    <cellStyle name="20% - Accent1 6 2" xfId="3254" xr:uid="{00000000-0005-0000-0000-000093000000}"/>
    <cellStyle name="20% - Accent1 6 2 2" xfId="7476" xr:uid="{00000000-0005-0000-0000-000094000000}"/>
    <cellStyle name="20% - Accent1 6 3" xfId="5331" xr:uid="{00000000-0005-0000-0000-000095000000}"/>
    <cellStyle name="20% - Accent1 7" xfId="1437" xr:uid="{00000000-0005-0000-0000-000096000000}"/>
    <cellStyle name="20% - Accent1 7 2" xfId="3667" xr:uid="{00000000-0005-0000-0000-000097000000}"/>
    <cellStyle name="20% - Accent1 7 2 2" xfId="7889" xr:uid="{00000000-0005-0000-0000-000098000000}"/>
    <cellStyle name="20% - Accent1 7 3" xfId="5744" xr:uid="{00000000-0005-0000-0000-000099000000}"/>
    <cellStyle name="20% - Accent1 8" xfId="1851" xr:uid="{00000000-0005-0000-0000-00009A000000}"/>
    <cellStyle name="20% - Accent1 8 2" xfId="4080" xr:uid="{00000000-0005-0000-0000-00009B000000}"/>
    <cellStyle name="20% - Accent1 8 2 2" xfId="8302" xr:uid="{00000000-0005-0000-0000-00009C000000}"/>
    <cellStyle name="20% - Accent1 8 3" xfId="6157" xr:uid="{00000000-0005-0000-0000-00009D000000}"/>
    <cellStyle name="20% - Accent1 9" xfId="2264" xr:uid="{00000000-0005-0000-0000-00009E000000}"/>
    <cellStyle name="20% - Accent1 9 2" xfId="6570" xr:uid="{00000000-0005-0000-0000-00009F000000}"/>
    <cellStyle name="20% - Accent2" xfId="9" builtinId="34" customBuiltin="1"/>
    <cellStyle name="20% - Accent2 10" xfId="4512"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4" xr:uid="{00000000-0005-0000-0000-0000A7000000}"/>
    <cellStyle name="20% - Accent2 2 2 2 2 3" xfId="4929" xr:uid="{00000000-0005-0000-0000-0000A8000000}"/>
    <cellStyle name="20% - Accent2 2 2 2 3" xfId="1034" xr:uid="{00000000-0005-0000-0000-0000A9000000}"/>
    <cellStyle name="20% - Accent2 2 2 2 3 2" xfId="3265" xr:uid="{00000000-0005-0000-0000-0000AA000000}"/>
    <cellStyle name="20% - Accent2 2 2 2 3 2 2" xfId="7487" xr:uid="{00000000-0005-0000-0000-0000AB000000}"/>
    <cellStyle name="20% - Accent2 2 2 2 3 3" xfId="5342" xr:uid="{00000000-0005-0000-0000-0000AC000000}"/>
    <cellStyle name="20% - Accent2 2 2 2 4" xfId="1448" xr:uid="{00000000-0005-0000-0000-0000AD000000}"/>
    <cellStyle name="20% - Accent2 2 2 2 4 2" xfId="3678" xr:uid="{00000000-0005-0000-0000-0000AE000000}"/>
    <cellStyle name="20% - Accent2 2 2 2 4 2 2" xfId="7900" xr:uid="{00000000-0005-0000-0000-0000AF000000}"/>
    <cellStyle name="20% - Accent2 2 2 2 4 3" xfId="5755" xr:uid="{00000000-0005-0000-0000-0000B0000000}"/>
    <cellStyle name="20% - Accent2 2 2 2 5" xfId="1862" xr:uid="{00000000-0005-0000-0000-0000B1000000}"/>
    <cellStyle name="20% - Accent2 2 2 2 5 2" xfId="4091" xr:uid="{00000000-0005-0000-0000-0000B2000000}"/>
    <cellStyle name="20% - Accent2 2 2 2 5 2 2" xfId="8313" xr:uid="{00000000-0005-0000-0000-0000B3000000}"/>
    <cellStyle name="20% - Accent2 2 2 2 5 3" xfId="6168" xr:uid="{00000000-0005-0000-0000-0000B4000000}"/>
    <cellStyle name="20% - Accent2 2 2 2 6" xfId="2275" xr:uid="{00000000-0005-0000-0000-0000B5000000}"/>
    <cellStyle name="20% - Accent2 2 2 2 6 2" xfId="6581" xr:uid="{00000000-0005-0000-0000-0000B6000000}"/>
    <cellStyle name="20% - Accent2 2 2 2 7" xfId="4515" xr:uid="{00000000-0005-0000-0000-0000B7000000}"/>
    <cellStyle name="20% - Accent2 2 2 3" xfId="580" xr:uid="{00000000-0005-0000-0000-0000B8000000}"/>
    <cellStyle name="20% - Accent2 2 2 3 2" xfId="2851" xr:uid="{00000000-0005-0000-0000-0000B9000000}"/>
    <cellStyle name="20% - Accent2 2 2 3 2 2" xfId="7073" xr:uid="{00000000-0005-0000-0000-0000BA000000}"/>
    <cellStyle name="20% - Accent2 2 2 3 3" xfId="4928" xr:uid="{00000000-0005-0000-0000-0000BB000000}"/>
    <cellStyle name="20% - Accent2 2 2 4" xfId="1033" xr:uid="{00000000-0005-0000-0000-0000BC000000}"/>
    <cellStyle name="20% - Accent2 2 2 4 2" xfId="3264" xr:uid="{00000000-0005-0000-0000-0000BD000000}"/>
    <cellStyle name="20% - Accent2 2 2 4 2 2" xfId="7486" xr:uid="{00000000-0005-0000-0000-0000BE000000}"/>
    <cellStyle name="20% - Accent2 2 2 4 3" xfId="5341" xr:uid="{00000000-0005-0000-0000-0000BF000000}"/>
    <cellStyle name="20% - Accent2 2 2 5" xfId="1447" xr:uid="{00000000-0005-0000-0000-0000C0000000}"/>
    <cellStyle name="20% - Accent2 2 2 5 2" xfId="3677" xr:uid="{00000000-0005-0000-0000-0000C1000000}"/>
    <cellStyle name="20% - Accent2 2 2 5 2 2" xfId="7899" xr:uid="{00000000-0005-0000-0000-0000C2000000}"/>
    <cellStyle name="20% - Accent2 2 2 5 3" xfId="5754" xr:uid="{00000000-0005-0000-0000-0000C3000000}"/>
    <cellStyle name="20% - Accent2 2 2 6" xfId="1861" xr:uid="{00000000-0005-0000-0000-0000C4000000}"/>
    <cellStyle name="20% - Accent2 2 2 6 2" xfId="4090" xr:uid="{00000000-0005-0000-0000-0000C5000000}"/>
    <cellStyle name="20% - Accent2 2 2 6 2 2" xfId="8312" xr:uid="{00000000-0005-0000-0000-0000C6000000}"/>
    <cellStyle name="20% - Accent2 2 2 6 3" xfId="6167" xr:uid="{00000000-0005-0000-0000-0000C7000000}"/>
    <cellStyle name="20% - Accent2 2 2 7" xfId="2274" xr:uid="{00000000-0005-0000-0000-0000C8000000}"/>
    <cellStyle name="20% - Accent2 2 2 7 2" xfId="6580" xr:uid="{00000000-0005-0000-0000-0000C9000000}"/>
    <cellStyle name="20% - Accent2 2 2 8" xfId="4514"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5" xr:uid="{00000000-0005-0000-0000-0000CE000000}"/>
    <cellStyle name="20% - Accent2 2 3 2 3" xfId="4930" xr:uid="{00000000-0005-0000-0000-0000CF000000}"/>
    <cellStyle name="20% - Accent2 2 3 3" xfId="1035" xr:uid="{00000000-0005-0000-0000-0000D0000000}"/>
    <cellStyle name="20% - Accent2 2 3 3 2" xfId="3266" xr:uid="{00000000-0005-0000-0000-0000D1000000}"/>
    <cellStyle name="20% - Accent2 2 3 3 2 2" xfId="7488" xr:uid="{00000000-0005-0000-0000-0000D2000000}"/>
    <cellStyle name="20% - Accent2 2 3 3 3" xfId="5343" xr:uid="{00000000-0005-0000-0000-0000D3000000}"/>
    <cellStyle name="20% - Accent2 2 3 4" xfId="1449" xr:uid="{00000000-0005-0000-0000-0000D4000000}"/>
    <cellStyle name="20% - Accent2 2 3 4 2" xfId="3679" xr:uid="{00000000-0005-0000-0000-0000D5000000}"/>
    <cellStyle name="20% - Accent2 2 3 4 2 2" xfId="7901" xr:uid="{00000000-0005-0000-0000-0000D6000000}"/>
    <cellStyle name="20% - Accent2 2 3 4 3" xfId="5756" xr:uid="{00000000-0005-0000-0000-0000D7000000}"/>
    <cellStyle name="20% - Accent2 2 3 5" xfId="1863" xr:uid="{00000000-0005-0000-0000-0000D8000000}"/>
    <cellStyle name="20% - Accent2 2 3 5 2" xfId="4092" xr:uid="{00000000-0005-0000-0000-0000D9000000}"/>
    <cellStyle name="20% - Accent2 2 3 5 2 2" xfId="8314" xr:uid="{00000000-0005-0000-0000-0000DA000000}"/>
    <cellStyle name="20% - Accent2 2 3 5 3" xfId="6169" xr:uid="{00000000-0005-0000-0000-0000DB000000}"/>
    <cellStyle name="20% - Accent2 2 3 6" xfId="2276" xr:uid="{00000000-0005-0000-0000-0000DC000000}"/>
    <cellStyle name="20% - Accent2 2 3 6 2" xfId="6582" xr:uid="{00000000-0005-0000-0000-0000DD000000}"/>
    <cellStyle name="20% - Accent2 2 3 7" xfId="4516" xr:uid="{00000000-0005-0000-0000-0000DE000000}"/>
    <cellStyle name="20% - Accent2 2 4" xfId="579" xr:uid="{00000000-0005-0000-0000-0000DF000000}"/>
    <cellStyle name="20% - Accent2 2 4 2" xfId="2850" xr:uid="{00000000-0005-0000-0000-0000E0000000}"/>
    <cellStyle name="20% - Accent2 2 4 2 2" xfId="7072" xr:uid="{00000000-0005-0000-0000-0000E1000000}"/>
    <cellStyle name="20% - Accent2 2 4 3" xfId="4927" xr:uid="{00000000-0005-0000-0000-0000E2000000}"/>
    <cellStyle name="20% - Accent2 2 5" xfId="1032" xr:uid="{00000000-0005-0000-0000-0000E3000000}"/>
    <cellStyle name="20% - Accent2 2 5 2" xfId="3263" xr:uid="{00000000-0005-0000-0000-0000E4000000}"/>
    <cellStyle name="20% - Accent2 2 5 2 2" xfId="7485" xr:uid="{00000000-0005-0000-0000-0000E5000000}"/>
    <cellStyle name="20% - Accent2 2 5 3" xfId="5340" xr:uid="{00000000-0005-0000-0000-0000E6000000}"/>
    <cellStyle name="20% - Accent2 2 6" xfId="1446" xr:uid="{00000000-0005-0000-0000-0000E7000000}"/>
    <cellStyle name="20% - Accent2 2 6 2" xfId="3676" xr:uid="{00000000-0005-0000-0000-0000E8000000}"/>
    <cellStyle name="20% - Accent2 2 6 2 2" xfId="7898" xr:uid="{00000000-0005-0000-0000-0000E9000000}"/>
    <cellStyle name="20% - Accent2 2 6 3" xfId="5753" xr:uid="{00000000-0005-0000-0000-0000EA000000}"/>
    <cellStyle name="20% - Accent2 2 7" xfId="1860" xr:uid="{00000000-0005-0000-0000-0000EB000000}"/>
    <cellStyle name="20% - Accent2 2 7 2" xfId="4089" xr:uid="{00000000-0005-0000-0000-0000EC000000}"/>
    <cellStyle name="20% - Accent2 2 7 2 2" xfId="8311" xr:uid="{00000000-0005-0000-0000-0000ED000000}"/>
    <cellStyle name="20% - Accent2 2 7 3" xfId="6166" xr:uid="{00000000-0005-0000-0000-0000EE000000}"/>
    <cellStyle name="20% - Accent2 2 8" xfId="2273" xr:uid="{00000000-0005-0000-0000-0000EF000000}"/>
    <cellStyle name="20% - Accent2 2 8 2" xfId="6579" xr:uid="{00000000-0005-0000-0000-0000F0000000}"/>
    <cellStyle name="20% - Accent2 2 9" xfId="4513"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7" xr:uid="{00000000-0005-0000-0000-0000F6000000}"/>
    <cellStyle name="20% - Accent2 3 2 2 3" xfId="4932" xr:uid="{00000000-0005-0000-0000-0000F7000000}"/>
    <cellStyle name="20% - Accent2 3 2 3" xfId="1037" xr:uid="{00000000-0005-0000-0000-0000F8000000}"/>
    <cellStyle name="20% - Accent2 3 2 3 2" xfId="3268" xr:uid="{00000000-0005-0000-0000-0000F9000000}"/>
    <cellStyle name="20% - Accent2 3 2 3 2 2" xfId="7490" xr:uid="{00000000-0005-0000-0000-0000FA000000}"/>
    <cellStyle name="20% - Accent2 3 2 3 3" xfId="5345" xr:uid="{00000000-0005-0000-0000-0000FB000000}"/>
    <cellStyle name="20% - Accent2 3 2 4" xfId="1451" xr:uid="{00000000-0005-0000-0000-0000FC000000}"/>
    <cellStyle name="20% - Accent2 3 2 4 2" xfId="3681" xr:uid="{00000000-0005-0000-0000-0000FD000000}"/>
    <cellStyle name="20% - Accent2 3 2 4 2 2" xfId="7903" xr:uid="{00000000-0005-0000-0000-0000FE000000}"/>
    <cellStyle name="20% - Accent2 3 2 4 3" xfId="5758" xr:uid="{00000000-0005-0000-0000-0000FF000000}"/>
    <cellStyle name="20% - Accent2 3 2 5" xfId="1865" xr:uid="{00000000-0005-0000-0000-000000010000}"/>
    <cellStyle name="20% - Accent2 3 2 5 2" xfId="4094" xr:uid="{00000000-0005-0000-0000-000001010000}"/>
    <cellStyle name="20% - Accent2 3 2 5 2 2" xfId="8316" xr:uid="{00000000-0005-0000-0000-000002010000}"/>
    <cellStyle name="20% - Accent2 3 2 5 3" xfId="6171" xr:uid="{00000000-0005-0000-0000-000003010000}"/>
    <cellStyle name="20% - Accent2 3 2 6" xfId="2278" xr:uid="{00000000-0005-0000-0000-000004010000}"/>
    <cellStyle name="20% - Accent2 3 2 6 2" xfId="6584" xr:uid="{00000000-0005-0000-0000-000005010000}"/>
    <cellStyle name="20% - Accent2 3 2 7" xfId="4518" xr:uid="{00000000-0005-0000-0000-000006010000}"/>
    <cellStyle name="20% - Accent2 3 3" xfId="583" xr:uid="{00000000-0005-0000-0000-000007010000}"/>
    <cellStyle name="20% - Accent2 3 3 2" xfId="2854" xr:uid="{00000000-0005-0000-0000-000008010000}"/>
    <cellStyle name="20% - Accent2 3 3 2 2" xfId="7076" xr:uid="{00000000-0005-0000-0000-000009010000}"/>
    <cellStyle name="20% - Accent2 3 3 3" xfId="4931" xr:uid="{00000000-0005-0000-0000-00000A010000}"/>
    <cellStyle name="20% - Accent2 3 4" xfId="1036" xr:uid="{00000000-0005-0000-0000-00000B010000}"/>
    <cellStyle name="20% - Accent2 3 4 2" xfId="3267" xr:uid="{00000000-0005-0000-0000-00000C010000}"/>
    <cellStyle name="20% - Accent2 3 4 2 2" xfId="7489" xr:uid="{00000000-0005-0000-0000-00000D010000}"/>
    <cellStyle name="20% - Accent2 3 4 3" xfId="5344" xr:uid="{00000000-0005-0000-0000-00000E010000}"/>
    <cellStyle name="20% - Accent2 3 5" xfId="1450" xr:uid="{00000000-0005-0000-0000-00000F010000}"/>
    <cellStyle name="20% - Accent2 3 5 2" xfId="3680" xr:uid="{00000000-0005-0000-0000-000010010000}"/>
    <cellStyle name="20% - Accent2 3 5 2 2" xfId="7902" xr:uid="{00000000-0005-0000-0000-000011010000}"/>
    <cellStyle name="20% - Accent2 3 5 3" xfId="5757" xr:uid="{00000000-0005-0000-0000-000012010000}"/>
    <cellStyle name="20% - Accent2 3 6" xfId="1864" xr:uid="{00000000-0005-0000-0000-000013010000}"/>
    <cellStyle name="20% - Accent2 3 6 2" xfId="4093" xr:uid="{00000000-0005-0000-0000-000014010000}"/>
    <cellStyle name="20% - Accent2 3 6 2 2" xfId="8315" xr:uid="{00000000-0005-0000-0000-000015010000}"/>
    <cellStyle name="20% - Accent2 3 6 3" xfId="6170" xr:uid="{00000000-0005-0000-0000-000016010000}"/>
    <cellStyle name="20% - Accent2 3 7" xfId="2277" xr:uid="{00000000-0005-0000-0000-000017010000}"/>
    <cellStyle name="20% - Accent2 3 7 2" xfId="6583" xr:uid="{00000000-0005-0000-0000-000018010000}"/>
    <cellStyle name="20% - Accent2 3 8" xfId="4517"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8" xr:uid="{00000000-0005-0000-0000-00001D010000}"/>
    <cellStyle name="20% - Accent2 4 2 3" xfId="4933" xr:uid="{00000000-0005-0000-0000-00001E010000}"/>
    <cellStyle name="20% - Accent2 4 3" xfId="1038" xr:uid="{00000000-0005-0000-0000-00001F010000}"/>
    <cellStyle name="20% - Accent2 4 3 2" xfId="3269" xr:uid="{00000000-0005-0000-0000-000020010000}"/>
    <cellStyle name="20% - Accent2 4 3 2 2" xfId="7491" xr:uid="{00000000-0005-0000-0000-000021010000}"/>
    <cellStyle name="20% - Accent2 4 3 3" xfId="5346" xr:uid="{00000000-0005-0000-0000-000022010000}"/>
    <cellStyle name="20% - Accent2 4 4" xfId="1452" xr:uid="{00000000-0005-0000-0000-000023010000}"/>
    <cellStyle name="20% - Accent2 4 4 2" xfId="3682" xr:uid="{00000000-0005-0000-0000-000024010000}"/>
    <cellStyle name="20% - Accent2 4 4 2 2" xfId="7904" xr:uid="{00000000-0005-0000-0000-000025010000}"/>
    <cellStyle name="20% - Accent2 4 4 3" xfId="5759" xr:uid="{00000000-0005-0000-0000-000026010000}"/>
    <cellStyle name="20% - Accent2 4 5" xfId="1866" xr:uid="{00000000-0005-0000-0000-000027010000}"/>
    <cellStyle name="20% - Accent2 4 5 2" xfId="4095" xr:uid="{00000000-0005-0000-0000-000028010000}"/>
    <cellStyle name="20% - Accent2 4 5 2 2" xfId="8317" xr:uid="{00000000-0005-0000-0000-000029010000}"/>
    <cellStyle name="20% - Accent2 4 5 3" xfId="6172" xr:uid="{00000000-0005-0000-0000-00002A010000}"/>
    <cellStyle name="20% - Accent2 4 6" xfId="2279" xr:uid="{00000000-0005-0000-0000-00002B010000}"/>
    <cellStyle name="20% - Accent2 4 6 2" xfId="6585" xr:uid="{00000000-0005-0000-0000-00002C010000}"/>
    <cellStyle name="20% - Accent2 4 7" xfId="4519" xr:uid="{00000000-0005-0000-0000-00002D010000}"/>
    <cellStyle name="20% - Accent2 5" xfId="578" xr:uid="{00000000-0005-0000-0000-00002E010000}"/>
    <cellStyle name="20% - Accent2 5 2" xfId="2849" xr:uid="{00000000-0005-0000-0000-00002F010000}"/>
    <cellStyle name="20% - Accent2 5 2 2" xfId="7071" xr:uid="{00000000-0005-0000-0000-000030010000}"/>
    <cellStyle name="20% - Accent2 5 3" xfId="4926" xr:uid="{00000000-0005-0000-0000-000031010000}"/>
    <cellStyle name="20% - Accent2 6" xfId="1031" xr:uid="{00000000-0005-0000-0000-000032010000}"/>
    <cellStyle name="20% - Accent2 6 2" xfId="3262" xr:uid="{00000000-0005-0000-0000-000033010000}"/>
    <cellStyle name="20% - Accent2 6 2 2" xfId="7484" xr:uid="{00000000-0005-0000-0000-000034010000}"/>
    <cellStyle name="20% - Accent2 6 3" xfId="5339" xr:uid="{00000000-0005-0000-0000-000035010000}"/>
    <cellStyle name="20% - Accent2 7" xfId="1445" xr:uid="{00000000-0005-0000-0000-000036010000}"/>
    <cellStyle name="20% - Accent2 7 2" xfId="3675" xr:uid="{00000000-0005-0000-0000-000037010000}"/>
    <cellStyle name="20% - Accent2 7 2 2" xfId="7897" xr:uid="{00000000-0005-0000-0000-000038010000}"/>
    <cellStyle name="20% - Accent2 7 3" xfId="5752" xr:uid="{00000000-0005-0000-0000-000039010000}"/>
    <cellStyle name="20% - Accent2 8" xfId="1859" xr:uid="{00000000-0005-0000-0000-00003A010000}"/>
    <cellStyle name="20% - Accent2 8 2" xfId="4088" xr:uid="{00000000-0005-0000-0000-00003B010000}"/>
    <cellStyle name="20% - Accent2 8 2 2" xfId="8310" xr:uid="{00000000-0005-0000-0000-00003C010000}"/>
    <cellStyle name="20% - Accent2 8 3" xfId="6165" xr:uid="{00000000-0005-0000-0000-00003D010000}"/>
    <cellStyle name="20% - Accent2 9" xfId="2272" xr:uid="{00000000-0005-0000-0000-00003E010000}"/>
    <cellStyle name="20% - Accent2 9 2" xfId="6578" xr:uid="{00000000-0005-0000-0000-00003F010000}"/>
    <cellStyle name="20% - Accent3" xfId="17" builtinId="38" customBuiltin="1"/>
    <cellStyle name="20% - Accent3 10" xfId="4520"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2" xr:uid="{00000000-0005-0000-0000-000047010000}"/>
    <cellStyle name="20% - Accent3 2 2 2 2 3" xfId="4937" xr:uid="{00000000-0005-0000-0000-000048010000}"/>
    <cellStyle name="20% - Accent3 2 2 2 3" xfId="1042" xr:uid="{00000000-0005-0000-0000-000049010000}"/>
    <cellStyle name="20% - Accent3 2 2 2 3 2" xfId="3273" xr:uid="{00000000-0005-0000-0000-00004A010000}"/>
    <cellStyle name="20% - Accent3 2 2 2 3 2 2" xfId="7495" xr:uid="{00000000-0005-0000-0000-00004B010000}"/>
    <cellStyle name="20% - Accent3 2 2 2 3 3" xfId="5350" xr:uid="{00000000-0005-0000-0000-00004C010000}"/>
    <cellStyle name="20% - Accent3 2 2 2 4" xfId="1456" xr:uid="{00000000-0005-0000-0000-00004D010000}"/>
    <cellStyle name="20% - Accent3 2 2 2 4 2" xfId="3686" xr:uid="{00000000-0005-0000-0000-00004E010000}"/>
    <cellStyle name="20% - Accent3 2 2 2 4 2 2" xfId="7908" xr:uid="{00000000-0005-0000-0000-00004F010000}"/>
    <cellStyle name="20% - Accent3 2 2 2 4 3" xfId="5763" xr:uid="{00000000-0005-0000-0000-000050010000}"/>
    <cellStyle name="20% - Accent3 2 2 2 5" xfId="1870" xr:uid="{00000000-0005-0000-0000-000051010000}"/>
    <cellStyle name="20% - Accent3 2 2 2 5 2" xfId="4099" xr:uid="{00000000-0005-0000-0000-000052010000}"/>
    <cellStyle name="20% - Accent3 2 2 2 5 2 2" xfId="8321" xr:uid="{00000000-0005-0000-0000-000053010000}"/>
    <cellStyle name="20% - Accent3 2 2 2 5 3" xfId="6176" xr:uid="{00000000-0005-0000-0000-000054010000}"/>
    <cellStyle name="20% - Accent3 2 2 2 6" xfId="2283" xr:uid="{00000000-0005-0000-0000-000055010000}"/>
    <cellStyle name="20% - Accent3 2 2 2 6 2" xfId="6589" xr:uid="{00000000-0005-0000-0000-000056010000}"/>
    <cellStyle name="20% - Accent3 2 2 2 7" xfId="4523" xr:uid="{00000000-0005-0000-0000-000057010000}"/>
    <cellStyle name="20% - Accent3 2 2 3" xfId="588" xr:uid="{00000000-0005-0000-0000-000058010000}"/>
    <cellStyle name="20% - Accent3 2 2 3 2" xfId="2859" xr:uid="{00000000-0005-0000-0000-000059010000}"/>
    <cellStyle name="20% - Accent3 2 2 3 2 2" xfId="7081" xr:uid="{00000000-0005-0000-0000-00005A010000}"/>
    <cellStyle name="20% - Accent3 2 2 3 3" xfId="4936" xr:uid="{00000000-0005-0000-0000-00005B010000}"/>
    <cellStyle name="20% - Accent3 2 2 4" xfId="1041" xr:uid="{00000000-0005-0000-0000-00005C010000}"/>
    <cellStyle name="20% - Accent3 2 2 4 2" xfId="3272" xr:uid="{00000000-0005-0000-0000-00005D010000}"/>
    <cellStyle name="20% - Accent3 2 2 4 2 2" xfId="7494" xr:uid="{00000000-0005-0000-0000-00005E010000}"/>
    <cellStyle name="20% - Accent3 2 2 4 3" xfId="5349" xr:uid="{00000000-0005-0000-0000-00005F010000}"/>
    <cellStyle name="20% - Accent3 2 2 5" xfId="1455" xr:uid="{00000000-0005-0000-0000-000060010000}"/>
    <cellStyle name="20% - Accent3 2 2 5 2" xfId="3685" xr:uid="{00000000-0005-0000-0000-000061010000}"/>
    <cellStyle name="20% - Accent3 2 2 5 2 2" xfId="7907" xr:uid="{00000000-0005-0000-0000-000062010000}"/>
    <cellStyle name="20% - Accent3 2 2 5 3" xfId="5762" xr:uid="{00000000-0005-0000-0000-000063010000}"/>
    <cellStyle name="20% - Accent3 2 2 6" xfId="1869" xr:uid="{00000000-0005-0000-0000-000064010000}"/>
    <cellStyle name="20% - Accent3 2 2 6 2" xfId="4098" xr:uid="{00000000-0005-0000-0000-000065010000}"/>
    <cellStyle name="20% - Accent3 2 2 6 2 2" xfId="8320" xr:uid="{00000000-0005-0000-0000-000066010000}"/>
    <cellStyle name="20% - Accent3 2 2 6 3" xfId="6175" xr:uid="{00000000-0005-0000-0000-000067010000}"/>
    <cellStyle name="20% - Accent3 2 2 7" xfId="2282" xr:uid="{00000000-0005-0000-0000-000068010000}"/>
    <cellStyle name="20% - Accent3 2 2 7 2" xfId="6588" xr:uid="{00000000-0005-0000-0000-000069010000}"/>
    <cellStyle name="20% - Accent3 2 2 8" xfId="4522"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3" xr:uid="{00000000-0005-0000-0000-00006E010000}"/>
    <cellStyle name="20% - Accent3 2 3 2 3" xfId="4938" xr:uid="{00000000-0005-0000-0000-00006F010000}"/>
    <cellStyle name="20% - Accent3 2 3 3" xfId="1043" xr:uid="{00000000-0005-0000-0000-000070010000}"/>
    <cellStyle name="20% - Accent3 2 3 3 2" xfId="3274" xr:uid="{00000000-0005-0000-0000-000071010000}"/>
    <cellStyle name="20% - Accent3 2 3 3 2 2" xfId="7496" xr:uid="{00000000-0005-0000-0000-000072010000}"/>
    <cellStyle name="20% - Accent3 2 3 3 3" xfId="5351" xr:uid="{00000000-0005-0000-0000-000073010000}"/>
    <cellStyle name="20% - Accent3 2 3 4" xfId="1457" xr:uid="{00000000-0005-0000-0000-000074010000}"/>
    <cellStyle name="20% - Accent3 2 3 4 2" xfId="3687" xr:uid="{00000000-0005-0000-0000-000075010000}"/>
    <cellStyle name="20% - Accent3 2 3 4 2 2" xfId="7909" xr:uid="{00000000-0005-0000-0000-000076010000}"/>
    <cellStyle name="20% - Accent3 2 3 4 3" xfId="5764" xr:uid="{00000000-0005-0000-0000-000077010000}"/>
    <cellStyle name="20% - Accent3 2 3 5" xfId="1871" xr:uid="{00000000-0005-0000-0000-000078010000}"/>
    <cellStyle name="20% - Accent3 2 3 5 2" xfId="4100" xr:uid="{00000000-0005-0000-0000-000079010000}"/>
    <cellStyle name="20% - Accent3 2 3 5 2 2" xfId="8322" xr:uid="{00000000-0005-0000-0000-00007A010000}"/>
    <cellStyle name="20% - Accent3 2 3 5 3" xfId="6177" xr:uid="{00000000-0005-0000-0000-00007B010000}"/>
    <cellStyle name="20% - Accent3 2 3 6" xfId="2284" xr:uid="{00000000-0005-0000-0000-00007C010000}"/>
    <cellStyle name="20% - Accent3 2 3 6 2" xfId="6590" xr:uid="{00000000-0005-0000-0000-00007D010000}"/>
    <cellStyle name="20% - Accent3 2 3 7" xfId="4524" xr:uid="{00000000-0005-0000-0000-00007E010000}"/>
    <cellStyle name="20% - Accent3 2 4" xfId="587" xr:uid="{00000000-0005-0000-0000-00007F010000}"/>
    <cellStyle name="20% - Accent3 2 4 2" xfId="2858" xr:uid="{00000000-0005-0000-0000-000080010000}"/>
    <cellStyle name="20% - Accent3 2 4 2 2" xfId="7080" xr:uid="{00000000-0005-0000-0000-000081010000}"/>
    <cellStyle name="20% - Accent3 2 4 3" xfId="4935" xr:uid="{00000000-0005-0000-0000-000082010000}"/>
    <cellStyle name="20% - Accent3 2 5" xfId="1040" xr:uid="{00000000-0005-0000-0000-000083010000}"/>
    <cellStyle name="20% - Accent3 2 5 2" xfId="3271" xr:uid="{00000000-0005-0000-0000-000084010000}"/>
    <cellStyle name="20% - Accent3 2 5 2 2" xfId="7493" xr:uid="{00000000-0005-0000-0000-000085010000}"/>
    <cellStyle name="20% - Accent3 2 5 3" xfId="5348" xr:uid="{00000000-0005-0000-0000-000086010000}"/>
    <cellStyle name="20% - Accent3 2 6" xfId="1454" xr:uid="{00000000-0005-0000-0000-000087010000}"/>
    <cellStyle name="20% - Accent3 2 6 2" xfId="3684" xr:uid="{00000000-0005-0000-0000-000088010000}"/>
    <cellStyle name="20% - Accent3 2 6 2 2" xfId="7906" xr:uid="{00000000-0005-0000-0000-000089010000}"/>
    <cellStyle name="20% - Accent3 2 6 3" xfId="5761" xr:uid="{00000000-0005-0000-0000-00008A010000}"/>
    <cellStyle name="20% - Accent3 2 7" xfId="1868" xr:uid="{00000000-0005-0000-0000-00008B010000}"/>
    <cellStyle name="20% - Accent3 2 7 2" xfId="4097" xr:uid="{00000000-0005-0000-0000-00008C010000}"/>
    <cellStyle name="20% - Accent3 2 7 2 2" xfId="8319" xr:uid="{00000000-0005-0000-0000-00008D010000}"/>
    <cellStyle name="20% - Accent3 2 7 3" xfId="6174" xr:uid="{00000000-0005-0000-0000-00008E010000}"/>
    <cellStyle name="20% - Accent3 2 8" xfId="2281" xr:uid="{00000000-0005-0000-0000-00008F010000}"/>
    <cellStyle name="20% - Accent3 2 8 2" xfId="6587" xr:uid="{00000000-0005-0000-0000-000090010000}"/>
    <cellStyle name="20% - Accent3 2 9" xfId="4521"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5" xr:uid="{00000000-0005-0000-0000-000096010000}"/>
    <cellStyle name="20% - Accent3 3 2 2 3" xfId="4940" xr:uid="{00000000-0005-0000-0000-000097010000}"/>
    <cellStyle name="20% - Accent3 3 2 3" xfId="1045" xr:uid="{00000000-0005-0000-0000-000098010000}"/>
    <cellStyle name="20% - Accent3 3 2 3 2" xfId="3276" xr:uid="{00000000-0005-0000-0000-000099010000}"/>
    <cellStyle name="20% - Accent3 3 2 3 2 2" xfId="7498" xr:uid="{00000000-0005-0000-0000-00009A010000}"/>
    <cellStyle name="20% - Accent3 3 2 3 3" xfId="5353" xr:uid="{00000000-0005-0000-0000-00009B010000}"/>
    <cellStyle name="20% - Accent3 3 2 4" xfId="1459" xr:uid="{00000000-0005-0000-0000-00009C010000}"/>
    <cellStyle name="20% - Accent3 3 2 4 2" xfId="3689" xr:uid="{00000000-0005-0000-0000-00009D010000}"/>
    <cellStyle name="20% - Accent3 3 2 4 2 2" xfId="7911" xr:uid="{00000000-0005-0000-0000-00009E010000}"/>
    <cellStyle name="20% - Accent3 3 2 4 3" xfId="5766" xr:uid="{00000000-0005-0000-0000-00009F010000}"/>
    <cellStyle name="20% - Accent3 3 2 5" xfId="1873" xr:uid="{00000000-0005-0000-0000-0000A0010000}"/>
    <cellStyle name="20% - Accent3 3 2 5 2" xfId="4102" xr:uid="{00000000-0005-0000-0000-0000A1010000}"/>
    <cellStyle name="20% - Accent3 3 2 5 2 2" xfId="8324" xr:uid="{00000000-0005-0000-0000-0000A2010000}"/>
    <cellStyle name="20% - Accent3 3 2 5 3" xfId="6179" xr:uid="{00000000-0005-0000-0000-0000A3010000}"/>
    <cellStyle name="20% - Accent3 3 2 6" xfId="2286" xr:uid="{00000000-0005-0000-0000-0000A4010000}"/>
    <cellStyle name="20% - Accent3 3 2 6 2" xfId="6592" xr:uid="{00000000-0005-0000-0000-0000A5010000}"/>
    <cellStyle name="20% - Accent3 3 2 7" xfId="4526" xr:uid="{00000000-0005-0000-0000-0000A6010000}"/>
    <cellStyle name="20% - Accent3 3 3" xfId="591" xr:uid="{00000000-0005-0000-0000-0000A7010000}"/>
    <cellStyle name="20% - Accent3 3 3 2" xfId="2862" xr:uid="{00000000-0005-0000-0000-0000A8010000}"/>
    <cellStyle name="20% - Accent3 3 3 2 2" xfId="7084" xr:uid="{00000000-0005-0000-0000-0000A9010000}"/>
    <cellStyle name="20% - Accent3 3 3 3" xfId="4939" xr:uid="{00000000-0005-0000-0000-0000AA010000}"/>
    <cellStyle name="20% - Accent3 3 4" xfId="1044" xr:uid="{00000000-0005-0000-0000-0000AB010000}"/>
    <cellStyle name="20% - Accent3 3 4 2" xfId="3275" xr:uid="{00000000-0005-0000-0000-0000AC010000}"/>
    <cellStyle name="20% - Accent3 3 4 2 2" xfId="7497" xr:uid="{00000000-0005-0000-0000-0000AD010000}"/>
    <cellStyle name="20% - Accent3 3 4 3" xfId="5352" xr:uid="{00000000-0005-0000-0000-0000AE010000}"/>
    <cellStyle name="20% - Accent3 3 5" xfId="1458" xr:uid="{00000000-0005-0000-0000-0000AF010000}"/>
    <cellStyle name="20% - Accent3 3 5 2" xfId="3688" xr:uid="{00000000-0005-0000-0000-0000B0010000}"/>
    <cellStyle name="20% - Accent3 3 5 2 2" xfId="7910" xr:uid="{00000000-0005-0000-0000-0000B1010000}"/>
    <cellStyle name="20% - Accent3 3 5 3" xfId="5765" xr:uid="{00000000-0005-0000-0000-0000B2010000}"/>
    <cellStyle name="20% - Accent3 3 6" xfId="1872" xr:uid="{00000000-0005-0000-0000-0000B3010000}"/>
    <cellStyle name="20% - Accent3 3 6 2" xfId="4101" xr:uid="{00000000-0005-0000-0000-0000B4010000}"/>
    <cellStyle name="20% - Accent3 3 6 2 2" xfId="8323" xr:uid="{00000000-0005-0000-0000-0000B5010000}"/>
    <cellStyle name="20% - Accent3 3 6 3" xfId="6178" xr:uid="{00000000-0005-0000-0000-0000B6010000}"/>
    <cellStyle name="20% - Accent3 3 7" xfId="2285" xr:uid="{00000000-0005-0000-0000-0000B7010000}"/>
    <cellStyle name="20% - Accent3 3 7 2" xfId="6591" xr:uid="{00000000-0005-0000-0000-0000B8010000}"/>
    <cellStyle name="20% - Accent3 3 8" xfId="4525"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6" xr:uid="{00000000-0005-0000-0000-0000BD010000}"/>
    <cellStyle name="20% - Accent3 4 2 3" xfId="4941" xr:uid="{00000000-0005-0000-0000-0000BE010000}"/>
    <cellStyle name="20% - Accent3 4 3" xfId="1046" xr:uid="{00000000-0005-0000-0000-0000BF010000}"/>
    <cellStyle name="20% - Accent3 4 3 2" xfId="3277" xr:uid="{00000000-0005-0000-0000-0000C0010000}"/>
    <cellStyle name="20% - Accent3 4 3 2 2" xfId="7499" xr:uid="{00000000-0005-0000-0000-0000C1010000}"/>
    <cellStyle name="20% - Accent3 4 3 3" xfId="5354" xr:uid="{00000000-0005-0000-0000-0000C2010000}"/>
    <cellStyle name="20% - Accent3 4 4" xfId="1460" xr:uid="{00000000-0005-0000-0000-0000C3010000}"/>
    <cellStyle name="20% - Accent3 4 4 2" xfId="3690" xr:uid="{00000000-0005-0000-0000-0000C4010000}"/>
    <cellStyle name="20% - Accent3 4 4 2 2" xfId="7912" xr:uid="{00000000-0005-0000-0000-0000C5010000}"/>
    <cellStyle name="20% - Accent3 4 4 3" xfId="5767" xr:uid="{00000000-0005-0000-0000-0000C6010000}"/>
    <cellStyle name="20% - Accent3 4 5" xfId="1874" xr:uid="{00000000-0005-0000-0000-0000C7010000}"/>
    <cellStyle name="20% - Accent3 4 5 2" xfId="4103" xr:uid="{00000000-0005-0000-0000-0000C8010000}"/>
    <cellStyle name="20% - Accent3 4 5 2 2" xfId="8325" xr:uid="{00000000-0005-0000-0000-0000C9010000}"/>
    <cellStyle name="20% - Accent3 4 5 3" xfId="6180" xr:uid="{00000000-0005-0000-0000-0000CA010000}"/>
    <cellStyle name="20% - Accent3 4 6" xfId="2287" xr:uid="{00000000-0005-0000-0000-0000CB010000}"/>
    <cellStyle name="20% - Accent3 4 6 2" xfId="6593" xr:uid="{00000000-0005-0000-0000-0000CC010000}"/>
    <cellStyle name="20% - Accent3 4 7" xfId="4527" xr:uid="{00000000-0005-0000-0000-0000CD010000}"/>
    <cellStyle name="20% - Accent3 5" xfId="586" xr:uid="{00000000-0005-0000-0000-0000CE010000}"/>
    <cellStyle name="20% - Accent3 5 2" xfId="2857" xr:uid="{00000000-0005-0000-0000-0000CF010000}"/>
    <cellStyle name="20% - Accent3 5 2 2" xfId="7079" xr:uid="{00000000-0005-0000-0000-0000D0010000}"/>
    <cellStyle name="20% - Accent3 5 3" xfId="4934" xr:uid="{00000000-0005-0000-0000-0000D1010000}"/>
    <cellStyle name="20% - Accent3 6" xfId="1039" xr:uid="{00000000-0005-0000-0000-0000D2010000}"/>
    <cellStyle name="20% - Accent3 6 2" xfId="3270" xr:uid="{00000000-0005-0000-0000-0000D3010000}"/>
    <cellStyle name="20% - Accent3 6 2 2" xfId="7492" xr:uid="{00000000-0005-0000-0000-0000D4010000}"/>
    <cellStyle name="20% - Accent3 6 3" xfId="5347" xr:uid="{00000000-0005-0000-0000-0000D5010000}"/>
    <cellStyle name="20% - Accent3 7" xfId="1453" xr:uid="{00000000-0005-0000-0000-0000D6010000}"/>
    <cellStyle name="20% - Accent3 7 2" xfId="3683" xr:uid="{00000000-0005-0000-0000-0000D7010000}"/>
    <cellStyle name="20% - Accent3 7 2 2" xfId="7905" xr:uid="{00000000-0005-0000-0000-0000D8010000}"/>
    <cellStyle name="20% - Accent3 7 3" xfId="5760" xr:uid="{00000000-0005-0000-0000-0000D9010000}"/>
    <cellStyle name="20% - Accent3 8" xfId="1867" xr:uid="{00000000-0005-0000-0000-0000DA010000}"/>
    <cellStyle name="20% - Accent3 8 2" xfId="4096" xr:uid="{00000000-0005-0000-0000-0000DB010000}"/>
    <cellStyle name="20% - Accent3 8 2 2" xfId="8318" xr:uid="{00000000-0005-0000-0000-0000DC010000}"/>
    <cellStyle name="20% - Accent3 8 3" xfId="6173" xr:uid="{00000000-0005-0000-0000-0000DD010000}"/>
    <cellStyle name="20% - Accent3 9" xfId="2280" xr:uid="{00000000-0005-0000-0000-0000DE010000}"/>
    <cellStyle name="20% - Accent3 9 2" xfId="6586" xr:uid="{00000000-0005-0000-0000-0000DF010000}"/>
    <cellStyle name="20% - Accent4" xfId="25" builtinId="42" customBuiltin="1"/>
    <cellStyle name="20% - Accent4 10" xfId="4528"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0" xr:uid="{00000000-0005-0000-0000-0000E7010000}"/>
    <cellStyle name="20% - Accent4 2 2 2 2 3" xfId="4945" xr:uid="{00000000-0005-0000-0000-0000E8010000}"/>
    <cellStyle name="20% - Accent4 2 2 2 3" xfId="1050" xr:uid="{00000000-0005-0000-0000-0000E9010000}"/>
    <cellStyle name="20% - Accent4 2 2 2 3 2" xfId="3281" xr:uid="{00000000-0005-0000-0000-0000EA010000}"/>
    <cellStyle name="20% - Accent4 2 2 2 3 2 2" xfId="7503" xr:uid="{00000000-0005-0000-0000-0000EB010000}"/>
    <cellStyle name="20% - Accent4 2 2 2 3 3" xfId="5358" xr:uid="{00000000-0005-0000-0000-0000EC010000}"/>
    <cellStyle name="20% - Accent4 2 2 2 4" xfId="1464" xr:uid="{00000000-0005-0000-0000-0000ED010000}"/>
    <cellStyle name="20% - Accent4 2 2 2 4 2" xfId="3694" xr:uid="{00000000-0005-0000-0000-0000EE010000}"/>
    <cellStyle name="20% - Accent4 2 2 2 4 2 2" xfId="7916" xr:uid="{00000000-0005-0000-0000-0000EF010000}"/>
    <cellStyle name="20% - Accent4 2 2 2 4 3" xfId="5771" xr:uid="{00000000-0005-0000-0000-0000F0010000}"/>
    <cellStyle name="20% - Accent4 2 2 2 5" xfId="1878" xr:uid="{00000000-0005-0000-0000-0000F1010000}"/>
    <cellStyle name="20% - Accent4 2 2 2 5 2" xfId="4107" xr:uid="{00000000-0005-0000-0000-0000F2010000}"/>
    <cellStyle name="20% - Accent4 2 2 2 5 2 2" xfId="8329" xr:uid="{00000000-0005-0000-0000-0000F3010000}"/>
    <cellStyle name="20% - Accent4 2 2 2 5 3" xfId="6184" xr:uid="{00000000-0005-0000-0000-0000F4010000}"/>
    <cellStyle name="20% - Accent4 2 2 2 6" xfId="2291" xr:uid="{00000000-0005-0000-0000-0000F5010000}"/>
    <cellStyle name="20% - Accent4 2 2 2 6 2" xfId="6597" xr:uid="{00000000-0005-0000-0000-0000F6010000}"/>
    <cellStyle name="20% - Accent4 2 2 2 7" xfId="4531" xr:uid="{00000000-0005-0000-0000-0000F7010000}"/>
    <cellStyle name="20% - Accent4 2 2 3" xfId="596" xr:uid="{00000000-0005-0000-0000-0000F8010000}"/>
    <cellStyle name="20% - Accent4 2 2 3 2" xfId="2867" xr:uid="{00000000-0005-0000-0000-0000F9010000}"/>
    <cellStyle name="20% - Accent4 2 2 3 2 2" xfId="7089" xr:uid="{00000000-0005-0000-0000-0000FA010000}"/>
    <cellStyle name="20% - Accent4 2 2 3 3" xfId="4944" xr:uid="{00000000-0005-0000-0000-0000FB010000}"/>
    <cellStyle name="20% - Accent4 2 2 4" xfId="1049" xr:uid="{00000000-0005-0000-0000-0000FC010000}"/>
    <cellStyle name="20% - Accent4 2 2 4 2" xfId="3280" xr:uid="{00000000-0005-0000-0000-0000FD010000}"/>
    <cellStyle name="20% - Accent4 2 2 4 2 2" xfId="7502" xr:uid="{00000000-0005-0000-0000-0000FE010000}"/>
    <cellStyle name="20% - Accent4 2 2 4 3" xfId="5357" xr:uid="{00000000-0005-0000-0000-0000FF010000}"/>
    <cellStyle name="20% - Accent4 2 2 5" xfId="1463" xr:uid="{00000000-0005-0000-0000-000000020000}"/>
    <cellStyle name="20% - Accent4 2 2 5 2" xfId="3693" xr:uid="{00000000-0005-0000-0000-000001020000}"/>
    <cellStyle name="20% - Accent4 2 2 5 2 2" xfId="7915" xr:uid="{00000000-0005-0000-0000-000002020000}"/>
    <cellStyle name="20% - Accent4 2 2 5 3" xfId="5770" xr:uid="{00000000-0005-0000-0000-000003020000}"/>
    <cellStyle name="20% - Accent4 2 2 6" xfId="1877" xr:uid="{00000000-0005-0000-0000-000004020000}"/>
    <cellStyle name="20% - Accent4 2 2 6 2" xfId="4106" xr:uid="{00000000-0005-0000-0000-000005020000}"/>
    <cellStyle name="20% - Accent4 2 2 6 2 2" xfId="8328" xr:uid="{00000000-0005-0000-0000-000006020000}"/>
    <cellStyle name="20% - Accent4 2 2 6 3" xfId="6183" xr:uid="{00000000-0005-0000-0000-000007020000}"/>
    <cellStyle name="20% - Accent4 2 2 7" xfId="2290" xr:uid="{00000000-0005-0000-0000-000008020000}"/>
    <cellStyle name="20% - Accent4 2 2 7 2" xfId="6596" xr:uid="{00000000-0005-0000-0000-000009020000}"/>
    <cellStyle name="20% - Accent4 2 2 8" xfId="4530"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1" xr:uid="{00000000-0005-0000-0000-00000E020000}"/>
    <cellStyle name="20% - Accent4 2 3 2 3" xfId="4946" xr:uid="{00000000-0005-0000-0000-00000F020000}"/>
    <cellStyle name="20% - Accent4 2 3 3" xfId="1051" xr:uid="{00000000-0005-0000-0000-000010020000}"/>
    <cellStyle name="20% - Accent4 2 3 3 2" xfId="3282" xr:uid="{00000000-0005-0000-0000-000011020000}"/>
    <cellStyle name="20% - Accent4 2 3 3 2 2" xfId="7504" xr:uid="{00000000-0005-0000-0000-000012020000}"/>
    <cellStyle name="20% - Accent4 2 3 3 3" xfId="5359" xr:uid="{00000000-0005-0000-0000-000013020000}"/>
    <cellStyle name="20% - Accent4 2 3 4" xfId="1465" xr:uid="{00000000-0005-0000-0000-000014020000}"/>
    <cellStyle name="20% - Accent4 2 3 4 2" xfId="3695" xr:uid="{00000000-0005-0000-0000-000015020000}"/>
    <cellStyle name="20% - Accent4 2 3 4 2 2" xfId="7917" xr:uid="{00000000-0005-0000-0000-000016020000}"/>
    <cellStyle name="20% - Accent4 2 3 4 3" xfId="5772" xr:uid="{00000000-0005-0000-0000-000017020000}"/>
    <cellStyle name="20% - Accent4 2 3 5" xfId="1879" xr:uid="{00000000-0005-0000-0000-000018020000}"/>
    <cellStyle name="20% - Accent4 2 3 5 2" xfId="4108" xr:uid="{00000000-0005-0000-0000-000019020000}"/>
    <cellStyle name="20% - Accent4 2 3 5 2 2" xfId="8330" xr:uid="{00000000-0005-0000-0000-00001A020000}"/>
    <cellStyle name="20% - Accent4 2 3 5 3" xfId="6185" xr:uid="{00000000-0005-0000-0000-00001B020000}"/>
    <cellStyle name="20% - Accent4 2 3 6" xfId="2292" xr:uid="{00000000-0005-0000-0000-00001C020000}"/>
    <cellStyle name="20% - Accent4 2 3 6 2" xfId="6598" xr:uid="{00000000-0005-0000-0000-00001D020000}"/>
    <cellStyle name="20% - Accent4 2 3 7" xfId="4532" xr:uid="{00000000-0005-0000-0000-00001E020000}"/>
    <cellStyle name="20% - Accent4 2 4" xfId="595" xr:uid="{00000000-0005-0000-0000-00001F020000}"/>
    <cellStyle name="20% - Accent4 2 4 2" xfId="2866" xr:uid="{00000000-0005-0000-0000-000020020000}"/>
    <cellStyle name="20% - Accent4 2 4 2 2" xfId="7088" xr:uid="{00000000-0005-0000-0000-000021020000}"/>
    <cellStyle name="20% - Accent4 2 4 3" xfId="4943" xr:uid="{00000000-0005-0000-0000-000022020000}"/>
    <cellStyle name="20% - Accent4 2 5" xfId="1048" xr:uid="{00000000-0005-0000-0000-000023020000}"/>
    <cellStyle name="20% - Accent4 2 5 2" xfId="3279" xr:uid="{00000000-0005-0000-0000-000024020000}"/>
    <cellStyle name="20% - Accent4 2 5 2 2" xfId="7501" xr:uid="{00000000-0005-0000-0000-000025020000}"/>
    <cellStyle name="20% - Accent4 2 5 3" xfId="5356" xr:uid="{00000000-0005-0000-0000-000026020000}"/>
    <cellStyle name="20% - Accent4 2 6" xfId="1462" xr:uid="{00000000-0005-0000-0000-000027020000}"/>
    <cellStyle name="20% - Accent4 2 6 2" xfId="3692" xr:uid="{00000000-0005-0000-0000-000028020000}"/>
    <cellStyle name="20% - Accent4 2 6 2 2" xfId="7914" xr:uid="{00000000-0005-0000-0000-000029020000}"/>
    <cellStyle name="20% - Accent4 2 6 3" xfId="5769" xr:uid="{00000000-0005-0000-0000-00002A020000}"/>
    <cellStyle name="20% - Accent4 2 7" xfId="1876" xr:uid="{00000000-0005-0000-0000-00002B020000}"/>
    <cellStyle name="20% - Accent4 2 7 2" xfId="4105" xr:uid="{00000000-0005-0000-0000-00002C020000}"/>
    <cellStyle name="20% - Accent4 2 7 2 2" xfId="8327" xr:uid="{00000000-0005-0000-0000-00002D020000}"/>
    <cellStyle name="20% - Accent4 2 7 3" xfId="6182" xr:uid="{00000000-0005-0000-0000-00002E020000}"/>
    <cellStyle name="20% - Accent4 2 8" xfId="2289" xr:uid="{00000000-0005-0000-0000-00002F020000}"/>
    <cellStyle name="20% - Accent4 2 8 2" xfId="6595" xr:uid="{00000000-0005-0000-0000-000030020000}"/>
    <cellStyle name="20% - Accent4 2 9" xfId="4529"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3" xr:uid="{00000000-0005-0000-0000-000036020000}"/>
    <cellStyle name="20% - Accent4 3 2 2 3" xfId="4948" xr:uid="{00000000-0005-0000-0000-000037020000}"/>
    <cellStyle name="20% - Accent4 3 2 3" xfId="1053" xr:uid="{00000000-0005-0000-0000-000038020000}"/>
    <cellStyle name="20% - Accent4 3 2 3 2" xfId="3284" xr:uid="{00000000-0005-0000-0000-000039020000}"/>
    <cellStyle name="20% - Accent4 3 2 3 2 2" xfId="7506" xr:uid="{00000000-0005-0000-0000-00003A020000}"/>
    <cellStyle name="20% - Accent4 3 2 3 3" xfId="5361" xr:uid="{00000000-0005-0000-0000-00003B020000}"/>
    <cellStyle name="20% - Accent4 3 2 4" xfId="1467" xr:uid="{00000000-0005-0000-0000-00003C020000}"/>
    <cellStyle name="20% - Accent4 3 2 4 2" xfId="3697" xr:uid="{00000000-0005-0000-0000-00003D020000}"/>
    <cellStyle name="20% - Accent4 3 2 4 2 2" xfId="7919" xr:uid="{00000000-0005-0000-0000-00003E020000}"/>
    <cellStyle name="20% - Accent4 3 2 4 3" xfId="5774" xr:uid="{00000000-0005-0000-0000-00003F020000}"/>
    <cellStyle name="20% - Accent4 3 2 5" xfId="1881" xr:uid="{00000000-0005-0000-0000-000040020000}"/>
    <cellStyle name="20% - Accent4 3 2 5 2" xfId="4110" xr:uid="{00000000-0005-0000-0000-000041020000}"/>
    <cellStyle name="20% - Accent4 3 2 5 2 2" xfId="8332" xr:uid="{00000000-0005-0000-0000-000042020000}"/>
    <cellStyle name="20% - Accent4 3 2 5 3" xfId="6187" xr:uid="{00000000-0005-0000-0000-000043020000}"/>
    <cellStyle name="20% - Accent4 3 2 6" xfId="2294" xr:uid="{00000000-0005-0000-0000-000044020000}"/>
    <cellStyle name="20% - Accent4 3 2 6 2" xfId="6600" xr:uid="{00000000-0005-0000-0000-000045020000}"/>
    <cellStyle name="20% - Accent4 3 2 7" xfId="4534" xr:uid="{00000000-0005-0000-0000-000046020000}"/>
    <cellStyle name="20% - Accent4 3 3" xfId="599" xr:uid="{00000000-0005-0000-0000-000047020000}"/>
    <cellStyle name="20% - Accent4 3 3 2" xfId="2870" xr:uid="{00000000-0005-0000-0000-000048020000}"/>
    <cellStyle name="20% - Accent4 3 3 2 2" xfId="7092" xr:uid="{00000000-0005-0000-0000-000049020000}"/>
    <cellStyle name="20% - Accent4 3 3 3" xfId="4947" xr:uid="{00000000-0005-0000-0000-00004A020000}"/>
    <cellStyle name="20% - Accent4 3 4" xfId="1052" xr:uid="{00000000-0005-0000-0000-00004B020000}"/>
    <cellStyle name="20% - Accent4 3 4 2" xfId="3283" xr:uid="{00000000-0005-0000-0000-00004C020000}"/>
    <cellStyle name="20% - Accent4 3 4 2 2" xfId="7505" xr:uid="{00000000-0005-0000-0000-00004D020000}"/>
    <cellStyle name="20% - Accent4 3 4 3" xfId="5360" xr:uid="{00000000-0005-0000-0000-00004E020000}"/>
    <cellStyle name="20% - Accent4 3 5" xfId="1466" xr:uid="{00000000-0005-0000-0000-00004F020000}"/>
    <cellStyle name="20% - Accent4 3 5 2" xfId="3696" xr:uid="{00000000-0005-0000-0000-000050020000}"/>
    <cellStyle name="20% - Accent4 3 5 2 2" xfId="7918" xr:uid="{00000000-0005-0000-0000-000051020000}"/>
    <cellStyle name="20% - Accent4 3 5 3" xfId="5773" xr:uid="{00000000-0005-0000-0000-000052020000}"/>
    <cellStyle name="20% - Accent4 3 6" xfId="1880" xr:uid="{00000000-0005-0000-0000-000053020000}"/>
    <cellStyle name="20% - Accent4 3 6 2" xfId="4109" xr:uid="{00000000-0005-0000-0000-000054020000}"/>
    <cellStyle name="20% - Accent4 3 6 2 2" xfId="8331" xr:uid="{00000000-0005-0000-0000-000055020000}"/>
    <cellStyle name="20% - Accent4 3 6 3" xfId="6186" xr:uid="{00000000-0005-0000-0000-000056020000}"/>
    <cellStyle name="20% - Accent4 3 7" xfId="2293" xr:uid="{00000000-0005-0000-0000-000057020000}"/>
    <cellStyle name="20% - Accent4 3 7 2" xfId="6599" xr:uid="{00000000-0005-0000-0000-000058020000}"/>
    <cellStyle name="20% - Accent4 3 8" xfId="4533"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4" xr:uid="{00000000-0005-0000-0000-00005D020000}"/>
    <cellStyle name="20% - Accent4 4 2 3" xfId="4949" xr:uid="{00000000-0005-0000-0000-00005E020000}"/>
    <cellStyle name="20% - Accent4 4 3" xfId="1054" xr:uid="{00000000-0005-0000-0000-00005F020000}"/>
    <cellStyle name="20% - Accent4 4 3 2" xfId="3285" xr:uid="{00000000-0005-0000-0000-000060020000}"/>
    <cellStyle name="20% - Accent4 4 3 2 2" xfId="7507" xr:uid="{00000000-0005-0000-0000-000061020000}"/>
    <cellStyle name="20% - Accent4 4 3 3" xfId="5362" xr:uid="{00000000-0005-0000-0000-000062020000}"/>
    <cellStyle name="20% - Accent4 4 4" xfId="1468" xr:uid="{00000000-0005-0000-0000-000063020000}"/>
    <cellStyle name="20% - Accent4 4 4 2" xfId="3698" xr:uid="{00000000-0005-0000-0000-000064020000}"/>
    <cellStyle name="20% - Accent4 4 4 2 2" xfId="7920" xr:uid="{00000000-0005-0000-0000-000065020000}"/>
    <cellStyle name="20% - Accent4 4 4 3" xfId="5775" xr:uid="{00000000-0005-0000-0000-000066020000}"/>
    <cellStyle name="20% - Accent4 4 5" xfId="1882" xr:uid="{00000000-0005-0000-0000-000067020000}"/>
    <cellStyle name="20% - Accent4 4 5 2" xfId="4111" xr:uid="{00000000-0005-0000-0000-000068020000}"/>
    <cellStyle name="20% - Accent4 4 5 2 2" xfId="8333" xr:uid="{00000000-0005-0000-0000-000069020000}"/>
    <cellStyle name="20% - Accent4 4 5 3" xfId="6188" xr:uid="{00000000-0005-0000-0000-00006A020000}"/>
    <cellStyle name="20% - Accent4 4 6" xfId="2295" xr:uid="{00000000-0005-0000-0000-00006B020000}"/>
    <cellStyle name="20% - Accent4 4 6 2" xfId="6601" xr:uid="{00000000-0005-0000-0000-00006C020000}"/>
    <cellStyle name="20% - Accent4 4 7" xfId="4535" xr:uid="{00000000-0005-0000-0000-00006D020000}"/>
    <cellStyle name="20% - Accent4 5" xfId="594" xr:uid="{00000000-0005-0000-0000-00006E020000}"/>
    <cellStyle name="20% - Accent4 5 2" xfId="2865" xr:uid="{00000000-0005-0000-0000-00006F020000}"/>
    <cellStyle name="20% - Accent4 5 2 2" xfId="7087" xr:uid="{00000000-0005-0000-0000-000070020000}"/>
    <cellStyle name="20% - Accent4 5 3" xfId="4942" xr:uid="{00000000-0005-0000-0000-000071020000}"/>
    <cellStyle name="20% - Accent4 6" xfId="1047" xr:uid="{00000000-0005-0000-0000-000072020000}"/>
    <cellStyle name="20% - Accent4 6 2" xfId="3278" xr:uid="{00000000-0005-0000-0000-000073020000}"/>
    <cellStyle name="20% - Accent4 6 2 2" xfId="7500" xr:uid="{00000000-0005-0000-0000-000074020000}"/>
    <cellStyle name="20% - Accent4 6 3" xfId="5355" xr:uid="{00000000-0005-0000-0000-000075020000}"/>
    <cellStyle name="20% - Accent4 7" xfId="1461" xr:uid="{00000000-0005-0000-0000-000076020000}"/>
    <cellStyle name="20% - Accent4 7 2" xfId="3691" xr:uid="{00000000-0005-0000-0000-000077020000}"/>
    <cellStyle name="20% - Accent4 7 2 2" xfId="7913" xr:uid="{00000000-0005-0000-0000-000078020000}"/>
    <cellStyle name="20% - Accent4 7 3" xfId="5768" xr:uid="{00000000-0005-0000-0000-000079020000}"/>
    <cellStyle name="20% - Accent4 8" xfId="1875" xr:uid="{00000000-0005-0000-0000-00007A020000}"/>
    <cellStyle name="20% - Accent4 8 2" xfId="4104" xr:uid="{00000000-0005-0000-0000-00007B020000}"/>
    <cellStyle name="20% - Accent4 8 2 2" xfId="8326" xr:uid="{00000000-0005-0000-0000-00007C020000}"/>
    <cellStyle name="20% - Accent4 8 3" xfId="6181" xr:uid="{00000000-0005-0000-0000-00007D020000}"/>
    <cellStyle name="20% - Accent4 9" xfId="2288" xr:uid="{00000000-0005-0000-0000-00007E020000}"/>
    <cellStyle name="20% - Accent4 9 2" xfId="6594" xr:uid="{00000000-0005-0000-0000-00007F020000}"/>
    <cellStyle name="20% - Accent5" xfId="33" builtinId="46" customBuiltin="1"/>
    <cellStyle name="20% - Accent5 10" xfId="4536"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8" xr:uid="{00000000-0005-0000-0000-000087020000}"/>
    <cellStyle name="20% - Accent5 2 2 2 2 3" xfId="4953" xr:uid="{00000000-0005-0000-0000-000088020000}"/>
    <cellStyle name="20% - Accent5 2 2 2 3" xfId="1058" xr:uid="{00000000-0005-0000-0000-000089020000}"/>
    <cellStyle name="20% - Accent5 2 2 2 3 2" xfId="3289" xr:uid="{00000000-0005-0000-0000-00008A020000}"/>
    <cellStyle name="20% - Accent5 2 2 2 3 2 2" xfId="7511" xr:uid="{00000000-0005-0000-0000-00008B020000}"/>
    <cellStyle name="20% - Accent5 2 2 2 3 3" xfId="5366" xr:uid="{00000000-0005-0000-0000-00008C020000}"/>
    <cellStyle name="20% - Accent5 2 2 2 4" xfId="1472" xr:uid="{00000000-0005-0000-0000-00008D020000}"/>
    <cellStyle name="20% - Accent5 2 2 2 4 2" xfId="3702" xr:uid="{00000000-0005-0000-0000-00008E020000}"/>
    <cellStyle name="20% - Accent5 2 2 2 4 2 2" xfId="7924" xr:uid="{00000000-0005-0000-0000-00008F020000}"/>
    <cellStyle name="20% - Accent5 2 2 2 4 3" xfId="5779" xr:uid="{00000000-0005-0000-0000-000090020000}"/>
    <cellStyle name="20% - Accent5 2 2 2 5" xfId="1886" xr:uid="{00000000-0005-0000-0000-000091020000}"/>
    <cellStyle name="20% - Accent5 2 2 2 5 2" xfId="4115" xr:uid="{00000000-0005-0000-0000-000092020000}"/>
    <cellStyle name="20% - Accent5 2 2 2 5 2 2" xfId="8337" xr:uid="{00000000-0005-0000-0000-000093020000}"/>
    <cellStyle name="20% - Accent5 2 2 2 5 3" xfId="6192" xr:uid="{00000000-0005-0000-0000-000094020000}"/>
    <cellStyle name="20% - Accent5 2 2 2 6" xfId="2299" xr:uid="{00000000-0005-0000-0000-000095020000}"/>
    <cellStyle name="20% - Accent5 2 2 2 6 2" xfId="6605" xr:uid="{00000000-0005-0000-0000-000096020000}"/>
    <cellStyle name="20% - Accent5 2 2 2 7" xfId="4539" xr:uid="{00000000-0005-0000-0000-000097020000}"/>
    <cellStyle name="20% - Accent5 2 2 3" xfId="604" xr:uid="{00000000-0005-0000-0000-000098020000}"/>
    <cellStyle name="20% - Accent5 2 2 3 2" xfId="2875" xr:uid="{00000000-0005-0000-0000-000099020000}"/>
    <cellStyle name="20% - Accent5 2 2 3 2 2" xfId="7097" xr:uid="{00000000-0005-0000-0000-00009A020000}"/>
    <cellStyle name="20% - Accent5 2 2 3 3" xfId="4952" xr:uid="{00000000-0005-0000-0000-00009B020000}"/>
    <cellStyle name="20% - Accent5 2 2 4" xfId="1057" xr:uid="{00000000-0005-0000-0000-00009C020000}"/>
    <cellStyle name="20% - Accent5 2 2 4 2" xfId="3288" xr:uid="{00000000-0005-0000-0000-00009D020000}"/>
    <cellStyle name="20% - Accent5 2 2 4 2 2" xfId="7510" xr:uid="{00000000-0005-0000-0000-00009E020000}"/>
    <cellStyle name="20% - Accent5 2 2 4 3" xfId="5365" xr:uid="{00000000-0005-0000-0000-00009F020000}"/>
    <cellStyle name="20% - Accent5 2 2 5" xfId="1471" xr:uid="{00000000-0005-0000-0000-0000A0020000}"/>
    <cellStyle name="20% - Accent5 2 2 5 2" xfId="3701" xr:uid="{00000000-0005-0000-0000-0000A1020000}"/>
    <cellStyle name="20% - Accent5 2 2 5 2 2" xfId="7923" xr:uid="{00000000-0005-0000-0000-0000A2020000}"/>
    <cellStyle name="20% - Accent5 2 2 5 3" xfId="5778" xr:uid="{00000000-0005-0000-0000-0000A3020000}"/>
    <cellStyle name="20% - Accent5 2 2 6" xfId="1885" xr:uid="{00000000-0005-0000-0000-0000A4020000}"/>
    <cellStyle name="20% - Accent5 2 2 6 2" xfId="4114" xr:uid="{00000000-0005-0000-0000-0000A5020000}"/>
    <cellStyle name="20% - Accent5 2 2 6 2 2" xfId="8336" xr:uid="{00000000-0005-0000-0000-0000A6020000}"/>
    <cellStyle name="20% - Accent5 2 2 6 3" xfId="6191" xr:uid="{00000000-0005-0000-0000-0000A7020000}"/>
    <cellStyle name="20% - Accent5 2 2 7" xfId="2298" xr:uid="{00000000-0005-0000-0000-0000A8020000}"/>
    <cellStyle name="20% - Accent5 2 2 7 2" xfId="6604" xr:uid="{00000000-0005-0000-0000-0000A9020000}"/>
    <cellStyle name="20% - Accent5 2 2 8" xfId="4538"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099" xr:uid="{00000000-0005-0000-0000-0000AE020000}"/>
    <cellStyle name="20% - Accent5 2 3 2 3" xfId="4954" xr:uid="{00000000-0005-0000-0000-0000AF020000}"/>
    <cellStyle name="20% - Accent5 2 3 3" xfId="1059" xr:uid="{00000000-0005-0000-0000-0000B0020000}"/>
    <cellStyle name="20% - Accent5 2 3 3 2" xfId="3290" xr:uid="{00000000-0005-0000-0000-0000B1020000}"/>
    <cellStyle name="20% - Accent5 2 3 3 2 2" xfId="7512" xr:uid="{00000000-0005-0000-0000-0000B2020000}"/>
    <cellStyle name="20% - Accent5 2 3 3 3" xfId="5367" xr:uid="{00000000-0005-0000-0000-0000B3020000}"/>
    <cellStyle name="20% - Accent5 2 3 4" xfId="1473" xr:uid="{00000000-0005-0000-0000-0000B4020000}"/>
    <cellStyle name="20% - Accent5 2 3 4 2" xfId="3703" xr:uid="{00000000-0005-0000-0000-0000B5020000}"/>
    <cellStyle name="20% - Accent5 2 3 4 2 2" xfId="7925" xr:uid="{00000000-0005-0000-0000-0000B6020000}"/>
    <cellStyle name="20% - Accent5 2 3 4 3" xfId="5780" xr:uid="{00000000-0005-0000-0000-0000B7020000}"/>
    <cellStyle name="20% - Accent5 2 3 5" xfId="1887" xr:uid="{00000000-0005-0000-0000-0000B8020000}"/>
    <cellStyle name="20% - Accent5 2 3 5 2" xfId="4116" xr:uid="{00000000-0005-0000-0000-0000B9020000}"/>
    <cellStyle name="20% - Accent5 2 3 5 2 2" xfId="8338" xr:uid="{00000000-0005-0000-0000-0000BA020000}"/>
    <cellStyle name="20% - Accent5 2 3 5 3" xfId="6193" xr:uid="{00000000-0005-0000-0000-0000BB020000}"/>
    <cellStyle name="20% - Accent5 2 3 6" xfId="2300" xr:uid="{00000000-0005-0000-0000-0000BC020000}"/>
    <cellStyle name="20% - Accent5 2 3 6 2" xfId="6606" xr:uid="{00000000-0005-0000-0000-0000BD020000}"/>
    <cellStyle name="20% - Accent5 2 3 7" xfId="4540" xr:uid="{00000000-0005-0000-0000-0000BE020000}"/>
    <cellStyle name="20% - Accent5 2 4" xfId="603" xr:uid="{00000000-0005-0000-0000-0000BF020000}"/>
    <cellStyle name="20% - Accent5 2 4 2" xfId="2874" xr:uid="{00000000-0005-0000-0000-0000C0020000}"/>
    <cellStyle name="20% - Accent5 2 4 2 2" xfId="7096" xr:uid="{00000000-0005-0000-0000-0000C1020000}"/>
    <cellStyle name="20% - Accent5 2 4 3" xfId="4951" xr:uid="{00000000-0005-0000-0000-0000C2020000}"/>
    <cellStyle name="20% - Accent5 2 5" xfId="1056" xr:uid="{00000000-0005-0000-0000-0000C3020000}"/>
    <cellStyle name="20% - Accent5 2 5 2" xfId="3287" xr:uid="{00000000-0005-0000-0000-0000C4020000}"/>
    <cellStyle name="20% - Accent5 2 5 2 2" xfId="7509" xr:uid="{00000000-0005-0000-0000-0000C5020000}"/>
    <cellStyle name="20% - Accent5 2 5 3" xfId="5364" xr:uid="{00000000-0005-0000-0000-0000C6020000}"/>
    <cellStyle name="20% - Accent5 2 6" xfId="1470" xr:uid="{00000000-0005-0000-0000-0000C7020000}"/>
    <cellStyle name="20% - Accent5 2 6 2" xfId="3700" xr:uid="{00000000-0005-0000-0000-0000C8020000}"/>
    <cellStyle name="20% - Accent5 2 6 2 2" xfId="7922" xr:uid="{00000000-0005-0000-0000-0000C9020000}"/>
    <cellStyle name="20% - Accent5 2 6 3" xfId="5777" xr:uid="{00000000-0005-0000-0000-0000CA020000}"/>
    <cellStyle name="20% - Accent5 2 7" xfId="1884" xr:uid="{00000000-0005-0000-0000-0000CB020000}"/>
    <cellStyle name="20% - Accent5 2 7 2" xfId="4113" xr:uid="{00000000-0005-0000-0000-0000CC020000}"/>
    <cellStyle name="20% - Accent5 2 7 2 2" xfId="8335" xr:uid="{00000000-0005-0000-0000-0000CD020000}"/>
    <cellStyle name="20% - Accent5 2 7 3" xfId="6190" xr:uid="{00000000-0005-0000-0000-0000CE020000}"/>
    <cellStyle name="20% - Accent5 2 8" xfId="2297" xr:uid="{00000000-0005-0000-0000-0000CF020000}"/>
    <cellStyle name="20% - Accent5 2 8 2" xfId="6603" xr:uid="{00000000-0005-0000-0000-0000D0020000}"/>
    <cellStyle name="20% - Accent5 2 9" xfId="4537"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1" xr:uid="{00000000-0005-0000-0000-0000D6020000}"/>
    <cellStyle name="20% - Accent5 3 2 2 3" xfId="4956" xr:uid="{00000000-0005-0000-0000-0000D7020000}"/>
    <cellStyle name="20% - Accent5 3 2 3" xfId="1061" xr:uid="{00000000-0005-0000-0000-0000D8020000}"/>
    <cellStyle name="20% - Accent5 3 2 3 2" xfId="3292" xr:uid="{00000000-0005-0000-0000-0000D9020000}"/>
    <cellStyle name="20% - Accent5 3 2 3 2 2" xfId="7514" xr:uid="{00000000-0005-0000-0000-0000DA020000}"/>
    <cellStyle name="20% - Accent5 3 2 3 3" xfId="5369" xr:uid="{00000000-0005-0000-0000-0000DB020000}"/>
    <cellStyle name="20% - Accent5 3 2 4" xfId="1475" xr:uid="{00000000-0005-0000-0000-0000DC020000}"/>
    <cellStyle name="20% - Accent5 3 2 4 2" xfId="3705" xr:uid="{00000000-0005-0000-0000-0000DD020000}"/>
    <cellStyle name="20% - Accent5 3 2 4 2 2" xfId="7927" xr:uid="{00000000-0005-0000-0000-0000DE020000}"/>
    <cellStyle name="20% - Accent5 3 2 4 3" xfId="5782" xr:uid="{00000000-0005-0000-0000-0000DF020000}"/>
    <cellStyle name="20% - Accent5 3 2 5" xfId="1889" xr:uid="{00000000-0005-0000-0000-0000E0020000}"/>
    <cellStyle name="20% - Accent5 3 2 5 2" xfId="4118" xr:uid="{00000000-0005-0000-0000-0000E1020000}"/>
    <cellStyle name="20% - Accent5 3 2 5 2 2" xfId="8340" xr:uid="{00000000-0005-0000-0000-0000E2020000}"/>
    <cellStyle name="20% - Accent5 3 2 5 3" xfId="6195" xr:uid="{00000000-0005-0000-0000-0000E3020000}"/>
    <cellStyle name="20% - Accent5 3 2 6" xfId="2302" xr:uid="{00000000-0005-0000-0000-0000E4020000}"/>
    <cellStyle name="20% - Accent5 3 2 6 2" xfId="6608" xr:uid="{00000000-0005-0000-0000-0000E5020000}"/>
    <cellStyle name="20% - Accent5 3 2 7" xfId="4542" xr:uid="{00000000-0005-0000-0000-0000E6020000}"/>
    <cellStyle name="20% - Accent5 3 3" xfId="607" xr:uid="{00000000-0005-0000-0000-0000E7020000}"/>
    <cellStyle name="20% - Accent5 3 3 2" xfId="2878" xr:uid="{00000000-0005-0000-0000-0000E8020000}"/>
    <cellStyle name="20% - Accent5 3 3 2 2" xfId="7100" xr:uid="{00000000-0005-0000-0000-0000E9020000}"/>
    <cellStyle name="20% - Accent5 3 3 3" xfId="4955" xr:uid="{00000000-0005-0000-0000-0000EA020000}"/>
    <cellStyle name="20% - Accent5 3 4" xfId="1060" xr:uid="{00000000-0005-0000-0000-0000EB020000}"/>
    <cellStyle name="20% - Accent5 3 4 2" xfId="3291" xr:uid="{00000000-0005-0000-0000-0000EC020000}"/>
    <cellStyle name="20% - Accent5 3 4 2 2" xfId="7513" xr:uid="{00000000-0005-0000-0000-0000ED020000}"/>
    <cellStyle name="20% - Accent5 3 4 3" xfId="5368" xr:uid="{00000000-0005-0000-0000-0000EE020000}"/>
    <cellStyle name="20% - Accent5 3 5" xfId="1474" xr:uid="{00000000-0005-0000-0000-0000EF020000}"/>
    <cellStyle name="20% - Accent5 3 5 2" xfId="3704" xr:uid="{00000000-0005-0000-0000-0000F0020000}"/>
    <cellStyle name="20% - Accent5 3 5 2 2" xfId="7926" xr:uid="{00000000-0005-0000-0000-0000F1020000}"/>
    <cellStyle name="20% - Accent5 3 5 3" xfId="5781" xr:uid="{00000000-0005-0000-0000-0000F2020000}"/>
    <cellStyle name="20% - Accent5 3 6" xfId="1888" xr:uid="{00000000-0005-0000-0000-0000F3020000}"/>
    <cellStyle name="20% - Accent5 3 6 2" xfId="4117" xr:uid="{00000000-0005-0000-0000-0000F4020000}"/>
    <cellStyle name="20% - Accent5 3 6 2 2" xfId="8339" xr:uid="{00000000-0005-0000-0000-0000F5020000}"/>
    <cellStyle name="20% - Accent5 3 6 3" xfId="6194" xr:uid="{00000000-0005-0000-0000-0000F6020000}"/>
    <cellStyle name="20% - Accent5 3 7" xfId="2301" xr:uid="{00000000-0005-0000-0000-0000F7020000}"/>
    <cellStyle name="20% - Accent5 3 7 2" xfId="6607" xr:uid="{00000000-0005-0000-0000-0000F8020000}"/>
    <cellStyle name="20% - Accent5 3 8" xfId="4541"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2" xr:uid="{00000000-0005-0000-0000-0000FD020000}"/>
    <cellStyle name="20% - Accent5 4 2 3" xfId="4957" xr:uid="{00000000-0005-0000-0000-0000FE020000}"/>
    <cellStyle name="20% - Accent5 4 3" xfId="1062" xr:uid="{00000000-0005-0000-0000-0000FF020000}"/>
    <cellStyle name="20% - Accent5 4 3 2" xfId="3293" xr:uid="{00000000-0005-0000-0000-000000030000}"/>
    <cellStyle name="20% - Accent5 4 3 2 2" xfId="7515" xr:uid="{00000000-0005-0000-0000-000001030000}"/>
    <cellStyle name="20% - Accent5 4 3 3" xfId="5370" xr:uid="{00000000-0005-0000-0000-000002030000}"/>
    <cellStyle name="20% - Accent5 4 4" xfId="1476" xr:uid="{00000000-0005-0000-0000-000003030000}"/>
    <cellStyle name="20% - Accent5 4 4 2" xfId="3706" xr:uid="{00000000-0005-0000-0000-000004030000}"/>
    <cellStyle name="20% - Accent5 4 4 2 2" xfId="7928" xr:uid="{00000000-0005-0000-0000-000005030000}"/>
    <cellStyle name="20% - Accent5 4 4 3" xfId="5783" xr:uid="{00000000-0005-0000-0000-000006030000}"/>
    <cellStyle name="20% - Accent5 4 5" xfId="1890" xr:uid="{00000000-0005-0000-0000-000007030000}"/>
    <cellStyle name="20% - Accent5 4 5 2" xfId="4119" xr:uid="{00000000-0005-0000-0000-000008030000}"/>
    <cellStyle name="20% - Accent5 4 5 2 2" xfId="8341" xr:uid="{00000000-0005-0000-0000-000009030000}"/>
    <cellStyle name="20% - Accent5 4 5 3" xfId="6196" xr:uid="{00000000-0005-0000-0000-00000A030000}"/>
    <cellStyle name="20% - Accent5 4 6" xfId="2303" xr:uid="{00000000-0005-0000-0000-00000B030000}"/>
    <cellStyle name="20% - Accent5 4 6 2" xfId="6609" xr:uid="{00000000-0005-0000-0000-00000C030000}"/>
    <cellStyle name="20% - Accent5 4 7" xfId="4543" xr:uid="{00000000-0005-0000-0000-00000D030000}"/>
    <cellStyle name="20% - Accent5 5" xfId="602" xr:uid="{00000000-0005-0000-0000-00000E030000}"/>
    <cellStyle name="20% - Accent5 5 2" xfId="2873" xr:uid="{00000000-0005-0000-0000-00000F030000}"/>
    <cellStyle name="20% - Accent5 5 2 2" xfId="7095" xr:uid="{00000000-0005-0000-0000-000010030000}"/>
    <cellStyle name="20% - Accent5 5 3" xfId="4950" xr:uid="{00000000-0005-0000-0000-000011030000}"/>
    <cellStyle name="20% - Accent5 6" xfId="1055" xr:uid="{00000000-0005-0000-0000-000012030000}"/>
    <cellStyle name="20% - Accent5 6 2" xfId="3286" xr:uid="{00000000-0005-0000-0000-000013030000}"/>
    <cellStyle name="20% - Accent5 6 2 2" xfId="7508" xr:uid="{00000000-0005-0000-0000-000014030000}"/>
    <cellStyle name="20% - Accent5 6 3" xfId="5363" xr:uid="{00000000-0005-0000-0000-000015030000}"/>
    <cellStyle name="20% - Accent5 7" xfId="1469" xr:uid="{00000000-0005-0000-0000-000016030000}"/>
    <cellStyle name="20% - Accent5 7 2" xfId="3699" xr:uid="{00000000-0005-0000-0000-000017030000}"/>
    <cellStyle name="20% - Accent5 7 2 2" xfId="7921" xr:uid="{00000000-0005-0000-0000-000018030000}"/>
    <cellStyle name="20% - Accent5 7 3" xfId="5776" xr:uid="{00000000-0005-0000-0000-000019030000}"/>
    <cellStyle name="20% - Accent5 8" xfId="1883" xr:uid="{00000000-0005-0000-0000-00001A030000}"/>
    <cellStyle name="20% - Accent5 8 2" xfId="4112" xr:uid="{00000000-0005-0000-0000-00001B030000}"/>
    <cellStyle name="20% - Accent5 8 2 2" xfId="8334" xr:uid="{00000000-0005-0000-0000-00001C030000}"/>
    <cellStyle name="20% - Accent5 8 3" xfId="6189" xr:uid="{00000000-0005-0000-0000-00001D030000}"/>
    <cellStyle name="20% - Accent5 9" xfId="2296" xr:uid="{00000000-0005-0000-0000-00001E030000}"/>
    <cellStyle name="20% - Accent5 9 2" xfId="6602" xr:uid="{00000000-0005-0000-0000-00001F030000}"/>
    <cellStyle name="20% - Accent6" xfId="41" builtinId="50" customBuiltin="1"/>
    <cellStyle name="20% - Accent6 10" xfId="4544"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6" xr:uid="{00000000-0005-0000-0000-000027030000}"/>
    <cellStyle name="20% - Accent6 2 2 2 2 3" xfId="4961" xr:uid="{00000000-0005-0000-0000-000028030000}"/>
    <cellStyle name="20% - Accent6 2 2 2 3" xfId="1066" xr:uid="{00000000-0005-0000-0000-000029030000}"/>
    <cellStyle name="20% - Accent6 2 2 2 3 2" xfId="3297" xr:uid="{00000000-0005-0000-0000-00002A030000}"/>
    <cellStyle name="20% - Accent6 2 2 2 3 2 2" xfId="7519" xr:uid="{00000000-0005-0000-0000-00002B030000}"/>
    <cellStyle name="20% - Accent6 2 2 2 3 3" xfId="5374" xr:uid="{00000000-0005-0000-0000-00002C030000}"/>
    <cellStyle name="20% - Accent6 2 2 2 4" xfId="1480" xr:uid="{00000000-0005-0000-0000-00002D030000}"/>
    <cellStyle name="20% - Accent6 2 2 2 4 2" xfId="3710" xr:uid="{00000000-0005-0000-0000-00002E030000}"/>
    <cellStyle name="20% - Accent6 2 2 2 4 2 2" xfId="7932" xr:uid="{00000000-0005-0000-0000-00002F030000}"/>
    <cellStyle name="20% - Accent6 2 2 2 4 3" xfId="5787" xr:uid="{00000000-0005-0000-0000-000030030000}"/>
    <cellStyle name="20% - Accent6 2 2 2 5" xfId="1894" xr:uid="{00000000-0005-0000-0000-000031030000}"/>
    <cellStyle name="20% - Accent6 2 2 2 5 2" xfId="4123" xr:uid="{00000000-0005-0000-0000-000032030000}"/>
    <cellStyle name="20% - Accent6 2 2 2 5 2 2" xfId="8345" xr:uid="{00000000-0005-0000-0000-000033030000}"/>
    <cellStyle name="20% - Accent6 2 2 2 5 3" xfId="6200" xr:uid="{00000000-0005-0000-0000-000034030000}"/>
    <cellStyle name="20% - Accent6 2 2 2 6" xfId="2307" xr:uid="{00000000-0005-0000-0000-000035030000}"/>
    <cellStyle name="20% - Accent6 2 2 2 6 2" xfId="6613" xr:uid="{00000000-0005-0000-0000-000036030000}"/>
    <cellStyle name="20% - Accent6 2 2 2 7" xfId="4547" xr:uid="{00000000-0005-0000-0000-000037030000}"/>
    <cellStyle name="20% - Accent6 2 2 3" xfId="612" xr:uid="{00000000-0005-0000-0000-000038030000}"/>
    <cellStyle name="20% - Accent6 2 2 3 2" xfId="2883" xr:uid="{00000000-0005-0000-0000-000039030000}"/>
    <cellStyle name="20% - Accent6 2 2 3 2 2" xfId="7105" xr:uid="{00000000-0005-0000-0000-00003A030000}"/>
    <cellStyle name="20% - Accent6 2 2 3 3" xfId="4960" xr:uid="{00000000-0005-0000-0000-00003B030000}"/>
    <cellStyle name="20% - Accent6 2 2 4" xfId="1065" xr:uid="{00000000-0005-0000-0000-00003C030000}"/>
    <cellStyle name="20% - Accent6 2 2 4 2" xfId="3296" xr:uid="{00000000-0005-0000-0000-00003D030000}"/>
    <cellStyle name="20% - Accent6 2 2 4 2 2" xfId="7518" xr:uid="{00000000-0005-0000-0000-00003E030000}"/>
    <cellStyle name="20% - Accent6 2 2 4 3" xfId="5373" xr:uid="{00000000-0005-0000-0000-00003F030000}"/>
    <cellStyle name="20% - Accent6 2 2 5" xfId="1479" xr:uid="{00000000-0005-0000-0000-000040030000}"/>
    <cellStyle name="20% - Accent6 2 2 5 2" xfId="3709" xr:uid="{00000000-0005-0000-0000-000041030000}"/>
    <cellStyle name="20% - Accent6 2 2 5 2 2" xfId="7931" xr:uid="{00000000-0005-0000-0000-000042030000}"/>
    <cellStyle name="20% - Accent6 2 2 5 3" xfId="5786" xr:uid="{00000000-0005-0000-0000-000043030000}"/>
    <cellStyle name="20% - Accent6 2 2 6" xfId="1893" xr:uid="{00000000-0005-0000-0000-000044030000}"/>
    <cellStyle name="20% - Accent6 2 2 6 2" xfId="4122" xr:uid="{00000000-0005-0000-0000-000045030000}"/>
    <cellStyle name="20% - Accent6 2 2 6 2 2" xfId="8344" xr:uid="{00000000-0005-0000-0000-000046030000}"/>
    <cellStyle name="20% - Accent6 2 2 6 3" xfId="6199" xr:uid="{00000000-0005-0000-0000-000047030000}"/>
    <cellStyle name="20% - Accent6 2 2 7" xfId="2306" xr:uid="{00000000-0005-0000-0000-000048030000}"/>
    <cellStyle name="20% - Accent6 2 2 7 2" xfId="6612" xr:uid="{00000000-0005-0000-0000-000049030000}"/>
    <cellStyle name="20% - Accent6 2 2 8" xfId="4546"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7" xr:uid="{00000000-0005-0000-0000-00004E030000}"/>
    <cellStyle name="20% - Accent6 2 3 2 3" xfId="4962" xr:uid="{00000000-0005-0000-0000-00004F030000}"/>
    <cellStyle name="20% - Accent6 2 3 3" xfId="1067" xr:uid="{00000000-0005-0000-0000-000050030000}"/>
    <cellStyle name="20% - Accent6 2 3 3 2" xfId="3298" xr:uid="{00000000-0005-0000-0000-000051030000}"/>
    <cellStyle name="20% - Accent6 2 3 3 2 2" xfId="7520" xr:uid="{00000000-0005-0000-0000-000052030000}"/>
    <cellStyle name="20% - Accent6 2 3 3 3" xfId="5375" xr:uid="{00000000-0005-0000-0000-000053030000}"/>
    <cellStyle name="20% - Accent6 2 3 4" xfId="1481" xr:uid="{00000000-0005-0000-0000-000054030000}"/>
    <cellStyle name="20% - Accent6 2 3 4 2" xfId="3711" xr:uid="{00000000-0005-0000-0000-000055030000}"/>
    <cellStyle name="20% - Accent6 2 3 4 2 2" xfId="7933" xr:uid="{00000000-0005-0000-0000-000056030000}"/>
    <cellStyle name="20% - Accent6 2 3 4 3" xfId="5788" xr:uid="{00000000-0005-0000-0000-000057030000}"/>
    <cellStyle name="20% - Accent6 2 3 5" xfId="1895" xr:uid="{00000000-0005-0000-0000-000058030000}"/>
    <cellStyle name="20% - Accent6 2 3 5 2" xfId="4124" xr:uid="{00000000-0005-0000-0000-000059030000}"/>
    <cellStyle name="20% - Accent6 2 3 5 2 2" xfId="8346" xr:uid="{00000000-0005-0000-0000-00005A030000}"/>
    <cellStyle name="20% - Accent6 2 3 5 3" xfId="6201" xr:uid="{00000000-0005-0000-0000-00005B030000}"/>
    <cellStyle name="20% - Accent6 2 3 6" xfId="2308" xr:uid="{00000000-0005-0000-0000-00005C030000}"/>
    <cellStyle name="20% - Accent6 2 3 6 2" xfId="6614" xr:uid="{00000000-0005-0000-0000-00005D030000}"/>
    <cellStyle name="20% - Accent6 2 3 7" xfId="4548" xr:uid="{00000000-0005-0000-0000-00005E030000}"/>
    <cellStyle name="20% - Accent6 2 4" xfId="611" xr:uid="{00000000-0005-0000-0000-00005F030000}"/>
    <cellStyle name="20% - Accent6 2 4 2" xfId="2882" xr:uid="{00000000-0005-0000-0000-000060030000}"/>
    <cellStyle name="20% - Accent6 2 4 2 2" xfId="7104" xr:uid="{00000000-0005-0000-0000-000061030000}"/>
    <cellStyle name="20% - Accent6 2 4 3" xfId="4959" xr:uid="{00000000-0005-0000-0000-000062030000}"/>
    <cellStyle name="20% - Accent6 2 5" xfId="1064" xr:uid="{00000000-0005-0000-0000-000063030000}"/>
    <cellStyle name="20% - Accent6 2 5 2" xfId="3295" xr:uid="{00000000-0005-0000-0000-000064030000}"/>
    <cellStyle name="20% - Accent6 2 5 2 2" xfId="7517" xr:uid="{00000000-0005-0000-0000-000065030000}"/>
    <cellStyle name="20% - Accent6 2 5 3" xfId="5372" xr:uid="{00000000-0005-0000-0000-000066030000}"/>
    <cellStyle name="20% - Accent6 2 6" xfId="1478" xr:uid="{00000000-0005-0000-0000-000067030000}"/>
    <cellStyle name="20% - Accent6 2 6 2" xfId="3708" xr:uid="{00000000-0005-0000-0000-000068030000}"/>
    <cellStyle name="20% - Accent6 2 6 2 2" xfId="7930" xr:uid="{00000000-0005-0000-0000-000069030000}"/>
    <cellStyle name="20% - Accent6 2 6 3" xfId="5785" xr:uid="{00000000-0005-0000-0000-00006A030000}"/>
    <cellStyle name="20% - Accent6 2 7" xfId="1892" xr:uid="{00000000-0005-0000-0000-00006B030000}"/>
    <cellStyle name="20% - Accent6 2 7 2" xfId="4121" xr:uid="{00000000-0005-0000-0000-00006C030000}"/>
    <cellStyle name="20% - Accent6 2 7 2 2" xfId="8343" xr:uid="{00000000-0005-0000-0000-00006D030000}"/>
    <cellStyle name="20% - Accent6 2 7 3" xfId="6198" xr:uid="{00000000-0005-0000-0000-00006E030000}"/>
    <cellStyle name="20% - Accent6 2 8" xfId="2305" xr:uid="{00000000-0005-0000-0000-00006F030000}"/>
    <cellStyle name="20% - Accent6 2 8 2" xfId="6611" xr:uid="{00000000-0005-0000-0000-000070030000}"/>
    <cellStyle name="20% - Accent6 2 9" xfId="4545"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09" xr:uid="{00000000-0005-0000-0000-000076030000}"/>
    <cellStyle name="20% - Accent6 3 2 2 3" xfId="4964" xr:uid="{00000000-0005-0000-0000-000077030000}"/>
    <cellStyle name="20% - Accent6 3 2 3" xfId="1069" xr:uid="{00000000-0005-0000-0000-000078030000}"/>
    <cellStyle name="20% - Accent6 3 2 3 2" xfId="3300" xr:uid="{00000000-0005-0000-0000-000079030000}"/>
    <cellStyle name="20% - Accent6 3 2 3 2 2" xfId="7522" xr:uid="{00000000-0005-0000-0000-00007A030000}"/>
    <cellStyle name="20% - Accent6 3 2 3 3" xfId="5377" xr:uid="{00000000-0005-0000-0000-00007B030000}"/>
    <cellStyle name="20% - Accent6 3 2 4" xfId="1483" xr:uid="{00000000-0005-0000-0000-00007C030000}"/>
    <cellStyle name="20% - Accent6 3 2 4 2" xfId="3713" xr:uid="{00000000-0005-0000-0000-00007D030000}"/>
    <cellStyle name="20% - Accent6 3 2 4 2 2" xfId="7935" xr:uid="{00000000-0005-0000-0000-00007E030000}"/>
    <cellStyle name="20% - Accent6 3 2 4 3" xfId="5790" xr:uid="{00000000-0005-0000-0000-00007F030000}"/>
    <cellStyle name="20% - Accent6 3 2 5" xfId="1897" xr:uid="{00000000-0005-0000-0000-000080030000}"/>
    <cellStyle name="20% - Accent6 3 2 5 2" xfId="4126" xr:uid="{00000000-0005-0000-0000-000081030000}"/>
    <cellStyle name="20% - Accent6 3 2 5 2 2" xfId="8348" xr:uid="{00000000-0005-0000-0000-000082030000}"/>
    <cellStyle name="20% - Accent6 3 2 5 3" xfId="6203" xr:uid="{00000000-0005-0000-0000-000083030000}"/>
    <cellStyle name="20% - Accent6 3 2 6" xfId="2310" xr:uid="{00000000-0005-0000-0000-000084030000}"/>
    <cellStyle name="20% - Accent6 3 2 6 2" xfId="6616" xr:uid="{00000000-0005-0000-0000-000085030000}"/>
    <cellStyle name="20% - Accent6 3 2 7" xfId="4550" xr:uid="{00000000-0005-0000-0000-000086030000}"/>
    <cellStyle name="20% - Accent6 3 3" xfId="615" xr:uid="{00000000-0005-0000-0000-000087030000}"/>
    <cellStyle name="20% - Accent6 3 3 2" xfId="2886" xr:uid="{00000000-0005-0000-0000-000088030000}"/>
    <cellStyle name="20% - Accent6 3 3 2 2" xfId="7108" xr:uid="{00000000-0005-0000-0000-000089030000}"/>
    <cellStyle name="20% - Accent6 3 3 3" xfId="4963" xr:uid="{00000000-0005-0000-0000-00008A030000}"/>
    <cellStyle name="20% - Accent6 3 4" xfId="1068" xr:uid="{00000000-0005-0000-0000-00008B030000}"/>
    <cellStyle name="20% - Accent6 3 4 2" xfId="3299" xr:uid="{00000000-0005-0000-0000-00008C030000}"/>
    <cellStyle name="20% - Accent6 3 4 2 2" xfId="7521" xr:uid="{00000000-0005-0000-0000-00008D030000}"/>
    <cellStyle name="20% - Accent6 3 4 3" xfId="5376" xr:uid="{00000000-0005-0000-0000-00008E030000}"/>
    <cellStyle name="20% - Accent6 3 5" xfId="1482" xr:uid="{00000000-0005-0000-0000-00008F030000}"/>
    <cellStyle name="20% - Accent6 3 5 2" xfId="3712" xr:uid="{00000000-0005-0000-0000-000090030000}"/>
    <cellStyle name="20% - Accent6 3 5 2 2" xfId="7934" xr:uid="{00000000-0005-0000-0000-000091030000}"/>
    <cellStyle name="20% - Accent6 3 5 3" xfId="5789" xr:uid="{00000000-0005-0000-0000-000092030000}"/>
    <cellStyle name="20% - Accent6 3 6" xfId="1896" xr:uid="{00000000-0005-0000-0000-000093030000}"/>
    <cellStyle name="20% - Accent6 3 6 2" xfId="4125" xr:uid="{00000000-0005-0000-0000-000094030000}"/>
    <cellStyle name="20% - Accent6 3 6 2 2" xfId="8347" xr:uid="{00000000-0005-0000-0000-000095030000}"/>
    <cellStyle name="20% - Accent6 3 6 3" xfId="6202" xr:uid="{00000000-0005-0000-0000-000096030000}"/>
    <cellStyle name="20% - Accent6 3 7" xfId="2309" xr:uid="{00000000-0005-0000-0000-000097030000}"/>
    <cellStyle name="20% - Accent6 3 7 2" xfId="6615" xr:uid="{00000000-0005-0000-0000-000098030000}"/>
    <cellStyle name="20% - Accent6 3 8" xfId="4549"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0" xr:uid="{00000000-0005-0000-0000-00009D030000}"/>
    <cellStyle name="20% - Accent6 4 2 3" xfId="4965" xr:uid="{00000000-0005-0000-0000-00009E030000}"/>
    <cellStyle name="20% - Accent6 4 3" xfId="1070" xr:uid="{00000000-0005-0000-0000-00009F030000}"/>
    <cellStyle name="20% - Accent6 4 3 2" xfId="3301" xr:uid="{00000000-0005-0000-0000-0000A0030000}"/>
    <cellStyle name="20% - Accent6 4 3 2 2" xfId="7523" xr:uid="{00000000-0005-0000-0000-0000A1030000}"/>
    <cellStyle name="20% - Accent6 4 3 3" xfId="5378" xr:uid="{00000000-0005-0000-0000-0000A2030000}"/>
    <cellStyle name="20% - Accent6 4 4" xfId="1484" xr:uid="{00000000-0005-0000-0000-0000A3030000}"/>
    <cellStyle name="20% - Accent6 4 4 2" xfId="3714" xr:uid="{00000000-0005-0000-0000-0000A4030000}"/>
    <cellStyle name="20% - Accent6 4 4 2 2" xfId="7936" xr:uid="{00000000-0005-0000-0000-0000A5030000}"/>
    <cellStyle name="20% - Accent6 4 4 3" xfId="5791" xr:uid="{00000000-0005-0000-0000-0000A6030000}"/>
    <cellStyle name="20% - Accent6 4 5" xfId="1898" xr:uid="{00000000-0005-0000-0000-0000A7030000}"/>
    <cellStyle name="20% - Accent6 4 5 2" xfId="4127" xr:uid="{00000000-0005-0000-0000-0000A8030000}"/>
    <cellStyle name="20% - Accent6 4 5 2 2" xfId="8349" xr:uid="{00000000-0005-0000-0000-0000A9030000}"/>
    <cellStyle name="20% - Accent6 4 5 3" xfId="6204" xr:uid="{00000000-0005-0000-0000-0000AA030000}"/>
    <cellStyle name="20% - Accent6 4 6" xfId="2311" xr:uid="{00000000-0005-0000-0000-0000AB030000}"/>
    <cellStyle name="20% - Accent6 4 6 2" xfId="6617" xr:uid="{00000000-0005-0000-0000-0000AC030000}"/>
    <cellStyle name="20% - Accent6 4 7" xfId="4551" xr:uid="{00000000-0005-0000-0000-0000AD030000}"/>
    <cellStyle name="20% - Accent6 5" xfId="610" xr:uid="{00000000-0005-0000-0000-0000AE030000}"/>
    <cellStyle name="20% - Accent6 5 2" xfId="2881" xr:uid="{00000000-0005-0000-0000-0000AF030000}"/>
    <cellStyle name="20% - Accent6 5 2 2" xfId="7103" xr:uid="{00000000-0005-0000-0000-0000B0030000}"/>
    <cellStyle name="20% - Accent6 5 3" xfId="4958" xr:uid="{00000000-0005-0000-0000-0000B1030000}"/>
    <cellStyle name="20% - Accent6 6" xfId="1063" xr:uid="{00000000-0005-0000-0000-0000B2030000}"/>
    <cellStyle name="20% - Accent6 6 2" xfId="3294" xr:uid="{00000000-0005-0000-0000-0000B3030000}"/>
    <cellStyle name="20% - Accent6 6 2 2" xfId="7516" xr:uid="{00000000-0005-0000-0000-0000B4030000}"/>
    <cellStyle name="20% - Accent6 6 3" xfId="5371" xr:uid="{00000000-0005-0000-0000-0000B5030000}"/>
    <cellStyle name="20% - Accent6 7" xfId="1477" xr:uid="{00000000-0005-0000-0000-0000B6030000}"/>
    <cellStyle name="20% - Accent6 7 2" xfId="3707" xr:uid="{00000000-0005-0000-0000-0000B7030000}"/>
    <cellStyle name="20% - Accent6 7 2 2" xfId="7929" xr:uid="{00000000-0005-0000-0000-0000B8030000}"/>
    <cellStyle name="20% - Accent6 7 3" xfId="5784" xr:uid="{00000000-0005-0000-0000-0000B9030000}"/>
    <cellStyle name="20% - Accent6 8" xfId="1891" xr:uid="{00000000-0005-0000-0000-0000BA030000}"/>
    <cellStyle name="20% - Accent6 8 2" xfId="4120" xr:uid="{00000000-0005-0000-0000-0000BB030000}"/>
    <cellStyle name="20% - Accent6 8 2 2" xfId="8342" xr:uid="{00000000-0005-0000-0000-0000BC030000}"/>
    <cellStyle name="20% - Accent6 8 3" xfId="6197" xr:uid="{00000000-0005-0000-0000-0000BD030000}"/>
    <cellStyle name="20% - Accent6 9" xfId="2304" xr:uid="{00000000-0005-0000-0000-0000BE030000}"/>
    <cellStyle name="20% - Accent6 9 2" xfId="6610" xr:uid="{00000000-0005-0000-0000-0000BF030000}"/>
    <cellStyle name="40% - Accent1" xfId="49" builtinId="31" customBuiltin="1"/>
    <cellStyle name="40% - Accent1 10" xfId="4552"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4" xr:uid="{00000000-0005-0000-0000-0000C7030000}"/>
    <cellStyle name="40% - Accent1 2 2 2 2 3" xfId="4969" xr:uid="{00000000-0005-0000-0000-0000C8030000}"/>
    <cellStyle name="40% - Accent1 2 2 2 3" xfId="1074" xr:uid="{00000000-0005-0000-0000-0000C9030000}"/>
    <cellStyle name="40% - Accent1 2 2 2 3 2" xfId="3305" xr:uid="{00000000-0005-0000-0000-0000CA030000}"/>
    <cellStyle name="40% - Accent1 2 2 2 3 2 2" xfId="7527" xr:uid="{00000000-0005-0000-0000-0000CB030000}"/>
    <cellStyle name="40% - Accent1 2 2 2 3 3" xfId="5382" xr:uid="{00000000-0005-0000-0000-0000CC030000}"/>
    <cellStyle name="40% - Accent1 2 2 2 4" xfId="1488" xr:uid="{00000000-0005-0000-0000-0000CD030000}"/>
    <cellStyle name="40% - Accent1 2 2 2 4 2" xfId="3718" xr:uid="{00000000-0005-0000-0000-0000CE030000}"/>
    <cellStyle name="40% - Accent1 2 2 2 4 2 2" xfId="7940" xr:uid="{00000000-0005-0000-0000-0000CF030000}"/>
    <cellStyle name="40% - Accent1 2 2 2 4 3" xfId="5795" xr:uid="{00000000-0005-0000-0000-0000D0030000}"/>
    <cellStyle name="40% - Accent1 2 2 2 5" xfId="1902" xr:uid="{00000000-0005-0000-0000-0000D1030000}"/>
    <cellStyle name="40% - Accent1 2 2 2 5 2" xfId="4131" xr:uid="{00000000-0005-0000-0000-0000D2030000}"/>
    <cellStyle name="40% - Accent1 2 2 2 5 2 2" xfId="8353" xr:uid="{00000000-0005-0000-0000-0000D3030000}"/>
    <cellStyle name="40% - Accent1 2 2 2 5 3" xfId="6208" xr:uid="{00000000-0005-0000-0000-0000D4030000}"/>
    <cellStyle name="40% - Accent1 2 2 2 6" xfId="2315" xr:uid="{00000000-0005-0000-0000-0000D5030000}"/>
    <cellStyle name="40% - Accent1 2 2 2 6 2" xfId="6621" xr:uid="{00000000-0005-0000-0000-0000D6030000}"/>
    <cellStyle name="40% - Accent1 2 2 2 7" xfId="4555" xr:uid="{00000000-0005-0000-0000-0000D7030000}"/>
    <cellStyle name="40% - Accent1 2 2 3" xfId="620" xr:uid="{00000000-0005-0000-0000-0000D8030000}"/>
    <cellStyle name="40% - Accent1 2 2 3 2" xfId="2891" xr:uid="{00000000-0005-0000-0000-0000D9030000}"/>
    <cellStyle name="40% - Accent1 2 2 3 2 2" xfId="7113" xr:uid="{00000000-0005-0000-0000-0000DA030000}"/>
    <cellStyle name="40% - Accent1 2 2 3 3" xfId="4968" xr:uid="{00000000-0005-0000-0000-0000DB030000}"/>
    <cellStyle name="40% - Accent1 2 2 4" xfId="1073" xr:uid="{00000000-0005-0000-0000-0000DC030000}"/>
    <cellStyle name="40% - Accent1 2 2 4 2" xfId="3304" xr:uid="{00000000-0005-0000-0000-0000DD030000}"/>
    <cellStyle name="40% - Accent1 2 2 4 2 2" xfId="7526" xr:uid="{00000000-0005-0000-0000-0000DE030000}"/>
    <cellStyle name="40% - Accent1 2 2 4 3" xfId="5381" xr:uid="{00000000-0005-0000-0000-0000DF030000}"/>
    <cellStyle name="40% - Accent1 2 2 5" xfId="1487" xr:uid="{00000000-0005-0000-0000-0000E0030000}"/>
    <cellStyle name="40% - Accent1 2 2 5 2" xfId="3717" xr:uid="{00000000-0005-0000-0000-0000E1030000}"/>
    <cellStyle name="40% - Accent1 2 2 5 2 2" xfId="7939" xr:uid="{00000000-0005-0000-0000-0000E2030000}"/>
    <cellStyle name="40% - Accent1 2 2 5 3" xfId="5794" xr:uid="{00000000-0005-0000-0000-0000E3030000}"/>
    <cellStyle name="40% - Accent1 2 2 6" xfId="1901" xr:uid="{00000000-0005-0000-0000-0000E4030000}"/>
    <cellStyle name="40% - Accent1 2 2 6 2" xfId="4130" xr:uid="{00000000-0005-0000-0000-0000E5030000}"/>
    <cellStyle name="40% - Accent1 2 2 6 2 2" xfId="8352" xr:uid="{00000000-0005-0000-0000-0000E6030000}"/>
    <cellStyle name="40% - Accent1 2 2 6 3" xfId="6207" xr:uid="{00000000-0005-0000-0000-0000E7030000}"/>
    <cellStyle name="40% - Accent1 2 2 7" xfId="2314" xr:uid="{00000000-0005-0000-0000-0000E8030000}"/>
    <cellStyle name="40% - Accent1 2 2 7 2" xfId="6620" xr:uid="{00000000-0005-0000-0000-0000E9030000}"/>
    <cellStyle name="40% - Accent1 2 2 8" xfId="4554"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5" xr:uid="{00000000-0005-0000-0000-0000EE030000}"/>
    <cellStyle name="40% - Accent1 2 3 2 3" xfId="4970" xr:uid="{00000000-0005-0000-0000-0000EF030000}"/>
    <cellStyle name="40% - Accent1 2 3 3" xfId="1075" xr:uid="{00000000-0005-0000-0000-0000F0030000}"/>
    <cellStyle name="40% - Accent1 2 3 3 2" xfId="3306" xr:uid="{00000000-0005-0000-0000-0000F1030000}"/>
    <cellStyle name="40% - Accent1 2 3 3 2 2" xfId="7528" xr:uid="{00000000-0005-0000-0000-0000F2030000}"/>
    <cellStyle name="40% - Accent1 2 3 3 3" xfId="5383" xr:uid="{00000000-0005-0000-0000-0000F3030000}"/>
    <cellStyle name="40% - Accent1 2 3 4" xfId="1489" xr:uid="{00000000-0005-0000-0000-0000F4030000}"/>
    <cellStyle name="40% - Accent1 2 3 4 2" xfId="3719" xr:uid="{00000000-0005-0000-0000-0000F5030000}"/>
    <cellStyle name="40% - Accent1 2 3 4 2 2" xfId="7941" xr:uid="{00000000-0005-0000-0000-0000F6030000}"/>
    <cellStyle name="40% - Accent1 2 3 4 3" xfId="5796" xr:uid="{00000000-0005-0000-0000-0000F7030000}"/>
    <cellStyle name="40% - Accent1 2 3 5" xfId="1903" xr:uid="{00000000-0005-0000-0000-0000F8030000}"/>
    <cellStyle name="40% - Accent1 2 3 5 2" xfId="4132" xr:uid="{00000000-0005-0000-0000-0000F9030000}"/>
    <cellStyle name="40% - Accent1 2 3 5 2 2" xfId="8354" xr:uid="{00000000-0005-0000-0000-0000FA030000}"/>
    <cellStyle name="40% - Accent1 2 3 5 3" xfId="6209" xr:uid="{00000000-0005-0000-0000-0000FB030000}"/>
    <cellStyle name="40% - Accent1 2 3 6" xfId="2316" xr:uid="{00000000-0005-0000-0000-0000FC030000}"/>
    <cellStyle name="40% - Accent1 2 3 6 2" xfId="6622" xr:uid="{00000000-0005-0000-0000-0000FD030000}"/>
    <cellStyle name="40% - Accent1 2 3 7" xfId="4556" xr:uid="{00000000-0005-0000-0000-0000FE030000}"/>
    <cellStyle name="40% - Accent1 2 4" xfId="619" xr:uid="{00000000-0005-0000-0000-0000FF030000}"/>
    <cellStyle name="40% - Accent1 2 4 2" xfId="2890" xr:uid="{00000000-0005-0000-0000-000000040000}"/>
    <cellStyle name="40% - Accent1 2 4 2 2" xfId="7112" xr:uid="{00000000-0005-0000-0000-000001040000}"/>
    <cellStyle name="40% - Accent1 2 4 3" xfId="4967" xr:uid="{00000000-0005-0000-0000-000002040000}"/>
    <cellStyle name="40% - Accent1 2 5" xfId="1072" xr:uid="{00000000-0005-0000-0000-000003040000}"/>
    <cellStyle name="40% - Accent1 2 5 2" xfId="3303" xr:uid="{00000000-0005-0000-0000-000004040000}"/>
    <cellStyle name="40% - Accent1 2 5 2 2" xfId="7525" xr:uid="{00000000-0005-0000-0000-000005040000}"/>
    <cellStyle name="40% - Accent1 2 5 3" xfId="5380" xr:uid="{00000000-0005-0000-0000-000006040000}"/>
    <cellStyle name="40% - Accent1 2 6" xfId="1486" xr:uid="{00000000-0005-0000-0000-000007040000}"/>
    <cellStyle name="40% - Accent1 2 6 2" xfId="3716" xr:uid="{00000000-0005-0000-0000-000008040000}"/>
    <cellStyle name="40% - Accent1 2 6 2 2" xfId="7938" xr:uid="{00000000-0005-0000-0000-000009040000}"/>
    <cellStyle name="40% - Accent1 2 6 3" xfId="5793" xr:uid="{00000000-0005-0000-0000-00000A040000}"/>
    <cellStyle name="40% - Accent1 2 7" xfId="1900" xr:uid="{00000000-0005-0000-0000-00000B040000}"/>
    <cellStyle name="40% - Accent1 2 7 2" xfId="4129" xr:uid="{00000000-0005-0000-0000-00000C040000}"/>
    <cellStyle name="40% - Accent1 2 7 2 2" xfId="8351" xr:uid="{00000000-0005-0000-0000-00000D040000}"/>
    <cellStyle name="40% - Accent1 2 7 3" xfId="6206" xr:uid="{00000000-0005-0000-0000-00000E040000}"/>
    <cellStyle name="40% - Accent1 2 8" xfId="2313" xr:uid="{00000000-0005-0000-0000-00000F040000}"/>
    <cellStyle name="40% - Accent1 2 8 2" xfId="6619" xr:uid="{00000000-0005-0000-0000-000010040000}"/>
    <cellStyle name="40% - Accent1 2 9" xfId="4553"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7" xr:uid="{00000000-0005-0000-0000-000016040000}"/>
    <cellStyle name="40% - Accent1 3 2 2 3" xfId="4972" xr:uid="{00000000-0005-0000-0000-000017040000}"/>
    <cellStyle name="40% - Accent1 3 2 3" xfId="1077" xr:uid="{00000000-0005-0000-0000-000018040000}"/>
    <cellStyle name="40% - Accent1 3 2 3 2" xfId="3308" xr:uid="{00000000-0005-0000-0000-000019040000}"/>
    <cellStyle name="40% - Accent1 3 2 3 2 2" xfId="7530" xr:uid="{00000000-0005-0000-0000-00001A040000}"/>
    <cellStyle name="40% - Accent1 3 2 3 3" xfId="5385" xr:uid="{00000000-0005-0000-0000-00001B040000}"/>
    <cellStyle name="40% - Accent1 3 2 4" xfId="1491" xr:uid="{00000000-0005-0000-0000-00001C040000}"/>
    <cellStyle name="40% - Accent1 3 2 4 2" xfId="3721" xr:uid="{00000000-0005-0000-0000-00001D040000}"/>
    <cellStyle name="40% - Accent1 3 2 4 2 2" xfId="7943" xr:uid="{00000000-0005-0000-0000-00001E040000}"/>
    <cellStyle name="40% - Accent1 3 2 4 3" xfId="5798" xr:uid="{00000000-0005-0000-0000-00001F040000}"/>
    <cellStyle name="40% - Accent1 3 2 5" xfId="1905" xr:uid="{00000000-0005-0000-0000-000020040000}"/>
    <cellStyle name="40% - Accent1 3 2 5 2" xfId="4134" xr:uid="{00000000-0005-0000-0000-000021040000}"/>
    <cellStyle name="40% - Accent1 3 2 5 2 2" xfId="8356" xr:uid="{00000000-0005-0000-0000-000022040000}"/>
    <cellStyle name="40% - Accent1 3 2 5 3" xfId="6211" xr:uid="{00000000-0005-0000-0000-000023040000}"/>
    <cellStyle name="40% - Accent1 3 2 6" xfId="2318" xr:uid="{00000000-0005-0000-0000-000024040000}"/>
    <cellStyle name="40% - Accent1 3 2 6 2" xfId="6624" xr:uid="{00000000-0005-0000-0000-000025040000}"/>
    <cellStyle name="40% - Accent1 3 2 7" xfId="4558" xr:uid="{00000000-0005-0000-0000-000026040000}"/>
    <cellStyle name="40% - Accent1 3 3" xfId="623" xr:uid="{00000000-0005-0000-0000-000027040000}"/>
    <cellStyle name="40% - Accent1 3 3 2" xfId="2894" xr:uid="{00000000-0005-0000-0000-000028040000}"/>
    <cellStyle name="40% - Accent1 3 3 2 2" xfId="7116" xr:uid="{00000000-0005-0000-0000-000029040000}"/>
    <cellStyle name="40% - Accent1 3 3 3" xfId="4971" xr:uid="{00000000-0005-0000-0000-00002A040000}"/>
    <cellStyle name="40% - Accent1 3 4" xfId="1076" xr:uid="{00000000-0005-0000-0000-00002B040000}"/>
    <cellStyle name="40% - Accent1 3 4 2" xfId="3307" xr:uid="{00000000-0005-0000-0000-00002C040000}"/>
    <cellStyle name="40% - Accent1 3 4 2 2" xfId="7529" xr:uid="{00000000-0005-0000-0000-00002D040000}"/>
    <cellStyle name="40% - Accent1 3 4 3" xfId="5384" xr:uid="{00000000-0005-0000-0000-00002E040000}"/>
    <cellStyle name="40% - Accent1 3 5" xfId="1490" xr:uid="{00000000-0005-0000-0000-00002F040000}"/>
    <cellStyle name="40% - Accent1 3 5 2" xfId="3720" xr:uid="{00000000-0005-0000-0000-000030040000}"/>
    <cellStyle name="40% - Accent1 3 5 2 2" xfId="7942" xr:uid="{00000000-0005-0000-0000-000031040000}"/>
    <cellStyle name="40% - Accent1 3 5 3" xfId="5797" xr:uid="{00000000-0005-0000-0000-000032040000}"/>
    <cellStyle name="40% - Accent1 3 6" xfId="1904" xr:uid="{00000000-0005-0000-0000-000033040000}"/>
    <cellStyle name="40% - Accent1 3 6 2" xfId="4133" xr:uid="{00000000-0005-0000-0000-000034040000}"/>
    <cellStyle name="40% - Accent1 3 6 2 2" xfId="8355" xr:uid="{00000000-0005-0000-0000-000035040000}"/>
    <cellStyle name="40% - Accent1 3 6 3" xfId="6210" xr:uid="{00000000-0005-0000-0000-000036040000}"/>
    <cellStyle name="40% - Accent1 3 7" xfId="2317" xr:uid="{00000000-0005-0000-0000-000037040000}"/>
    <cellStyle name="40% - Accent1 3 7 2" xfId="6623" xr:uid="{00000000-0005-0000-0000-000038040000}"/>
    <cellStyle name="40% - Accent1 3 8" xfId="4557"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8" xr:uid="{00000000-0005-0000-0000-00003D040000}"/>
    <cellStyle name="40% - Accent1 4 2 3" xfId="4973" xr:uid="{00000000-0005-0000-0000-00003E040000}"/>
    <cellStyle name="40% - Accent1 4 3" xfId="1078" xr:uid="{00000000-0005-0000-0000-00003F040000}"/>
    <cellStyle name="40% - Accent1 4 3 2" xfId="3309" xr:uid="{00000000-0005-0000-0000-000040040000}"/>
    <cellStyle name="40% - Accent1 4 3 2 2" xfId="7531" xr:uid="{00000000-0005-0000-0000-000041040000}"/>
    <cellStyle name="40% - Accent1 4 3 3" xfId="5386" xr:uid="{00000000-0005-0000-0000-000042040000}"/>
    <cellStyle name="40% - Accent1 4 4" xfId="1492" xr:uid="{00000000-0005-0000-0000-000043040000}"/>
    <cellStyle name="40% - Accent1 4 4 2" xfId="3722" xr:uid="{00000000-0005-0000-0000-000044040000}"/>
    <cellStyle name="40% - Accent1 4 4 2 2" xfId="7944" xr:uid="{00000000-0005-0000-0000-000045040000}"/>
    <cellStyle name="40% - Accent1 4 4 3" xfId="5799" xr:uid="{00000000-0005-0000-0000-000046040000}"/>
    <cellStyle name="40% - Accent1 4 5" xfId="1906" xr:uid="{00000000-0005-0000-0000-000047040000}"/>
    <cellStyle name="40% - Accent1 4 5 2" xfId="4135" xr:uid="{00000000-0005-0000-0000-000048040000}"/>
    <cellStyle name="40% - Accent1 4 5 2 2" xfId="8357" xr:uid="{00000000-0005-0000-0000-000049040000}"/>
    <cellStyle name="40% - Accent1 4 5 3" xfId="6212" xr:uid="{00000000-0005-0000-0000-00004A040000}"/>
    <cellStyle name="40% - Accent1 4 6" xfId="2319" xr:uid="{00000000-0005-0000-0000-00004B040000}"/>
    <cellStyle name="40% - Accent1 4 6 2" xfId="6625" xr:uid="{00000000-0005-0000-0000-00004C040000}"/>
    <cellStyle name="40% - Accent1 4 7" xfId="4559" xr:uid="{00000000-0005-0000-0000-00004D040000}"/>
    <cellStyle name="40% - Accent1 5" xfId="618" xr:uid="{00000000-0005-0000-0000-00004E040000}"/>
    <cellStyle name="40% - Accent1 5 2" xfId="2889" xr:uid="{00000000-0005-0000-0000-00004F040000}"/>
    <cellStyle name="40% - Accent1 5 2 2" xfId="7111" xr:uid="{00000000-0005-0000-0000-000050040000}"/>
    <cellStyle name="40% - Accent1 5 3" xfId="4966" xr:uid="{00000000-0005-0000-0000-000051040000}"/>
    <cellStyle name="40% - Accent1 6" xfId="1071" xr:uid="{00000000-0005-0000-0000-000052040000}"/>
    <cellStyle name="40% - Accent1 6 2" xfId="3302" xr:uid="{00000000-0005-0000-0000-000053040000}"/>
    <cellStyle name="40% - Accent1 6 2 2" xfId="7524" xr:uid="{00000000-0005-0000-0000-000054040000}"/>
    <cellStyle name="40% - Accent1 6 3" xfId="5379" xr:uid="{00000000-0005-0000-0000-000055040000}"/>
    <cellStyle name="40% - Accent1 7" xfId="1485" xr:uid="{00000000-0005-0000-0000-000056040000}"/>
    <cellStyle name="40% - Accent1 7 2" xfId="3715" xr:uid="{00000000-0005-0000-0000-000057040000}"/>
    <cellStyle name="40% - Accent1 7 2 2" xfId="7937" xr:uid="{00000000-0005-0000-0000-000058040000}"/>
    <cellStyle name="40% - Accent1 7 3" xfId="5792" xr:uid="{00000000-0005-0000-0000-000059040000}"/>
    <cellStyle name="40% - Accent1 8" xfId="1899" xr:uid="{00000000-0005-0000-0000-00005A040000}"/>
    <cellStyle name="40% - Accent1 8 2" xfId="4128" xr:uid="{00000000-0005-0000-0000-00005B040000}"/>
    <cellStyle name="40% - Accent1 8 2 2" xfId="8350" xr:uid="{00000000-0005-0000-0000-00005C040000}"/>
    <cellStyle name="40% - Accent1 8 3" xfId="6205" xr:uid="{00000000-0005-0000-0000-00005D040000}"/>
    <cellStyle name="40% - Accent1 9" xfId="2312" xr:uid="{00000000-0005-0000-0000-00005E040000}"/>
    <cellStyle name="40% - Accent1 9 2" xfId="6618" xr:uid="{00000000-0005-0000-0000-00005F040000}"/>
    <cellStyle name="40% - Accent2" xfId="57" builtinId="35" customBuiltin="1"/>
    <cellStyle name="40% - Accent2 10" xfId="4560"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2" xr:uid="{00000000-0005-0000-0000-000067040000}"/>
    <cellStyle name="40% - Accent2 2 2 2 2 3" xfId="4977" xr:uid="{00000000-0005-0000-0000-000068040000}"/>
    <cellStyle name="40% - Accent2 2 2 2 3" xfId="1082" xr:uid="{00000000-0005-0000-0000-000069040000}"/>
    <cellStyle name="40% - Accent2 2 2 2 3 2" xfId="3313" xr:uid="{00000000-0005-0000-0000-00006A040000}"/>
    <cellStyle name="40% - Accent2 2 2 2 3 2 2" xfId="7535" xr:uid="{00000000-0005-0000-0000-00006B040000}"/>
    <cellStyle name="40% - Accent2 2 2 2 3 3" xfId="5390" xr:uid="{00000000-0005-0000-0000-00006C040000}"/>
    <cellStyle name="40% - Accent2 2 2 2 4" xfId="1496" xr:uid="{00000000-0005-0000-0000-00006D040000}"/>
    <cellStyle name="40% - Accent2 2 2 2 4 2" xfId="3726" xr:uid="{00000000-0005-0000-0000-00006E040000}"/>
    <cellStyle name="40% - Accent2 2 2 2 4 2 2" xfId="7948" xr:uid="{00000000-0005-0000-0000-00006F040000}"/>
    <cellStyle name="40% - Accent2 2 2 2 4 3" xfId="5803" xr:uid="{00000000-0005-0000-0000-000070040000}"/>
    <cellStyle name="40% - Accent2 2 2 2 5" xfId="1910" xr:uid="{00000000-0005-0000-0000-000071040000}"/>
    <cellStyle name="40% - Accent2 2 2 2 5 2" xfId="4139" xr:uid="{00000000-0005-0000-0000-000072040000}"/>
    <cellStyle name="40% - Accent2 2 2 2 5 2 2" xfId="8361" xr:uid="{00000000-0005-0000-0000-000073040000}"/>
    <cellStyle name="40% - Accent2 2 2 2 5 3" xfId="6216" xr:uid="{00000000-0005-0000-0000-000074040000}"/>
    <cellStyle name="40% - Accent2 2 2 2 6" xfId="2323" xr:uid="{00000000-0005-0000-0000-000075040000}"/>
    <cellStyle name="40% - Accent2 2 2 2 6 2" xfId="6629" xr:uid="{00000000-0005-0000-0000-000076040000}"/>
    <cellStyle name="40% - Accent2 2 2 2 7" xfId="4563" xr:uid="{00000000-0005-0000-0000-000077040000}"/>
    <cellStyle name="40% - Accent2 2 2 3" xfId="628" xr:uid="{00000000-0005-0000-0000-000078040000}"/>
    <cellStyle name="40% - Accent2 2 2 3 2" xfId="2899" xr:uid="{00000000-0005-0000-0000-000079040000}"/>
    <cellStyle name="40% - Accent2 2 2 3 2 2" xfId="7121" xr:uid="{00000000-0005-0000-0000-00007A040000}"/>
    <cellStyle name="40% - Accent2 2 2 3 3" xfId="4976" xr:uid="{00000000-0005-0000-0000-00007B040000}"/>
    <cellStyle name="40% - Accent2 2 2 4" xfId="1081" xr:uid="{00000000-0005-0000-0000-00007C040000}"/>
    <cellStyle name="40% - Accent2 2 2 4 2" xfId="3312" xr:uid="{00000000-0005-0000-0000-00007D040000}"/>
    <cellStyle name="40% - Accent2 2 2 4 2 2" xfId="7534" xr:uid="{00000000-0005-0000-0000-00007E040000}"/>
    <cellStyle name="40% - Accent2 2 2 4 3" xfId="5389" xr:uid="{00000000-0005-0000-0000-00007F040000}"/>
    <cellStyle name="40% - Accent2 2 2 5" xfId="1495" xr:uid="{00000000-0005-0000-0000-000080040000}"/>
    <cellStyle name="40% - Accent2 2 2 5 2" xfId="3725" xr:uid="{00000000-0005-0000-0000-000081040000}"/>
    <cellStyle name="40% - Accent2 2 2 5 2 2" xfId="7947" xr:uid="{00000000-0005-0000-0000-000082040000}"/>
    <cellStyle name="40% - Accent2 2 2 5 3" xfId="5802" xr:uid="{00000000-0005-0000-0000-000083040000}"/>
    <cellStyle name="40% - Accent2 2 2 6" xfId="1909" xr:uid="{00000000-0005-0000-0000-000084040000}"/>
    <cellStyle name="40% - Accent2 2 2 6 2" xfId="4138" xr:uid="{00000000-0005-0000-0000-000085040000}"/>
    <cellStyle name="40% - Accent2 2 2 6 2 2" xfId="8360" xr:uid="{00000000-0005-0000-0000-000086040000}"/>
    <cellStyle name="40% - Accent2 2 2 6 3" xfId="6215" xr:uid="{00000000-0005-0000-0000-000087040000}"/>
    <cellStyle name="40% - Accent2 2 2 7" xfId="2322" xr:uid="{00000000-0005-0000-0000-000088040000}"/>
    <cellStyle name="40% - Accent2 2 2 7 2" xfId="6628" xr:uid="{00000000-0005-0000-0000-000089040000}"/>
    <cellStyle name="40% - Accent2 2 2 8" xfId="4562"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3" xr:uid="{00000000-0005-0000-0000-00008E040000}"/>
    <cellStyle name="40% - Accent2 2 3 2 3" xfId="4978" xr:uid="{00000000-0005-0000-0000-00008F040000}"/>
    <cellStyle name="40% - Accent2 2 3 3" xfId="1083" xr:uid="{00000000-0005-0000-0000-000090040000}"/>
    <cellStyle name="40% - Accent2 2 3 3 2" xfId="3314" xr:uid="{00000000-0005-0000-0000-000091040000}"/>
    <cellStyle name="40% - Accent2 2 3 3 2 2" xfId="7536" xr:uid="{00000000-0005-0000-0000-000092040000}"/>
    <cellStyle name="40% - Accent2 2 3 3 3" xfId="5391" xr:uid="{00000000-0005-0000-0000-000093040000}"/>
    <cellStyle name="40% - Accent2 2 3 4" xfId="1497" xr:uid="{00000000-0005-0000-0000-000094040000}"/>
    <cellStyle name="40% - Accent2 2 3 4 2" xfId="3727" xr:uid="{00000000-0005-0000-0000-000095040000}"/>
    <cellStyle name="40% - Accent2 2 3 4 2 2" xfId="7949" xr:uid="{00000000-0005-0000-0000-000096040000}"/>
    <cellStyle name="40% - Accent2 2 3 4 3" xfId="5804" xr:uid="{00000000-0005-0000-0000-000097040000}"/>
    <cellStyle name="40% - Accent2 2 3 5" xfId="1911" xr:uid="{00000000-0005-0000-0000-000098040000}"/>
    <cellStyle name="40% - Accent2 2 3 5 2" xfId="4140" xr:uid="{00000000-0005-0000-0000-000099040000}"/>
    <cellStyle name="40% - Accent2 2 3 5 2 2" xfId="8362" xr:uid="{00000000-0005-0000-0000-00009A040000}"/>
    <cellStyle name="40% - Accent2 2 3 5 3" xfId="6217" xr:uid="{00000000-0005-0000-0000-00009B040000}"/>
    <cellStyle name="40% - Accent2 2 3 6" xfId="2324" xr:uid="{00000000-0005-0000-0000-00009C040000}"/>
    <cellStyle name="40% - Accent2 2 3 6 2" xfId="6630" xr:uid="{00000000-0005-0000-0000-00009D040000}"/>
    <cellStyle name="40% - Accent2 2 3 7" xfId="4564" xr:uid="{00000000-0005-0000-0000-00009E040000}"/>
    <cellStyle name="40% - Accent2 2 4" xfId="627" xr:uid="{00000000-0005-0000-0000-00009F040000}"/>
    <cellStyle name="40% - Accent2 2 4 2" xfId="2898" xr:uid="{00000000-0005-0000-0000-0000A0040000}"/>
    <cellStyle name="40% - Accent2 2 4 2 2" xfId="7120" xr:uid="{00000000-0005-0000-0000-0000A1040000}"/>
    <cellStyle name="40% - Accent2 2 4 3" xfId="4975" xr:uid="{00000000-0005-0000-0000-0000A2040000}"/>
    <cellStyle name="40% - Accent2 2 5" xfId="1080" xr:uid="{00000000-0005-0000-0000-0000A3040000}"/>
    <cellStyle name="40% - Accent2 2 5 2" xfId="3311" xr:uid="{00000000-0005-0000-0000-0000A4040000}"/>
    <cellStyle name="40% - Accent2 2 5 2 2" xfId="7533" xr:uid="{00000000-0005-0000-0000-0000A5040000}"/>
    <cellStyle name="40% - Accent2 2 5 3" xfId="5388" xr:uid="{00000000-0005-0000-0000-0000A6040000}"/>
    <cellStyle name="40% - Accent2 2 6" xfId="1494" xr:uid="{00000000-0005-0000-0000-0000A7040000}"/>
    <cellStyle name="40% - Accent2 2 6 2" xfId="3724" xr:uid="{00000000-0005-0000-0000-0000A8040000}"/>
    <cellStyle name="40% - Accent2 2 6 2 2" xfId="7946" xr:uid="{00000000-0005-0000-0000-0000A9040000}"/>
    <cellStyle name="40% - Accent2 2 6 3" xfId="5801" xr:uid="{00000000-0005-0000-0000-0000AA040000}"/>
    <cellStyle name="40% - Accent2 2 7" xfId="1908" xr:uid="{00000000-0005-0000-0000-0000AB040000}"/>
    <cellStyle name="40% - Accent2 2 7 2" xfId="4137" xr:uid="{00000000-0005-0000-0000-0000AC040000}"/>
    <cellStyle name="40% - Accent2 2 7 2 2" xfId="8359" xr:uid="{00000000-0005-0000-0000-0000AD040000}"/>
    <cellStyle name="40% - Accent2 2 7 3" xfId="6214" xr:uid="{00000000-0005-0000-0000-0000AE040000}"/>
    <cellStyle name="40% - Accent2 2 8" xfId="2321" xr:uid="{00000000-0005-0000-0000-0000AF040000}"/>
    <cellStyle name="40% - Accent2 2 8 2" xfId="6627" xr:uid="{00000000-0005-0000-0000-0000B0040000}"/>
    <cellStyle name="40% - Accent2 2 9" xfId="4561"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5" xr:uid="{00000000-0005-0000-0000-0000B6040000}"/>
    <cellStyle name="40% - Accent2 3 2 2 3" xfId="4980" xr:uid="{00000000-0005-0000-0000-0000B7040000}"/>
    <cellStyle name="40% - Accent2 3 2 3" xfId="1085" xr:uid="{00000000-0005-0000-0000-0000B8040000}"/>
    <cellStyle name="40% - Accent2 3 2 3 2" xfId="3316" xr:uid="{00000000-0005-0000-0000-0000B9040000}"/>
    <cellStyle name="40% - Accent2 3 2 3 2 2" xfId="7538" xr:uid="{00000000-0005-0000-0000-0000BA040000}"/>
    <cellStyle name="40% - Accent2 3 2 3 3" xfId="5393" xr:uid="{00000000-0005-0000-0000-0000BB040000}"/>
    <cellStyle name="40% - Accent2 3 2 4" xfId="1499" xr:uid="{00000000-0005-0000-0000-0000BC040000}"/>
    <cellStyle name="40% - Accent2 3 2 4 2" xfId="3729" xr:uid="{00000000-0005-0000-0000-0000BD040000}"/>
    <cellStyle name="40% - Accent2 3 2 4 2 2" xfId="7951" xr:uid="{00000000-0005-0000-0000-0000BE040000}"/>
    <cellStyle name="40% - Accent2 3 2 4 3" xfId="5806" xr:uid="{00000000-0005-0000-0000-0000BF040000}"/>
    <cellStyle name="40% - Accent2 3 2 5" xfId="1913" xr:uid="{00000000-0005-0000-0000-0000C0040000}"/>
    <cellStyle name="40% - Accent2 3 2 5 2" xfId="4142" xr:uid="{00000000-0005-0000-0000-0000C1040000}"/>
    <cellStyle name="40% - Accent2 3 2 5 2 2" xfId="8364" xr:uid="{00000000-0005-0000-0000-0000C2040000}"/>
    <cellStyle name="40% - Accent2 3 2 5 3" xfId="6219" xr:uid="{00000000-0005-0000-0000-0000C3040000}"/>
    <cellStyle name="40% - Accent2 3 2 6" xfId="2326" xr:uid="{00000000-0005-0000-0000-0000C4040000}"/>
    <cellStyle name="40% - Accent2 3 2 6 2" xfId="6632" xr:uid="{00000000-0005-0000-0000-0000C5040000}"/>
    <cellStyle name="40% - Accent2 3 2 7" xfId="4566" xr:uid="{00000000-0005-0000-0000-0000C6040000}"/>
    <cellStyle name="40% - Accent2 3 3" xfId="631" xr:uid="{00000000-0005-0000-0000-0000C7040000}"/>
    <cellStyle name="40% - Accent2 3 3 2" xfId="2902" xr:uid="{00000000-0005-0000-0000-0000C8040000}"/>
    <cellStyle name="40% - Accent2 3 3 2 2" xfId="7124" xr:uid="{00000000-0005-0000-0000-0000C9040000}"/>
    <cellStyle name="40% - Accent2 3 3 3" xfId="4979" xr:uid="{00000000-0005-0000-0000-0000CA040000}"/>
    <cellStyle name="40% - Accent2 3 4" xfId="1084" xr:uid="{00000000-0005-0000-0000-0000CB040000}"/>
    <cellStyle name="40% - Accent2 3 4 2" xfId="3315" xr:uid="{00000000-0005-0000-0000-0000CC040000}"/>
    <cellStyle name="40% - Accent2 3 4 2 2" xfId="7537" xr:uid="{00000000-0005-0000-0000-0000CD040000}"/>
    <cellStyle name="40% - Accent2 3 4 3" xfId="5392" xr:uid="{00000000-0005-0000-0000-0000CE040000}"/>
    <cellStyle name="40% - Accent2 3 5" xfId="1498" xr:uid="{00000000-0005-0000-0000-0000CF040000}"/>
    <cellStyle name="40% - Accent2 3 5 2" xfId="3728" xr:uid="{00000000-0005-0000-0000-0000D0040000}"/>
    <cellStyle name="40% - Accent2 3 5 2 2" xfId="7950" xr:uid="{00000000-0005-0000-0000-0000D1040000}"/>
    <cellStyle name="40% - Accent2 3 5 3" xfId="5805" xr:uid="{00000000-0005-0000-0000-0000D2040000}"/>
    <cellStyle name="40% - Accent2 3 6" xfId="1912" xr:uid="{00000000-0005-0000-0000-0000D3040000}"/>
    <cellStyle name="40% - Accent2 3 6 2" xfId="4141" xr:uid="{00000000-0005-0000-0000-0000D4040000}"/>
    <cellStyle name="40% - Accent2 3 6 2 2" xfId="8363" xr:uid="{00000000-0005-0000-0000-0000D5040000}"/>
    <cellStyle name="40% - Accent2 3 6 3" xfId="6218" xr:uid="{00000000-0005-0000-0000-0000D6040000}"/>
    <cellStyle name="40% - Accent2 3 7" xfId="2325" xr:uid="{00000000-0005-0000-0000-0000D7040000}"/>
    <cellStyle name="40% - Accent2 3 7 2" xfId="6631" xr:uid="{00000000-0005-0000-0000-0000D8040000}"/>
    <cellStyle name="40% - Accent2 3 8" xfId="4565"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6" xr:uid="{00000000-0005-0000-0000-0000DD040000}"/>
    <cellStyle name="40% - Accent2 4 2 3" xfId="4981" xr:uid="{00000000-0005-0000-0000-0000DE040000}"/>
    <cellStyle name="40% - Accent2 4 3" xfId="1086" xr:uid="{00000000-0005-0000-0000-0000DF040000}"/>
    <cellStyle name="40% - Accent2 4 3 2" xfId="3317" xr:uid="{00000000-0005-0000-0000-0000E0040000}"/>
    <cellStyle name="40% - Accent2 4 3 2 2" xfId="7539" xr:uid="{00000000-0005-0000-0000-0000E1040000}"/>
    <cellStyle name="40% - Accent2 4 3 3" xfId="5394" xr:uid="{00000000-0005-0000-0000-0000E2040000}"/>
    <cellStyle name="40% - Accent2 4 4" xfId="1500" xr:uid="{00000000-0005-0000-0000-0000E3040000}"/>
    <cellStyle name="40% - Accent2 4 4 2" xfId="3730" xr:uid="{00000000-0005-0000-0000-0000E4040000}"/>
    <cellStyle name="40% - Accent2 4 4 2 2" xfId="7952" xr:uid="{00000000-0005-0000-0000-0000E5040000}"/>
    <cellStyle name="40% - Accent2 4 4 3" xfId="5807" xr:uid="{00000000-0005-0000-0000-0000E6040000}"/>
    <cellStyle name="40% - Accent2 4 5" xfId="1914" xr:uid="{00000000-0005-0000-0000-0000E7040000}"/>
    <cellStyle name="40% - Accent2 4 5 2" xfId="4143" xr:uid="{00000000-0005-0000-0000-0000E8040000}"/>
    <cellStyle name="40% - Accent2 4 5 2 2" xfId="8365" xr:uid="{00000000-0005-0000-0000-0000E9040000}"/>
    <cellStyle name="40% - Accent2 4 5 3" xfId="6220" xr:uid="{00000000-0005-0000-0000-0000EA040000}"/>
    <cellStyle name="40% - Accent2 4 6" xfId="2327" xr:uid="{00000000-0005-0000-0000-0000EB040000}"/>
    <cellStyle name="40% - Accent2 4 6 2" xfId="6633" xr:uid="{00000000-0005-0000-0000-0000EC040000}"/>
    <cellStyle name="40% - Accent2 4 7" xfId="4567" xr:uid="{00000000-0005-0000-0000-0000ED040000}"/>
    <cellStyle name="40% - Accent2 5" xfId="626" xr:uid="{00000000-0005-0000-0000-0000EE040000}"/>
    <cellStyle name="40% - Accent2 5 2" xfId="2897" xr:uid="{00000000-0005-0000-0000-0000EF040000}"/>
    <cellStyle name="40% - Accent2 5 2 2" xfId="7119" xr:uid="{00000000-0005-0000-0000-0000F0040000}"/>
    <cellStyle name="40% - Accent2 5 3" xfId="4974" xr:uid="{00000000-0005-0000-0000-0000F1040000}"/>
    <cellStyle name="40% - Accent2 6" xfId="1079" xr:uid="{00000000-0005-0000-0000-0000F2040000}"/>
    <cellStyle name="40% - Accent2 6 2" xfId="3310" xr:uid="{00000000-0005-0000-0000-0000F3040000}"/>
    <cellStyle name="40% - Accent2 6 2 2" xfId="7532" xr:uid="{00000000-0005-0000-0000-0000F4040000}"/>
    <cellStyle name="40% - Accent2 6 3" xfId="5387" xr:uid="{00000000-0005-0000-0000-0000F5040000}"/>
    <cellStyle name="40% - Accent2 7" xfId="1493" xr:uid="{00000000-0005-0000-0000-0000F6040000}"/>
    <cellStyle name="40% - Accent2 7 2" xfId="3723" xr:uid="{00000000-0005-0000-0000-0000F7040000}"/>
    <cellStyle name="40% - Accent2 7 2 2" xfId="7945" xr:uid="{00000000-0005-0000-0000-0000F8040000}"/>
    <cellStyle name="40% - Accent2 7 3" xfId="5800" xr:uid="{00000000-0005-0000-0000-0000F9040000}"/>
    <cellStyle name="40% - Accent2 8" xfId="1907" xr:uid="{00000000-0005-0000-0000-0000FA040000}"/>
    <cellStyle name="40% - Accent2 8 2" xfId="4136" xr:uid="{00000000-0005-0000-0000-0000FB040000}"/>
    <cellStyle name="40% - Accent2 8 2 2" xfId="8358" xr:uid="{00000000-0005-0000-0000-0000FC040000}"/>
    <cellStyle name="40% - Accent2 8 3" xfId="6213" xr:uid="{00000000-0005-0000-0000-0000FD040000}"/>
    <cellStyle name="40% - Accent2 9" xfId="2320" xr:uid="{00000000-0005-0000-0000-0000FE040000}"/>
    <cellStyle name="40% - Accent2 9 2" xfId="6626" xr:uid="{00000000-0005-0000-0000-0000FF040000}"/>
    <cellStyle name="40% - Accent3" xfId="65" builtinId="39" customBuiltin="1"/>
    <cellStyle name="40% - Accent3 10" xfId="4568"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0" xr:uid="{00000000-0005-0000-0000-000007050000}"/>
    <cellStyle name="40% - Accent3 2 2 2 2 3" xfId="4985" xr:uid="{00000000-0005-0000-0000-000008050000}"/>
    <cellStyle name="40% - Accent3 2 2 2 3" xfId="1090" xr:uid="{00000000-0005-0000-0000-000009050000}"/>
    <cellStyle name="40% - Accent3 2 2 2 3 2" xfId="3321" xr:uid="{00000000-0005-0000-0000-00000A050000}"/>
    <cellStyle name="40% - Accent3 2 2 2 3 2 2" xfId="7543" xr:uid="{00000000-0005-0000-0000-00000B050000}"/>
    <cellStyle name="40% - Accent3 2 2 2 3 3" xfId="5398" xr:uid="{00000000-0005-0000-0000-00000C050000}"/>
    <cellStyle name="40% - Accent3 2 2 2 4" xfId="1504" xr:uid="{00000000-0005-0000-0000-00000D050000}"/>
    <cellStyle name="40% - Accent3 2 2 2 4 2" xfId="3734" xr:uid="{00000000-0005-0000-0000-00000E050000}"/>
    <cellStyle name="40% - Accent3 2 2 2 4 2 2" xfId="7956" xr:uid="{00000000-0005-0000-0000-00000F050000}"/>
    <cellStyle name="40% - Accent3 2 2 2 4 3" xfId="5811" xr:uid="{00000000-0005-0000-0000-000010050000}"/>
    <cellStyle name="40% - Accent3 2 2 2 5" xfId="1918" xr:uid="{00000000-0005-0000-0000-000011050000}"/>
    <cellStyle name="40% - Accent3 2 2 2 5 2" xfId="4147" xr:uid="{00000000-0005-0000-0000-000012050000}"/>
    <cellStyle name="40% - Accent3 2 2 2 5 2 2" xfId="8369" xr:uid="{00000000-0005-0000-0000-000013050000}"/>
    <cellStyle name="40% - Accent3 2 2 2 5 3" xfId="6224" xr:uid="{00000000-0005-0000-0000-000014050000}"/>
    <cellStyle name="40% - Accent3 2 2 2 6" xfId="2331" xr:uid="{00000000-0005-0000-0000-000015050000}"/>
    <cellStyle name="40% - Accent3 2 2 2 6 2" xfId="6637" xr:uid="{00000000-0005-0000-0000-000016050000}"/>
    <cellStyle name="40% - Accent3 2 2 2 7" xfId="4571" xr:uid="{00000000-0005-0000-0000-000017050000}"/>
    <cellStyle name="40% - Accent3 2 2 3" xfId="636" xr:uid="{00000000-0005-0000-0000-000018050000}"/>
    <cellStyle name="40% - Accent3 2 2 3 2" xfId="2907" xr:uid="{00000000-0005-0000-0000-000019050000}"/>
    <cellStyle name="40% - Accent3 2 2 3 2 2" xfId="7129" xr:uid="{00000000-0005-0000-0000-00001A050000}"/>
    <cellStyle name="40% - Accent3 2 2 3 3" xfId="4984" xr:uid="{00000000-0005-0000-0000-00001B050000}"/>
    <cellStyle name="40% - Accent3 2 2 4" xfId="1089" xr:uid="{00000000-0005-0000-0000-00001C050000}"/>
    <cellStyle name="40% - Accent3 2 2 4 2" xfId="3320" xr:uid="{00000000-0005-0000-0000-00001D050000}"/>
    <cellStyle name="40% - Accent3 2 2 4 2 2" xfId="7542" xr:uid="{00000000-0005-0000-0000-00001E050000}"/>
    <cellStyle name="40% - Accent3 2 2 4 3" xfId="5397" xr:uid="{00000000-0005-0000-0000-00001F050000}"/>
    <cellStyle name="40% - Accent3 2 2 5" xfId="1503" xr:uid="{00000000-0005-0000-0000-000020050000}"/>
    <cellStyle name="40% - Accent3 2 2 5 2" xfId="3733" xr:uid="{00000000-0005-0000-0000-000021050000}"/>
    <cellStyle name="40% - Accent3 2 2 5 2 2" xfId="7955" xr:uid="{00000000-0005-0000-0000-000022050000}"/>
    <cellStyle name="40% - Accent3 2 2 5 3" xfId="5810" xr:uid="{00000000-0005-0000-0000-000023050000}"/>
    <cellStyle name="40% - Accent3 2 2 6" xfId="1917" xr:uid="{00000000-0005-0000-0000-000024050000}"/>
    <cellStyle name="40% - Accent3 2 2 6 2" xfId="4146" xr:uid="{00000000-0005-0000-0000-000025050000}"/>
    <cellStyle name="40% - Accent3 2 2 6 2 2" xfId="8368" xr:uid="{00000000-0005-0000-0000-000026050000}"/>
    <cellStyle name="40% - Accent3 2 2 6 3" xfId="6223" xr:uid="{00000000-0005-0000-0000-000027050000}"/>
    <cellStyle name="40% - Accent3 2 2 7" xfId="2330" xr:uid="{00000000-0005-0000-0000-000028050000}"/>
    <cellStyle name="40% - Accent3 2 2 7 2" xfId="6636" xr:uid="{00000000-0005-0000-0000-000029050000}"/>
    <cellStyle name="40% - Accent3 2 2 8" xfId="4570"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1" xr:uid="{00000000-0005-0000-0000-00002E050000}"/>
    <cellStyle name="40% - Accent3 2 3 2 3" xfId="4986" xr:uid="{00000000-0005-0000-0000-00002F050000}"/>
    <cellStyle name="40% - Accent3 2 3 3" xfId="1091" xr:uid="{00000000-0005-0000-0000-000030050000}"/>
    <cellStyle name="40% - Accent3 2 3 3 2" xfId="3322" xr:uid="{00000000-0005-0000-0000-000031050000}"/>
    <cellStyle name="40% - Accent3 2 3 3 2 2" xfId="7544" xr:uid="{00000000-0005-0000-0000-000032050000}"/>
    <cellStyle name="40% - Accent3 2 3 3 3" xfId="5399" xr:uid="{00000000-0005-0000-0000-000033050000}"/>
    <cellStyle name="40% - Accent3 2 3 4" xfId="1505" xr:uid="{00000000-0005-0000-0000-000034050000}"/>
    <cellStyle name="40% - Accent3 2 3 4 2" xfId="3735" xr:uid="{00000000-0005-0000-0000-000035050000}"/>
    <cellStyle name="40% - Accent3 2 3 4 2 2" xfId="7957" xr:uid="{00000000-0005-0000-0000-000036050000}"/>
    <cellStyle name="40% - Accent3 2 3 4 3" xfId="5812" xr:uid="{00000000-0005-0000-0000-000037050000}"/>
    <cellStyle name="40% - Accent3 2 3 5" xfId="1919" xr:uid="{00000000-0005-0000-0000-000038050000}"/>
    <cellStyle name="40% - Accent3 2 3 5 2" xfId="4148" xr:uid="{00000000-0005-0000-0000-000039050000}"/>
    <cellStyle name="40% - Accent3 2 3 5 2 2" xfId="8370" xr:uid="{00000000-0005-0000-0000-00003A050000}"/>
    <cellStyle name="40% - Accent3 2 3 5 3" xfId="6225" xr:uid="{00000000-0005-0000-0000-00003B050000}"/>
    <cellStyle name="40% - Accent3 2 3 6" xfId="2332" xr:uid="{00000000-0005-0000-0000-00003C050000}"/>
    <cellStyle name="40% - Accent3 2 3 6 2" xfId="6638" xr:uid="{00000000-0005-0000-0000-00003D050000}"/>
    <cellStyle name="40% - Accent3 2 3 7" xfId="4572" xr:uid="{00000000-0005-0000-0000-00003E050000}"/>
    <cellStyle name="40% - Accent3 2 4" xfId="635" xr:uid="{00000000-0005-0000-0000-00003F050000}"/>
    <cellStyle name="40% - Accent3 2 4 2" xfId="2906" xr:uid="{00000000-0005-0000-0000-000040050000}"/>
    <cellStyle name="40% - Accent3 2 4 2 2" xfId="7128" xr:uid="{00000000-0005-0000-0000-000041050000}"/>
    <cellStyle name="40% - Accent3 2 4 3" xfId="4983" xr:uid="{00000000-0005-0000-0000-000042050000}"/>
    <cellStyle name="40% - Accent3 2 5" xfId="1088" xr:uid="{00000000-0005-0000-0000-000043050000}"/>
    <cellStyle name="40% - Accent3 2 5 2" xfId="3319" xr:uid="{00000000-0005-0000-0000-000044050000}"/>
    <cellStyle name="40% - Accent3 2 5 2 2" xfId="7541" xr:uid="{00000000-0005-0000-0000-000045050000}"/>
    <cellStyle name="40% - Accent3 2 5 3" xfId="5396" xr:uid="{00000000-0005-0000-0000-000046050000}"/>
    <cellStyle name="40% - Accent3 2 6" xfId="1502" xr:uid="{00000000-0005-0000-0000-000047050000}"/>
    <cellStyle name="40% - Accent3 2 6 2" xfId="3732" xr:uid="{00000000-0005-0000-0000-000048050000}"/>
    <cellStyle name="40% - Accent3 2 6 2 2" xfId="7954" xr:uid="{00000000-0005-0000-0000-000049050000}"/>
    <cellStyle name="40% - Accent3 2 6 3" xfId="5809" xr:uid="{00000000-0005-0000-0000-00004A050000}"/>
    <cellStyle name="40% - Accent3 2 7" xfId="1916" xr:uid="{00000000-0005-0000-0000-00004B050000}"/>
    <cellStyle name="40% - Accent3 2 7 2" xfId="4145" xr:uid="{00000000-0005-0000-0000-00004C050000}"/>
    <cellStyle name="40% - Accent3 2 7 2 2" xfId="8367" xr:uid="{00000000-0005-0000-0000-00004D050000}"/>
    <cellStyle name="40% - Accent3 2 7 3" xfId="6222" xr:uid="{00000000-0005-0000-0000-00004E050000}"/>
    <cellStyle name="40% - Accent3 2 8" xfId="2329" xr:uid="{00000000-0005-0000-0000-00004F050000}"/>
    <cellStyle name="40% - Accent3 2 8 2" xfId="6635" xr:uid="{00000000-0005-0000-0000-000050050000}"/>
    <cellStyle name="40% - Accent3 2 9" xfId="4569"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3" xr:uid="{00000000-0005-0000-0000-000056050000}"/>
    <cellStyle name="40% - Accent3 3 2 2 3" xfId="4988" xr:uid="{00000000-0005-0000-0000-000057050000}"/>
    <cellStyle name="40% - Accent3 3 2 3" xfId="1093" xr:uid="{00000000-0005-0000-0000-000058050000}"/>
    <cellStyle name="40% - Accent3 3 2 3 2" xfId="3324" xr:uid="{00000000-0005-0000-0000-000059050000}"/>
    <cellStyle name="40% - Accent3 3 2 3 2 2" xfId="7546" xr:uid="{00000000-0005-0000-0000-00005A050000}"/>
    <cellStyle name="40% - Accent3 3 2 3 3" xfId="5401" xr:uid="{00000000-0005-0000-0000-00005B050000}"/>
    <cellStyle name="40% - Accent3 3 2 4" xfId="1507" xr:uid="{00000000-0005-0000-0000-00005C050000}"/>
    <cellStyle name="40% - Accent3 3 2 4 2" xfId="3737" xr:uid="{00000000-0005-0000-0000-00005D050000}"/>
    <cellStyle name="40% - Accent3 3 2 4 2 2" xfId="7959" xr:uid="{00000000-0005-0000-0000-00005E050000}"/>
    <cellStyle name="40% - Accent3 3 2 4 3" xfId="5814" xr:uid="{00000000-0005-0000-0000-00005F050000}"/>
    <cellStyle name="40% - Accent3 3 2 5" xfId="1921" xr:uid="{00000000-0005-0000-0000-000060050000}"/>
    <cellStyle name="40% - Accent3 3 2 5 2" xfId="4150" xr:uid="{00000000-0005-0000-0000-000061050000}"/>
    <cellStyle name="40% - Accent3 3 2 5 2 2" xfId="8372" xr:uid="{00000000-0005-0000-0000-000062050000}"/>
    <cellStyle name="40% - Accent3 3 2 5 3" xfId="6227" xr:uid="{00000000-0005-0000-0000-000063050000}"/>
    <cellStyle name="40% - Accent3 3 2 6" xfId="2334" xr:uid="{00000000-0005-0000-0000-000064050000}"/>
    <cellStyle name="40% - Accent3 3 2 6 2" xfId="6640" xr:uid="{00000000-0005-0000-0000-000065050000}"/>
    <cellStyle name="40% - Accent3 3 2 7" xfId="4574" xr:uid="{00000000-0005-0000-0000-000066050000}"/>
    <cellStyle name="40% - Accent3 3 3" xfId="639" xr:uid="{00000000-0005-0000-0000-000067050000}"/>
    <cellStyle name="40% - Accent3 3 3 2" xfId="2910" xr:uid="{00000000-0005-0000-0000-000068050000}"/>
    <cellStyle name="40% - Accent3 3 3 2 2" xfId="7132" xr:uid="{00000000-0005-0000-0000-000069050000}"/>
    <cellStyle name="40% - Accent3 3 3 3" xfId="4987" xr:uid="{00000000-0005-0000-0000-00006A050000}"/>
    <cellStyle name="40% - Accent3 3 4" xfId="1092" xr:uid="{00000000-0005-0000-0000-00006B050000}"/>
    <cellStyle name="40% - Accent3 3 4 2" xfId="3323" xr:uid="{00000000-0005-0000-0000-00006C050000}"/>
    <cellStyle name="40% - Accent3 3 4 2 2" xfId="7545" xr:uid="{00000000-0005-0000-0000-00006D050000}"/>
    <cellStyle name="40% - Accent3 3 4 3" xfId="5400" xr:uid="{00000000-0005-0000-0000-00006E050000}"/>
    <cellStyle name="40% - Accent3 3 5" xfId="1506" xr:uid="{00000000-0005-0000-0000-00006F050000}"/>
    <cellStyle name="40% - Accent3 3 5 2" xfId="3736" xr:uid="{00000000-0005-0000-0000-000070050000}"/>
    <cellStyle name="40% - Accent3 3 5 2 2" xfId="7958" xr:uid="{00000000-0005-0000-0000-000071050000}"/>
    <cellStyle name="40% - Accent3 3 5 3" xfId="5813" xr:uid="{00000000-0005-0000-0000-000072050000}"/>
    <cellStyle name="40% - Accent3 3 6" xfId="1920" xr:uid="{00000000-0005-0000-0000-000073050000}"/>
    <cellStyle name="40% - Accent3 3 6 2" xfId="4149" xr:uid="{00000000-0005-0000-0000-000074050000}"/>
    <cellStyle name="40% - Accent3 3 6 2 2" xfId="8371" xr:uid="{00000000-0005-0000-0000-000075050000}"/>
    <cellStyle name="40% - Accent3 3 6 3" xfId="6226" xr:uid="{00000000-0005-0000-0000-000076050000}"/>
    <cellStyle name="40% - Accent3 3 7" xfId="2333" xr:uid="{00000000-0005-0000-0000-000077050000}"/>
    <cellStyle name="40% - Accent3 3 7 2" xfId="6639" xr:uid="{00000000-0005-0000-0000-000078050000}"/>
    <cellStyle name="40% - Accent3 3 8" xfId="4573"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4" xr:uid="{00000000-0005-0000-0000-00007D050000}"/>
    <cellStyle name="40% - Accent3 4 2 3" xfId="4989" xr:uid="{00000000-0005-0000-0000-00007E050000}"/>
    <cellStyle name="40% - Accent3 4 3" xfId="1094" xr:uid="{00000000-0005-0000-0000-00007F050000}"/>
    <cellStyle name="40% - Accent3 4 3 2" xfId="3325" xr:uid="{00000000-0005-0000-0000-000080050000}"/>
    <cellStyle name="40% - Accent3 4 3 2 2" xfId="7547" xr:uid="{00000000-0005-0000-0000-000081050000}"/>
    <cellStyle name="40% - Accent3 4 3 3" xfId="5402" xr:uid="{00000000-0005-0000-0000-000082050000}"/>
    <cellStyle name="40% - Accent3 4 4" xfId="1508" xr:uid="{00000000-0005-0000-0000-000083050000}"/>
    <cellStyle name="40% - Accent3 4 4 2" xfId="3738" xr:uid="{00000000-0005-0000-0000-000084050000}"/>
    <cellStyle name="40% - Accent3 4 4 2 2" xfId="7960" xr:uid="{00000000-0005-0000-0000-000085050000}"/>
    <cellStyle name="40% - Accent3 4 4 3" xfId="5815" xr:uid="{00000000-0005-0000-0000-000086050000}"/>
    <cellStyle name="40% - Accent3 4 5" xfId="1922" xr:uid="{00000000-0005-0000-0000-000087050000}"/>
    <cellStyle name="40% - Accent3 4 5 2" xfId="4151" xr:uid="{00000000-0005-0000-0000-000088050000}"/>
    <cellStyle name="40% - Accent3 4 5 2 2" xfId="8373" xr:uid="{00000000-0005-0000-0000-000089050000}"/>
    <cellStyle name="40% - Accent3 4 5 3" xfId="6228" xr:uid="{00000000-0005-0000-0000-00008A050000}"/>
    <cellStyle name="40% - Accent3 4 6" xfId="2335" xr:uid="{00000000-0005-0000-0000-00008B050000}"/>
    <cellStyle name="40% - Accent3 4 6 2" xfId="6641" xr:uid="{00000000-0005-0000-0000-00008C050000}"/>
    <cellStyle name="40% - Accent3 4 7" xfId="4575" xr:uid="{00000000-0005-0000-0000-00008D050000}"/>
    <cellStyle name="40% - Accent3 5" xfId="634" xr:uid="{00000000-0005-0000-0000-00008E050000}"/>
    <cellStyle name="40% - Accent3 5 2" xfId="2905" xr:uid="{00000000-0005-0000-0000-00008F050000}"/>
    <cellStyle name="40% - Accent3 5 2 2" xfId="7127" xr:uid="{00000000-0005-0000-0000-000090050000}"/>
    <cellStyle name="40% - Accent3 5 3" xfId="4982" xr:uid="{00000000-0005-0000-0000-000091050000}"/>
    <cellStyle name="40% - Accent3 6" xfId="1087" xr:uid="{00000000-0005-0000-0000-000092050000}"/>
    <cellStyle name="40% - Accent3 6 2" xfId="3318" xr:uid="{00000000-0005-0000-0000-000093050000}"/>
    <cellStyle name="40% - Accent3 6 2 2" xfId="7540" xr:uid="{00000000-0005-0000-0000-000094050000}"/>
    <cellStyle name="40% - Accent3 6 3" xfId="5395" xr:uid="{00000000-0005-0000-0000-000095050000}"/>
    <cellStyle name="40% - Accent3 7" xfId="1501" xr:uid="{00000000-0005-0000-0000-000096050000}"/>
    <cellStyle name="40% - Accent3 7 2" xfId="3731" xr:uid="{00000000-0005-0000-0000-000097050000}"/>
    <cellStyle name="40% - Accent3 7 2 2" xfId="7953" xr:uid="{00000000-0005-0000-0000-000098050000}"/>
    <cellStyle name="40% - Accent3 7 3" xfId="5808" xr:uid="{00000000-0005-0000-0000-000099050000}"/>
    <cellStyle name="40% - Accent3 8" xfId="1915" xr:uid="{00000000-0005-0000-0000-00009A050000}"/>
    <cellStyle name="40% - Accent3 8 2" xfId="4144" xr:uid="{00000000-0005-0000-0000-00009B050000}"/>
    <cellStyle name="40% - Accent3 8 2 2" xfId="8366" xr:uid="{00000000-0005-0000-0000-00009C050000}"/>
    <cellStyle name="40% - Accent3 8 3" xfId="6221" xr:uid="{00000000-0005-0000-0000-00009D050000}"/>
    <cellStyle name="40% - Accent3 9" xfId="2328" xr:uid="{00000000-0005-0000-0000-00009E050000}"/>
    <cellStyle name="40% - Accent3 9 2" xfId="6634" xr:uid="{00000000-0005-0000-0000-00009F050000}"/>
    <cellStyle name="40% - Accent4" xfId="73" builtinId="43" customBuiltin="1"/>
    <cellStyle name="40% - Accent4 10" xfId="4576"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8" xr:uid="{00000000-0005-0000-0000-0000A7050000}"/>
    <cellStyle name="40% - Accent4 2 2 2 2 3" xfId="4993" xr:uid="{00000000-0005-0000-0000-0000A8050000}"/>
    <cellStyle name="40% - Accent4 2 2 2 3" xfId="1098" xr:uid="{00000000-0005-0000-0000-0000A9050000}"/>
    <cellStyle name="40% - Accent4 2 2 2 3 2" xfId="3329" xr:uid="{00000000-0005-0000-0000-0000AA050000}"/>
    <cellStyle name="40% - Accent4 2 2 2 3 2 2" xfId="7551" xr:uid="{00000000-0005-0000-0000-0000AB050000}"/>
    <cellStyle name="40% - Accent4 2 2 2 3 3" xfId="5406" xr:uid="{00000000-0005-0000-0000-0000AC050000}"/>
    <cellStyle name="40% - Accent4 2 2 2 4" xfId="1512" xr:uid="{00000000-0005-0000-0000-0000AD050000}"/>
    <cellStyle name="40% - Accent4 2 2 2 4 2" xfId="3742" xr:uid="{00000000-0005-0000-0000-0000AE050000}"/>
    <cellStyle name="40% - Accent4 2 2 2 4 2 2" xfId="7964" xr:uid="{00000000-0005-0000-0000-0000AF050000}"/>
    <cellStyle name="40% - Accent4 2 2 2 4 3" xfId="5819" xr:uid="{00000000-0005-0000-0000-0000B0050000}"/>
    <cellStyle name="40% - Accent4 2 2 2 5" xfId="1926" xr:uid="{00000000-0005-0000-0000-0000B1050000}"/>
    <cellStyle name="40% - Accent4 2 2 2 5 2" xfId="4155" xr:uid="{00000000-0005-0000-0000-0000B2050000}"/>
    <cellStyle name="40% - Accent4 2 2 2 5 2 2" xfId="8377" xr:uid="{00000000-0005-0000-0000-0000B3050000}"/>
    <cellStyle name="40% - Accent4 2 2 2 5 3" xfId="6232" xr:uid="{00000000-0005-0000-0000-0000B4050000}"/>
    <cellStyle name="40% - Accent4 2 2 2 6" xfId="2339" xr:uid="{00000000-0005-0000-0000-0000B5050000}"/>
    <cellStyle name="40% - Accent4 2 2 2 6 2" xfId="6645" xr:uid="{00000000-0005-0000-0000-0000B6050000}"/>
    <cellStyle name="40% - Accent4 2 2 2 7" xfId="4579" xr:uid="{00000000-0005-0000-0000-0000B7050000}"/>
    <cellStyle name="40% - Accent4 2 2 3" xfId="644" xr:uid="{00000000-0005-0000-0000-0000B8050000}"/>
    <cellStyle name="40% - Accent4 2 2 3 2" xfId="2915" xr:uid="{00000000-0005-0000-0000-0000B9050000}"/>
    <cellStyle name="40% - Accent4 2 2 3 2 2" xfId="7137" xr:uid="{00000000-0005-0000-0000-0000BA050000}"/>
    <cellStyle name="40% - Accent4 2 2 3 3" xfId="4992" xr:uid="{00000000-0005-0000-0000-0000BB050000}"/>
    <cellStyle name="40% - Accent4 2 2 4" xfId="1097" xr:uid="{00000000-0005-0000-0000-0000BC050000}"/>
    <cellStyle name="40% - Accent4 2 2 4 2" xfId="3328" xr:uid="{00000000-0005-0000-0000-0000BD050000}"/>
    <cellStyle name="40% - Accent4 2 2 4 2 2" xfId="7550" xr:uid="{00000000-0005-0000-0000-0000BE050000}"/>
    <cellStyle name="40% - Accent4 2 2 4 3" xfId="5405" xr:uid="{00000000-0005-0000-0000-0000BF050000}"/>
    <cellStyle name="40% - Accent4 2 2 5" xfId="1511" xr:uid="{00000000-0005-0000-0000-0000C0050000}"/>
    <cellStyle name="40% - Accent4 2 2 5 2" xfId="3741" xr:uid="{00000000-0005-0000-0000-0000C1050000}"/>
    <cellStyle name="40% - Accent4 2 2 5 2 2" xfId="7963" xr:uid="{00000000-0005-0000-0000-0000C2050000}"/>
    <cellStyle name="40% - Accent4 2 2 5 3" xfId="5818" xr:uid="{00000000-0005-0000-0000-0000C3050000}"/>
    <cellStyle name="40% - Accent4 2 2 6" xfId="1925" xr:uid="{00000000-0005-0000-0000-0000C4050000}"/>
    <cellStyle name="40% - Accent4 2 2 6 2" xfId="4154" xr:uid="{00000000-0005-0000-0000-0000C5050000}"/>
    <cellStyle name="40% - Accent4 2 2 6 2 2" xfId="8376" xr:uid="{00000000-0005-0000-0000-0000C6050000}"/>
    <cellStyle name="40% - Accent4 2 2 6 3" xfId="6231" xr:uid="{00000000-0005-0000-0000-0000C7050000}"/>
    <cellStyle name="40% - Accent4 2 2 7" xfId="2338" xr:uid="{00000000-0005-0000-0000-0000C8050000}"/>
    <cellStyle name="40% - Accent4 2 2 7 2" xfId="6644" xr:uid="{00000000-0005-0000-0000-0000C9050000}"/>
    <cellStyle name="40% - Accent4 2 2 8" xfId="4578"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39" xr:uid="{00000000-0005-0000-0000-0000CE050000}"/>
    <cellStyle name="40% - Accent4 2 3 2 3" xfId="4994" xr:uid="{00000000-0005-0000-0000-0000CF050000}"/>
    <cellStyle name="40% - Accent4 2 3 3" xfId="1099" xr:uid="{00000000-0005-0000-0000-0000D0050000}"/>
    <cellStyle name="40% - Accent4 2 3 3 2" xfId="3330" xr:uid="{00000000-0005-0000-0000-0000D1050000}"/>
    <cellStyle name="40% - Accent4 2 3 3 2 2" xfId="7552" xr:uid="{00000000-0005-0000-0000-0000D2050000}"/>
    <cellStyle name="40% - Accent4 2 3 3 3" xfId="5407" xr:uid="{00000000-0005-0000-0000-0000D3050000}"/>
    <cellStyle name="40% - Accent4 2 3 4" xfId="1513" xr:uid="{00000000-0005-0000-0000-0000D4050000}"/>
    <cellStyle name="40% - Accent4 2 3 4 2" xfId="3743" xr:uid="{00000000-0005-0000-0000-0000D5050000}"/>
    <cellStyle name="40% - Accent4 2 3 4 2 2" xfId="7965" xr:uid="{00000000-0005-0000-0000-0000D6050000}"/>
    <cellStyle name="40% - Accent4 2 3 4 3" xfId="5820" xr:uid="{00000000-0005-0000-0000-0000D7050000}"/>
    <cellStyle name="40% - Accent4 2 3 5" xfId="1927" xr:uid="{00000000-0005-0000-0000-0000D8050000}"/>
    <cellStyle name="40% - Accent4 2 3 5 2" xfId="4156" xr:uid="{00000000-0005-0000-0000-0000D9050000}"/>
    <cellStyle name="40% - Accent4 2 3 5 2 2" xfId="8378" xr:uid="{00000000-0005-0000-0000-0000DA050000}"/>
    <cellStyle name="40% - Accent4 2 3 5 3" xfId="6233" xr:uid="{00000000-0005-0000-0000-0000DB050000}"/>
    <cellStyle name="40% - Accent4 2 3 6" xfId="2340" xr:uid="{00000000-0005-0000-0000-0000DC050000}"/>
    <cellStyle name="40% - Accent4 2 3 6 2" xfId="6646" xr:uid="{00000000-0005-0000-0000-0000DD050000}"/>
    <cellStyle name="40% - Accent4 2 3 7" xfId="4580" xr:uid="{00000000-0005-0000-0000-0000DE050000}"/>
    <cellStyle name="40% - Accent4 2 4" xfId="643" xr:uid="{00000000-0005-0000-0000-0000DF050000}"/>
    <cellStyle name="40% - Accent4 2 4 2" xfId="2914" xr:uid="{00000000-0005-0000-0000-0000E0050000}"/>
    <cellStyle name="40% - Accent4 2 4 2 2" xfId="7136" xr:uid="{00000000-0005-0000-0000-0000E1050000}"/>
    <cellStyle name="40% - Accent4 2 4 3" xfId="4991" xr:uid="{00000000-0005-0000-0000-0000E2050000}"/>
    <cellStyle name="40% - Accent4 2 5" xfId="1096" xr:uid="{00000000-0005-0000-0000-0000E3050000}"/>
    <cellStyle name="40% - Accent4 2 5 2" xfId="3327" xr:uid="{00000000-0005-0000-0000-0000E4050000}"/>
    <cellStyle name="40% - Accent4 2 5 2 2" xfId="7549" xr:uid="{00000000-0005-0000-0000-0000E5050000}"/>
    <cellStyle name="40% - Accent4 2 5 3" xfId="5404" xr:uid="{00000000-0005-0000-0000-0000E6050000}"/>
    <cellStyle name="40% - Accent4 2 6" xfId="1510" xr:uid="{00000000-0005-0000-0000-0000E7050000}"/>
    <cellStyle name="40% - Accent4 2 6 2" xfId="3740" xr:uid="{00000000-0005-0000-0000-0000E8050000}"/>
    <cellStyle name="40% - Accent4 2 6 2 2" xfId="7962" xr:uid="{00000000-0005-0000-0000-0000E9050000}"/>
    <cellStyle name="40% - Accent4 2 6 3" xfId="5817" xr:uid="{00000000-0005-0000-0000-0000EA050000}"/>
    <cellStyle name="40% - Accent4 2 7" xfId="1924" xr:uid="{00000000-0005-0000-0000-0000EB050000}"/>
    <cellStyle name="40% - Accent4 2 7 2" xfId="4153" xr:uid="{00000000-0005-0000-0000-0000EC050000}"/>
    <cellStyle name="40% - Accent4 2 7 2 2" xfId="8375" xr:uid="{00000000-0005-0000-0000-0000ED050000}"/>
    <cellStyle name="40% - Accent4 2 7 3" xfId="6230" xr:uid="{00000000-0005-0000-0000-0000EE050000}"/>
    <cellStyle name="40% - Accent4 2 8" xfId="2337" xr:uid="{00000000-0005-0000-0000-0000EF050000}"/>
    <cellStyle name="40% - Accent4 2 8 2" xfId="6643" xr:uid="{00000000-0005-0000-0000-0000F0050000}"/>
    <cellStyle name="40% - Accent4 2 9" xfId="4577"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1" xr:uid="{00000000-0005-0000-0000-0000F6050000}"/>
    <cellStyle name="40% - Accent4 3 2 2 3" xfId="4996" xr:uid="{00000000-0005-0000-0000-0000F7050000}"/>
    <cellStyle name="40% - Accent4 3 2 3" xfId="1101" xr:uid="{00000000-0005-0000-0000-0000F8050000}"/>
    <cellStyle name="40% - Accent4 3 2 3 2" xfId="3332" xr:uid="{00000000-0005-0000-0000-0000F9050000}"/>
    <cellStyle name="40% - Accent4 3 2 3 2 2" xfId="7554" xr:uid="{00000000-0005-0000-0000-0000FA050000}"/>
    <cellStyle name="40% - Accent4 3 2 3 3" xfId="5409" xr:uid="{00000000-0005-0000-0000-0000FB050000}"/>
    <cellStyle name="40% - Accent4 3 2 4" xfId="1515" xr:uid="{00000000-0005-0000-0000-0000FC050000}"/>
    <cellStyle name="40% - Accent4 3 2 4 2" xfId="3745" xr:uid="{00000000-0005-0000-0000-0000FD050000}"/>
    <cellStyle name="40% - Accent4 3 2 4 2 2" xfId="7967" xr:uid="{00000000-0005-0000-0000-0000FE050000}"/>
    <cellStyle name="40% - Accent4 3 2 4 3" xfId="5822" xr:uid="{00000000-0005-0000-0000-0000FF050000}"/>
    <cellStyle name="40% - Accent4 3 2 5" xfId="1929" xr:uid="{00000000-0005-0000-0000-000000060000}"/>
    <cellStyle name="40% - Accent4 3 2 5 2" xfId="4158" xr:uid="{00000000-0005-0000-0000-000001060000}"/>
    <cellStyle name="40% - Accent4 3 2 5 2 2" xfId="8380" xr:uid="{00000000-0005-0000-0000-000002060000}"/>
    <cellStyle name="40% - Accent4 3 2 5 3" xfId="6235" xr:uid="{00000000-0005-0000-0000-000003060000}"/>
    <cellStyle name="40% - Accent4 3 2 6" xfId="2342" xr:uid="{00000000-0005-0000-0000-000004060000}"/>
    <cellStyle name="40% - Accent4 3 2 6 2" xfId="6648" xr:uid="{00000000-0005-0000-0000-000005060000}"/>
    <cellStyle name="40% - Accent4 3 2 7" xfId="4582" xr:uid="{00000000-0005-0000-0000-000006060000}"/>
    <cellStyle name="40% - Accent4 3 3" xfId="647" xr:uid="{00000000-0005-0000-0000-000007060000}"/>
    <cellStyle name="40% - Accent4 3 3 2" xfId="2918" xr:uid="{00000000-0005-0000-0000-000008060000}"/>
    <cellStyle name="40% - Accent4 3 3 2 2" xfId="7140" xr:uid="{00000000-0005-0000-0000-000009060000}"/>
    <cellStyle name="40% - Accent4 3 3 3" xfId="4995" xr:uid="{00000000-0005-0000-0000-00000A060000}"/>
    <cellStyle name="40% - Accent4 3 4" xfId="1100" xr:uid="{00000000-0005-0000-0000-00000B060000}"/>
    <cellStyle name="40% - Accent4 3 4 2" xfId="3331" xr:uid="{00000000-0005-0000-0000-00000C060000}"/>
    <cellStyle name="40% - Accent4 3 4 2 2" xfId="7553" xr:uid="{00000000-0005-0000-0000-00000D060000}"/>
    <cellStyle name="40% - Accent4 3 4 3" xfId="5408" xr:uid="{00000000-0005-0000-0000-00000E060000}"/>
    <cellStyle name="40% - Accent4 3 5" xfId="1514" xr:uid="{00000000-0005-0000-0000-00000F060000}"/>
    <cellStyle name="40% - Accent4 3 5 2" xfId="3744" xr:uid="{00000000-0005-0000-0000-000010060000}"/>
    <cellStyle name="40% - Accent4 3 5 2 2" xfId="7966" xr:uid="{00000000-0005-0000-0000-000011060000}"/>
    <cellStyle name="40% - Accent4 3 5 3" xfId="5821" xr:uid="{00000000-0005-0000-0000-000012060000}"/>
    <cellStyle name="40% - Accent4 3 6" xfId="1928" xr:uid="{00000000-0005-0000-0000-000013060000}"/>
    <cellStyle name="40% - Accent4 3 6 2" xfId="4157" xr:uid="{00000000-0005-0000-0000-000014060000}"/>
    <cellStyle name="40% - Accent4 3 6 2 2" xfId="8379" xr:uid="{00000000-0005-0000-0000-000015060000}"/>
    <cellStyle name="40% - Accent4 3 6 3" xfId="6234" xr:uid="{00000000-0005-0000-0000-000016060000}"/>
    <cellStyle name="40% - Accent4 3 7" xfId="2341" xr:uid="{00000000-0005-0000-0000-000017060000}"/>
    <cellStyle name="40% - Accent4 3 7 2" xfId="6647" xr:uid="{00000000-0005-0000-0000-000018060000}"/>
    <cellStyle name="40% - Accent4 3 8" xfId="4581"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2" xr:uid="{00000000-0005-0000-0000-00001D060000}"/>
    <cellStyle name="40% - Accent4 4 2 3" xfId="4997" xr:uid="{00000000-0005-0000-0000-00001E060000}"/>
    <cellStyle name="40% - Accent4 4 3" xfId="1102" xr:uid="{00000000-0005-0000-0000-00001F060000}"/>
    <cellStyle name="40% - Accent4 4 3 2" xfId="3333" xr:uid="{00000000-0005-0000-0000-000020060000}"/>
    <cellStyle name="40% - Accent4 4 3 2 2" xfId="7555" xr:uid="{00000000-0005-0000-0000-000021060000}"/>
    <cellStyle name="40% - Accent4 4 3 3" xfId="5410" xr:uid="{00000000-0005-0000-0000-000022060000}"/>
    <cellStyle name="40% - Accent4 4 4" xfId="1516" xr:uid="{00000000-0005-0000-0000-000023060000}"/>
    <cellStyle name="40% - Accent4 4 4 2" xfId="3746" xr:uid="{00000000-0005-0000-0000-000024060000}"/>
    <cellStyle name="40% - Accent4 4 4 2 2" xfId="7968" xr:uid="{00000000-0005-0000-0000-000025060000}"/>
    <cellStyle name="40% - Accent4 4 4 3" xfId="5823" xr:uid="{00000000-0005-0000-0000-000026060000}"/>
    <cellStyle name="40% - Accent4 4 5" xfId="1930" xr:uid="{00000000-0005-0000-0000-000027060000}"/>
    <cellStyle name="40% - Accent4 4 5 2" xfId="4159" xr:uid="{00000000-0005-0000-0000-000028060000}"/>
    <cellStyle name="40% - Accent4 4 5 2 2" xfId="8381" xr:uid="{00000000-0005-0000-0000-000029060000}"/>
    <cellStyle name="40% - Accent4 4 5 3" xfId="6236" xr:uid="{00000000-0005-0000-0000-00002A060000}"/>
    <cellStyle name="40% - Accent4 4 6" xfId="2343" xr:uid="{00000000-0005-0000-0000-00002B060000}"/>
    <cellStyle name="40% - Accent4 4 6 2" xfId="6649" xr:uid="{00000000-0005-0000-0000-00002C060000}"/>
    <cellStyle name="40% - Accent4 4 7" xfId="4583" xr:uid="{00000000-0005-0000-0000-00002D060000}"/>
    <cellStyle name="40% - Accent4 5" xfId="642" xr:uid="{00000000-0005-0000-0000-00002E060000}"/>
    <cellStyle name="40% - Accent4 5 2" xfId="2913" xr:uid="{00000000-0005-0000-0000-00002F060000}"/>
    <cellStyle name="40% - Accent4 5 2 2" xfId="7135" xr:uid="{00000000-0005-0000-0000-000030060000}"/>
    <cellStyle name="40% - Accent4 5 3" xfId="4990" xr:uid="{00000000-0005-0000-0000-000031060000}"/>
    <cellStyle name="40% - Accent4 6" xfId="1095" xr:uid="{00000000-0005-0000-0000-000032060000}"/>
    <cellStyle name="40% - Accent4 6 2" xfId="3326" xr:uid="{00000000-0005-0000-0000-000033060000}"/>
    <cellStyle name="40% - Accent4 6 2 2" xfId="7548" xr:uid="{00000000-0005-0000-0000-000034060000}"/>
    <cellStyle name="40% - Accent4 6 3" xfId="5403" xr:uid="{00000000-0005-0000-0000-000035060000}"/>
    <cellStyle name="40% - Accent4 7" xfId="1509" xr:uid="{00000000-0005-0000-0000-000036060000}"/>
    <cellStyle name="40% - Accent4 7 2" xfId="3739" xr:uid="{00000000-0005-0000-0000-000037060000}"/>
    <cellStyle name="40% - Accent4 7 2 2" xfId="7961" xr:uid="{00000000-0005-0000-0000-000038060000}"/>
    <cellStyle name="40% - Accent4 7 3" xfId="5816" xr:uid="{00000000-0005-0000-0000-000039060000}"/>
    <cellStyle name="40% - Accent4 8" xfId="1923" xr:uid="{00000000-0005-0000-0000-00003A060000}"/>
    <cellStyle name="40% - Accent4 8 2" xfId="4152" xr:uid="{00000000-0005-0000-0000-00003B060000}"/>
    <cellStyle name="40% - Accent4 8 2 2" xfId="8374" xr:uid="{00000000-0005-0000-0000-00003C060000}"/>
    <cellStyle name="40% - Accent4 8 3" xfId="6229" xr:uid="{00000000-0005-0000-0000-00003D060000}"/>
    <cellStyle name="40% - Accent4 9" xfId="2336" xr:uid="{00000000-0005-0000-0000-00003E060000}"/>
    <cellStyle name="40% - Accent4 9 2" xfId="6642" xr:uid="{00000000-0005-0000-0000-00003F060000}"/>
    <cellStyle name="40% - Accent5" xfId="81" builtinId="47" customBuiltin="1"/>
    <cellStyle name="40% - Accent5 10" xfId="4584"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6" xr:uid="{00000000-0005-0000-0000-000047060000}"/>
    <cellStyle name="40% - Accent5 2 2 2 2 3" xfId="5001" xr:uid="{00000000-0005-0000-0000-000048060000}"/>
    <cellStyle name="40% - Accent5 2 2 2 3" xfId="1106" xr:uid="{00000000-0005-0000-0000-000049060000}"/>
    <cellStyle name="40% - Accent5 2 2 2 3 2" xfId="3337" xr:uid="{00000000-0005-0000-0000-00004A060000}"/>
    <cellStyle name="40% - Accent5 2 2 2 3 2 2" xfId="7559" xr:uid="{00000000-0005-0000-0000-00004B060000}"/>
    <cellStyle name="40% - Accent5 2 2 2 3 3" xfId="5414" xr:uid="{00000000-0005-0000-0000-00004C060000}"/>
    <cellStyle name="40% - Accent5 2 2 2 4" xfId="1520" xr:uid="{00000000-0005-0000-0000-00004D060000}"/>
    <cellStyle name="40% - Accent5 2 2 2 4 2" xfId="3750" xr:uid="{00000000-0005-0000-0000-00004E060000}"/>
    <cellStyle name="40% - Accent5 2 2 2 4 2 2" xfId="7972" xr:uid="{00000000-0005-0000-0000-00004F060000}"/>
    <cellStyle name="40% - Accent5 2 2 2 4 3" xfId="5827" xr:uid="{00000000-0005-0000-0000-000050060000}"/>
    <cellStyle name="40% - Accent5 2 2 2 5" xfId="1934" xr:uid="{00000000-0005-0000-0000-000051060000}"/>
    <cellStyle name="40% - Accent5 2 2 2 5 2" xfId="4163" xr:uid="{00000000-0005-0000-0000-000052060000}"/>
    <cellStyle name="40% - Accent5 2 2 2 5 2 2" xfId="8385" xr:uid="{00000000-0005-0000-0000-000053060000}"/>
    <cellStyle name="40% - Accent5 2 2 2 5 3" xfId="6240" xr:uid="{00000000-0005-0000-0000-000054060000}"/>
    <cellStyle name="40% - Accent5 2 2 2 6" xfId="2347" xr:uid="{00000000-0005-0000-0000-000055060000}"/>
    <cellStyle name="40% - Accent5 2 2 2 6 2" xfId="6653" xr:uid="{00000000-0005-0000-0000-000056060000}"/>
    <cellStyle name="40% - Accent5 2 2 2 7" xfId="4587" xr:uid="{00000000-0005-0000-0000-000057060000}"/>
    <cellStyle name="40% - Accent5 2 2 3" xfId="652" xr:uid="{00000000-0005-0000-0000-000058060000}"/>
    <cellStyle name="40% - Accent5 2 2 3 2" xfId="2923" xr:uid="{00000000-0005-0000-0000-000059060000}"/>
    <cellStyle name="40% - Accent5 2 2 3 2 2" xfId="7145" xr:uid="{00000000-0005-0000-0000-00005A060000}"/>
    <cellStyle name="40% - Accent5 2 2 3 3" xfId="5000" xr:uid="{00000000-0005-0000-0000-00005B060000}"/>
    <cellStyle name="40% - Accent5 2 2 4" xfId="1105" xr:uid="{00000000-0005-0000-0000-00005C060000}"/>
    <cellStyle name="40% - Accent5 2 2 4 2" xfId="3336" xr:uid="{00000000-0005-0000-0000-00005D060000}"/>
    <cellStyle name="40% - Accent5 2 2 4 2 2" xfId="7558" xr:uid="{00000000-0005-0000-0000-00005E060000}"/>
    <cellStyle name="40% - Accent5 2 2 4 3" xfId="5413" xr:uid="{00000000-0005-0000-0000-00005F060000}"/>
    <cellStyle name="40% - Accent5 2 2 5" xfId="1519" xr:uid="{00000000-0005-0000-0000-000060060000}"/>
    <cellStyle name="40% - Accent5 2 2 5 2" xfId="3749" xr:uid="{00000000-0005-0000-0000-000061060000}"/>
    <cellStyle name="40% - Accent5 2 2 5 2 2" xfId="7971" xr:uid="{00000000-0005-0000-0000-000062060000}"/>
    <cellStyle name="40% - Accent5 2 2 5 3" xfId="5826" xr:uid="{00000000-0005-0000-0000-000063060000}"/>
    <cellStyle name="40% - Accent5 2 2 6" xfId="1933" xr:uid="{00000000-0005-0000-0000-000064060000}"/>
    <cellStyle name="40% - Accent5 2 2 6 2" xfId="4162" xr:uid="{00000000-0005-0000-0000-000065060000}"/>
    <cellStyle name="40% - Accent5 2 2 6 2 2" xfId="8384" xr:uid="{00000000-0005-0000-0000-000066060000}"/>
    <cellStyle name="40% - Accent5 2 2 6 3" xfId="6239" xr:uid="{00000000-0005-0000-0000-000067060000}"/>
    <cellStyle name="40% - Accent5 2 2 7" xfId="2346" xr:uid="{00000000-0005-0000-0000-000068060000}"/>
    <cellStyle name="40% - Accent5 2 2 7 2" xfId="6652" xr:uid="{00000000-0005-0000-0000-000069060000}"/>
    <cellStyle name="40% - Accent5 2 2 8" xfId="4586"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7" xr:uid="{00000000-0005-0000-0000-00006E060000}"/>
    <cellStyle name="40% - Accent5 2 3 2 3" xfId="5002" xr:uid="{00000000-0005-0000-0000-00006F060000}"/>
    <cellStyle name="40% - Accent5 2 3 3" xfId="1107" xr:uid="{00000000-0005-0000-0000-000070060000}"/>
    <cellStyle name="40% - Accent5 2 3 3 2" xfId="3338" xr:uid="{00000000-0005-0000-0000-000071060000}"/>
    <cellStyle name="40% - Accent5 2 3 3 2 2" xfId="7560" xr:uid="{00000000-0005-0000-0000-000072060000}"/>
    <cellStyle name="40% - Accent5 2 3 3 3" xfId="5415" xr:uid="{00000000-0005-0000-0000-000073060000}"/>
    <cellStyle name="40% - Accent5 2 3 4" xfId="1521" xr:uid="{00000000-0005-0000-0000-000074060000}"/>
    <cellStyle name="40% - Accent5 2 3 4 2" xfId="3751" xr:uid="{00000000-0005-0000-0000-000075060000}"/>
    <cellStyle name="40% - Accent5 2 3 4 2 2" xfId="7973" xr:uid="{00000000-0005-0000-0000-000076060000}"/>
    <cellStyle name="40% - Accent5 2 3 4 3" xfId="5828" xr:uid="{00000000-0005-0000-0000-000077060000}"/>
    <cellStyle name="40% - Accent5 2 3 5" xfId="1935" xr:uid="{00000000-0005-0000-0000-000078060000}"/>
    <cellStyle name="40% - Accent5 2 3 5 2" xfId="4164" xr:uid="{00000000-0005-0000-0000-000079060000}"/>
    <cellStyle name="40% - Accent5 2 3 5 2 2" xfId="8386" xr:uid="{00000000-0005-0000-0000-00007A060000}"/>
    <cellStyle name="40% - Accent5 2 3 5 3" xfId="6241" xr:uid="{00000000-0005-0000-0000-00007B060000}"/>
    <cellStyle name="40% - Accent5 2 3 6" xfId="2348" xr:uid="{00000000-0005-0000-0000-00007C060000}"/>
    <cellStyle name="40% - Accent5 2 3 6 2" xfId="6654" xr:uid="{00000000-0005-0000-0000-00007D060000}"/>
    <cellStyle name="40% - Accent5 2 3 7" xfId="4588" xr:uid="{00000000-0005-0000-0000-00007E060000}"/>
    <cellStyle name="40% - Accent5 2 4" xfId="651" xr:uid="{00000000-0005-0000-0000-00007F060000}"/>
    <cellStyle name="40% - Accent5 2 4 2" xfId="2922" xr:uid="{00000000-0005-0000-0000-000080060000}"/>
    <cellStyle name="40% - Accent5 2 4 2 2" xfId="7144" xr:uid="{00000000-0005-0000-0000-000081060000}"/>
    <cellStyle name="40% - Accent5 2 4 3" xfId="4999" xr:uid="{00000000-0005-0000-0000-000082060000}"/>
    <cellStyle name="40% - Accent5 2 5" xfId="1104" xr:uid="{00000000-0005-0000-0000-000083060000}"/>
    <cellStyle name="40% - Accent5 2 5 2" xfId="3335" xr:uid="{00000000-0005-0000-0000-000084060000}"/>
    <cellStyle name="40% - Accent5 2 5 2 2" xfId="7557" xr:uid="{00000000-0005-0000-0000-000085060000}"/>
    <cellStyle name="40% - Accent5 2 5 3" xfId="5412" xr:uid="{00000000-0005-0000-0000-000086060000}"/>
    <cellStyle name="40% - Accent5 2 6" xfId="1518" xr:uid="{00000000-0005-0000-0000-000087060000}"/>
    <cellStyle name="40% - Accent5 2 6 2" xfId="3748" xr:uid="{00000000-0005-0000-0000-000088060000}"/>
    <cellStyle name="40% - Accent5 2 6 2 2" xfId="7970" xr:uid="{00000000-0005-0000-0000-000089060000}"/>
    <cellStyle name="40% - Accent5 2 6 3" xfId="5825" xr:uid="{00000000-0005-0000-0000-00008A060000}"/>
    <cellStyle name="40% - Accent5 2 7" xfId="1932" xr:uid="{00000000-0005-0000-0000-00008B060000}"/>
    <cellStyle name="40% - Accent5 2 7 2" xfId="4161" xr:uid="{00000000-0005-0000-0000-00008C060000}"/>
    <cellStyle name="40% - Accent5 2 7 2 2" xfId="8383" xr:uid="{00000000-0005-0000-0000-00008D060000}"/>
    <cellStyle name="40% - Accent5 2 7 3" xfId="6238" xr:uid="{00000000-0005-0000-0000-00008E060000}"/>
    <cellStyle name="40% - Accent5 2 8" xfId="2345" xr:uid="{00000000-0005-0000-0000-00008F060000}"/>
    <cellStyle name="40% - Accent5 2 8 2" xfId="6651" xr:uid="{00000000-0005-0000-0000-000090060000}"/>
    <cellStyle name="40% - Accent5 2 9" xfId="4585"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49" xr:uid="{00000000-0005-0000-0000-000096060000}"/>
    <cellStyle name="40% - Accent5 3 2 2 3" xfId="5004" xr:uid="{00000000-0005-0000-0000-000097060000}"/>
    <cellStyle name="40% - Accent5 3 2 3" xfId="1109" xr:uid="{00000000-0005-0000-0000-000098060000}"/>
    <cellStyle name="40% - Accent5 3 2 3 2" xfId="3340" xr:uid="{00000000-0005-0000-0000-000099060000}"/>
    <cellStyle name="40% - Accent5 3 2 3 2 2" xfId="7562" xr:uid="{00000000-0005-0000-0000-00009A060000}"/>
    <cellStyle name="40% - Accent5 3 2 3 3" xfId="5417" xr:uid="{00000000-0005-0000-0000-00009B060000}"/>
    <cellStyle name="40% - Accent5 3 2 4" xfId="1523" xr:uid="{00000000-0005-0000-0000-00009C060000}"/>
    <cellStyle name="40% - Accent5 3 2 4 2" xfId="3753" xr:uid="{00000000-0005-0000-0000-00009D060000}"/>
    <cellStyle name="40% - Accent5 3 2 4 2 2" xfId="7975" xr:uid="{00000000-0005-0000-0000-00009E060000}"/>
    <cellStyle name="40% - Accent5 3 2 4 3" xfId="5830" xr:uid="{00000000-0005-0000-0000-00009F060000}"/>
    <cellStyle name="40% - Accent5 3 2 5" xfId="1937" xr:uid="{00000000-0005-0000-0000-0000A0060000}"/>
    <cellStyle name="40% - Accent5 3 2 5 2" xfId="4166" xr:uid="{00000000-0005-0000-0000-0000A1060000}"/>
    <cellStyle name="40% - Accent5 3 2 5 2 2" xfId="8388" xr:uid="{00000000-0005-0000-0000-0000A2060000}"/>
    <cellStyle name="40% - Accent5 3 2 5 3" xfId="6243" xr:uid="{00000000-0005-0000-0000-0000A3060000}"/>
    <cellStyle name="40% - Accent5 3 2 6" xfId="2350" xr:uid="{00000000-0005-0000-0000-0000A4060000}"/>
    <cellStyle name="40% - Accent5 3 2 6 2" xfId="6656" xr:uid="{00000000-0005-0000-0000-0000A5060000}"/>
    <cellStyle name="40% - Accent5 3 2 7" xfId="4590" xr:uid="{00000000-0005-0000-0000-0000A6060000}"/>
    <cellStyle name="40% - Accent5 3 3" xfId="655" xr:uid="{00000000-0005-0000-0000-0000A7060000}"/>
    <cellStyle name="40% - Accent5 3 3 2" xfId="2926" xr:uid="{00000000-0005-0000-0000-0000A8060000}"/>
    <cellStyle name="40% - Accent5 3 3 2 2" xfId="7148" xr:uid="{00000000-0005-0000-0000-0000A9060000}"/>
    <cellStyle name="40% - Accent5 3 3 3" xfId="5003" xr:uid="{00000000-0005-0000-0000-0000AA060000}"/>
    <cellStyle name="40% - Accent5 3 4" xfId="1108" xr:uid="{00000000-0005-0000-0000-0000AB060000}"/>
    <cellStyle name="40% - Accent5 3 4 2" xfId="3339" xr:uid="{00000000-0005-0000-0000-0000AC060000}"/>
    <cellStyle name="40% - Accent5 3 4 2 2" xfId="7561" xr:uid="{00000000-0005-0000-0000-0000AD060000}"/>
    <cellStyle name="40% - Accent5 3 4 3" xfId="5416" xr:uid="{00000000-0005-0000-0000-0000AE060000}"/>
    <cellStyle name="40% - Accent5 3 5" xfId="1522" xr:uid="{00000000-0005-0000-0000-0000AF060000}"/>
    <cellStyle name="40% - Accent5 3 5 2" xfId="3752" xr:uid="{00000000-0005-0000-0000-0000B0060000}"/>
    <cellStyle name="40% - Accent5 3 5 2 2" xfId="7974" xr:uid="{00000000-0005-0000-0000-0000B1060000}"/>
    <cellStyle name="40% - Accent5 3 5 3" xfId="5829" xr:uid="{00000000-0005-0000-0000-0000B2060000}"/>
    <cellStyle name="40% - Accent5 3 6" xfId="1936" xr:uid="{00000000-0005-0000-0000-0000B3060000}"/>
    <cellStyle name="40% - Accent5 3 6 2" xfId="4165" xr:uid="{00000000-0005-0000-0000-0000B4060000}"/>
    <cellStyle name="40% - Accent5 3 6 2 2" xfId="8387" xr:uid="{00000000-0005-0000-0000-0000B5060000}"/>
    <cellStyle name="40% - Accent5 3 6 3" xfId="6242" xr:uid="{00000000-0005-0000-0000-0000B6060000}"/>
    <cellStyle name="40% - Accent5 3 7" xfId="2349" xr:uid="{00000000-0005-0000-0000-0000B7060000}"/>
    <cellStyle name="40% - Accent5 3 7 2" xfId="6655" xr:uid="{00000000-0005-0000-0000-0000B8060000}"/>
    <cellStyle name="40% - Accent5 3 8" xfId="4589"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0" xr:uid="{00000000-0005-0000-0000-0000BD060000}"/>
    <cellStyle name="40% - Accent5 4 2 3" xfId="5005" xr:uid="{00000000-0005-0000-0000-0000BE060000}"/>
    <cellStyle name="40% - Accent5 4 3" xfId="1110" xr:uid="{00000000-0005-0000-0000-0000BF060000}"/>
    <cellStyle name="40% - Accent5 4 3 2" xfId="3341" xr:uid="{00000000-0005-0000-0000-0000C0060000}"/>
    <cellStyle name="40% - Accent5 4 3 2 2" xfId="7563" xr:uid="{00000000-0005-0000-0000-0000C1060000}"/>
    <cellStyle name="40% - Accent5 4 3 3" xfId="5418" xr:uid="{00000000-0005-0000-0000-0000C2060000}"/>
    <cellStyle name="40% - Accent5 4 4" xfId="1524" xr:uid="{00000000-0005-0000-0000-0000C3060000}"/>
    <cellStyle name="40% - Accent5 4 4 2" xfId="3754" xr:uid="{00000000-0005-0000-0000-0000C4060000}"/>
    <cellStyle name="40% - Accent5 4 4 2 2" xfId="7976" xr:uid="{00000000-0005-0000-0000-0000C5060000}"/>
    <cellStyle name="40% - Accent5 4 4 3" xfId="5831" xr:uid="{00000000-0005-0000-0000-0000C6060000}"/>
    <cellStyle name="40% - Accent5 4 5" xfId="1938" xr:uid="{00000000-0005-0000-0000-0000C7060000}"/>
    <cellStyle name="40% - Accent5 4 5 2" xfId="4167" xr:uid="{00000000-0005-0000-0000-0000C8060000}"/>
    <cellStyle name="40% - Accent5 4 5 2 2" xfId="8389" xr:uid="{00000000-0005-0000-0000-0000C9060000}"/>
    <cellStyle name="40% - Accent5 4 5 3" xfId="6244" xr:uid="{00000000-0005-0000-0000-0000CA060000}"/>
    <cellStyle name="40% - Accent5 4 6" xfId="2351" xr:uid="{00000000-0005-0000-0000-0000CB060000}"/>
    <cellStyle name="40% - Accent5 4 6 2" xfId="6657" xr:uid="{00000000-0005-0000-0000-0000CC060000}"/>
    <cellStyle name="40% - Accent5 4 7" xfId="4591" xr:uid="{00000000-0005-0000-0000-0000CD060000}"/>
    <cellStyle name="40% - Accent5 5" xfId="650" xr:uid="{00000000-0005-0000-0000-0000CE060000}"/>
    <cellStyle name="40% - Accent5 5 2" xfId="2921" xr:uid="{00000000-0005-0000-0000-0000CF060000}"/>
    <cellStyle name="40% - Accent5 5 2 2" xfId="7143" xr:uid="{00000000-0005-0000-0000-0000D0060000}"/>
    <cellStyle name="40% - Accent5 5 3" xfId="4998" xr:uid="{00000000-0005-0000-0000-0000D1060000}"/>
    <cellStyle name="40% - Accent5 6" xfId="1103" xr:uid="{00000000-0005-0000-0000-0000D2060000}"/>
    <cellStyle name="40% - Accent5 6 2" xfId="3334" xr:uid="{00000000-0005-0000-0000-0000D3060000}"/>
    <cellStyle name="40% - Accent5 6 2 2" xfId="7556" xr:uid="{00000000-0005-0000-0000-0000D4060000}"/>
    <cellStyle name="40% - Accent5 6 3" xfId="5411" xr:uid="{00000000-0005-0000-0000-0000D5060000}"/>
    <cellStyle name="40% - Accent5 7" xfId="1517" xr:uid="{00000000-0005-0000-0000-0000D6060000}"/>
    <cellStyle name="40% - Accent5 7 2" xfId="3747" xr:uid="{00000000-0005-0000-0000-0000D7060000}"/>
    <cellStyle name="40% - Accent5 7 2 2" xfId="7969" xr:uid="{00000000-0005-0000-0000-0000D8060000}"/>
    <cellStyle name="40% - Accent5 7 3" xfId="5824" xr:uid="{00000000-0005-0000-0000-0000D9060000}"/>
    <cellStyle name="40% - Accent5 8" xfId="1931" xr:uid="{00000000-0005-0000-0000-0000DA060000}"/>
    <cellStyle name="40% - Accent5 8 2" xfId="4160" xr:uid="{00000000-0005-0000-0000-0000DB060000}"/>
    <cellStyle name="40% - Accent5 8 2 2" xfId="8382" xr:uid="{00000000-0005-0000-0000-0000DC060000}"/>
    <cellStyle name="40% - Accent5 8 3" xfId="6237" xr:uid="{00000000-0005-0000-0000-0000DD060000}"/>
    <cellStyle name="40% - Accent5 9" xfId="2344" xr:uid="{00000000-0005-0000-0000-0000DE060000}"/>
    <cellStyle name="40% - Accent5 9 2" xfId="6650" xr:uid="{00000000-0005-0000-0000-0000DF060000}"/>
    <cellStyle name="40% - Accent6" xfId="89" builtinId="51" customBuiltin="1"/>
    <cellStyle name="40% - Accent6 10" xfId="4592"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4" xr:uid="{00000000-0005-0000-0000-0000E7060000}"/>
    <cellStyle name="40% - Accent6 2 2 2 2 3" xfId="5009" xr:uid="{00000000-0005-0000-0000-0000E8060000}"/>
    <cellStyle name="40% - Accent6 2 2 2 3" xfId="1114" xr:uid="{00000000-0005-0000-0000-0000E9060000}"/>
    <cellStyle name="40% - Accent6 2 2 2 3 2" xfId="3345" xr:uid="{00000000-0005-0000-0000-0000EA060000}"/>
    <cellStyle name="40% - Accent6 2 2 2 3 2 2" xfId="7567" xr:uid="{00000000-0005-0000-0000-0000EB060000}"/>
    <cellStyle name="40% - Accent6 2 2 2 3 3" xfId="5422" xr:uid="{00000000-0005-0000-0000-0000EC060000}"/>
    <cellStyle name="40% - Accent6 2 2 2 4" xfId="1528" xr:uid="{00000000-0005-0000-0000-0000ED060000}"/>
    <cellStyle name="40% - Accent6 2 2 2 4 2" xfId="3758" xr:uid="{00000000-0005-0000-0000-0000EE060000}"/>
    <cellStyle name="40% - Accent6 2 2 2 4 2 2" xfId="7980" xr:uid="{00000000-0005-0000-0000-0000EF060000}"/>
    <cellStyle name="40% - Accent6 2 2 2 4 3" xfId="5835" xr:uid="{00000000-0005-0000-0000-0000F0060000}"/>
    <cellStyle name="40% - Accent6 2 2 2 5" xfId="1942" xr:uid="{00000000-0005-0000-0000-0000F1060000}"/>
    <cellStyle name="40% - Accent6 2 2 2 5 2" xfId="4171" xr:uid="{00000000-0005-0000-0000-0000F2060000}"/>
    <cellStyle name="40% - Accent6 2 2 2 5 2 2" xfId="8393" xr:uid="{00000000-0005-0000-0000-0000F3060000}"/>
    <cellStyle name="40% - Accent6 2 2 2 5 3" xfId="6248" xr:uid="{00000000-0005-0000-0000-0000F4060000}"/>
    <cellStyle name="40% - Accent6 2 2 2 6" xfId="2355" xr:uid="{00000000-0005-0000-0000-0000F5060000}"/>
    <cellStyle name="40% - Accent6 2 2 2 6 2" xfId="6661" xr:uid="{00000000-0005-0000-0000-0000F6060000}"/>
    <cellStyle name="40% - Accent6 2 2 2 7" xfId="4595" xr:uid="{00000000-0005-0000-0000-0000F7060000}"/>
    <cellStyle name="40% - Accent6 2 2 3" xfId="660" xr:uid="{00000000-0005-0000-0000-0000F8060000}"/>
    <cellStyle name="40% - Accent6 2 2 3 2" xfId="2931" xr:uid="{00000000-0005-0000-0000-0000F9060000}"/>
    <cellStyle name="40% - Accent6 2 2 3 2 2" xfId="7153" xr:uid="{00000000-0005-0000-0000-0000FA060000}"/>
    <cellStyle name="40% - Accent6 2 2 3 3" xfId="5008" xr:uid="{00000000-0005-0000-0000-0000FB060000}"/>
    <cellStyle name="40% - Accent6 2 2 4" xfId="1113" xr:uid="{00000000-0005-0000-0000-0000FC060000}"/>
    <cellStyle name="40% - Accent6 2 2 4 2" xfId="3344" xr:uid="{00000000-0005-0000-0000-0000FD060000}"/>
    <cellStyle name="40% - Accent6 2 2 4 2 2" xfId="7566" xr:uid="{00000000-0005-0000-0000-0000FE060000}"/>
    <cellStyle name="40% - Accent6 2 2 4 3" xfId="5421" xr:uid="{00000000-0005-0000-0000-0000FF060000}"/>
    <cellStyle name="40% - Accent6 2 2 5" xfId="1527" xr:uid="{00000000-0005-0000-0000-000000070000}"/>
    <cellStyle name="40% - Accent6 2 2 5 2" xfId="3757" xr:uid="{00000000-0005-0000-0000-000001070000}"/>
    <cellStyle name="40% - Accent6 2 2 5 2 2" xfId="7979" xr:uid="{00000000-0005-0000-0000-000002070000}"/>
    <cellStyle name="40% - Accent6 2 2 5 3" xfId="5834" xr:uid="{00000000-0005-0000-0000-000003070000}"/>
    <cellStyle name="40% - Accent6 2 2 6" xfId="1941" xr:uid="{00000000-0005-0000-0000-000004070000}"/>
    <cellStyle name="40% - Accent6 2 2 6 2" xfId="4170" xr:uid="{00000000-0005-0000-0000-000005070000}"/>
    <cellStyle name="40% - Accent6 2 2 6 2 2" xfId="8392" xr:uid="{00000000-0005-0000-0000-000006070000}"/>
    <cellStyle name="40% - Accent6 2 2 6 3" xfId="6247" xr:uid="{00000000-0005-0000-0000-000007070000}"/>
    <cellStyle name="40% - Accent6 2 2 7" xfId="2354" xr:uid="{00000000-0005-0000-0000-000008070000}"/>
    <cellStyle name="40% - Accent6 2 2 7 2" xfId="6660" xr:uid="{00000000-0005-0000-0000-000009070000}"/>
    <cellStyle name="40% - Accent6 2 2 8" xfId="4594"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5" xr:uid="{00000000-0005-0000-0000-00000E070000}"/>
    <cellStyle name="40% - Accent6 2 3 2 3" xfId="5010" xr:uid="{00000000-0005-0000-0000-00000F070000}"/>
    <cellStyle name="40% - Accent6 2 3 3" xfId="1115" xr:uid="{00000000-0005-0000-0000-000010070000}"/>
    <cellStyle name="40% - Accent6 2 3 3 2" xfId="3346" xr:uid="{00000000-0005-0000-0000-000011070000}"/>
    <cellStyle name="40% - Accent6 2 3 3 2 2" xfId="7568" xr:uid="{00000000-0005-0000-0000-000012070000}"/>
    <cellStyle name="40% - Accent6 2 3 3 3" xfId="5423" xr:uid="{00000000-0005-0000-0000-000013070000}"/>
    <cellStyle name="40% - Accent6 2 3 4" xfId="1529" xr:uid="{00000000-0005-0000-0000-000014070000}"/>
    <cellStyle name="40% - Accent6 2 3 4 2" xfId="3759" xr:uid="{00000000-0005-0000-0000-000015070000}"/>
    <cellStyle name="40% - Accent6 2 3 4 2 2" xfId="7981" xr:uid="{00000000-0005-0000-0000-000016070000}"/>
    <cellStyle name="40% - Accent6 2 3 4 3" xfId="5836" xr:uid="{00000000-0005-0000-0000-000017070000}"/>
    <cellStyle name="40% - Accent6 2 3 5" xfId="1943" xr:uid="{00000000-0005-0000-0000-000018070000}"/>
    <cellStyle name="40% - Accent6 2 3 5 2" xfId="4172" xr:uid="{00000000-0005-0000-0000-000019070000}"/>
    <cellStyle name="40% - Accent6 2 3 5 2 2" xfId="8394" xr:uid="{00000000-0005-0000-0000-00001A070000}"/>
    <cellStyle name="40% - Accent6 2 3 5 3" xfId="6249" xr:uid="{00000000-0005-0000-0000-00001B070000}"/>
    <cellStyle name="40% - Accent6 2 3 6" xfId="2356" xr:uid="{00000000-0005-0000-0000-00001C070000}"/>
    <cellStyle name="40% - Accent6 2 3 6 2" xfId="6662" xr:uid="{00000000-0005-0000-0000-00001D070000}"/>
    <cellStyle name="40% - Accent6 2 3 7" xfId="4596" xr:uid="{00000000-0005-0000-0000-00001E070000}"/>
    <cellStyle name="40% - Accent6 2 4" xfId="659" xr:uid="{00000000-0005-0000-0000-00001F070000}"/>
    <cellStyle name="40% - Accent6 2 4 2" xfId="2930" xr:uid="{00000000-0005-0000-0000-000020070000}"/>
    <cellStyle name="40% - Accent6 2 4 2 2" xfId="7152" xr:uid="{00000000-0005-0000-0000-000021070000}"/>
    <cellStyle name="40% - Accent6 2 4 3" xfId="5007" xr:uid="{00000000-0005-0000-0000-000022070000}"/>
    <cellStyle name="40% - Accent6 2 5" xfId="1112" xr:uid="{00000000-0005-0000-0000-000023070000}"/>
    <cellStyle name="40% - Accent6 2 5 2" xfId="3343" xr:uid="{00000000-0005-0000-0000-000024070000}"/>
    <cellStyle name="40% - Accent6 2 5 2 2" xfId="7565" xr:uid="{00000000-0005-0000-0000-000025070000}"/>
    <cellStyle name="40% - Accent6 2 5 3" xfId="5420" xr:uid="{00000000-0005-0000-0000-000026070000}"/>
    <cellStyle name="40% - Accent6 2 6" xfId="1526" xr:uid="{00000000-0005-0000-0000-000027070000}"/>
    <cellStyle name="40% - Accent6 2 6 2" xfId="3756" xr:uid="{00000000-0005-0000-0000-000028070000}"/>
    <cellStyle name="40% - Accent6 2 6 2 2" xfId="7978" xr:uid="{00000000-0005-0000-0000-000029070000}"/>
    <cellStyle name="40% - Accent6 2 6 3" xfId="5833" xr:uid="{00000000-0005-0000-0000-00002A070000}"/>
    <cellStyle name="40% - Accent6 2 7" xfId="1940" xr:uid="{00000000-0005-0000-0000-00002B070000}"/>
    <cellStyle name="40% - Accent6 2 7 2" xfId="4169" xr:uid="{00000000-0005-0000-0000-00002C070000}"/>
    <cellStyle name="40% - Accent6 2 7 2 2" xfId="8391" xr:uid="{00000000-0005-0000-0000-00002D070000}"/>
    <cellStyle name="40% - Accent6 2 7 3" xfId="6246" xr:uid="{00000000-0005-0000-0000-00002E070000}"/>
    <cellStyle name="40% - Accent6 2 8" xfId="2353" xr:uid="{00000000-0005-0000-0000-00002F070000}"/>
    <cellStyle name="40% - Accent6 2 8 2" xfId="6659" xr:uid="{00000000-0005-0000-0000-000030070000}"/>
    <cellStyle name="40% - Accent6 2 9" xfId="4593"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7" xr:uid="{00000000-0005-0000-0000-000036070000}"/>
    <cellStyle name="40% - Accent6 3 2 2 3" xfId="5012" xr:uid="{00000000-0005-0000-0000-000037070000}"/>
    <cellStyle name="40% - Accent6 3 2 3" xfId="1117" xr:uid="{00000000-0005-0000-0000-000038070000}"/>
    <cellStyle name="40% - Accent6 3 2 3 2" xfId="3348" xr:uid="{00000000-0005-0000-0000-000039070000}"/>
    <cellStyle name="40% - Accent6 3 2 3 2 2" xfId="7570" xr:uid="{00000000-0005-0000-0000-00003A070000}"/>
    <cellStyle name="40% - Accent6 3 2 3 3" xfId="5425" xr:uid="{00000000-0005-0000-0000-00003B070000}"/>
    <cellStyle name="40% - Accent6 3 2 4" xfId="1531" xr:uid="{00000000-0005-0000-0000-00003C070000}"/>
    <cellStyle name="40% - Accent6 3 2 4 2" xfId="3761" xr:uid="{00000000-0005-0000-0000-00003D070000}"/>
    <cellStyle name="40% - Accent6 3 2 4 2 2" xfId="7983" xr:uid="{00000000-0005-0000-0000-00003E070000}"/>
    <cellStyle name="40% - Accent6 3 2 4 3" xfId="5838" xr:uid="{00000000-0005-0000-0000-00003F070000}"/>
    <cellStyle name="40% - Accent6 3 2 5" xfId="1945" xr:uid="{00000000-0005-0000-0000-000040070000}"/>
    <cellStyle name="40% - Accent6 3 2 5 2" xfId="4174" xr:uid="{00000000-0005-0000-0000-000041070000}"/>
    <cellStyle name="40% - Accent6 3 2 5 2 2" xfId="8396" xr:uid="{00000000-0005-0000-0000-000042070000}"/>
    <cellStyle name="40% - Accent6 3 2 5 3" xfId="6251" xr:uid="{00000000-0005-0000-0000-000043070000}"/>
    <cellStyle name="40% - Accent6 3 2 6" xfId="2358" xr:uid="{00000000-0005-0000-0000-000044070000}"/>
    <cellStyle name="40% - Accent6 3 2 6 2" xfId="6664" xr:uid="{00000000-0005-0000-0000-000045070000}"/>
    <cellStyle name="40% - Accent6 3 2 7" xfId="4598" xr:uid="{00000000-0005-0000-0000-000046070000}"/>
    <cellStyle name="40% - Accent6 3 3" xfId="663" xr:uid="{00000000-0005-0000-0000-000047070000}"/>
    <cellStyle name="40% - Accent6 3 3 2" xfId="2934" xr:uid="{00000000-0005-0000-0000-000048070000}"/>
    <cellStyle name="40% - Accent6 3 3 2 2" xfId="7156" xr:uid="{00000000-0005-0000-0000-000049070000}"/>
    <cellStyle name="40% - Accent6 3 3 3" xfId="5011" xr:uid="{00000000-0005-0000-0000-00004A070000}"/>
    <cellStyle name="40% - Accent6 3 4" xfId="1116" xr:uid="{00000000-0005-0000-0000-00004B070000}"/>
    <cellStyle name="40% - Accent6 3 4 2" xfId="3347" xr:uid="{00000000-0005-0000-0000-00004C070000}"/>
    <cellStyle name="40% - Accent6 3 4 2 2" xfId="7569" xr:uid="{00000000-0005-0000-0000-00004D070000}"/>
    <cellStyle name="40% - Accent6 3 4 3" xfId="5424" xr:uid="{00000000-0005-0000-0000-00004E070000}"/>
    <cellStyle name="40% - Accent6 3 5" xfId="1530" xr:uid="{00000000-0005-0000-0000-00004F070000}"/>
    <cellStyle name="40% - Accent6 3 5 2" xfId="3760" xr:uid="{00000000-0005-0000-0000-000050070000}"/>
    <cellStyle name="40% - Accent6 3 5 2 2" xfId="7982" xr:uid="{00000000-0005-0000-0000-000051070000}"/>
    <cellStyle name="40% - Accent6 3 5 3" xfId="5837" xr:uid="{00000000-0005-0000-0000-000052070000}"/>
    <cellStyle name="40% - Accent6 3 6" xfId="1944" xr:uid="{00000000-0005-0000-0000-000053070000}"/>
    <cellStyle name="40% - Accent6 3 6 2" xfId="4173" xr:uid="{00000000-0005-0000-0000-000054070000}"/>
    <cellStyle name="40% - Accent6 3 6 2 2" xfId="8395" xr:uid="{00000000-0005-0000-0000-000055070000}"/>
    <cellStyle name="40% - Accent6 3 6 3" xfId="6250" xr:uid="{00000000-0005-0000-0000-000056070000}"/>
    <cellStyle name="40% - Accent6 3 7" xfId="2357" xr:uid="{00000000-0005-0000-0000-000057070000}"/>
    <cellStyle name="40% - Accent6 3 7 2" xfId="6663" xr:uid="{00000000-0005-0000-0000-000058070000}"/>
    <cellStyle name="40% - Accent6 3 8" xfId="4597"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8" xr:uid="{00000000-0005-0000-0000-00005D070000}"/>
    <cellStyle name="40% - Accent6 4 2 3" xfId="5013" xr:uid="{00000000-0005-0000-0000-00005E070000}"/>
    <cellStyle name="40% - Accent6 4 3" xfId="1118" xr:uid="{00000000-0005-0000-0000-00005F070000}"/>
    <cellStyle name="40% - Accent6 4 3 2" xfId="3349" xr:uid="{00000000-0005-0000-0000-000060070000}"/>
    <cellStyle name="40% - Accent6 4 3 2 2" xfId="7571" xr:uid="{00000000-0005-0000-0000-000061070000}"/>
    <cellStyle name="40% - Accent6 4 3 3" xfId="5426" xr:uid="{00000000-0005-0000-0000-000062070000}"/>
    <cellStyle name="40% - Accent6 4 4" xfId="1532" xr:uid="{00000000-0005-0000-0000-000063070000}"/>
    <cellStyle name="40% - Accent6 4 4 2" xfId="3762" xr:uid="{00000000-0005-0000-0000-000064070000}"/>
    <cellStyle name="40% - Accent6 4 4 2 2" xfId="7984" xr:uid="{00000000-0005-0000-0000-000065070000}"/>
    <cellStyle name="40% - Accent6 4 4 3" xfId="5839" xr:uid="{00000000-0005-0000-0000-000066070000}"/>
    <cellStyle name="40% - Accent6 4 5" xfId="1946" xr:uid="{00000000-0005-0000-0000-000067070000}"/>
    <cellStyle name="40% - Accent6 4 5 2" xfId="4175" xr:uid="{00000000-0005-0000-0000-000068070000}"/>
    <cellStyle name="40% - Accent6 4 5 2 2" xfId="8397" xr:uid="{00000000-0005-0000-0000-000069070000}"/>
    <cellStyle name="40% - Accent6 4 5 3" xfId="6252" xr:uid="{00000000-0005-0000-0000-00006A070000}"/>
    <cellStyle name="40% - Accent6 4 6" xfId="2359" xr:uid="{00000000-0005-0000-0000-00006B070000}"/>
    <cellStyle name="40% - Accent6 4 6 2" xfId="6665" xr:uid="{00000000-0005-0000-0000-00006C070000}"/>
    <cellStyle name="40% - Accent6 4 7" xfId="4599" xr:uid="{00000000-0005-0000-0000-00006D070000}"/>
    <cellStyle name="40% - Accent6 5" xfId="658" xr:uid="{00000000-0005-0000-0000-00006E070000}"/>
    <cellStyle name="40% - Accent6 5 2" xfId="2929" xr:uid="{00000000-0005-0000-0000-00006F070000}"/>
    <cellStyle name="40% - Accent6 5 2 2" xfId="7151" xr:uid="{00000000-0005-0000-0000-000070070000}"/>
    <cellStyle name="40% - Accent6 5 3" xfId="5006" xr:uid="{00000000-0005-0000-0000-000071070000}"/>
    <cellStyle name="40% - Accent6 6" xfId="1111" xr:uid="{00000000-0005-0000-0000-000072070000}"/>
    <cellStyle name="40% - Accent6 6 2" xfId="3342" xr:uid="{00000000-0005-0000-0000-000073070000}"/>
    <cellStyle name="40% - Accent6 6 2 2" xfId="7564" xr:uid="{00000000-0005-0000-0000-000074070000}"/>
    <cellStyle name="40% - Accent6 6 3" xfId="5419" xr:uid="{00000000-0005-0000-0000-000075070000}"/>
    <cellStyle name="40% - Accent6 7" xfId="1525" xr:uid="{00000000-0005-0000-0000-000076070000}"/>
    <cellStyle name="40% - Accent6 7 2" xfId="3755" xr:uid="{00000000-0005-0000-0000-000077070000}"/>
    <cellStyle name="40% - Accent6 7 2 2" xfId="7977" xr:uid="{00000000-0005-0000-0000-000078070000}"/>
    <cellStyle name="40% - Accent6 7 3" xfId="5832" xr:uid="{00000000-0005-0000-0000-000079070000}"/>
    <cellStyle name="40% - Accent6 8" xfId="1939" xr:uid="{00000000-0005-0000-0000-00007A070000}"/>
    <cellStyle name="40% - Accent6 8 2" xfId="4168" xr:uid="{00000000-0005-0000-0000-00007B070000}"/>
    <cellStyle name="40% - Accent6 8 2 2" xfId="8390" xr:uid="{00000000-0005-0000-0000-00007C070000}"/>
    <cellStyle name="40% - Accent6 8 3" xfId="6245" xr:uid="{00000000-0005-0000-0000-00007D070000}"/>
    <cellStyle name="40% - Accent6 9" xfId="2352" xr:uid="{00000000-0005-0000-0000-00007E070000}"/>
    <cellStyle name="40% - Accent6 9 2" xfId="6658"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3"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3" xr:uid="{00000000-0005-0000-0000-0000A2070000}"/>
    <cellStyle name="Comma 4 2 2 2 11" xfId="4600" xr:uid="{00000000-0005-0000-0000-0000A3070000}"/>
    <cellStyle name="Comma 4 2 2 2 2" xfId="129" xr:uid="{00000000-0005-0000-0000-0000A4070000}"/>
    <cellStyle name="Comma 4 2 2 2 2 10" xfId="4601"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1" xr:uid="{00000000-0005-0000-0000-0000A9070000}"/>
    <cellStyle name="Comma 4 2 2 2 2 2 2 3" xfId="5016" xr:uid="{00000000-0005-0000-0000-0000AA070000}"/>
    <cellStyle name="Comma 4 2 2 2 2 2 3" xfId="1121" xr:uid="{00000000-0005-0000-0000-0000AB070000}"/>
    <cellStyle name="Comma 4 2 2 2 2 2 3 2" xfId="3352" xr:uid="{00000000-0005-0000-0000-0000AC070000}"/>
    <cellStyle name="Comma 4 2 2 2 2 2 3 2 2" xfId="7574" xr:uid="{00000000-0005-0000-0000-0000AD070000}"/>
    <cellStyle name="Comma 4 2 2 2 2 2 3 3" xfId="5429" xr:uid="{00000000-0005-0000-0000-0000AE070000}"/>
    <cellStyle name="Comma 4 2 2 2 2 2 4" xfId="1535" xr:uid="{00000000-0005-0000-0000-0000AF070000}"/>
    <cellStyle name="Comma 4 2 2 2 2 2 4 2" xfId="3765" xr:uid="{00000000-0005-0000-0000-0000B0070000}"/>
    <cellStyle name="Comma 4 2 2 2 2 2 4 2 2" xfId="7987" xr:uid="{00000000-0005-0000-0000-0000B1070000}"/>
    <cellStyle name="Comma 4 2 2 2 2 2 4 3" xfId="5842" xr:uid="{00000000-0005-0000-0000-0000B2070000}"/>
    <cellStyle name="Comma 4 2 2 2 2 2 5" xfId="1949" xr:uid="{00000000-0005-0000-0000-0000B3070000}"/>
    <cellStyle name="Comma 4 2 2 2 2 2 5 2" xfId="4178" xr:uid="{00000000-0005-0000-0000-0000B4070000}"/>
    <cellStyle name="Comma 4 2 2 2 2 2 5 2 2" xfId="8400" xr:uid="{00000000-0005-0000-0000-0000B5070000}"/>
    <cellStyle name="Comma 4 2 2 2 2 2 5 3" xfId="6255" xr:uid="{00000000-0005-0000-0000-0000B6070000}"/>
    <cellStyle name="Comma 4 2 2 2 2 2 6" xfId="2384" xr:uid="{00000000-0005-0000-0000-0000B7070000}"/>
    <cellStyle name="Comma 4 2 2 2 2 2 6 2" xfId="6668" xr:uid="{00000000-0005-0000-0000-0000B8070000}"/>
    <cellStyle name="Comma 4 2 2 2 2 2 7" xfId="2379" xr:uid="{00000000-0005-0000-0000-0000B9070000}"/>
    <cellStyle name="Comma 4 2 2 2 2 2 8" xfId="2762" xr:uid="{00000000-0005-0000-0000-0000BA070000}"/>
    <cellStyle name="Comma 4 2 2 2 2 2 8 2" xfId="6985" xr:uid="{00000000-0005-0000-0000-0000BB070000}"/>
    <cellStyle name="Comma 4 2 2 2 2 2 9" xfId="4602" xr:uid="{00000000-0005-0000-0000-0000BC070000}"/>
    <cellStyle name="Comma 4 2 2 2 2 3" xfId="667" xr:uid="{00000000-0005-0000-0000-0000BD070000}"/>
    <cellStyle name="Comma 4 2 2 2 2 3 2" xfId="2938" xr:uid="{00000000-0005-0000-0000-0000BE070000}"/>
    <cellStyle name="Comma 4 2 2 2 2 3 2 2" xfId="7160" xr:uid="{00000000-0005-0000-0000-0000BF070000}"/>
    <cellStyle name="Comma 4 2 2 2 2 3 3" xfId="5015" xr:uid="{00000000-0005-0000-0000-0000C0070000}"/>
    <cellStyle name="Comma 4 2 2 2 2 4" xfId="1120" xr:uid="{00000000-0005-0000-0000-0000C1070000}"/>
    <cellStyle name="Comma 4 2 2 2 2 4 2" xfId="3351" xr:uid="{00000000-0005-0000-0000-0000C2070000}"/>
    <cellStyle name="Comma 4 2 2 2 2 4 2 2" xfId="7573" xr:uid="{00000000-0005-0000-0000-0000C3070000}"/>
    <cellStyle name="Comma 4 2 2 2 2 4 3" xfId="5428" xr:uid="{00000000-0005-0000-0000-0000C4070000}"/>
    <cellStyle name="Comma 4 2 2 2 2 5" xfId="1534" xr:uid="{00000000-0005-0000-0000-0000C5070000}"/>
    <cellStyle name="Comma 4 2 2 2 2 5 2" xfId="3764" xr:uid="{00000000-0005-0000-0000-0000C6070000}"/>
    <cellStyle name="Comma 4 2 2 2 2 5 2 2" xfId="7986" xr:uid="{00000000-0005-0000-0000-0000C7070000}"/>
    <cellStyle name="Comma 4 2 2 2 2 5 3" xfId="5841" xr:uid="{00000000-0005-0000-0000-0000C8070000}"/>
    <cellStyle name="Comma 4 2 2 2 2 6" xfId="1948" xr:uid="{00000000-0005-0000-0000-0000C9070000}"/>
    <cellStyle name="Comma 4 2 2 2 2 6 2" xfId="4177" xr:uid="{00000000-0005-0000-0000-0000CA070000}"/>
    <cellStyle name="Comma 4 2 2 2 2 6 2 2" xfId="8399" xr:uid="{00000000-0005-0000-0000-0000CB070000}"/>
    <cellStyle name="Comma 4 2 2 2 2 6 3" xfId="6254" xr:uid="{00000000-0005-0000-0000-0000CC070000}"/>
    <cellStyle name="Comma 4 2 2 2 2 7" xfId="2383" xr:uid="{00000000-0005-0000-0000-0000CD070000}"/>
    <cellStyle name="Comma 4 2 2 2 2 7 2" xfId="6667" xr:uid="{00000000-0005-0000-0000-0000CE070000}"/>
    <cellStyle name="Comma 4 2 2 2 2 8" xfId="2380" xr:uid="{00000000-0005-0000-0000-0000CF070000}"/>
    <cellStyle name="Comma 4 2 2 2 2 9" xfId="2761" xr:uid="{00000000-0005-0000-0000-0000D0070000}"/>
    <cellStyle name="Comma 4 2 2 2 2 9 2" xfId="6984"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2" xr:uid="{00000000-0005-0000-0000-0000D5070000}"/>
    <cellStyle name="Comma 4 2 2 2 3 2 3" xfId="5017" xr:uid="{00000000-0005-0000-0000-0000D6070000}"/>
    <cellStyle name="Comma 4 2 2 2 3 3" xfId="1122" xr:uid="{00000000-0005-0000-0000-0000D7070000}"/>
    <cellStyle name="Comma 4 2 2 2 3 3 2" xfId="3353" xr:uid="{00000000-0005-0000-0000-0000D8070000}"/>
    <cellStyle name="Comma 4 2 2 2 3 3 2 2" xfId="7575" xr:uid="{00000000-0005-0000-0000-0000D9070000}"/>
    <cellStyle name="Comma 4 2 2 2 3 3 3" xfId="5430" xr:uid="{00000000-0005-0000-0000-0000DA070000}"/>
    <cellStyle name="Comma 4 2 2 2 3 4" xfId="1536" xr:uid="{00000000-0005-0000-0000-0000DB070000}"/>
    <cellStyle name="Comma 4 2 2 2 3 4 2" xfId="3766" xr:uid="{00000000-0005-0000-0000-0000DC070000}"/>
    <cellStyle name="Comma 4 2 2 2 3 4 2 2" xfId="7988" xr:uid="{00000000-0005-0000-0000-0000DD070000}"/>
    <cellStyle name="Comma 4 2 2 2 3 4 3" xfId="5843" xr:uid="{00000000-0005-0000-0000-0000DE070000}"/>
    <cellStyle name="Comma 4 2 2 2 3 5" xfId="1950" xr:uid="{00000000-0005-0000-0000-0000DF070000}"/>
    <cellStyle name="Comma 4 2 2 2 3 5 2" xfId="4179" xr:uid="{00000000-0005-0000-0000-0000E0070000}"/>
    <cellStyle name="Comma 4 2 2 2 3 5 2 2" xfId="8401" xr:uid="{00000000-0005-0000-0000-0000E1070000}"/>
    <cellStyle name="Comma 4 2 2 2 3 5 3" xfId="6256" xr:uid="{00000000-0005-0000-0000-0000E2070000}"/>
    <cellStyle name="Comma 4 2 2 2 3 6" xfId="2385" xr:uid="{00000000-0005-0000-0000-0000E3070000}"/>
    <cellStyle name="Comma 4 2 2 2 3 6 2" xfId="6669" xr:uid="{00000000-0005-0000-0000-0000E4070000}"/>
    <cellStyle name="Comma 4 2 2 2 3 7" xfId="2378" xr:uid="{00000000-0005-0000-0000-0000E5070000}"/>
    <cellStyle name="Comma 4 2 2 2 3 8" xfId="2763" xr:uid="{00000000-0005-0000-0000-0000E6070000}"/>
    <cellStyle name="Comma 4 2 2 2 3 8 2" xfId="6986" xr:uid="{00000000-0005-0000-0000-0000E7070000}"/>
    <cellStyle name="Comma 4 2 2 2 3 9" xfId="4603" xr:uid="{00000000-0005-0000-0000-0000E8070000}"/>
    <cellStyle name="Comma 4 2 2 2 4" xfId="666" xr:uid="{00000000-0005-0000-0000-0000E9070000}"/>
    <cellStyle name="Comma 4 2 2 2 4 2" xfId="2937" xr:uid="{00000000-0005-0000-0000-0000EA070000}"/>
    <cellStyle name="Comma 4 2 2 2 4 2 2" xfId="7159" xr:uid="{00000000-0005-0000-0000-0000EB070000}"/>
    <cellStyle name="Comma 4 2 2 2 4 3" xfId="5014" xr:uid="{00000000-0005-0000-0000-0000EC070000}"/>
    <cellStyle name="Comma 4 2 2 2 5" xfId="1119" xr:uid="{00000000-0005-0000-0000-0000ED070000}"/>
    <cellStyle name="Comma 4 2 2 2 5 2" xfId="3350" xr:uid="{00000000-0005-0000-0000-0000EE070000}"/>
    <cellStyle name="Comma 4 2 2 2 5 2 2" xfId="7572" xr:uid="{00000000-0005-0000-0000-0000EF070000}"/>
    <cellStyle name="Comma 4 2 2 2 5 3" xfId="5427" xr:uid="{00000000-0005-0000-0000-0000F0070000}"/>
    <cellStyle name="Comma 4 2 2 2 6" xfId="1533" xr:uid="{00000000-0005-0000-0000-0000F1070000}"/>
    <cellStyle name="Comma 4 2 2 2 6 2" xfId="3763" xr:uid="{00000000-0005-0000-0000-0000F2070000}"/>
    <cellStyle name="Comma 4 2 2 2 6 2 2" xfId="7985" xr:uid="{00000000-0005-0000-0000-0000F3070000}"/>
    <cellStyle name="Comma 4 2 2 2 6 3" xfId="5840" xr:uid="{00000000-0005-0000-0000-0000F4070000}"/>
    <cellStyle name="Comma 4 2 2 2 7" xfId="1947" xr:uid="{00000000-0005-0000-0000-0000F5070000}"/>
    <cellStyle name="Comma 4 2 2 2 7 2" xfId="4176" xr:uid="{00000000-0005-0000-0000-0000F6070000}"/>
    <cellStyle name="Comma 4 2 2 2 7 2 2" xfId="8398" xr:uid="{00000000-0005-0000-0000-0000F7070000}"/>
    <cellStyle name="Comma 4 2 2 2 7 3" xfId="6253" xr:uid="{00000000-0005-0000-0000-0000F8070000}"/>
    <cellStyle name="Comma 4 2 2 2 8" xfId="2382" xr:uid="{00000000-0005-0000-0000-0000F9070000}"/>
    <cellStyle name="Comma 4 2 2 2 8 2" xfId="6666" xr:uid="{00000000-0005-0000-0000-0000FA070000}"/>
    <cellStyle name="Comma 4 2 2 2 9" xfId="2381" xr:uid="{00000000-0005-0000-0000-0000FB070000}"/>
    <cellStyle name="Comma 4 2 2 3" xfId="132" xr:uid="{00000000-0005-0000-0000-0000FC070000}"/>
    <cellStyle name="Comma 4 2 2 3 10" xfId="4604"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4" xr:uid="{00000000-0005-0000-0000-000001080000}"/>
    <cellStyle name="Comma 4 2 2 3 2 2 3" xfId="5019" xr:uid="{00000000-0005-0000-0000-000002080000}"/>
    <cellStyle name="Comma 4 2 2 3 2 3" xfId="1124" xr:uid="{00000000-0005-0000-0000-000003080000}"/>
    <cellStyle name="Comma 4 2 2 3 2 3 2" xfId="3355" xr:uid="{00000000-0005-0000-0000-000004080000}"/>
    <cellStyle name="Comma 4 2 2 3 2 3 2 2" xfId="7577" xr:uid="{00000000-0005-0000-0000-000005080000}"/>
    <cellStyle name="Comma 4 2 2 3 2 3 3" xfId="5432" xr:uid="{00000000-0005-0000-0000-000006080000}"/>
    <cellStyle name="Comma 4 2 2 3 2 4" xfId="1538" xr:uid="{00000000-0005-0000-0000-000007080000}"/>
    <cellStyle name="Comma 4 2 2 3 2 4 2" xfId="3768" xr:uid="{00000000-0005-0000-0000-000008080000}"/>
    <cellStyle name="Comma 4 2 2 3 2 4 2 2" xfId="7990" xr:uid="{00000000-0005-0000-0000-000009080000}"/>
    <cellStyle name="Comma 4 2 2 3 2 4 3" xfId="5845" xr:uid="{00000000-0005-0000-0000-00000A080000}"/>
    <cellStyle name="Comma 4 2 2 3 2 5" xfId="1952" xr:uid="{00000000-0005-0000-0000-00000B080000}"/>
    <cellStyle name="Comma 4 2 2 3 2 5 2" xfId="4181" xr:uid="{00000000-0005-0000-0000-00000C080000}"/>
    <cellStyle name="Comma 4 2 2 3 2 5 2 2" xfId="8403" xr:uid="{00000000-0005-0000-0000-00000D080000}"/>
    <cellStyle name="Comma 4 2 2 3 2 5 3" xfId="6258" xr:uid="{00000000-0005-0000-0000-00000E080000}"/>
    <cellStyle name="Comma 4 2 2 3 2 6" xfId="2387" xr:uid="{00000000-0005-0000-0000-00000F080000}"/>
    <cellStyle name="Comma 4 2 2 3 2 6 2" xfId="6671" xr:uid="{00000000-0005-0000-0000-000010080000}"/>
    <cellStyle name="Comma 4 2 2 3 2 7" xfId="2376" xr:uid="{00000000-0005-0000-0000-000011080000}"/>
    <cellStyle name="Comma 4 2 2 3 2 8" xfId="2765" xr:uid="{00000000-0005-0000-0000-000012080000}"/>
    <cellStyle name="Comma 4 2 2 3 2 8 2" xfId="6988" xr:uid="{00000000-0005-0000-0000-000013080000}"/>
    <cellStyle name="Comma 4 2 2 3 2 9" xfId="4605" xr:uid="{00000000-0005-0000-0000-000014080000}"/>
    <cellStyle name="Comma 4 2 2 3 3" xfId="670" xr:uid="{00000000-0005-0000-0000-000015080000}"/>
    <cellStyle name="Comma 4 2 2 3 3 2" xfId="2941" xr:uid="{00000000-0005-0000-0000-000016080000}"/>
    <cellStyle name="Comma 4 2 2 3 3 2 2" xfId="7163" xr:uid="{00000000-0005-0000-0000-000017080000}"/>
    <cellStyle name="Comma 4 2 2 3 3 3" xfId="5018" xr:uid="{00000000-0005-0000-0000-000018080000}"/>
    <cellStyle name="Comma 4 2 2 3 4" xfId="1123" xr:uid="{00000000-0005-0000-0000-000019080000}"/>
    <cellStyle name="Comma 4 2 2 3 4 2" xfId="3354" xr:uid="{00000000-0005-0000-0000-00001A080000}"/>
    <cellStyle name="Comma 4 2 2 3 4 2 2" xfId="7576" xr:uid="{00000000-0005-0000-0000-00001B080000}"/>
    <cellStyle name="Comma 4 2 2 3 4 3" xfId="5431" xr:uid="{00000000-0005-0000-0000-00001C080000}"/>
    <cellStyle name="Comma 4 2 2 3 5" xfId="1537" xr:uid="{00000000-0005-0000-0000-00001D080000}"/>
    <cellStyle name="Comma 4 2 2 3 5 2" xfId="3767" xr:uid="{00000000-0005-0000-0000-00001E080000}"/>
    <cellStyle name="Comma 4 2 2 3 5 2 2" xfId="7989" xr:uid="{00000000-0005-0000-0000-00001F080000}"/>
    <cellStyle name="Comma 4 2 2 3 5 3" xfId="5844" xr:uid="{00000000-0005-0000-0000-000020080000}"/>
    <cellStyle name="Comma 4 2 2 3 6" xfId="1951" xr:uid="{00000000-0005-0000-0000-000021080000}"/>
    <cellStyle name="Comma 4 2 2 3 6 2" xfId="4180" xr:uid="{00000000-0005-0000-0000-000022080000}"/>
    <cellStyle name="Comma 4 2 2 3 6 2 2" xfId="8402" xr:uid="{00000000-0005-0000-0000-000023080000}"/>
    <cellStyle name="Comma 4 2 2 3 6 3" xfId="6257" xr:uid="{00000000-0005-0000-0000-000024080000}"/>
    <cellStyle name="Comma 4 2 2 3 7" xfId="2386" xr:uid="{00000000-0005-0000-0000-000025080000}"/>
    <cellStyle name="Comma 4 2 2 3 7 2" xfId="6670" xr:uid="{00000000-0005-0000-0000-000026080000}"/>
    <cellStyle name="Comma 4 2 2 3 8" xfId="2377" xr:uid="{00000000-0005-0000-0000-000027080000}"/>
    <cellStyle name="Comma 4 2 2 3 9" xfId="2764" xr:uid="{00000000-0005-0000-0000-000028080000}"/>
    <cellStyle name="Comma 4 2 2 3 9 2" xfId="6987"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5" xr:uid="{00000000-0005-0000-0000-00002D080000}"/>
    <cellStyle name="Comma 4 2 2 4 2 3" xfId="5020" xr:uid="{00000000-0005-0000-0000-00002E080000}"/>
    <cellStyle name="Comma 4 2 2 4 3" xfId="1125" xr:uid="{00000000-0005-0000-0000-00002F080000}"/>
    <cellStyle name="Comma 4 2 2 4 3 2" xfId="3356" xr:uid="{00000000-0005-0000-0000-000030080000}"/>
    <cellStyle name="Comma 4 2 2 4 3 2 2" xfId="7578" xr:uid="{00000000-0005-0000-0000-000031080000}"/>
    <cellStyle name="Comma 4 2 2 4 3 3" xfId="5433" xr:uid="{00000000-0005-0000-0000-000032080000}"/>
    <cellStyle name="Comma 4 2 2 4 4" xfId="1539" xr:uid="{00000000-0005-0000-0000-000033080000}"/>
    <cellStyle name="Comma 4 2 2 4 4 2" xfId="3769" xr:uid="{00000000-0005-0000-0000-000034080000}"/>
    <cellStyle name="Comma 4 2 2 4 4 2 2" xfId="7991" xr:uid="{00000000-0005-0000-0000-000035080000}"/>
    <cellStyle name="Comma 4 2 2 4 4 3" xfId="5846" xr:uid="{00000000-0005-0000-0000-000036080000}"/>
    <cellStyle name="Comma 4 2 2 4 5" xfId="1953" xr:uid="{00000000-0005-0000-0000-000037080000}"/>
    <cellStyle name="Comma 4 2 2 4 5 2" xfId="4182" xr:uid="{00000000-0005-0000-0000-000038080000}"/>
    <cellStyle name="Comma 4 2 2 4 5 2 2" xfId="8404" xr:uid="{00000000-0005-0000-0000-000039080000}"/>
    <cellStyle name="Comma 4 2 2 4 5 3" xfId="6259" xr:uid="{00000000-0005-0000-0000-00003A080000}"/>
    <cellStyle name="Comma 4 2 2 4 6" xfId="2388" xr:uid="{00000000-0005-0000-0000-00003B080000}"/>
    <cellStyle name="Comma 4 2 2 4 6 2" xfId="6672" xr:uid="{00000000-0005-0000-0000-00003C080000}"/>
    <cellStyle name="Comma 4 2 2 4 7" xfId="2375" xr:uid="{00000000-0005-0000-0000-00003D080000}"/>
    <cellStyle name="Comma 4 2 2 4 8" xfId="2766" xr:uid="{00000000-0005-0000-0000-00003E080000}"/>
    <cellStyle name="Comma 4 2 2 4 8 2" xfId="6989" xr:uid="{00000000-0005-0000-0000-00003F080000}"/>
    <cellStyle name="Comma 4 2 2 4 9" xfId="4606"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6" xr:uid="{00000000-0005-0000-0000-000044080000}"/>
    <cellStyle name="Comma 4 2 2 5 2 3" xfId="5021" xr:uid="{00000000-0005-0000-0000-000045080000}"/>
    <cellStyle name="Comma 4 2 2 5 3" xfId="1126" xr:uid="{00000000-0005-0000-0000-000046080000}"/>
    <cellStyle name="Comma 4 2 2 5 3 2" xfId="3357" xr:uid="{00000000-0005-0000-0000-000047080000}"/>
    <cellStyle name="Comma 4 2 2 5 3 2 2" xfId="7579" xr:uid="{00000000-0005-0000-0000-000048080000}"/>
    <cellStyle name="Comma 4 2 2 5 3 3" xfId="5434" xr:uid="{00000000-0005-0000-0000-000049080000}"/>
    <cellStyle name="Comma 4 2 2 5 4" xfId="1540" xr:uid="{00000000-0005-0000-0000-00004A080000}"/>
    <cellStyle name="Comma 4 2 2 5 4 2" xfId="3770" xr:uid="{00000000-0005-0000-0000-00004B080000}"/>
    <cellStyle name="Comma 4 2 2 5 4 2 2" xfId="7992" xr:uid="{00000000-0005-0000-0000-00004C080000}"/>
    <cellStyle name="Comma 4 2 2 5 4 3" xfId="5847" xr:uid="{00000000-0005-0000-0000-00004D080000}"/>
    <cellStyle name="Comma 4 2 2 5 5" xfId="1954" xr:uid="{00000000-0005-0000-0000-00004E080000}"/>
    <cellStyle name="Comma 4 2 2 5 5 2" xfId="4183" xr:uid="{00000000-0005-0000-0000-00004F080000}"/>
    <cellStyle name="Comma 4 2 2 5 5 2 2" xfId="8405" xr:uid="{00000000-0005-0000-0000-000050080000}"/>
    <cellStyle name="Comma 4 2 2 5 5 3" xfId="6260" xr:uid="{00000000-0005-0000-0000-000051080000}"/>
    <cellStyle name="Comma 4 2 2 5 6" xfId="2389" xr:uid="{00000000-0005-0000-0000-000052080000}"/>
    <cellStyle name="Comma 4 2 2 5 6 2" xfId="6673" xr:uid="{00000000-0005-0000-0000-000053080000}"/>
    <cellStyle name="Comma 4 2 2 5 7" xfId="2374" xr:uid="{00000000-0005-0000-0000-000054080000}"/>
    <cellStyle name="Comma 4 2 2 5 8" xfId="2767" xr:uid="{00000000-0005-0000-0000-000055080000}"/>
    <cellStyle name="Comma 4 2 2 5 8 2" xfId="6990" xr:uid="{00000000-0005-0000-0000-000056080000}"/>
    <cellStyle name="Comma 4 2 2 5 9" xfId="4607" xr:uid="{00000000-0005-0000-0000-000057080000}"/>
    <cellStyle name="Comma 4 2 3" xfId="136" xr:uid="{00000000-0005-0000-0000-000058080000}"/>
    <cellStyle name="Comma 4 2 3 10" xfId="2768" xr:uid="{00000000-0005-0000-0000-000059080000}"/>
    <cellStyle name="Comma 4 2 3 10 2" xfId="6991" xr:uid="{00000000-0005-0000-0000-00005A080000}"/>
    <cellStyle name="Comma 4 2 3 11" xfId="4608" xr:uid="{00000000-0005-0000-0000-00005B080000}"/>
    <cellStyle name="Comma 4 2 3 2" xfId="137" xr:uid="{00000000-0005-0000-0000-00005C080000}"/>
    <cellStyle name="Comma 4 2 3 2 10" xfId="4609"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69" xr:uid="{00000000-0005-0000-0000-000061080000}"/>
    <cellStyle name="Comma 4 2 3 2 2 2 3" xfId="5024" xr:uid="{00000000-0005-0000-0000-000062080000}"/>
    <cellStyle name="Comma 4 2 3 2 2 3" xfId="1129" xr:uid="{00000000-0005-0000-0000-000063080000}"/>
    <cellStyle name="Comma 4 2 3 2 2 3 2" xfId="3360" xr:uid="{00000000-0005-0000-0000-000064080000}"/>
    <cellStyle name="Comma 4 2 3 2 2 3 2 2" xfId="7582" xr:uid="{00000000-0005-0000-0000-000065080000}"/>
    <cellStyle name="Comma 4 2 3 2 2 3 3" xfId="5437" xr:uid="{00000000-0005-0000-0000-000066080000}"/>
    <cellStyle name="Comma 4 2 3 2 2 4" xfId="1543" xr:uid="{00000000-0005-0000-0000-000067080000}"/>
    <cellStyle name="Comma 4 2 3 2 2 4 2" xfId="3773" xr:uid="{00000000-0005-0000-0000-000068080000}"/>
    <cellStyle name="Comma 4 2 3 2 2 4 2 2" xfId="7995" xr:uid="{00000000-0005-0000-0000-000069080000}"/>
    <cellStyle name="Comma 4 2 3 2 2 4 3" xfId="5850" xr:uid="{00000000-0005-0000-0000-00006A080000}"/>
    <cellStyle name="Comma 4 2 3 2 2 5" xfId="1957" xr:uid="{00000000-0005-0000-0000-00006B080000}"/>
    <cellStyle name="Comma 4 2 3 2 2 5 2" xfId="4186" xr:uid="{00000000-0005-0000-0000-00006C080000}"/>
    <cellStyle name="Comma 4 2 3 2 2 5 2 2" xfId="8408" xr:uid="{00000000-0005-0000-0000-00006D080000}"/>
    <cellStyle name="Comma 4 2 3 2 2 5 3" xfId="6263" xr:uid="{00000000-0005-0000-0000-00006E080000}"/>
    <cellStyle name="Comma 4 2 3 2 2 6" xfId="2392" xr:uid="{00000000-0005-0000-0000-00006F080000}"/>
    <cellStyle name="Comma 4 2 3 2 2 6 2" xfId="6676" xr:uid="{00000000-0005-0000-0000-000070080000}"/>
    <cellStyle name="Comma 4 2 3 2 2 7" xfId="2371" xr:uid="{00000000-0005-0000-0000-000071080000}"/>
    <cellStyle name="Comma 4 2 3 2 2 8" xfId="2770" xr:uid="{00000000-0005-0000-0000-000072080000}"/>
    <cellStyle name="Comma 4 2 3 2 2 8 2" xfId="6993" xr:uid="{00000000-0005-0000-0000-000073080000}"/>
    <cellStyle name="Comma 4 2 3 2 2 9" xfId="4610" xr:uid="{00000000-0005-0000-0000-000074080000}"/>
    <cellStyle name="Comma 4 2 3 2 3" xfId="675" xr:uid="{00000000-0005-0000-0000-000075080000}"/>
    <cellStyle name="Comma 4 2 3 2 3 2" xfId="2946" xr:uid="{00000000-0005-0000-0000-000076080000}"/>
    <cellStyle name="Comma 4 2 3 2 3 2 2" xfId="7168" xr:uid="{00000000-0005-0000-0000-000077080000}"/>
    <cellStyle name="Comma 4 2 3 2 3 3" xfId="5023" xr:uid="{00000000-0005-0000-0000-000078080000}"/>
    <cellStyle name="Comma 4 2 3 2 4" xfId="1128" xr:uid="{00000000-0005-0000-0000-000079080000}"/>
    <cellStyle name="Comma 4 2 3 2 4 2" xfId="3359" xr:uid="{00000000-0005-0000-0000-00007A080000}"/>
    <cellStyle name="Comma 4 2 3 2 4 2 2" xfId="7581" xr:uid="{00000000-0005-0000-0000-00007B080000}"/>
    <cellStyle name="Comma 4 2 3 2 4 3" xfId="5436" xr:uid="{00000000-0005-0000-0000-00007C080000}"/>
    <cellStyle name="Comma 4 2 3 2 5" xfId="1542" xr:uid="{00000000-0005-0000-0000-00007D080000}"/>
    <cellStyle name="Comma 4 2 3 2 5 2" xfId="3772" xr:uid="{00000000-0005-0000-0000-00007E080000}"/>
    <cellStyle name="Comma 4 2 3 2 5 2 2" xfId="7994" xr:uid="{00000000-0005-0000-0000-00007F080000}"/>
    <cellStyle name="Comma 4 2 3 2 5 3" xfId="5849" xr:uid="{00000000-0005-0000-0000-000080080000}"/>
    <cellStyle name="Comma 4 2 3 2 6" xfId="1956" xr:uid="{00000000-0005-0000-0000-000081080000}"/>
    <cellStyle name="Comma 4 2 3 2 6 2" xfId="4185" xr:uid="{00000000-0005-0000-0000-000082080000}"/>
    <cellStyle name="Comma 4 2 3 2 6 2 2" xfId="8407" xr:uid="{00000000-0005-0000-0000-000083080000}"/>
    <cellStyle name="Comma 4 2 3 2 6 3" xfId="6262" xr:uid="{00000000-0005-0000-0000-000084080000}"/>
    <cellStyle name="Comma 4 2 3 2 7" xfId="2391" xr:uid="{00000000-0005-0000-0000-000085080000}"/>
    <cellStyle name="Comma 4 2 3 2 7 2" xfId="6675" xr:uid="{00000000-0005-0000-0000-000086080000}"/>
    <cellStyle name="Comma 4 2 3 2 8" xfId="2372" xr:uid="{00000000-0005-0000-0000-000087080000}"/>
    <cellStyle name="Comma 4 2 3 2 9" xfId="2769" xr:uid="{00000000-0005-0000-0000-000088080000}"/>
    <cellStyle name="Comma 4 2 3 2 9 2" xfId="6992"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0" xr:uid="{00000000-0005-0000-0000-00008D080000}"/>
    <cellStyle name="Comma 4 2 3 3 2 3" xfId="5025" xr:uid="{00000000-0005-0000-0000-00008E080000}"/>
    <cellStyle name="Comma 4 2 3 3 3" xfId="1130" xr:uid="{00000000-0005-0000-0000-00008F080000}"/>
    <cellStyle name="Comma 4 2 3 3 3 2" xfId="3361" xr:uid="{00000000-0005-0000-0000-000090080000}"/>
    <cellStyle name="Comma 4 2 3 3 3 2 2" xfId="7583" xr:uid="{00000000-0005-0000-0000-000091080000}"/>
    <cellStyle name="Comma 4 2 3 3 3 3" xfId="5438" xr:uid="{00000000-0005-0000-0000-000092080000}"/>
    <cellStyle name="Comma 4 2 3 3 4" xfId="1544" xr:uid="{00000000-0005-0000-0000-000093080000}"/>
    <cellStyle name="Comma 4 2 3 3 4 2" xfId="3774" xr:uid="{00000000-0005-0000-0000-000094080000}"/>
    <cellStyle name="Comma 4 2 3 3 4 2 2" xfId="7996" xr:uid="{00000000-0005-0000-0000-000095080000}"/>
    <cellStyle name="Comma 4 2 3 3 4 3" xfId="5851" xr:uid="{00000000-0005-0000-0000-000096080000}"/>
    <cellStyle name="Comma 4 2 3 3 5" xfId="1958" xr:uid="{00000000-0005-0000-0000-000097080000}"/>
    <cellStyle name="Comma 4 2 3 3 5 2" xfId="4187" xr:uid="{00000000-0005-0000-0000-000098080000}"/>
    <cellStyle name="Comma 4 2 3 3 5 2 2" xfId="8409" xr:uid="{00000000-0005-0000-0000-000099080000}"/>
    <cellStyle name="Comma 4 2 3 3 5 3" xfId="6264" xr:uid="{00000000-0005-0000-0000-00009A080000}"/>
    <cellStyle name="Comma 4 2 3 3 6" xfId="2393" xr:uid="{00000000-0005-0000-0000-00009B080000}"/>
    <cellStyle name="Comma 4 2 3 3 6 2" xfId="6677" xr:uid="{00000000-0005-0000-0000-00009C080000}"/>
    <cellStyle name="Comma 4 2 3 3 7" xfId="2370" xr:uid="{00000000-0005-0000-0000-00009D080000}"/>
    <cellStyle name="Comma 4 2 3 3 8" xfId="2771" xr:uid="{00000000-0005-0000-0000-00009E080000}"/>
    <cellStyle name="Comma 4 2 3 3 8 2" xfId="6994" xr:uid="{00000000-0005-0000-0000-00009F080000}"/>
    <cellStyle name="Comma 4 2 3 3 9" xfId="4611" xr:uid="{00000000-0005-0000-0000-0000A0080000}"/>
    <cellStyle name="Comma 4 2 3 4" xfId="674" xr:uid="{00000000-0005-0000-0000-0000A1080000}"/>
    <cellStyle name="Comma 4 2 3 4 2" xfId="2945" xr:uid="{00000000-0005-0000-0000-0000A2080000}"/>
    <cellStyle name="Comma 4 2 3 4 2 2" xfId="7167" xr:uid="{00000000-0005-0000-0000-0000A3080000}"/>
    <cellStyle name="Comma 4 2 3 4 3" xfId="5022" xr:uid="{00000000-0005-0000-0000-0000A4080000}"/>
    <cellStyle name="Comma 4 2 3 5" xfId="1127" xr:uid="{00000000-0005-0000-0000-0000A5080000}"/>
    <cellStyle name="Comma 4 2 3 5 2" xfId="3358" xr:uid="{00000000-0005-0000-0000-0000A6080000}"/>
    <cellStyle name="Comma 4 2 3 5 2 2" xfId="7580" xr:uid="{00000000-0005-0000-0000-0000A7080000}"/>
    <cellStyle name="Comma 4 2 3 5 3" xfId="5435" xr:uid="{00000000-0005-0000-0000-0000A8080000}"/>
    <cellStyle name="Comma 4 2 3 6" xfId="1541" xr:uid="{00000000-0005-0000-0000-0000A9080000}"/>
    <cellStyle name="Comma 4 2 3 6 2" xfId="3771" xr:uid="{00000000-0005-0000-0000-0000AA080000}"/>
    <cellStyle name="Comma 4 2 3 6 2 2" xfId="7993" xr:uid="{00000000-0005-0000-0000-0000AB080000}"/>
    <cellStyle name="Comma 4 2 3 6 3" xfId="5848" xr:uid="{00000000-0005-0000-0000-0000AC080000}"/>
    <cellStyle name="Comma 4 2 3 7" xfId="1955" xr:uid="{00000000-0005-0000-0000-0000AD080000}"/>
    <cellStyle name="Comma 4 2 3 7 2" xfId="4184" xr:uid="{00000000-0005-0000-0000-0000AE080000}"/>
    <cellStyle name="Comma 4 2 3 7 2 2" xfId="8406" xr:uid="{00000000-0005-0000-0000-0000AF080000}"/>
    <cellStyle name="Comma 4 2 3 7 3" xfId="6261" xr:uid="{00000000-0005-0000-0000-0000B0080000}"/>
    <cellStyle name="Comma 4 2 3 8" xfId="2390" xr:uid="{00000000-0005-0000-0000-0000B1080000}"/>
    <cellStyle name="Comma 4 2 3 8 2" xfId="6674" xr:uid="{00000000-0005-0000-0000-0000B2080000}"/>
    <cellStyle name="Comma 4 2 3 9" xfId="2373" xr:uid="{00000000-0005-0000-0000-0000B3080000}"/>
    <cellStyle name="Comma 4 2 4" xfId="140" xr:uid="{00000000-0005-0000-0000-0000B4080000}"/>
    <cellStyle name="Comma 4 2 4 10" xfId="4612"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2" xr:uid="{00000000-0005-0000-0000-0000B9080000}"/>
    <cellStyle name="Comma 4 2 4 2 2 3" xfId="5027" xr:uid="{00000000-0005-0000-0000-0000BA080000}"/>
    <cellStyle name="Comma 4 2 4 2 3" xfId="1132" xr:uid="{00000000-0005-0000-0000-0000BB080000}"/>
    <cellStyle name="Comma 4 2 4 2 3 2" xfId="3363" xr:uid="{00000000-0005-0000-0000-0000BC080000}"/>
    <cellStyle name="Comma 4 2 4 2 3 2 2" xfId="7585" xr:uid="{00000000-0005-0000-0000-0000BD080000}"/>
    <cellStyle name="Comma 4 2 4 2 3 3" xfId="5440" xr:uid="{00000000-0005-0000-0000-0000BE080000}"/>
    <cellStyle name="Comma 4 2 4 2 4" xfId="1546" xr:uid="{00000000-0005-0000-0000-0000BF080000}"/>
    <cellStyle name="Comma 4 2 4 2 4 2" xfId="3776" xr:uid="{00000000-0005-0000-0000-0000C0080000}"/>
    <cellStyle name="Comma 4 2 4 2 4 2 2" xfId="7998" xr:uid="{00000000-0005-0000-0000-0000C1080000}"/>
    <cellStyle name="Comma 4 2 4 2 4 3" xfId="5853" xr:uid="{00000000-0005-0000-0000-0000C2080000}"/>
    <cellStyle name="Comma 4 2 4 2 5" xfId="1960" xr:uid="{00000000-0005-0000-0000-0000C3080000}"/>
    <cellStyle name="Comma 4 2 4 2 5 2" xfId="4189" xr:uid="{00000000-0005-0000-0000-0000C4080000}"/>
    <cellStyle name="Comma 4 2 4 2 5 2 2" xfId="8411" xr:uid="{00000000-0005-0000-0000-0000C5080000}"/>
    <cellStyle name="Comma 4 2 4 2 5 3" xfId="6266" xr:uid="{00000000-0005-0000-0000-0000C6080000}"/>
    <cellStyle name="Comma 4 2 4 2 6" xfId="2395" xr:uid="{00000000-0005-0000-0000-0000C7080000}"/>
    <cellStyle name="Comma 4 2 4 2 6 2" xfId="6679" xr:uid="{00000000-0005-0000-0000-0000C8080000}"/>
    <cellStyle name="Comma 4 2 4 2 7" xfId="2368" xr:uid="{00000000-0005-0000-0000-0000C9080000}"/>
    <cellStyle name="Comma 4 2 4 2 8" xfId="2773" xr:uid="{00000000-0005-0000-0000-0000CA080000}"/>
    <cellStyle name="Comma 4 2 4 2 8 2" xfId="6996" xr:uid="{00000000-0005-0000-0000-0000CB080000}"/>
    <cellStyle name="Comma 4 2 4 2 9" xfId="4613" xr:uid="{00000000-0005-0000-0000-0000CC080000}"/>
    <cellStyle name="Comma 4 2 4 3" xfId="678" xr:uid="{00000000-0005-0000-0000-0000CD080000}"/>
    <cellStyle name="Comma 4 2 4 3 2" xfId="2949" xr:uid="{00000000-0005-0000-0000-0000CE080000}"/>
    <cellStyle name="Comma 4 2 4 3 2 2" xfId="7171" xr:uid="{00000000-0005-0000-0000-0000CF080000}"/>
    <cellStyle name="Comma 4 2 4 3 3" xfId="5026" xr:uid="{00000000-0005-0000-0000-0000D0080000}"/>
    <cellStyle name="Comma 4 2 4 4" xfId="1131" xr:uid="{00000000-0005-0000-0000-0000D1080000}"/>
    <cellStyle name="Comma 4 2 4 4 2" xfId="3362" xr:uid="{00000000-0005-0000-0000-0000D2080000}"/>
    <cellStyle name="Comma 4 2 4 4 2 2" xfId="7584" xr:uid="{00000000-0005-0000-0000-0000D3080000}"/>
    <cellStyle name="Comma 4 2 4 4 3" xfId="5439" xr:uid="{00000000-0005-0000-0000-0000D4080000}"/>
    <cellStyle name="Comma 4 2 4 5" xfId="1545" xr:uid="{00000000-0005-0000-0000-0000D5080000}"/>
    <cellStyle name="Comma 4 2 4 5 2" xfId="3775" xr:uid="{00000000-0005-0000-0000-0000D6080000}"/>
    <cellStyle name="Comma 4 2 4 5 2 2" xfId="7997" xr:uid="{00000000-0005-0000-0000-0000D7080000}"/>
    <cellStyle name="Comma 4 2 4 5 3" xfId="5852" xr:uid="{00000000-0005-0000-0000-0000D8080000}"/>
    <cellStyle name="Comma 4 2 4 6" xfId="1959" xr:uid="{00000000-0005-0000-0000-0000D9080000}"/>
    <cellStyle name="Comma 4 2 4 6 2" xfId="4188" xr:uid="{00000000-0005-0000-0000-0000DA080000}"/>
    <cellStyle name="Comma 4 2 4 6 2 2" xfId="8410" xr:uid="{00000000-0005-0000-0000-0000DB080000}"/>
    <cellStyle name="Comma 4 2 4 6 3" xfId="6265" xr:uid="{00000000-0005-0000-0000-0000DC080000}"/>
    <cellStyle name="Comma 4 2 4 7" xfId="2394" xr:uid="{00000000-0005-0000-0000-0000DD080000}"/>
    <cellStyle name="Comma 4 2 4 7 2" xfId="6678" xr:uid="{00000000-0005-0000-0000-0000DE080000}"/>
    <cellStyle name="Comma 4 2 4 8" xfId="2369" xr:uid="{00000000-0005-0000-0000-0000DF080000}"/>
    <cellStyle name="Comma 4 2 4 9" xfId="2772" xr:uid="{00000000-0005-0000-0000-0000E0080000}"/>
    <cellStyle name="Comma 4 2 4 9 2" xfId="6995"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3" xr:uid="{00000000-0005-0000-0000-0000E5080000}"/>
    <cellStyle name="Comma 4 2 5 2 3" xfId="5028" xr:uid="{00000000-0005-0000-0000-0000E6080000}"/>
    <cellStyle name="Comma 4 2 5 3" xfId="1133" xr:uid="{00000000-0005-0000-0000-0000E7080000}"/>
    <cellStyle name="Comma 4 2 5 3 2" xfId="3364" xr:uid="{00000000-0005-0000-0000-0000E8080000}"/>
    <cellStyle name="Comma 4 2 5 3 2 2" xfId="7586" xr:uid="{00000000-0005-0000-0000-0000E9080000}"/>
    <cellStyle name="Comma 4 2 5 3 3" xfId="5441" xr:uid="{00000000-0005-0000-0000-0000EA080000}"/>
    <cellStyle name="Comma 4 2 5 4" xfId="1547" xr:uid="{00000000-0005-0000-0000-0000EB080000}"/>
    <cellStyle name="Comma 4 2 5 4 2" xfId="3777" xr:uid="{00000000-0005-0000-0000-0000EC080000}"/>
    <cellStyle name="Comma 4 2 5 4 2 2" xfId="7999" xr:uid="{00000000-0005-0000-0000-0000ED080000}"/>
    <cellStyle name="Comma 4 2 5 4 3" xfId="5854" xr:uid="{00000000-0005-0000-0000-0000EE080000}"/>
    <cellStyle name="Comma 4 2 5 5" xfId="1961" xr:uid="{00000000-0005-0000-0000-0000EF080000}"/>
    <cellStyle name="Comma 4 2 5 5 2" xfId="4190" xr:uid="{00000000-0005-0000-0000-0000F0080000}"/>
    <cellStyle name="Comma 4 2 5 5 2 2" xfId="8412" xr:uid="{00000000-0005-0000-0000-0000F1080000}"/>
    <cellStyle name="Comma 4 2 5 5 3" xfId="6267" xr:uid="{00000000-0005-0000-0000-0000F2080000}"/>
    <cellStyle name="Comma 4 2 5 6" xfId="2396" xr:uid="{00000000-0005-0000-0000-0000F3080000}"/>
    <cellStyle name="Comma 4 2 5 6 2" xfId="6680" xr:uid="{00000000-0005-0000-0000-0000F4080000}"/>
    <cellStyle name="Comma 4 2 5 7" xfId="2367" xr:uid="{00000000-0005-0000-0000-0000F5080000}"/>
    <cellStyle name="Comma 4 2 5 8" xfId="2774" xr:uid="{00000000-0005-0000-0000-0000F6080000}"/>
    <cellStyle name="Comma 4 2 5 8 2" xfId="6997" xr:uid="{00000000-0005-0000-0000-0000F7080000}"/>
    <cellStyle name="Comma 4 2 5 9" xfId="4614"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4" xr:uid="{00000000-0005-0000-0000-0000FC080000}"/>
    <cellStyle name="Comma 4 2 6 2 3" xfId="5029" xr:uid="{00000000-0005-0000-0000-0000FD080000}"/>
    <cellStyle name="Comma 4 2 6 3" xfId="1134" xr:uid="{00000000-0005-0000-0000-0000FE080000}"/>
    <cellStyle name="Comma 4 2 6 3 2" xfId="3365" xr:uid="{00000000-0005-0000-0000-0000FF080000}"/>
    <cellStyle name="Comma 4 2 6 3 2 2" xfId="7587" xr:uid="{00000000-0005-0000-0000-000000090000}"/>
    <cellStyle name="Comma 4 2 6 3 3" xfId="5442" xr:uid="{00000000-0005-0000-0000-000001090000}"/>
    <cellStyle name="Comma 4 2 6 4" xfId="1548" xr:uid="{00000000-0005-0000-0000-000002090000}"/>
    <cellStyle name="Comma 4 2 6 4 2" xfId="3778" xr:uid="{00000000-0005-0000-0000-000003090000}"/>
    <cellStyle name="Comma 4 2 6 4 2 2" xfId="8000" xr:uid="{00000000-0005-0000-0000-000004090000}"/>
    <cellStyle name="Comma 4 2 6 4 3" xfId="5855" xr:uid="{00000000-0005-0000-0000-000005090000}"/>
    <cellStyle name="Comma 4 2 6 5" xfId="1962" xr:uid="{00000000-0005-0000-0000-000006090000}"/>
    <cellStyle name="Comma 4 2 6 5 2" xfId="4191" xr:uid="{00000000-0005-0000-0000-000007090000}"/>
    <cellStyle name="Comma 4 2 6 5 2 2" xfId="8413" xr:uid="{00000000-0005-0000-0000-000008090000}"/>
    <cellStyle name="Comma 4 2 6 5 3" xfId="6268" xr:uid="{00000000-0005-0000-0000-000009090000}"/>
    <cellStyle name="Comma 4 2 6 6" xfId="2397" xr:uid="{00000000-0005-0000-0000-00000A090000}"/>
    <cellStyle name="Comma 4 2 6 6 2" xfId="6681" xr:uid="{00000000-0005-0000-0000-00000B090000}"/>
    <cellStyle name="Comma 4 2 6 7" xfId="2366" xr:uid="{00000000-0005-0000-0000-00000C090000}"/>
    <cellStyle name="Comma 4 2 6 8" xfId="2775" xr:uid="{00000000-0005-0000-0000-00000D090000}"/>
    <cellStyle name="Comma 4 2 6 8 2" xfId="6998" xr:uid="{00000000-0005-0000-0000-00000E090000}"/>
    <cellStyle name="Comma 4 2 6 9" xfId="4615"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6999" xr:uid="{00000000-0005-0000-0000-000013090000}"/>
    <cellStyle name="Comma 4 3 2 11" xfId="4616" xr:uid="{00000000-0005-0000-0000-000014090000}"/>
    <cellStyle name="Comma 4 3 2 2" xfId="146" xr:uid="{00000000-0005-0000-0000-000015090000}"/>
    <cellStyle name="Comma 4 3 2 2 10" xfId="4617"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7" xr:uid="{00000000-0005-0000-0000-00001A090000}"/>
    <cellStyle name="Comma 4 3 2 2 2 2 3" xfId="5032" xr:uid="{00000000-0005-0000-0000-00001B090000}"/>
    <cellStyle name="Comma 4 3 2 2 2 3" xfId="1137" xr:uid="{00000000-0005-0000-0000-00001C090000}"/>
    <cellStyle name="Comma 4 3 2 2 2 3 2" xfId="3368" xr:uid="{00000000-0005-0000-0000-00001D090000}"/>
    <cellStyle name="Comma 4 3 2 2 2 3 2 2" xfId="7590" xr:uid="{00000000-0005-0000-0000-00001E090000}"/>
    <cellStyle name="Comma 4 3 2 2 2 3 3" xfId="5445" xr:uid="{00000000-0005-0000-0000-00001F090000}"/>
    <cellStyle name="Comma 4 3 2 2 2 4" xfId="1551" xr:uid="{00000000-0005-0000-0000-000020090000}"/>
    <cellStyle name="Comma 4 3 2 2 2 4 2" xfId="3781" xr:uid="{00000000-0005-0000-0000-000021090000}"/>
    <cellStyle name="Comma 4 3 2 2 2 4 2 2" xfId="8003" xr:uid="{00000000-0005-0000-0000-000022090000}"/>
    <cellStyle name="Comma 4 3 2 2 2 4 3" xfId="5858" xr:uid="{00000000-0005-0000-0000-000023090000}"/>
    <cellStyle name="Comma 4 3 2 2 2 5" xfId="1965" xr:uid="{00000000-0005-0000-0000-000024090000}"/>
    <cellStyle name="Comma 4 3 2 2 2 5 2" xfId="4194" xr:uid="{00000000-0005-0000-0000-000025090000}"/>
    <cellStyle name="Comma 4 3 2 2 2 5 2 2" xfId="8416" xr:uid="{00000000-0005-0000-0000-000026090000}"/>
    <cellStyle name="Comma 4 3 2 2 2 5 3" xfId="6271" xr:uid="{00000000-0005-0000-0000-000027090000}"/>
    <cellStyle name="Comma 4 3 2 2 2 6" xfId="2400" xr:uid="{00000000-0005-0000-0000-000028090000}"/>
    <cellStyle name="Comma 4 3 2 2 2 6 2" xfId="6684" xr:uid="{00000000-0005-0000-0000-000029090000}"/>
    <cellStyle name="Comma 4 3 2 2 2 7" xfId="2363" xr:uid="{00000000-0005-0000-0000-00002A090000}"/>
    <cellStyle name="Comma 4 3 2 2 2 8" xfId="2778" xr:uid="{00000000-0005-0000-0000-00002B090000}"/>
    <cellStyle name="Comma 4 3 2 2 2 8 2" xfId="7001" xr:uid="{00000000-0005-0000-0000-00002C090000}"/>
    <cellStyle name="Comma 4 3 2 2 2 9" xfId="4618" xr:uid="{00000000-0005-0000-0000-00002D090000}"/>
    <cellStyle name="Comma 4 3 2 2 3" xfId="683" xr:uid="{00000000-0005-0000-0000-00002E090000}"/>
    <cellStyle name="Comma 4 3 2 2 3 2" xfId="2954" xr:uid="{00000000-0005-0000-0000-00002F090000}"/>
    <cellStyle name="Comma 4 3 2 2 3 2 2" xfId="7176" xr:uid="{00000000-0005-0000-0000-000030090000}"/>
    <cellStyle name="Comma 4 3 2 2 3 3" xfId="5031" xr:uid="{00000000-0005-0000-0000-000031090000}"/>
    <cellStyle name="Comma 4 3 2 2 4" xfId="1136" xr:uid="{00000000-0005-0000-0000-000032090000}"/>
    <cellStyle name="Comma 4 3 2 2 4 2" xfId="3367" xr:uid="{00000000-0005-0000-0000-000033090000}"/>
    <cellStyle name="Comma 4 3 2 2 4 2 2" xfId="7589" xr:uid="{00000000-0005-0000-0000-000034090000}"/>
    <cellStyle name="Comma 4 3 2 2 4 3" xfId="5444" xr:uid="{00000000-0005-0000-0000-000035090000}"/>
    <cellStyle name="Comma 4 3 2 2 5" xfId="1550" xr:uid="{00000000-0005-0000-0000-000036090000}"/>
    <cellStyle name="Comma 4 3 2 2 5 2" xfId="3780" xr:uid="{00000000-0005-0000-0000-000037090000}"/>
    <cellStyle name="Comma 4 3 2 2 5 2 2" xfId="8002" xr:uid="{00000000-0005-0000-0000-000038090000}"/>
    <cellStyle name="Comma 4 3 2 2 5 3" xfId="5857" xr:uid="{00000000-0005-0000-0000-000039090000}"/>
    <cellStyle name="Comma 4 3 2 2 6" xfId="1964" xr:uid="{00000000-0005-0000-0000-00003A090000}"/>
    <cellStyle name="Comma 4 3 2 2 6 2" xfId="4193" xr:uid="{00000000-0005-0000-0000-00003B090000}"/>
    <cellStyle name="Comma 4 3 2 2 6 2 2" xfId="8415" xr:uid="{00000000-0005-0000-0000-00003C090000}"/>
    <cellStyle name="Comma 4 3 2 2 6 3" xfId="6270" xr:uid="{00000000-0005-0000-0000-00003D090000}"/>
    <cellStyle name="Comma 4 3 2 2 7" xfId="2399" xr:uid="{00000000-0005-0000-0000-00003E090000}"/>
    <cellStyle name="Comma 4 3 2 2 7 2" xfId="6683" xr:uid="{00000000-0005-0000-0000-00003F090000}"/>
    <cellStyle name="Comma 4 3 2 2 8" xfId="2364" xr:uid="{00000000-0005-0000-0000-000040090000}"/>
    <cellStyle name="Comma 4 3 2 2 9" xfId="2777" xr:uid="{00000000-0005-0000-0000-000041090000}"/>
    <cellStyle name="Comma 4 3 2 2 9 2" xfId="7000"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8" xr:uid="{00000000-0005-0000-0000-000046090000}"/>
    <cellStyle name="Comma 4 3 2 3 2 3" xfId="5033" xr:uid="{00000000-0005-0000-0000-000047090000}"/>
    <cellStyle name="Comma 4 3 2 3 3" xfId="1138" xr:uid="{00000000-0005-0000-0000-000048090000}"/>
    <cellStyle name="Comma 4 3 2 3 3 2" xfId="3369" xr:uid="{00000000-0005-0000-0000-000049090000}"/>
    <cellStyle name="Comma 4 3 2 3 3 2 2" xfId="7591" xr:uid="{00000000-0005-0000-0000-00004A090000}"/>
    <cellStyle name="Comma 4 3 2 3 3 3" xfId="5446" xr:uid="{00000000-0005-0000-0000-00004B090000}"/>
    <cellStyle name="Comma 4 3 2 3 4" xfId="1552" xr:uid="{00000000-0005-0000-0000-00004C090000}"/>
    <cellStyle name="Comma 4 3 2 3 4 2" xfId="3782" xr:uid="{00000000-0005-0000-0000-00004D090000}"/>
    <cellStyle name="Comma 4 3 2 3 4 2 2" xfId="8004" xr:uid="{00000000-0005-0000-0000-00004E090000}"/>
    <cellStyle name="Comma 4 3 2 3 4 3" xfId="5859" xr:uid="{00000000-0005-0000-0000-00004F090000}"/>
    <cellStyle name="Comma 4 3 2 3 5" xfId="1966" xr:uid="{00000000-0005-0000-0000-000050090000}"/>
    <cellStyle name="Comma 4 3 2 3 5 2" xfId="4195" xr:uid="{00000000-0005-0000-0000-000051090000}"/>
    <cellStyle name="Comma 4 3 2 3 5 2 2" xfId="8417" xr:uid="{00000000-0005-0000-0000-000052090000}"/>
    <cellStyle name="Comma 4 3 2 3 5 3" xfId="6272" xr:uid="{00000000-0005-0000-0000-000053090000}"/>
    <cellStyle name="Comma 4 3 2 3 6" xfId="2401" xr:uid="{00000000-0005-0000-0000-000054090000}"/>
    <cellStyle name="Comma 4 3 2 3 6 2" xfId="6685" xr:uid="{00000000-0005-0000-0000-000055090000}"/>
    <cellStyle name="Comma 4 3 2 3 7" xfId="2362" xr:uid="{00000000-0005-0000-0000-000056090000}"/>
    <cellStyle name="Comma 4 3 2 3 8" xfId="2779" xr:uid="{00000000-0005-0000-0000-000057090000}"/>
    <cellStyle name="Comma 4 3 2 3 8 2" xfId="7002" xr:uid="{00000000-0005-0000-0000-000058090000}"/>
    <cellStyle name="Comma 4 3 2 3 9" xfId="4619" xr:uid="{00000000-0005-0000-0000-000059090000}"/>
    <cellStyle name="Comma 4 3 2 4" xfId="682" xr:uid="{00000000-0005-0000-0000-00005A090000}"/>
    <cellStyle name="Comma 4 3 2 4 2" xfId="2953" xr:uid="{00000000-0005-0000-0000-00005B090000}"/>
    <cellStyle name="Comma 4 3 2 4 2 2" xfId="7175" xr:uid="{00000000-0005-0000-0000-00005C090000}"/>
    <cellStyle name="Comma 4 3 2 4 3" xfId="5030" xr:uid="{00000000-0005-0000-0000-00005D090000}"/>
    <cellStyle name="Comma 4 3 2 5" xfId="1135" xr:uid="{00000000-0005-0000-0000-00005E090000}"/>
    <cellStyle name="Comma 4 3 2 5 2" xfId="3366" xr:uid="{00000000-0005-0000-0000-00005F090000}"/>
    <cellStyle name="Comma 4 3 2 5 2 2" xfId="7588" xr:uid="{00000000-0005-0000-0000-000060090000}"/>
    <cellStyle name="Comma 4 3 2 5 3" xfId="5443" xr:uid="{00000000-0005-0000-0000-000061090000}"/>
    <cellStyle name="Comma 4 3 2 6" xfId="1549" xr:uid="{00000000-0005-0000-0000-000062090000}"/>
    <cellStyle name="Comma 4 3 2 6 2" xfId="3779" xr:uid="{00000000-0005-0000-0000-000063090000}"/>
    <cellStyle name="Comma 4 3 2 6 2 2" xfId="8001" xr:uid="{00000000-0005-0000-0000-000064090000}"/>
    <cellStyle name="Comma 4 3 2 6 3" xfId="5856" xr:uid="{00000000-0005-0000-0000-000065090000}"/>
    <cellStyle name="Comma 4 3 2 7" xfId="1963" xr:uid="{00000000-0005-0000-0000-000066090000}"/>
    <cellStyle name="Comma 4 3 2 7 2" xfId="4192" xr:uid="{00000000-0005-0000-0000-000067090000}"/>
    <cellStyle name="Comma 4 3 2 7 2 2" xfId="8414" xr:uid="{00000000-0005-0000-0000-000068090000}"/>
    <cellStyle name="Comma 4 3 2 7 3" xfId="6269" xr:uid="{00000000-0005-0000-0000-000069090000}"/>
    <cellStyle name="Comma 4 3 2 8" xfId="2398" xr:uid="{00000000-0005-0000-0000-00006A090000}"/>
    <cellStyle name="Comma 4 3 2 8 2" xfId="6682" xr:uid="{00000000-0005-0000-0000-00006B090000}"/>
    <cellStyle name="Comma 4 3 2 9" xfId="2365" xr:uid="{00000000-0005-0000-0000-00006C090000}"/>
    <cellStyle name="Comma 4 3 3" xfId="149" xr:uid="{00000000-0005-0000-0000-00006D090000}"/>
    <cellStyle name="Comma 4 3 3 10" xfId="4620"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0" xr:uid="{00000000-0005-0000-0000-000072090000}"/>
    <cellStyle name="Comma 4 3 3 2 2 3" xfId="5035" xr:uid="{00000000-0005-0000-0000-000073090000}"/>
    <cellStyle name="Comma 4 3 3 2 3" xfId="1140" xr:uid="{00000000-0005-0000-0000-000074090000}"/>
    <cellStyle name="Comma 4 3 3 2 3 2" xfId="3371" xr:uid="{00000000-0005-0000-0000-000075090000}"/>
    <cellStyle name="Comma 4 3 3 2 3 2 2" xfId="7593" xr:uid="{00000000-0005-0000-0000-000076090000}"/>
    <cellStyle name="Comma 4 3 3 2 3 3" xfId="5448" xr:uid="{00000000-0005-0000-0000-000077090000}"/>
    <cellStyle name="Comma 4 3 3 2 4" xfId="1554" xr:uid="{00000000-0005-0000-0000-000078090000}"/>
    <cellStyle name="Comma 4 3 3 2 4 2" xfId="3784" xr:uid="{00000000-0005-0000-0000-000079090000}"/>
    <cellStyle name="Comma 4 3 3 2 4 2 2" xfId="8006" xr:uid="{00000000-0005-0000-0000-00007A090000}"/>
    <cellStyle name="Comma 4 3 3 2 4 3" xfId="5861" xr:uid="{00000000-0005-0000-0000-00007B090000}"/>
    <cellStyle name="Comma 4 3 3 2 5" xfId="1968" xr:uid="{00000000-0005-0000-0000-00007C090000}"/>
    <cellStyle name="Comma 4 3 3 2 5 2" xfId="4197" xr:uid="{00000000-0005-0000-0000-00007D090000}"/>
    <cellStyle name="Comma 4 3 3 2 5 2 2" xfId="8419" xr:uid="{00000000-0005-0000-0000-00007E090000}"/>
    <cellStyle name="Comma 4 3 3 2 5 3" xfId="6274" xr:uid="{00000000-0005-0000-0000-00007F090000}"/>
    <cellStyle name="Comma 4 3 3 2 6" xfId="2403" xr:uid="{00000000-0005-0000-0000-000080090000}"/>
    <cellStyle name="Comma 4 3 3 2 6 2" xfId="6687" xr:uid="{00000000-0005-0000-0000-000081090000}"/>
    <cellStyle name="Comma 4 3 3 2 7" xfId="2360" xr:uid="{00000000-0005-0000-0000-000082090000}"/>
    <cellStyle name="Comma 4 3 3 2 8" xfId="2781" xr:uid="{00000000-0005-0000-0000-000083090000}"/>
    <cellStyle name="Comma 4 3 3 2 8 2" xfId="7004" xr:uid="{00000000-0005-0000-0000-000084090000}"/>
    <cellStyle name="Comma 4 3 3 2 9" xfId="4621" xr:uid="{00000000-0005-0000-0000-000085090000}"/>
    <cellStyle name="Comma 4 3 3 3" xfId="686" xr:uid="{00000000-0005-0000-0000-000086090000}"/>
    <cellStyle name="Comma 4 3 3 3 2" xfId="2957" xr:uid="{00000000-0005-0000-0000-000087090000}"/>
    <cellStyle name="Comma 4 3 3 3 2 2" xfId="7179" xr:uid="{00000000-0005-0000-0000-000088090000}"/>
    <cellStyle name="Comma 4 3 3 3 3" xfId="5034" xr:uid="{00000000-0005-0000-0000-000089090000}"/>
    <cellStyle name="Comma 4 3 3 4" xfId="1139" xr:uid="{00000000-0005-0000-0000-00008A090000}"/>
    <cellStyle name="Comma 4 3 3 4 2" xfId="3370" xr:uid="{00000000-0005-0000-0000-00008B090000}"/>
    <cellStyle name="Comma 4 3 3 4 2 2" xfId="7592" xr:uid="{00000000-0005-0000-0000-00008C090000}"/>
    <cellStyle name="Comma 4 3 3 4 3" xfId="5447" xr:uid="{00000000-0005-0000-0000-00008D090000}"/>
    <cellStyle name="Comma 4 3 3 5" xfId="1553" xr:uid="{00000000-0005-0000-0000-00008E090000}"/>
    <cellStyle name="Comma 4 3 3 5 2" xfId="3783" xr:uid="{00000000-0005-0000-0000-00008F090000}"/>
    <cellStyle name="Comma 4 3 3 5 2 2" xfId="8005" xr:uid="{00000000-0005-0000-0000-000090090000}"/>
    <cellStyle name="Comma 4 3 3 5 3" xfId="5860" xr:uid="{00000000-0005-0000-0000-000091090000}"/>
    <cellStyle name="Comma 4 3 3 6" xfId="1967" xr:uid="{00000000-0005-0000-0000-000092090000}"/>
    <cellStyle name="Comma 4 3 3 6 2" xfId="4196" xr:uid="{00000000-0005-0000-0000-000093090000}"/>
    <cellStyle name="Comma 4 3 3 6 2 2" xfId="8418" xr:uid="{00000000-0005-0000-0000-000094090000}"/>
    <cellStyle name="Comma 4 3 3 6 3" xfId="6273" xr:uid="{00000000-0005-0000-0000-000095090000}"/>
    <cellStyle name="Comma 4 3 3 7" xfId="2402" xr:uid="{00000000-0005-0000-0000-000096090000}"/>
    <cellStyle name="Comma 4 3 3 7 2" xfId="6686" xr:uid="{00000000-0005-0000-0000-000097090000}"/>
    <cellStyle name="Comma 4 3 3 8" xfId="2361" xr:uid="{00000000-0005-0000-0000-000098090000}"/>
    <cellStyle name="Comma 4 3 3 9" xfId="2780" xr:uid="{00000000-0005-0000-0000-000099090000}"/>
    <cellStyle name="Comma 4 3 3 9 2" xfId="7003"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1" xr:uid="{00000000-0005-0000-0000-00009E090000}"/>
    <cellStyle name="Comma 4 3 4 2 3" xfId="5036" xr:uid="{00000000-0005-0000-0000-00009F090000}"/>
    <cellStyle name="Comma 4 3 4 3" xfId="1141" xr:uid="{00000000-0005-0000-0000-0000A0090000}"/>
    <cellStyle name="Comma 4 3 4 3 2" xfId="3372" xr:uid="{00000000-0005-0000-0000-0000A1090000}"/>
    <cellStyle name="Comma 4 3 4 3 2 2" xfId="7594" xr:uid="{00000000-0005-0000-0000-0000A2090000}"/>
    <cellStyle name="Comma 4 3 4 3 3" xfId="5449" xr:uid="{00000000-0005-0000-0000-0000A3090000}"/>
    <cellStyle name="Comma 4 3 4 4" xfId="1555" xr:uid="{00000000-0005-0000-0000-0000A4090000}"/>
    <cellStyle name="Comma 4 3 4 4 2" xfId="3785" xr:uid="{00000000-0005-0000-0000-0000A5090000}"/>
    <cellStyle name="Comma 4 3 4 4 2 2" xfId="8007" xr:uid="{00000000-0005-0000-0000-0000A6090000}"/>
    <cellStyle name="Comma 4 3 4 4 3" xfId="5862" xr:uid="{00000000-0005-0000-0000-0000A7090000}"/>
    <cellStyle name="Comma 4 3 4 5" xfId="1969" xr:uid="{00000000-0005-0000-0000-0000A8090000}"/>
    <cellStyle name="Comma 4 3 4 5 2" xfId="4198" xr:uid="{00000000-0005-0000-0000-0000A9090000}"/>
    <cellStyle name="Comma 4 3 4 5 2 2" xfId="8420" xr:uid="{00000000-0005-0000-0000-0000AA090000}"/>
    <cellStyle name="Comma 4 3 4 5 3" xfId="6275" xr:uid="{00000000-0005-0000-0000-0000AB090000}"/>
    <cellStyle name="Comma 4 3 4 6" xfId="2404" xr:uid="{00000000-0005-0000-0000-0000AC090000}"/>
    <cellStyle name="Comma 4 3 4 6 2" xfId="6688" xr:uid="{00000000-0005-0000-0000-0000AD090000}"/>
    <cellStyle name="Comma 4 3 4 7" xfId="2700" xr:uid="{00000000-0005-0000-0000-0000AE090000}"/>
    <cellStyle name="Comma 4 3 4 8" xfId="2782" xr:uid="{00000000-0005-0000-0000-0000AF090000}"/>
    <cellStyle name="Comma 4 3 4 8 2" xfId="7005" xr:uid="{00000000-0005-0000-0000-0000B0090000}"/>
    <cellStyle name="Comma 4 3 4 9" xfId="4622"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2" xr:uid="{00000000-0005-0000-0000-0000B5090000}"/>
    <cellStyle name="Comma 4 3 5 2 3" xfId="5037" xr:uid="{00000000-0005-0000-0000-0000B6090000}"/>
    <cellStyle name="Comma 4 3 5 3" xfId="1142" xr:uid="{00000000-0005-0000-0000-0000B7090000}"/>
    <cellStyle name="Comma 4 3 5 3 2" xfId="3373" xr:uid="{00000000-0005-0000-0000-0000B8090000}"/>
    <cellStyle name="Comma 4 3 5 3 2 2" xfId="7595" xr:uid="{00000000-0005-0000-0000-0000B9090000}"/>
    <cellStyle name="Comma 4 3 5 3 3" xfId="5450" xr:uid="{00000000-0005-0000-0000-0000BA090000}"/>
    <cellStyle name="Comma 4 3 5 4" xfId="1556" xr:uid="{00000000-0005-0000-0000-0000BB090000}"/>
    <cellStyle name="Comma 4 3 5 4 2" xfId="3786" xr:uid="{00000000-0005-0000-0000-0000BC090000}"/>
    <cellStyle name="Comma 4 3 5 4 2 2" xfId="8008" xr:uid="{00000000-0005-0000-0000-0000BD090000}"/>
    <cellStyle name="Comma 4 3 5 4 3" xfId="5863" xr:uid="{00000000-0005-0000-0000-0000BE090000}"/>
    <cellStyle name="Comma 4 3 5 5" xfId="1970" xr:uid="{00000000-0005-0000-0000-0000BF090000}"/>
    <cellStyle name="Comma 4 3 5 5 2" xfId="4199" xr:uid="{00000000-0005-0000-0000-0000C0090000}"/>
    <cellStyle name="Comma 4 3 5 5 2 2" xfId="8421" xr:uid="{00000000-0005-0000-0000-0000C1090000}"/>
    <cellStyle name="Comma 4 3 5 5 3" xfId="6276" xr:uid="{00000000-0005-0000-0000-0000C2090000}"/>
    <cellStyle name="Comma 4 3 5 6" xfId="2405" xr:uid="{00000000-0005-0000-0000-0000C3090000}"/>
    <cellStyle name="Comma 4 3 5 6 2" xfId="6689" xr:uid="{00000000-0005-0000-0000-0000C4090000}"/>
    <cellStyle name="Comma 4 3 5 7" xfId="2701" xr:uid="{00000000-0005-0000-0000-0000C5090000}"/>
    <cellStyle name="Comma 4 3 5 8" xfId="2783" xr:uid="{00000000-0005-0000-0000-0000C6090000}"/>
    <cellStyle name="Comma 4 3 5 8 2" xfId="7006" xr:uid="{00000000-0005-0000-0000-0000C7090000}"/>
    <cellStyle name="Comma 4 3 5 9" xfId="4623" xr:uid="{00000000-0005-0000-0000-0000C8090000}"/>
    <cellStyle name="Comma 4 4" xfId="153" xr:uid="{00000000-0005-0000-0000-0000C9090000}"/>
    <cellStyle name="Comma 4 4 10" xfId="2784" xr:uid="{00000000-0005-0000-0000-0000CA090000}"/>
    <cellStyle name="Comma 4 4 10 2" xfId="7007" xr:uid="{00000000-0005-0000-0000-0000CB090000}"/>
    <cellStyle name="Comma 4 4 11" xfId="4624" xr:uid="{00000000-0005-0000-0000-0000CC090000}"/>
    <cellStyle name="Comma 4 4 2" xfId="154" xr:uid="{00000000-0005-0000-0000-0000CD090000}"/>
    <cellStyle name="Comma 4 4 2 10" xfId="4625"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5" xr:uid="{00000000-0005-0000-0000-0000D2090000}"/>
    <cellStyle name="Comma 4 4 2 2 2 3" xfId="5040" xr:uid="{00000000-0005-0000-0000-0000D3090000}"/>
    <cellStyle name="Comma 4 4 2 2 3" xfId="1145" xr:uid="{00000000-0005-0000-0000-0000D4090000}"/>
    <cellStyle name="Comma 4 4 2 2 3 2" xfId="3376" xr:uid="{00000000-0005-0000-0000-0000D5090000}"/>
    <cellStyle name="Comma 4 4 2 2 3 2 2" xfId="7598" xr:uid="{00000000-0005-0000-0000-0000D6090000}"/>
    <cellStyle name="Comma 4 4 2 2 3 3" xfId="5453" xr:uid="{00000000-0005-0000-0000-0000D7090000}"/>
    <cellStyle name="Comma 4 4 2 2 4" xfId="1559" xr:uid="{00000000-0005-0000-0000-0000D8090000}"/>
    <cellStyle name="Comma 4 4 2 2 4 2" xfId="3789" xr:uid="{00000000-0005-0000-0000-0000D9090000}"/>
    <cellStyle name="Comma 4 4 2 2 4 2 2" xfId="8011" xr:uid="{00000000-0005-0000-0000-0000DA090000}"/>
    <cellStyle name="Comma 4 4 2 2 4 3" xfId="5866" xr:uid="{00000000-0005-0000-0000-0000DB090000}"/>
    <cellStyle name="Comma 4 4 2 2 5" xfId="1973" xr:uid="{00000000-0005-0000-0000-0000DC090000}"/>
    <cellStyle name="Comma 4 4 2 2 5 2" xfId="4202" xr:uid="{00000000-0005-0000-0000-0000DD090000}"/>
    <cellStyle name="Comma 4 4 2 2 5 2 2" xfId="8424" xr:uid="{00000000-0005-0000-0000-0000DE090000}"/>
    <cellStyle name="Comma 4 4 2 2 5 3" xfId="6279" xr:uid="{00000000-0005-0000-0000-0000DF090000}"/>
    <cellStyle name="Comma 4 4 2 2 6" xfId="2408" xr:uid="{00000000-0005-0000-0000-0000E0090000}"/>
    <cellStyle name="Comma 4 4 2 2 6 2" xfId="6692" xr:uid="{00000000-0005-0000-0000-0000E1090000}"/>
    <cellStyle name="Comma 4 4 2 2 7" xfId="2704" xr:uid="{00000000-0005-0000-0000-0000E2090000}"/>
    <cellStyle name="Comma 4 4 2 2 8" xfId="2786" xr:uid="{00000000-0005-0000-0000-0000E3090000}"/>
    <cellStyle name="Comma 4 4 2 2 8 2" xfId="7009" xr:uid="{00000000-0005-0000-0000-0000E4090000}"/>
    <cellStyle name="Comma 4 4 2 2 9" xfId="4626" xr:uid="{00000000-0005-0000-0000-0000E5090000}"/>
    <cellStyle name="Comma 4 4 2 3" xfId="691" xr:uid="{00000000-0005-0000-0000-0000E6090000}"/>
    <cellStyle name="Comma 4 4 2 3 2" xfId="2962" xr:uid="{00000000-0005-0000-0000-0000E7090000}"/>
    <cellStyle name="Comma 4 4 2 3 2 2" xfId="7184" xr:uid="{00000000-0005-0000-0000-0000E8090000}"/>
    <cellStyle name="Comma 4 4 2 3 3" xfId="5039" xr:uid="{00000000-0005-0000-0000-0000E9090000}"/>
    <cellStyle name="Comma 4 4 2 4" xfId="1144" xr:uid="{00000000-0005-0000-0000-0000EA090000}"/>
    <cellStyle name="Comma 4 4 2 4 2" xfId="3375" xr:uid="{00000000-0005-0000-0000-0000EB090000}"/>
    <cellStyle name="Comma 4 4 2 4 2 2" xfId="7597" xr:uid="{00000000-0005-0000-0000-0000EC090000}"/>
    <cellStyle name="Comma 4 4 2 4 3" xfId="5452" xr:uid="{00000000-0005-0000-0000-0000ED090000}"/>
    <cellStyle name="Comma 4 4 2 5" xfId="1558" xr:uid="{00000000-0005-0000-0000-0000EE090000}"/>
    <cellStyle name="Comma 4 4 2 5 2" xfId="3788" xr:uid="{00000000-0005-0000-0000-0000EF090000}"/>
    <cellStyle name="Comma 4 4 2 5 2 2" xfId="8010" xr:uid="{00000000-0005-0000-0000-0000F0090000}"/>
    <cellStyle name="Comma 4 4 2 5 3" xfId="5865" xr:uid="{00000000-0005-0000-0000-0000F1090000}"/>
    <cellStyle name="Comma 4 4 2 6" xfId="1972" xr:uid="{00000000-0005-0000-0000-0000F2090000}"/>
    <cellStyle name="Comma 4 4 2 6 2" xfId="4201" xr:uid="{00000000-0005-0000-0000-0000F3090000}"/>
    <cellStyle name="Comma 4 4 2 6 2 2" xfId="8423" xr:uid="{00000000-0005-0000-0000-0000F4090000}"/>
    <cellStyle name="Comma 4 4 2 6 3" xfId="6278" xr:uid="{00000000-0005-0000-0000-0000F5090000}"/>
    <cellStyle name="Comma 4 4 2 7" xfId="2407" xr:uid="{00000000-0005-0000-0000-0000F6090000}"/>
    <cellStyle name="Comma 4 4 2 7 2" xfId="6691" xr:uid="{00000000-0005-0000-0000-0000F7090000}"/>
    <cellStyle name="Comma 4 4 2 8" xfId="2703" xr:uid="{00000000-0005-0000-0000-0000F8090000}"/>
    <cellStyle name="Comma 4 4 2 9" xfId="2785" xr:uid="{00000000-0005-0000-0000-0000F9090000}"/>
    <cellStyle name="Comma 4 4 2 9 2" xfId="7008"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6" xr:uid="{00000000-0005-0000-0000-0000FE090000}"/>
    <cellStyle name="Comma 4 4 3 2 3" xfId="5041" xr:uid="{00000000-0005-0000-0000-0000FF090000}"/>
    <cellStyle name="Comma 4 4 3 3" xfId="1146" xr:uid="{00000000-0005-0000-0000-0000000A0000}"/>
    <cellStyle name="Comma 4 4 3 3 2" xfId="3377" xr:uid="{00000000-0005-0000-0000-0000010A0000}"/>
    <cellStyle name="Comma 4 4 3 3 2 2" xfId="7599" xr:uid="{00000000-0005-0000-0000-0000020A0000}"/>
    <cellStyle name="Comma 4 4 3 3 3" xfId="5454" xr:uid="{00000000-0005-0000-0000-0000030A0000}"/>
    <cellStyle name="Comma 4 4 3 4" xfId="1560" xr:uid="{00000000-0005-0000-0000-0000040A0000}"/>
    <cellStyle name="Comma 4 4 3 4 2" xfId="3790" xr:uid="{00000000-0005-0000-0000-0000050A0000}"/>
    <cellStyle name="Comma 4 4 3 4 2 2" xfId="8012" xr:uid="{00000000-0005-0000-0000-0000060A0000}"/>
    <cellStyle name="Comma 4 4 3 4 3" xfId="5867" xr:uid="{00000000-0005-0000-0000-0000070A0000}"/>
    <cellStyle name="Comma 4 4 3 5" xfId="1974" xr:uid="{00000000-0005-0000-0000-0000080A0000}"/>
    <cellStyle name="Comma 4 4 3 5 2" xfId="4203" xr:uid="{00000000-0005-0000-0000-0000090A0000}"/>
    <cellStyle name="Comma 4 4 3 5 2 2" xfId="8425" xr:uid="{00000000-0005-0000-0000-00000A0A0000}"/>
    <cellStyle name="Comma 4 4 3 5 3" xfId="6280" xr:uid="{00000000-0005-0000-0000-00000B0A0000}"/>
    <cellStyle name="Comma 4 4 3 6" xfId="2409" xr:uid="{00000000-0005-0000-0000-00000C0A0000}"/>
    <cellStyle name="Comma 4 4 3 6 2" xfId="6693" xr:uid="{00000000-0005-0000-0000-00000D0A0000}"/>
    <cellStyle name="Comma 4 4 3 7" xfId="2705" xr:uid="{00000000-0005-0000-0000-00000E0A0000}"/>
    <cellStyle name="Comma 4 4 3 8" xfId="2787" xr:uid="{00000000-0005-0000-0000-00000F0A0000}"/>
    <cellStyle name="Comma 4 4 3 8 2" xfId="7010" xr:uid="{00000000-0005-0000-0000-0000100A0000}"/>
    <cellStyle name="Comma 4 4 3 9" xfId="4627" xr:uid="{00000000-0005-0000-0000-0000110A0000}"/>
    <cellStyle name="Comma 4 4 4" xfId="690" xr:uid="{00000000-0005-0000-0000-0000120A0000}"/>
    <cellStyle name="Comma 4 4 4 2" xfId="2961" xr:uid="{00000000-0005-0000-0000-0000130A0000}"/>
    <cellStyle name="Comma 4 4 4 2 2" xfId="7183" xr:uid="{00000000-0005-0000-0000-0000140A0000}"/>
    <cellStyle name="Comma 4 4 4 3" xfId="5038" xr:uid="{00000000-0005-0000-0000-0000150A0000}"/>
    <cellStyle name="Comma 4 4 5" xfId="1143" xr:uid="{00000000-0005-0000-0000-0000160A0000}"/>
    <cellStyle name="Comma 4 4 5 2" xfId="3374" xr:uid="{00000000-0005-0000-0000-0000170A0000}"/>
    <cellStyle name="Comma 4 4 5 2 2" xfId="7596" xr:uid="{00000000-0005-0000-0000-0000180A0000}"/>
    <cellStyle name="Comma 4 4 5 3" xfId="5451" xr:uid="{00000000-0005-0000-0000-0000190A0000}"/>
    <cellStyle name="Comma 4 4 6" xfId="1557" xr:uid="{00000000-0005-0000-0000-00001A0A0000}"/>
    <cellStyle name="Comma 4 4 6 2" xfId="3787" xr:uid="{00000000-0005-0000-0000-00001B0A0000}"/>
    <cellStyle name="Comma 4 4 6 2 2" xfId="8009" xr:uid="{00000000-0005-0000-0000-00001C0A0000}"/>
    <cellStyle name="Comma 4 4 6 3" xfId="5864" xr:uid="{00000000-0005-0000-0000-00001D0A0000}"/>
    <cellStyle name="Comma 4 4 7" xfId="1971" xr:uid="{00000000-0005-0000-0000-00001E0A0000}"/>
    <cellStyle name="Comma 4 4 7 2" xfId="4200" xr:uid="{00000000-0005-0000-0000-00001F0A0000}"/>
    <cellStyle name="Comma 4 4 7 2 2" xfId="8422" xr:uid="{00000000-0005-0000-0000-0000200A0000}"/>
    <cellStyle name="Comma 4 4 7 3" xfId="6277" xr:uid="{00000000-0005-0000-0000-0000210A0000}"/>
    <cellStyle name="Comma 4 4 8" xfId="2406" xr:uid="{00000000-0005-0000-0000-0000220A0000}"/>
    <cellStyle name="Comma 4 4 8 2" xfId="6690" xr:uid="{00000000-0005-0000-0000-0000230A0000}"/>
    <cellStyle name="Comma 4 4 9" xfId="2702" xr:uid="{00000000-0005-0000-0000-0000240A0000}"/>
    <cellStyle name="Comma 4 5" xfId="157" xr:uid="{00000000-0005-0000-0000-0000250A0000}"/>
    <cellStyle name="Comma 4 5 10" xfId="4628"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8" xr:uid="{00000000-0005-0000-0000-00002A0A0000}"/>
    <cellStyle name="Comma 4 5 2 2 3" xfId="5043" xr:uid="{00000000-0005-0000-0000-00002B0A0000}"/>
    <cellStyle name="Comma 4 5 2 3" xfId="1148" xr:uid="{00000000-0005-0000-0000-00002C0A0000}"/>
    <cellStyle name="Comma 4 5 2 3 2" xfId="3379" xr:uid="{00000000-0005-0000-0000-00002D0A0000}"/>
    <cellStyle name="Comma 4 5 2 3 2 2" xfId="7601" xr:uid="{00000000-0005-0000-0000-00002E0A0000}"/>
    <cellStyle name="Comma 4 5 2 3 3" xfId="5456" xr:uid="{00000000-0005-0000-0000-00002F0A0000}"/>
    <cellStyle name="Comma 4 5 2 4" xfId="1562" xr:uid="{00000000-0005-0000-0000-0000300A0000}"/>
    <cellStyle name="Comma 4 5 2 4 2" xfId="3792" xr:uid="{00000000-0005-0000-0000-0000310A0000}"/>
    <cellStyle name="Comma 4 5 2 4 2 2" xfId="8014" xr:uid="{00000000-0005-0000-0000-0000320A0000}"/>
    <cellStyle name="Comma 4 5 2 4 3" xfId="5869" xr:uid="{00000000-0005-0000-0000-0000330A0000}"/>
    <cellStyle name="Comma 4 5 2 5" xfId="1976" xr:uid="{00000000-0005-0000-0000-0000340A0000}"/>
    <cellStyle name="Comma 4 5 2 5 2" xfId="4205" xr:uid="{00000000-0005-0000-0000-0000350A0000}"/>
    <cellStyle name="Comma 4 5 2 5 2 2" xfId="8427" xr:uid="{00000000-0005-0000-0000-0000360A0000}"/>
    <cellStyle name="Comma 4 5 2 5 3" xfId="6282" xr:uid="{00000000-0005-0000-0000-0000370A0000}"/>
    <cellStyle name="Comma 4 5 2 6" xfId="2411" xr:uid="{00000000-0005-0000-0000-0000380A0000}"/>
    <cellStyle name="Comma 4 5 2 6 2" xfId="6695" xr:uid="{00000000-0005-0000-0000-0000390A0000}"/>
    <cellStyle name="Comma 4 5 2 7" xfId="2707" xr:uid="{00000000-0005-0000-0000-00003A0A0000}"/>
    <cellStyle name="Comma 4 5 2 8" xfId="2789" xr:uid="{00000000-0005-0000-0000-00003B0A0000}"/>
    <cellStyle name="Comma 4 5 2 8 2" xfId="7012" xr:uid="{00000000-0005-0000-0000-00003C0A0000}"/>
    <cellStyle name="Comma 4 5 2 9" xfId="4629" xr:uid="{00000000-0005-0000-0000-00003D0A0000}"/>
    <cellStyle name="Comma 4 5 3" xfId="694" xr:uid="{00000000-0005-0000-0000-00003E0A0000}"/>
    <cellStyle name="Comma 4 5 3 2" xfId="2965" xr:uid="{00000000-0005-0000-0000-00003F0A0000}"/>
    <cellStyle name="Comma 4 5 3 2 2" xfId="7187" xr:uid="{00000000-0005-0000-0000-0000400A0000}"/>
    <cellStyle name="Comma 4 5 3 3" xfId="5042" xr:uid="{00000000-0005-0000-0000-0000410A0000}"/>
    <cellStyle name="Comma 4 5 4" xfId="1147" xr:uid="{00000000-0005-0000-0000-0000420A0000}"/>
    <cellStyle name="Comma 4 5 4 2" xfId="3378" xr:uid="{00000000-0005-0000-0000-0000430A0000}"/>
    <cellStyle name="Comma 4 5 4 2 2" xfId="7600" xr:uid="{00000000-0005-0000-0000-0000440A0000}"/>
    <cellStyle name="Comma 4 5 4 3" xfId="5455" xr:uid="{00000000-0005-0000-0000-0000450A0000}"/>
    <cellStyle name="Comma 4 5 5" xfId="1561" xr:uid="{00000000-0005-0000-0000-0000460A0000}"/>
    <cellStyle name="Comma 4 5 5 2" xfId="3791" xr:uid="{00000000-0005-0000-0000-0000470A0000}"/>
    <cellStyle name="Comma 4 5 5 2 2" xfId="8013" xr:uid="{00000000-0005-0000-0000-0000480A0000}"/>
    <cellStyle name="Comma 4 5 5 3" xfId="5868" xr:uid="{00000000-0005-0000-0000-0000490A0000}"/>
    <cellStyle name="Comma 4 5 6" xfId="1975" xr:uid="{00000000-0005-0000-0000-00004A0A0000}"/>
    <cellStyle name="Comma 4 5 6 2" xfId="4204" xr:uid="{00000000-0005-0000-0000-00004B0A0000}"/>
    <cellStyle name="Comma 4 5 6 2 2" xfId="8426" xr:uid="{00000000-0005-0000-0000-00004C0A0000}"/>
    <cellStyle name="Comma 4 5 6 3" xfId="6281" xr:uid="{00000000-0005-0000-0000-00004D0A0000}"/>
    <cellStyle name="Comma 4 5 7" xfId="2410" xr:uid="{00000000-0005-0000-0000-00004E0A0000}"/>
    <cellStyle name="Comma 4 5 7 2" xfId="6694" xr:uid="{00000000-0005-0000-0000-00004F0A0000}"/>
    <cellStyle name="Comma 4 5 8" xfId="2706" xr:uid="{00000000-0005-0000-0000-0000500A0000}"/>
    <cellStyle name="Comma 4 5 9" xfId="2788" xr:uid="{00000000-0005-0000-0000-0000510A0000}"/>
    <cellStyle name="Comma 4 5 9 2" xfId="7011"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89" xr:uid="{00000000-0005-0000-0000-0000560A0000}"/>
    <cellStyle name="Comma 4 6 2 3" xfId="5044" xr:uid="{00000000-0005-0000-0000-0000570A0000}"/>
    <cellStyle name="Comma 4 6 3" xfId="1149" xr:uid="{00000000-0005-0000-0000-0000580A0000}"/>
    <cellStyle name="Comma 4 6 3 2" xfId="3380" xr:uid="{00000000-0005-0000-0000-0000590A0000}"/>
    <cellStyle name="Comma 4 6 3 2 2" xfId="7602" xr:uid="{00000000-0005-0000-0000-00005A0A0000}"/>
    <cellStyle name="Comma 4 6 3 3" xfId="5457" xr:uid="{00000000-0005-0000-0000-00005B0A0000}"/>
    <cellStyle name="Comma 4 6 4" xfId="1563" xr:uid="{00000000-0005-0000-0000-00005C0A0000}"/>
    <cellStyle name="Comma 4 6 4 2" xfId="3793" xr:uid="{00000000-0005-0000-0000-00005D0A0000}"/>
    <cellStyle name="Comma 4 6 4 2 2" xfId="8015" xr:uid="{00000000-0005-0000-0000-00005E0A0000}"/>
    <cellStyle name="Comma 4 6 4 3" xfId="5870" xr:uid="{00000000-0005-0000-0000-00005F0A0000}"/>
    <cellStyle name="Comma 4 6 5" xfId="1977" xr:uid="{00000000-0005-0000-0000-0000600A0000}"/>
    <cellStyle name="Comma 4 6 5 2" xfId="4206" xr:uid="{00000000-0005-0000-0000-0000610A0000}"/>
    <cellStyle name="Comma 4 6 5 2 2" xfId="8428" xr:uid="{00000000-0005-0000-0000-0000620A0000}"/>
    <cellStyle name="Comma 4 6 5 3" xfId="6283" xr:uid="{00000000-0005-0000-0000-0000630A0000}"/>
    <cellStyle name="Comma 4 6 6" xfId="2412" xr:uid="{00000000-0005-0000-0000-0000640A0000}"/>
    <cellStyle name="Comma 4 6 6 2" xfId="6696" xr:uid="{00000000-0005-0000-0000-0000650A0000}"/>
    <cellStyle name="Comma 4 6 7" xfId="2708" xr:uid="{00000000-0005-0000-0000-0000660A0000}"/>
    <cellStyle name="Comma 4 6 8" xfId="2790" xr:uid="{00000000-0005-0000-0000-0000670A0000}"/>
    <cellStyle name="Comma 4 6 8 2" xfId="7013" xr:uid="{00000000-0005-0000-0000-0000680A0000}"/>
    <cellStyle name="Comma 4 6 9" xfId="4630"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0" xr:uid="{00000000-0005-0000-0000-00006D0A0000}"/>
    <cellStyle name="Comma 4 7 2 3" xfId="5045" xr:uid="{00000000-0005-0000-0000-00006E0A0000}"/>
    <cellStyle name="Comma 4 7 3" xfId="1150" xr:uid="{00000000-0005-0000-0000-00006F0A0000}"/>
    <cellStyle name="Comma 4 7 3 2" xfId="3381" xr:uid="{00000000-0005-0000-0000-0000700A0000}"/>
    <cellStyle name="Comma 4 7 3 2 2" xfId="7603" xr:uid="{00000000-0005-0000-0000-0000710A0000}"/>
    <cellStyle name="Comma 4 7 3 3" xfId="5458" xr:uid="{00000000-0005-0000-0000-0000720A0000}"/>
    <cellStyle name="Comma 4 7 4" xfId="1564" xr:uid="{00000000-0005-0000-0000-0000730A0000}"/>
    <cellStyle name="Comma 4 7 4 2" xfId="3794" xr:uid="{00000000-0005-0000-0000-0000740A0000}"/>
    <cellStyle name="Comma 4 7 4 2 2" xfId="8016" xr:uid="{00000000-0005-0000-0000-0000750A0000}"/>
    <cellStyle name="Comma 4 7 4 3" xfId="5871" xr:uid="{00000000-0005-0000-0000-0000760A0000}"/>
    <cellStyle name="Comma 4 7 5" xfId="1978" xr:uid="{00000000-0005-0000-0000-0000770A0000}"/>
    <cellStyle name="Comma 4 7 5 2" xfId="4207" xr:uid="{00000000-0005-0000-0000-0000780A0000}"/>
    <cellStyle name="Comma 4 7 5 2 2" xfId="8429" xr:uid="{00000000-0005-0000-0000-0000790A0000}"/>
    <cellStyle name="Comma 4 7 5 3" xfId="6284" xr:uid="{00000000-0005-0000-0000-00007A0A0000}"/>
    <cellStyle name="Comma 4 7 6" xfId="2413" xr:uid="{00000000-0005-0000-0000-00007B0A0000}"/>
    <cellStyle name="Comma 4 7 6 2" xfId="6697" xr:uid="{00000000-0005-0000-0000-00007C0A0000}"/>
    <cellStyle name="Comma 4 7 7" xfId="2709" xr:uid="{00000000-0005-0000-0000-00007D0A0000}"/>
    <cellStyle name="Comma 4 7 8" xfId="2791" xr:uid="{00000000-0005-0000-0000-00007E0A0000}"/>
    <cellStyle name="Comma 4 7 8 2" xfId="7014" xr:uid="{00000000-0005-0000-0000-00007F0A0000}"/>
    <cellStyle name="Comma 4 7 9" xfId="4631"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1"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6" xr:uid="{00000000-0005-0000-0000-0000980A0000}"/>
    <cellStyle name="Currency 14 3" xfId="8719" xr:uid="{729B09A7-2394-4D7C-912C-1471FB3455A3}"/>
    <cellStyle name="Currency 14 3 2" xfId="8723" xr:uid="{1945FB0F-31EC-4D98-B64C-BAFBADA341A1}"/>
    <cellStyle name="Currency 14 3 2 2" xfId="8726" xr:uid="{03BA8DEE-11D2-406B-B26D-8EE163916FB0}"/>
    <cellStyle name="Currency 14 3 2 2 2" xfId="8731" xr:uid="{485FEB5E-195C-4E94-84E4-8697EF19FD5F}"/>
    <cellStyle name="Currency 14 3 2 2 2 2" xfId="8734" xr:uid="{74EBCB5C-A4E8-4F45-BD02-F37429A3421F}"/>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5" xr:uid="{00000000-0005-0000-0000-0000A40A0000}"/>
    <cellStyle name="Currency 3 2 2 11" xfId="4632" xr:uid="{00000000-0005-0000-0000-0000A50A0000}"/>
    <cellStyle name="Currency 3 2 2 2" xfId="179" xr:uid="{00000000-0005-0000-0000-0000A60A0000}"/>
    <cellStyle name="Currency 3 2 2 2 10" xfId="4633"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3" xr:uid="{00000000-0005-0000-0000-0000AB0A0000}"/>
    <cellStyle name="Currency 3 2 2 2 2 2 3" xfId="5048" xr:uid="{00000000-0005-0000-0000-0000AC0A0000}"/>
    <cellStyle name="Currency 3 2 2 2 2 3" xfId="1153" xr:uid="{00000000-0005-0000-0000-0000AD0A0000}"/>
    <cellStyle name="Currency 3 2 2 2 2 3 2" xfId="3384" xr:uid="{00000000-0005-0000-0000-0000AE0A0000}"/>
    <cellStyle name="Currency 3 2 2 2 2 3 2 2" xfId="7606" xr:uid="{00000000-0005-0000-0000-0000AF0A0000}"/>
    <cellStyle name="Currency 3 2 2 2 2 3 3" xfId="5461" xr:uid="{00000000-0005-0000-0000-0000B00A0000}"/>
    <cellStyle name="Currency 3 2 2 2 2 4" xfId="1567" xr:uid="{00000000-0005-0000-0000-0000B10A0000}"/>
    <cellStyle name="Currency 3 2 2 2 2 4 2" xfId="3797" xr:uid="{00000000-0005-0000-0000-0000B20A0000}"/>
    <cellStyle name="Currency 3 2 2 2 2 4 2 2" xfId="8019" xr:uid="{00000000-0005-0000-0000-0000B30A0000}"/>
    <cellStyle name="Currency 3 2 2 2 2 4 3" xfId="5874" xr:uid="{00000000-0005-0000-0000-0000B40A0000}"/>
    <cellStyle name="Currency 3 2 2 2 2 5" xfId="1981" xr:uid="{00000000-0005-0000-0000-0000B50A0000}"/>
    <cellStyle name="Currency 3 2 2 2 2 5 2" xfId="4210" xr:uid="{00000000-0005-0000-0000-0000B60A0000}"/>
    <cellStyle name="Currency 3 2 2 2 2 5 2 2" xfId="8432" xr:uid="{00000000-0005-0000-0000-0000B70A0000}"/>
    <cellStyle name="Currency 3 2 2 2 2 5 3" xfId="6287" xr:uid="{00000000-0005-0000-0000-0000B80A0000}"/>
    <cellStyle name="Currency 3 2 2 2 2 6" xfId="2416" xr:uid="{00000000-0005-0000-0000-0000B90A0000}"/>
    <cellStyle name="Currency 3 2 2 2 2 6 2" xfId="6700" xr:uid="{00000000-0005-0000-0000-0000BA0A0000}"/>
    <cellStyle name="Currency 3 2 2 2 2 7" xfId="2713" xr:uid="{00000000-0005-0000-0000-0000BB0A0000}"/>
    <cellStyle name="Currency 3 2 2 2 2 8" xfId="2794" xr:uid="{00000000-0005-0000-0000-0000BC0A0000}"/>
    <cellStyle name="Currency 3 2 2 2 2 8 2" xfId="7017" xr:uid="{00000000-0005-0000-0000-0000BD0A0000}"/>
    <cellStyle name="Currency 3 2 2 2 2 9" xfId="4634" xr:uid="{00000000-0005-0000-0000-0000BE0A0000}"/>
    <cellStyle name="Currency 3 2 2 2 3" xfId="709" xr:uid="{00000000-0005-0000-0000-0000BF0A0000}"/>
    <cellStyle name="Currency 3 2 2 2 3 2" xfId="2970" xr:uid="{00000000-0005-0000-0000-0000C00A0000}"/>
    <cellStyle name="Currency 3 2 2 2 3 2 2" xfId="7192" xr:uid="{00000000-0005-0000-0000-0000C10A0000}"/>
    <cellStyle name="Currency 3 2 2 2 3 3" xfId="5047" xr:uid="{00000000-0005-0000-0000-0000C20A0000}"/>
    <cellStyle name="Currency 3 2 2 2 4" xfId="1152" xr:uid="{00000000-0005-0000-0000-0000C30A0000}"/>
    <cellStyle name="Currency 3 2 2 2 4 2" xfId="3383" xr:uid="{00000000-0005-0000-0000-0000C40A0000}"/>
    <cellStyle name="Currency 3 2 2 2 4 2 2" xfId="7605" xr:uid="{00000000-0005-0000-0000-0000C50A0000}"/>
    <cellStyle name="Currency 3 2 2 2 4 3" xfId="5460" xr:uid="{00000000-0005-0000-0000-0000C60A0000}"/>
    <cellStyle name="Currency 3 2 2 2 5" xfId="1566" xr:uid="{00000000-0005-0000-0000-0000C70A0000}"/>
    <cellStyle name="Currency 3 2 2 2 5 2" xfId="3796" xr:uid="{00000000-0005-0000-0000-0000C80A0000}"/>
    <cellStyle name="Currency 3 2 2 2 5 2 2" xfId="8018" xr:uid="{00000000-0005-0000-0000-0000C90A0000}"/>
    <cellStyle name="Currency 3 2 2 2 5 3" xfId="5873" xr:uid="{00000000-0005-0000-0000-0000CA0A0000}"/>
    <cellStyle name="Currency 3 2 2 2 6" xfId="1980" xr:uid="{00000000-0005-0000-0000-0000CB0A0000}"/>
    <cellStyle name="Currency 3 2 2 2 6 2" xfId="4209" xr:uid="{00000000-0005-0000-0000-0000CC0A0000}"/>
    <cellStyle name="Currency 3 2 2 2 6 2 2" xfId="8431" xr:uid="{00000000-0005-0000-0000-0000CD0A0000}"/>
    <cellStyle name="Currency 3 2 2 2 6 3" xfId="6286" xr:uid="{00000000-0005-0000-0000-0000CE0A0000}"/>
    <cellStyle name="Currency 3 2 2 2 7" xfId="2415" xr:uid="{00000000-0005-0000-0000-0000CF0A0000}"/>
    <cellStyle name="Currency 3 2 2 2 7 2" xfId="6699" xr:uid="{00000000-0005-0000-0000-0000D00A0000}"/>
    <cellStyle name="Currency 3 2 2 2 8" xfId="2712" xr:uid="{00000000-0005-0000-0000-0000D10A0000}"/>
    <cellStyle name="Currency 3 2 2 2 9" xfId="2793" xr:uid="{00000000-0005-0000-0000-0000D20A0000}"/>
    <cellStyle name="Currency 3 2 2 2 9 2" xfId="7016"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4" xr:uid="{00000000-0005-0000-0000-0000D70A0000}"/>
    <cellStyle name="Currency 3 2 2 3 2 3" xfId="5049" xr:uid="{00000000-0005-0000-0000-0000D80A0000}"/>
    <cellStyle name="Currency 3 2 2 3 3" xfId="1154" xr:uid="{00000000-0005-0000-0000-0000D90A0000}"/>
    <cellStyle name="Currency 3 2 2 3 3 2" xfId="3385" xr:uid="{00000000-0005-0000-0000-0000DA0A0000}"/>
    <cellStyle name="Currency 3 2 2 3 3 2 2" xfId="7607" xr:uid="{00000000-0005-0000-0000-0000DB0A0000}"/>
    <cellStyle name="Currency 3 2 2 3 3 3" xfId="5462" xr:uid="{00000000-0005-0000-0000-0000DC0A0000}"/>
    <cellStyle name="Currency 3 2 2 3 4" xfId="1568" xr:uid="{00000000-0005-0000-0000-0000DD0A0000}"/>
    <cellStyle name="Currency 3 2 2 3 4 2" xfId="3798" xr:uid="{00000000-0005-0000-0000-0000DE0A0000}"/>
    <cellStyle name="Currency 3 2 2 3 4 2 2" xfId="8020" xr:uid="{00000000-0005-0000-0000-0000DF0A0000}"/>
    <cellStyle name="Currency 3 2 2 3 4 3" xfId="5875" xr:uid="{00000000-0005-0000-0000-0000E00A0000}"/>
    <cellStyle name="Currency 3 2 2 3 5" xfId="1982" xr:uid="{00000000-0005-0000-0000-0000E10A0000}"/>
    <cellStyle name="Currency 3 2 2 3 5 2" xfId="4211" xr:uid="{00000000-0005-0000-0000-0000E20A0000}"/>
    <cellStyle name="Currency 3 2 2 3 5 2 2" xfId="8433" xr:uid="{00000000-0005-0000-0000-0000E30A0000}"/>
    <cellStyle name="Currency 3 2 2 3 5 3" xfId="6288" xr:uid="{00000000-0005-0000-0000-0000E40A0000}"/>
    <cellStyle name="Currency 3 2 2 3 6" xfId="2417" xr:uid="{00000000-0005-0000-0000-0000E50A0000}"/>
    <cellStyle name="Currency 3 2 2 3 6 2" xfId="6701" xr:uid="{00000000-0005-0000-0000-0000E60A0000}"/>
    <cellStyle name="Currency 3 2 2 3 7" xfId="2714" xr:uid="{00000000-0005-0000-0000-0000E70A0000}"/>
    <cellStyle name="Currency 3 2 2 3 8" xfId="2795" xr:uid="{00000000-0005-0000-0000-0000E80A0000}"/>
    <cellStyle name="Currency 3 2 2 3 8 2" xfId="7018" xr:uid="{00000000-0005-0000-0000-0000E90A0000}"/>
    <cellStyle name="Currency 3 2 2 3 9" xfId="4635" xr:uid="{00000000-0005-0000-0000-0000EA0A0000}"/>
    <cellStyle name="Currency 3 2 2 4" xfId="708" xr:uid="{00000000-0005-0000-0000-0000EB0A0000}"/>
    <cellStyle name="Currency 3 2 2 4 2" xfId="2969" xr:uid="{00000000-0005-0000-0000-0000EC0A0000}"/>
    <cellStyle name="Currency 3 2 2 4 2 2" xfId="7191" xr:uid="{00000000-0005-0000-0000-0000ED0A0000}"/>
    <cellStyle name="Currency 3 2 2 4 3" xfId="5046" xr:uid="{00000000-0005-0000-0000-0000EE0A0000}"/>
    <cellStyle name="Currency 3 2 2 5" xfId="1151" xr:uid="{00000000-0005-0000-0000-0000EF0A0000}"/>
    <cellStyle name="Currency 3 2 2 5 2" xfId="3382" xr:uid="{00000000-0005-0000-0000-0000F00A0000}"/>
    <cellStyle name="Currency 3 2 2 5 2 2" xfId="7604" xr:uid="{00000000-0005-0000-0000-0000F10A0000}"/>
    <cellStyle name="Currency 3 2 2 5 3" xfId="5459" xr:uid="{00000000-0005-0000-0000-0000F20A0000}"/>
    <cellStyle name="Currency 3 2 2 6" xfId="1565" xr:uid="{00000000-0005-0000-0000-0000F30A0000}"/>
    <cellStyle name="Currency 3 2 2 6 2" xfId="3795" xr:uid="{00000000-0005-0000-0000-0000F40A0000}"/>
    <cellStyle name="Currency 3 2 2 6 2 2" xfId="8017" xr:uid="{00000000-0005-0000-0000-0000F50A0000}"/>
    <cellStyle name="Currency 3 2 2 6 3" xfId="5872" xr:uid="{00000000-0005-0000-0000-0000F60A0000}"/>
    <cellStyle name="Currency 3 2 2 7" xfId="1979" xr:uid="{00000000-0005-0000-0000-0000F70A0000}"/>
    <cellStyle name="Currency 3 2 2 7 2" xfId="4208" xr:uid="{00000000-0005-0000-0000-0000F80A0000}"/>
    <cellStyle name="Currency 3 2 2 7 2 2" xfId="8430" xr:uid="{00000000-0005-0000-0000-0000F90A0000}"/>
    <cellStyle name="Currency 3 2 2 7 3" xfId="6285" xr:uid="{00000000-0005-0000-0000-0000FA0A0000}"/>
    <cellStyle name="Currency 3 2 2 8" xfId="2414" xr:uid="{00000000-0005-0000-0000-0000FB0A0000}"/>
    <cellStyle name="Currency 3 2 2 8 2" xfId="6698" xr:uid="{00000000-0005-0000-0000-0000FC0A0000}"/>
    <cellStyle name="Currency 3 2 2 9" xfId="2711" xr:uid="{00000000-0005-0000-0000-0000FD0A0000}"/>
    <cellStyle name="Currency 3 2 3" xfId="182" xr:uid="{00000000-0005-0000-0000-0000FE0A0000}"/>
    <cellStyle name="Currency 3 2 3 10" xfId="4636"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6" xr:uid="{00000000-0005-0000-0000-0000030B0000}"/>
    <cellStyle name="Currency 3 2 3 2 2 3" xfId="5051" xr:uid="{00000000-0005-0000-0000-0000040B0000}"/>
    <cellStyle name="Currency 3 2 3 2 3" xfId="1156" xr:uid="{00000000-0005-0000-0000-0000050B0000}"/>
    <cellStyle name="Currency 3 2 3 2 3 2" xfId="3387" xr:uid="{00000000-0005-0000-0000-0000060B0000}"/>
    <cellStyle name="Currency 3 2 3 2 3 2 2" xfId="7609" xr:uid="{00000000-0005-0000-0000-0000070B0000}"/>
    <cellStyle name="Currency 3 2 3 2 3 3" xfId="5464" xr:uid="{00000000-0005-0000-0000-0000080B0000}"/>
    <cellStyle name="Currency 3 2 3 2 4" xfId="1570" xr:uid="{00000000-0005-0000-0000-0000090B0000}"/>
    <cellStyle name="Currency 3 2 3 2 4 2" xfId="3800" xr:uid="{00000000-0005-0000-0000-00000A0B0000}"/>
    <cellStyle name="Currency 3 2 3 2 4 2 2" xfId="8022" xr:uid="{00000000-0005-0000-0000-00000B0B0000}"/>
    <cellStyle name="Currency 3 2 3 2 4 3" xfId="5877" xr:uid="{00000000-0005-0000-0000-00000C0B0000}"/>
    <cellStyle name="Currency 3 2 3 2 5" xfId="1984" xr:uid="{00000000-0005-0000-0000-00000D0B0000}"/>
    <cellStyle name="Currency 3 2 3 2 5 2" xfId="4213" xr:uid="{00000000-0005-0000-0000-00000E0B0000}"/>
    <cellStyle name="Currency 3 2 3 2 5 2 2" xfId="8435" xr:uid="{00000000-0005-0000-0000-00000F0B0000}"/>
    <cellStyle name="Currency 3 2 3 2 5 3" xfId="6290" xr:uid="{00000000-0005-0000-0000-0000100B0000}"/>
    <cellStyle name="Currency 3 2 3 2 6" xfId="2419" xr:uid="{00000000-0005-0000-0000-0000110B0000}"/>
    <cellStyle name="Currency 3 2 3 2 6 2" xfId="6703" xr:uid="{00000000-0005-0000-0000-0000120B0000}"/>
    <cellStyle name="Currency 3 2 3 2 7" xfId="2716" xr:uid="{00000000-0005-0000-0000-0000130B0000}"/>
    <cellStyle name="Currency 3 2 3 2 8" xfId="2797" xr:uid="{00000000-0005-0000-0000-0000140B0000}"/>
    <cellStyle name="Currency 3 2 3 2 8 2" xfId="7020" xr:uid="{00000000-0005-0000-0000-0000150B0000}"/>
    <cellStyle name="Currency 3 2 3 2 9" xfId="4637" xr:uid="{00000000-0005-0000-0000-0000160B0000}"/>
    <cellStyle name="Currency 3 2 3 3" xfId="712" xr:uid="{00000000-0005-0000-0000-0000170B0000}"/>
    <cellStyle name="Currency 3 2 3 3 2" xfId="2973" xr:uid="{00000000-0005-0000-0000-0000180B0000}"/>
    <cellStyle name="Currency 3 2 3 3 2 2" xfId="7195" xr:uid="{00000000-0005-0000-0000-0000190B0000}"/>
    <cellStyle name="Currency 3 2 3 3 3" xfId="5050" xr:uid="{00000000-0005-0000-0000-00001A0B0000}"/>
    <cellStyle name="Currency 3 2 3 4" xfId="1155" xr:uid="{00000000-0005-0000-0000-00001B0B0000}"/>
    <cellStyle name="Currency 3 2 3 4 2" xfId="3386" xr:uid="{00000000-0005-0000-0000-00001C0B0000}"/>
    <cellStyle name="Currency 3 2 3 4 2 2" xfId="7608" xr:uid="{00000000-0005-0000-0000-00001D0B0000}"/>
    <cellStyle name="Currency 3 2 3 4 3" xfId="5463" xr:uid="{00000000-0005-0000-0000-00001E0B0000}"/>
    <cellStyle name="Currency 3 2 3 5" xfId="1569" xr:uid="{00000000-0005-0000-0000-00001F0B0000}"/>
    <cellStyle name="Currency 3 2 3 5 2" xfId="3799" xr:uid="{00000000-0005-0000-0000-0000200B0000}"/>
    <cellStyle name="Currency 3 2 3 5 2 2" xfId="8021" xr:uid="{00000000-0005-0000-0000-0000210B0000}"/>
    <cellStyle name="Currency 3 2 3 5 3" xfId="5876" xr:uid="{00000000-0005-0000-0000-0000220B0000}"/>
    <cellStyle name="Currency 3 2 3 6" xfId="1983" xr:uid="{00000000-0005-0000-0000-0000230B0000}"/>
    <cellStyle name="Currency 3 2 3 6 2" xfId="4212" xr:uid="{00000000-0005-0000-0000-0000240B0000}"/>
    <cellStyle name="Currency 3 2 3 6 2 2" xfId="8434" xr:uid="{00000000-0005-0000-0000-0000250B0000}"/>
    <cellStyle name="Currency 3 2 3 6 3" xfId="6289" xr:uid="{00000000-0005-0000-0000-0000260B0000}"/>
    <cellStyle name="Currency 3 2 3 7" xfId="2418" xr:uid="{00000000-0005-0000-0000-0000270B0000}"/>
    <cellStyle name="Currency 3 2 3 7 2" xfId="6702" xr:uid="{00000000-0005-0000-0000-0000280B0000}"/>
    <cellStyle name="Currency 3 2 3 8" xfId="2715" xr:uid="{00000000-0005-0000-0000-0000290B0000}"/>
    <cellStyle name="Currency 3 2 3 9" xfId="2796" xr:uid="{00000000-0005-0000-0000-00002A0B0000}"/>
    <cellStyle name="Currency 3 2 3 9 2" xfId="7019"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7" xr:uid="{00000000-0005-0000-0000-00002F0B0000}"/>
    <cellStyle name="Currency 3 2 4 2 3" xfId="5052" xr:uid="{00000000-0005-0000-0000-0000300B0000}"/>
    <cellStyle name="Currency 3 2 4 3" xfId="1157" xr:uid="{00000000-0005-0000-0000-0000310B0000}"/>
    <cellStyle name="Currency 3 2 4 3 2" xfId="3388" xr:uid="{00000000-0005-0000-0000-0000320B0000}"/>
    <cellStyle name="Currency 3 2 4 3 2 2" xfId="7610" xr:uid="{00000000-0005-0000-0000-0000330B0000}"/>
    <cellStyle name="Currency 3 2 4 3 3" xfId="5465" xr:uid="{00000000-0005-0000-0000-0000340B0000}"/>
    <cellStyle name="Currency 3 2 4 4" xfId="1571" xr:uid="{00000000-0005-0000-0000-0000350B0000}"/>
    <cellStyle name="Currency 3 2 4 4 2" xfId="3801" xr:uid="{00000000-0005-0000-0000-0000360B0000}"/>
    <cellStyle name="Currency 3 2 4 4 2 2" xfId="8023" xr:uid="{00000000-0005-0000-0000-0000370B0000}"/>
    <cellStyle name="Currency 3 2 4 4 3" xfId="5878" xr:uid="{00000000-0005-0000-0000-0000380B0000}"/>
    <cellStyle name="Currency 3 2 4 5" xfId="1985" xr:uid="{00000000-0005-0000-0000-0000390B0000}"/>
    <cellStyle name="Currency 3 2 4 5 2" xfId="4214" xr:uid="{00000000-0005-0000-0000-00003A0B0000}"/>
    <cellStyle name="Currency 3 2 4 5 2 2" xfId="8436" xr:uid="{00000000-0005-0000-0000-00003B0B0000}"/>
    <cellStyle name="Currency 3 2 4 5 3" xfId="6291" xr:uid="{00000000-0005-0000-0000-00003C0B0000}"/>
    <cellStyle name="Currency 3 2 4 6" xfId="2420" xr:uid="{00000000-0005-0000-0000-00003D0B0000}"/>
    <cellStyle name="Currency 3 2 4 6 2" xfId="6704" xr:uid="{00000000-0005-0000-0000-00003E0B0000}"/>
    <cellStyle name="Currency 3 2 4 7" xfId="2717" xr:uid="{00000000-0005-0000-0000-00003F0B0000}"/>
    <cellStyle name="Currency 3 2 4 8" xfId="2798" xr:uid="{00000000-0005-0000-0000-0000400B0000}"/>
    <cellStyle name="Currency 3 2 4 8 2" xfId="7021" xr:uid="{00000000-0005-0000-0000-0000410B0000}"/>
    <cellStyle name="Currency 3 2 4 9" xfId="4638"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8" xr:uid="{00000000-0005-0000-0000-0000460B0000}"/>
    <cellStyle name="Currency 3 2 5 2 3" xfId="5053" xr:uid="{00000000-0005-0000-0000-0000470B0000}"/>
    <cellStyle name="Currency 3 2 5 3" xfId="1158" xr:uid="{00000000-0005-0000-0000-0000480B0000}"/>
    <cellStyle name="Currency 3 2 5 3 2" xfId="3389" xr:uid="{00000000-0005-0000-0000-0000490B0000}"/>
    <cellStyle name="Currency 3 2 5 3 2 2" xfId="7611" xr:uid="{00000000-0005-0000-0000-00004A0B0000}"/>
    <cellStyle name="Currency 3 2 5 3 3" xfId="5466" xr:uid="{00000000-0005-0000-0000-00004B0B0000}"/>
    <cellStyle name="Currency 3 2 5 4" xfId="1572" xr:uid="{00000000-0005-0000-0000-00004C0B0000}"/>
    <cellStyle name="Currency 3 2 5 4 2" xfId="3802" xr:uid="{00000000-0005-0000-0000-00004D0B0000}"/>
    <cellStyle name="Currency 3 2 5 4 2 2" xfId="8024" xr:uid="{00000000-0005-0000-0000-00004E0B0000}"/>
    <cellStyle name="Currency 3 2 5 4 3" xfId="5879" xr:uid="{00000000-0005-0000-0000-00004F0B0000}"/>
    <cellStyle name="Currency 3 2 5 5" xfId="1986" xr:uid="{00000000-0005-0000-0000-0000500B0000}"/>
    <cellStyle name="Currency 3 2 5 5 2" xfId="4215" xr:uid="{00000000-0005-0000-0000-0000510B0000}"/>
    <cellStyle name="Currency 3 2 5 5 2 2" xfId="8437" xr:uid="{00000000-0005-0000-0000-0000520B0000}"/>
    <cellStyle name="Currency 3 2 5 5 3" xfId="6292" xr:uid="{00000000-0005-0000-0000-0000530B0000}"/>
    <cellStyle name="Currency 3 2 5 6" xfId="2421" xr:uid="{00000000-0005-0000-0000-0000540B0000}"/>
    <cellStyle name="Currency 3 2 5 6 2" xfId="6705" xr:uid="{00000000-0005-0000-0000-0000550B0000}"/>
    <cellStyle name="Currency 3 2 5 7" xfId="2718" xr:uid="{00000000-0005-0000-0000-0000560B0000}"/>
    <cellStyle name="Currency 3 2 5 8" xfId="2799" xr:uid="{00000000-0005-0000-0000-0000570B0000}"/>
    <cellStyle name="Currency 3 2 5 8 2" xfId="7022" xr:uid="{00000000-0005-0000-0000-0000580B0000}"/>
    <cellStyle name="Currency 3 2 5 9" xfId="4639"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3" xr:uid="{00000000-0005-0000-0000-00006B0B0000}"/>
    <cellStyle name="Currency 5 2 2 2 11" xfId="4640" xr:uid="{00000000-0005-0000-0000-00006C0B0000}"/>
    <cellStyle name="Currency 5 2 2 2 2" xfId="197" xr:uid="{00000000-0005-0000-0000-00006D0B0000}"/>
    <cellStyle name="Currency 5 2 2 2 2 10" xfId="4641"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1" xr:uid="{00000000-0005-0000-0000-0000720B0000}"/>
    <cellStyle name="Currency 5 2 2 2 2 2 2 3" xfId="5056" xr:uid="{00000000-0005-0000-0000-0000730B0000}"/>
    <cellStyle name="Currency 5 2 2 2 2 2 3" xfId="1161" xr:uid="{00000000-0005-0000-0000-0000740B0000}"/>
    <cellStyle name="Currency 5 2 2 2 2 2 3 2" xfId="3392" xr:uid="{00000000-0005-0000-0000-0000750B0000}"/>
    <cellStyle name="Currency 5 2 2 2 2 2 3 2 2" xfId="7614" xr:uid="{00000000-0005-0000-0000-0000760B0000}"/>
    <cellStyle name="Currency 5 2 2 2 2 2 3 3" xfId="5469" xr:uid="{00000000-0005-0000-0000-0000770B0000}"/>
    <cellStyle name="Currency 5 2 2 2 2 2 4" xfId="1575" xr:uid="{00000000-0005-0000-0000-0000780B0000}"/>
    <cellStyle name="Currency 5 2 2 2 2 2 4 2" xfId="3805" xr:uid="{00000000-0005-0000-0000-0000790B0000}"/>
    <cellStyle name="Currency 5 2 2 2 2 2 4 2 2" xfId="8027" xr:uid="{00000000-0005-0000-0000-00007A0B0000}"/>
    <cellStyle name="Currency 5 2 2 2 2 2 4 3" xfId="5882" xr:uid="{00000000-0005-0000-0000-00007B0B0000}"/>
    <cellStyle name="Currency 5 2 2 2 2 2 5" xfId="1989" xr:uid="{00000000-0005-0000-0000-00007C0B0000}"/>
    <cellStyle name="Currency 5 2 2 2 2 2 5 2" xfId="4218" xr:uid="{00000000-0005-0000-0000-00007D0B0000}"/>
    <cellStyle name="Currency 5 2 2 2 2 2 5 2 2" xfId="8440" xr:uid="{00000000-0005-0000-0000-00007E0B0000}"/>
    <cellStyle name="Currency 5 2 2 2 2 2 5 3" xfId="6295" xr:uid="{00000000-0005-0000-0000-00007F0B0000}"/>
    <cellStyle name="Currency 5 2 2 2 2 2 6" xfId="2424" xr:uid="{00000000-0005-0000-0000-0000800B0000}"/>
    <cellStyle name="Currency 5 2 2 2 2 2 6 2" xfId="6708" xr:uid="{00000000-0005-0000-0000-0000810B0000}"/>
    <cellStyle name="Currency 5 2 2 2 2 2 7" xfId="2721" xr:uid="{00000000-0005-0000-0000-0000820B0000}"/>
    <cellStyle name="Currency 5 2 2 2 2 2 8" xfId="2802" xr:uid="{00000000-0005-0000-0000-0000830B0000}"/>
    <cellStyle name="Currency 5 2 2 2 2 2 8 2" xfId="7025" xr:uid="{00000000-0005-0000-0000-0000840B0000}"/>
    <cellStyle name="Currency 5 2 2 2 2 2 9" xfId="4642" xr:uid="{00000000-0005-0000-0000-0000850B0000}"/>
    <cellStyle name="Currency 5 2 2 2 2 3" xfId="724" xr:uid="{00000000-0005-0000-0000-0000860B0000}"/>
    <cellStyle name="Currency 5 2 2 2 2 3 2" xfId="2978" xr:uid="{00000000-0005-0000-0000-0000870B0000}"/>
    <cellStyle name="Currency 5 2 2 2 2 3 2 2" xfId="7200" xr:uid="{00000000-0005-0000-0000-0000880B0000}"/>
    <cellStyle name="Currency 5 2 2 2 2 3 3" xfId="5055" xr:uid="{00000000-0005-0000-0000-0000890B0000}"/>
    <cellStyle name="Currency 5 2 2 2 2 4" xfId="1160" xr:uid="{00000000-0005-0000-0000-00008A0B0000}"/>
    <cellStyle name="Currency 5 2 2 2 2 4 2" xfId="3391" xr:uid="{00000000-0005-0000-0000-00008B0B0000}"/>
    <cellStyle name="Currency 5 2 2 2 2 4 2 2" xfId="7613" xr:uid="{00000000-0005-0000-0000-00008C0B0000}"/>
    <cellStyle name="Currency 5 2 2 2 2 4 3" xfId="5468" xr:uid="{00000000-0005-0000-0000-00008D0B0000}"/>
    <cellStyle name="Currency 5 2 2 2 2 5" xfId="1574" xr:uid="{00000000-0005-0000-0000-00008E0B0000}"/>
    <cellStyle name="Currency 5 2 2 2 2 5 2" xfId="3804" xr:uid="{00000000-0005-0000-0000-00008F0B0000}"/>
    <cellStyle name="Currency 5 2 2 2 2 5 2 2" xfId="8026" xr:uid="{00000000-0005-0000-0000-0000900B0000}"/>
    <cellStyle name="Currency 5 2 2 2 2 5 3" xfId="5881" xr:uid="{00000000-0005-0000-0000-0000910B0000}"/>
    <cellStyle name="Currency 5 2 2 2 2 6" xfId="1988" xr:uid="{00000000-0005-0000-0000-0000920B0000}"/>
    <cellStyle name="Currency 5 2 2 2 2 6 2" xfId="4217" xr:uid="{00000000-0005-0000-0000-0000930B0000}"/>
    <cellStyle name="Currency 5 2 2 2 2 6 2 2" xfId="8439" xr:uid="{00000000-0005-0000-0000-0000940B0000}"/>
    <cellStyle name="Currency 5 2 2 2 2 6 3" xfId="6294" xr:uid="{00000000-0005-0000-0000-0000950B0000}"/>
    <cellStyle name="Currency 5 2 2 2 2 7" xfId="2423" xr:uid="{00000000-0005-0000-0000-0000960B0000}"/>
    <cellStyle name="Currency 5 2 2 2 2 7 2" xfId="6707" xr:uid="{00000000-0005-0000-0000-0000970B0000}"/>
    <cellStyle name="Currency 5 2 2 2 2 8" xfId="2720" xr:uid="{00000000-0005-0000-0000-0000980B0000}"/>
    <cellStyle name="Currency 5 2 2 2 2 9" xfId="2801" xr:uid="{00000000-0005-0000-0000-0000990B0000}"/>
    <cellStyle name="Currency 5 2 2 2 2 9 2" xfId="7024"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2" xr:uid="{00000000-0005-0000-0000-00009E0B0000}"/>
    <cellStyle name="Currency 5 2 2 2 3 2 3" xfId="5057" xr:uid="{00000000-0005-0000-0000-00009F0B0000}"/>
    <cellStyle name="Currency 5 2 2 2 3 3" xfId="1162" xr:uid="{00000000-0005-0000-0000-0000A00B0000}"/>
    <cellStyle name="Currency 5 2 2 2 3 3 2" xfId="3393" xr:uid="{00000000-0005-0000-0000-0000A10B0000}"/>
    <cellStyle name="Currency 5 2 2 2 3 3 2 2" xfId="7615" xr:uid="{00000000-0005-0000-0000-0000A20B0000}"/>
    <cellStyle name="Currency 5 2 2 2 3 3 3" xfId="5470" xr:uid="{00000000-0005-0000-0000-0000A30B0000}"/>
    <cellStyle name="Currency 5 2 2 2 3 4" xfId="1576" xr:uid="{00000000-0005-0000-0000-0000A40B0000}"/>
    <cellStyle name="Currency 5 2 2 2 3 4 2" xfId="3806" xr:uid="{00000000-0005-0000-0000-0000A50B0000}"/>
    <cellStyle name="Currency 5 2 2 2 3 4 2 2" xfId="8028" xr:uid="{00000000-0005-0000-0000-0000A60B0000}"/>
    <cellStyle name="Currency 5 2 2 2 3 4 3" xfId="5883" xr:uid="{00000000-0005-0000-0000-0000A70B0000}"/>
    <cellStyle name="Currency 5 2 2 2 3 5" xfId="1990" xr:uid="{00000000-0005-0000-0000-0000A80B0000}"/>
    <cellStyle name="Currency 5 2 2 2 3 5 2" xfId="4219" xr:uid="{00000000-0005-0000-0000-0000A90B0000}"/>
    <cellStyle name="Currency 5 2 2 2 3 5 2 2" xfId="8441" xr:uid="{00000000-0005-0000-0000-0000AA0B0000}"/>
    <cellStyle name="Currency 5 2 2 2 3 5 3" xfId="6296" xr:uid="{00000000-0005-0000-0000-0000AB0B0000}"/>
    <cellStyle name="Currency 5 2 2 2 3 6" xfId="2425" xr:uid="{00000000-0005-0000-0000-0000AC0B0000}"/>
    <cellStyle name="Currency 5 2 2 2 3 6 2" xfId="6709" xr:uid="{00000000-0005-0000-0000-0000AD0B0000}"/>
    <cellStyle name="Currency 5 2 2 2 3 7" xfId="2722" xr:uid="{00000000-0005-0000-0000-0000AE0B0000}"/>
    <cellStyle name="Currency 5 2 2 2 3 8" xfId="2803" xr:uid="{00000000-0005-0000-0000-0000AF0B0000}"/>
    <cellStyle name="Currency 5 2 2 2 3 8 2" xfId="7026" xr:uid="{00000000-0005-0000-0000-0000B00B0000}"/>
    <cellStyle name="Currency 5 2 2 2 3 9" xfId="4643" xr:uid="{00000000-0005-0000-0000-0000B10B0000}"/>
    <cellStyle name="Currency 5 2 2 2 4" xfId="723" xr:uid="{00000000-0005-0000-0000-0000B20B0000}"/>
    <cellStyle name="Currency 5 2 2 2 4 2" xfId="2977" xr:uid="{00000000-0005-0000-0000-0000B30B0000}"/>
    <cellStyle name="Currency 5 2 2 2 4 2 2" xfId="7199" xr:uid="{00000000-0005-0000-0000-0000B40B0000}"/>
    <cellStyle name="Currency 5 2 2 2 4 3" xfId="5054" xr:uid="{00000000-0005-0000-0000-0000B50B0000}"/>
    <cellStyle name="Currency 5 2 2 2 5" xfId="1159" xr:uid="{00000000-0005-0000-0000-0000B60B0000}"/>
    <cellStyle name="Currency 5 2 2 2 5 2" xfId="3390" xr:uid="{00000000-0005-0000-0000-0000B70B0000}"/>
    <cellStyle name="Currency 5 2 2 2 5 2 2" xfId="7612" xr:uid="{00000000-0005-0000-0000-0000B80B0000}"/>
    <cellStyle name="Currency 5 2 2 2 5 3" xfId="5467" xr:uid="{00000000-0005-0000-0000-0000B90B0000}"/>
    <cellStyle name="Currency 5 2 2 2 6" xfId="1573" xr:uid="{00000000-0005-0000-0000-0000BA0B0000}"/>
    <cellStyle name="Currency 5 2 2 2 6 2" xfId="3803" xr:uid="{00000000-0005-0000-0000-0000BB0B0000}"/>
    <cellStyle name="Currency 5 2 2 2 6 2 2" xfId="8025" xr:uid="{00000000-0005-0000-0000-0000BC0B0000}"/>
    <cellStyle name="Currency 5 2 2 2 6 3" xfId="5880" xr:uid="{00000000-0005-0000-0000-0000BD0B0000}"/>
    <cellStyle name="Currency 5 2 2 2 7" xfId="1987" xr:uid="{00000000-0005-0000-0000-0000BE0B0000}"/>
    <cellStyle name="Currency 5 2 2 2 7 2" xfId="4216" xr:uid="{00000000-0005-0000-0000-0000BF0B0000}"/>
    <cellStyle name="Currency 5 2 2 2 7 2 2" xfId="8438" xr:uid="{00000000-0005-0000-0000-0000C00B0000}"/>
    <cellStyle name="Currency 5 2 2 2 7 3" xfId="6293" xr:uid="{00000000-0005-0000-0000-0000C10B0000}"/>
    <cellStyle name="Currency 5 2 2 2 8" xfId="2422" xr:uid="{00000000-0005-0000-0000-0000C20B0000}"/>
    <cellStyle name="Currency 5 2 2 2 8 2" xfId="6706" xr:uid="{00000000-0005-0000-0000-0000C30B0000}"/>
    <cellStyle name="Currency 5 2 2 2 9" xfId="2719" xr:uid="{00000000-0005-0000-0000-0000C40B0000}"/>
    <cellStyle name="Currency 5 2 2 3" xfId="200" xr:uid="{00000000-0005-0000-0000-0000C50B0000}"/>
    <cellStyle name="Currency 5 2 2 3 10" xfId="4644"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4" xr:uid="{00000000-0005-0000-0000-0000CA0B0000}"/>
    <cellStyle name="Currency 5 2 2 3 2 2 3" xfId="5059" xr:uid="{00000000-0005-0000-0000-0000CB0B0000}"/>
    <cellStyle name="Currency 5 2 2 3 2 3" xfId="1164" xr:uid="{00000000-0005-0000-0000-0000CC0B0000}"/>
    <cellStyle name="Currency 5 2 2 3 2 3 2" xfId="3395" xr:uid="{00000000-0005-0000-0000-0000CD0B0000}"/>
    <cellStyle name="Currency 5 2 2 3 2 3 2 2" xfId="7617" xr:uid="{00000000-0005-0000-0000-0000CE0B0000}"/>
    <cellStyle name="Currency 5 2 2 3 2 3 3" xfId="5472" xr:uid="{00000000-0005-0000-0000-0000CF0B0000}"/>
    <cellStyle name="Currency 5 2 2 3 2 4" xfId="1578" xr:uid="{00000000-0005-0000-0000-0000D00B0000}"/>
    <cellStyle name="Currency 5 2 2 3 2 4 2" xfId="3808" xr:uid="{00000000-0005-0000-0000-0000D10B0000}"/>
    <cellStyle name="Currency 5 2 2 3 2 4 2 2" xfId="8030" xr:uid="{00000000-0005-0000-0000-0000D20B0000}"/>
    <cellStyle name="Currency 5 2 2 3 2 4 3" xfId="5885" xr:uid="{00000000-0005-0000-0000-0000D30B0000}"/>
    <cellStyle name="Currency 5 2 2 3 2 5" xfId="1992" xr:uid="{00000000-0005-0000-0000-0000D40B0000}"/>
    <cellStyle name="Currency 5 2 2 3 2 5 2" xfId="4221" xr:uid="{00000000-0005-0000-0000-0000D50B0000}"/>
    <cellStyle name="Currency 5 2 2 3 2 5 2 2" xfId="8443" xr:uid="{00000000-0005-0000-0000-0000D60B0000}"/>
    <cellStyle name="Currency 5 2 2 3 2 5 3" xfId="6298" xr:uid="{00000000-0005-0000-0000-0000D70B0000}"/>
    <cellStyle name="Currency 5 2 2 3 2 6" xfId="2427" xr:uid="{00000000-0005-0000-0000-0000D80B0000}"/>
    <cellStyle name="Currency 5 2 2 3 2 6 2" xfId="6711" xr:uid="{00000000-0005-0000-0000-0000D90B0000}"/>
    <cellStyle name="Currency 5 2 2 3 2 7" xfId="2724" xr:uid="{00000000-0005-0000-0000-0000DA0B0000}"/>
    <cellStyle name="Currency 5 2 2 3 2 8" xfId="2805" xr:uid="{00000000-0005-0000-0000-0000DB0B0000}"/>
    <cellStyle name="Currency 5 2 2 3 2 8 2" xfId="7028" xr:uid="{00000000-0005-0000-0000-0000DC0B0000}"/>
    <cellStyle name="Currency 5 2 2 3 2 9" xfId="4645" xr:uid="{00000000-0005-0000-0000-0000DD0B0000}"/>
    <cellStyle name="Currency 5 2 2 3 3" xfId="727" xr:uid="{00000000-0005-0000-0000-0000DE0B0000}"/>
    <cellStyle name="Currency 5 2 2 3 3 2" xfId="2981" xr:uid="{00000000-0005-0000-0000-0000DF0B0000}"/>
    <cellStyle name="Currency 5 2 2 3 3 2 2" xfId="7203" xr:uid="{00000000-0005-0000-0000-0000E00B0000}"/>
    <cellStyle name="Currency 5 2 2 3 3 3" xfId="5058" xr:uid="{00000000-0005-0000-0000-0000E10B0000}"/>
    <cellStyle name="Currency 5 2 2 3 4" xfId="1163" xr:uid="{00000000-0005-0000-0000-0000E20B0000}"/>
    <cellStyle name="Currency 5 2 2 3 4 2" xfId="3394" xr:uid="{00000000-0005-0000-0000-0000E30B0000}"/>
    <cellStyle name="Currency 5 2 2 3 4 2 2" xfId="7616" xr:uid="{00000000-0005-0000-0000-0000E40B0000}"/>
    <cellStyle name="Currency 5 2 2 3 4 3" xfId="5471" xr:uid="{00000000-0005-0000-0000-0000E50B0000}"/>
    <cellStyle name="Currency 5 2 2 3 5" xfId="1577" xr:uid="{00000000-0005-0000-0000-0000E60B0000}"/>
    <cellStyle name="Currency 5 2 2 3 5 2" xfId="3807" xr:uid="{00000000-0005-0000-0000-0000E70B0000}"/>
    <cellStyle name="Currency 5 2 2 3 5 2 2" xfId="8029" xr:uid="{00000000-0005-0000-0000-0000E80B0000}"/>
    <cellStyle name="Currency 5 2 2 3 5 3" xfId="5884" xr:uid="{00000000-0005-0000-0000-0000E90B0000}"/>
    <cellStyle name="Currency 5 2 2 3 6" xfId="1991" xr:uid="{00000000-0005-0000-0000-0000EA0B0000}"/>
    <cellStyle name="Currency 5 2 2 3 6 2" xfId="4220" xr:uid="{00000000-0005-0000-0000-0000EB0B0000}"/>
    <cellStyle name="Currency 5 2 2 3 6 2 2" xfId="8442" xr:uid="{00000000-0005-0000-0000-0000EC0B0000}"/>
    <cellStyle name="Currency 5 2 2 3 6 3" xfId="6297" xr:uid="{00000000-0005-0000-0000-0000ED0B0000}"/>
    <cellStyle name="Currency 5 2 2 3 7" xfId="2426" xr:uid="{00000000-0005-0000-0000-0000EE0B0000}"/>
    <cellStyle name="Currency 5 2 2 3 7 2" xfId="6710" xr:uid="{00000000-0005-0000-0000-0000EF0B0000}"/>
    <cellStyle name="Currency 5 2 2 3 8" xfId="2723" xr:uid="{00000000-0005-0000-0000-0000F00B0000}"/>
    <cellStyle name="Currency 5 2 2 3 9" xfId="2804" xr:uid="{00000000-0005-0000-0000-0000F10B0000}"/>
    <cellStyle name="Currency 5 2 2 3 9 2" xfId="7027"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5" xr:uid="{00000000-0005-0000-0000-0000F60B0000}"/>
    <cellStyle name="Currency 5 2 2 4 2 3" xfId="5060" xr:uid="{00000000-0005-0000-0000-0000F70B0000}"/>
    <cellStyle name="Currency 5 2 2 4 3" xfId="1165" xr:uid="{00000000-0005-0000-0000-0000F80B0000}"/>
    <cellStyle name="Currency 5 2 2 4 3 2" xfId="3396" xr:uid="{00000000-0005-0000-0000-0000F90B0000}"/>
    <cellStyle name="Currency 5 2 2 4 3 2 2" xfId="7618" xr:uid="{00000000-0005-0000-0000-0000FA0B0000}"/>
    <cellStyle name="Currency 5 2 2 4 3 3" xfId="5473" xr:uid="{00000000-0005-0000-0000-0000FB0B0000}"/>
    <cellStyle name="Currency 5 2 2 4 4" xfId="1579" xr:uid="{00000000-0005-0000-0000-0000FC0B0000}"/>
    <cellStyle name="Currency 5 2 2 4 4 2" xfId="3809" xr:uid="{00000000-0005-0000-0000-0000FD0B0000}"/>
    <cellStyle name="Currency 5 2 2 4 4 2 2" xfId="8031" xr:uid="{00000000-0005-0000-0000-0000FE0B0000}"/>
    <cellStyle name="Currency 5 2 2 4 4 3" xfId="5886" xr:uid="{00000000-0005-0000-0000-0000FF0B0000}"/>
    <cellStyle name="Currency 5 2 2 4 5" xfId="1993" xr:uid="{00000000-0005-0000-0000-0000000C0000}"/>
    <cellStyle name="Currency 5 2 2 4 5 2" xfId="4222" xr:uid="{00000000-0005-0000-0000-0000010C0000}"/>
    <cellStyle name="Currency 5 2 2 4 5 2 2" xfId="8444" xr:uid="{00000000-0005-0000-0000-0000020C0000}"/>
    <cellStyle name="Currency 5 2 2 4 5 3" xfId="6299" xr:uid="{00000000-0005-0000-0000-0000030C0000}"/>
    <cellStyle name="Currency 5 2 2 4 6" xfId="2428" xr:uid="{00000000-0005-0000-0000-0000040C0000}"/>
    <cellStyle name="Currency 5 2 2 4 6 2" xfId="6712" xr:uid="{00000000-0005-0000-0000-0000050C0000}"/>
    <cellStyle name="Currency 5 2 2 4 7" xfId="2725" xr:uid="{00000000-0005-0000-0000-0000060C0000}"/>
    <cellStyle name="Currency 5 2 2 4 8" xfId="2806" xr:uid="{00000000-0005-0000-0000-0000070C0000}"/>
    <cellStyle name="Currency 5 2 2 4 8 2" xfId="7029" xr:uid="{00000000-0005-0000-0000-0000080C0000}"/>
    <cellStyle name="Currency 5 2 2 4 9" xfId="4646"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6" xr:uid="{00000000-0005-0000-0000-00000D0C0000}"/>
    <cellStyle name="Currency 5 2 2 5 2 3" xfId="5061" xr:uid="{00000000-0005-0000-0000-00000E0C0000}"/>
    <cellStyle name="Currency 5 2 2 5 3" xfId="1166" xr:uid="{00000000-0005-0000-0000-00000F0C0000}"/>
    <cellStyle name="Currency 5 2 2 5 3 2" xfId="3397" xr:uid="{00000000-0005-0000-0000-0000100C0000}"/>
    <cellStyle name="Currency 5 2 2 5 3 2 2" xfId="7619" xr:uid="{00000000-0005-0000-0000-0000110C0000}"/>
    <cellStyle name="Currency 5 2 2 5 3 3" xfId="5474" xr:uid="{00000000-0005-0000-0000-0000120C0000}"/>
    <cellStyle name="Currency 5 2 2 5 4" xfId="1580" xr:uid="{00000000-0005-0000-0000-0000130C0000}"/>
    <cellStyle name="Currency 5 2 2 5 4 2" xfId="3810" xr:uid="{00000000-0005-0000-0000-0000140C0000}"/>
    <cellStyle name="Currency 5 2 2 5 4 2 2" xfId="8032" xr:uid="{00000000-0005-0000-0000-0000150C0000}"/>
    <cellStyle name="Currency 5 2 2 5 4 3" xfId="5887" xr:uid="{00000000-0005-0000-0000-0000160C0000}"/>
    <cellStyle name="Currency 5 2 2 5 5" xfId="1994" xr:uid="{00000000-0005-0000-0000-0000170C0000}"/>
    <cellStyle name="Currency 5 2 2 5 5 2" xfId="4223" xr:uid="{00000000-0005-0000-0000-0000180C0000}"/>
    <cellStyle name="Currency 5 2 2 5 5 2 2" xfId="8445" xr:uid="{00000000-0005-0000-0000-0000190C0000}"/>
    <cellStyle name="Currency 5 2 2 5 5 3" xfId="6300" xr:uid="{00000000-0005-0000-0000-00001A0C0000}"/>
    <cellStyle name="Currency 5 2 2 5 6" xfId="2429" xr:uid="{00000000-0005-0000-0000-00001B0C0000}"/>
    <cellStyle name="Currency 5 2 2 5 6 2" xfId="6713" xr:uid="{00000000-0005-0000-0000-00001C0C0000}"/>
    <cellStyle name="Currency 5 2 2 5 7" xfId="2726" xr:uid="{00000000-0005-0000-0000-00001D0C0000}"/>
    <cellStyle name="Currency 5 2 2 5 8" xfId="2807" xr:uid="{00000000-0005-0000-0000-00001E0C0000}"/>
    <cellStyle name="Currency 5 2 2 5 8 2" xfId="7030" xr:uid="{00000000-0005-0000-0000-00001F0C0000}"/>
    <cellStyle name="Currency 5 2 2 5 9" xfId="4647"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8"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8" xr:uid="{00000000-0005-0000-0000-0000280C0000}"/>
    <cellStyle name="Currency 5 2 4 2 2 3" xfId="5063" xr:uid="{00000000-0005-0000-0000-0000290C0000}"/>
    <cellStyle name="Currency 5 2 4 2 3" xfId="1168" xr:uid="{00000000-0005-0000-0000-00002A0C0000}"/>
    <cellStyle name="Currency 5 2 4 2 3 2" xfId="3399" xr:uid="{00000000-0005-0000-0000-00002B0C0000}"/>
    <cellStyle name="Currency 5 2 4 2 3 2 2" xfId="7621" xr:uid="{00000000-0005-0000-0000-00002C0C0000}"/>
    <cellStyle name="Currency 5 2 4 2 3 3" xfId="5476" xr:uid="{00000000-0005-0000-0000-00002D0C0000}"/>
    <cellStyle name="Currency 5 2 4 2 4" xfId="1582" xr:uid="{00000000-0005-0000-0000-00002E0C0000}"/>
    <cellStyle name="Currency 5 2 4 2 4 2" xfId="3812" xr:uid="{00000000-0005-0000-0000-00002F0C0000}"/>
    <cellStyle name="Currency 5 2 4 2 4 2 2" xfId="8034" xr:uid="{00000000-0005-0000-0000-0000300C0000}"/>
    <cellStyle name="Currency 5 2 4 2 4 3" xfId="5889" xr:uid="{00000000-0005-0000-0000-0000310C0000}"/>
    <cellStyle name="Currency 5 2 4 2 5" xfId="1996" xr:uid="{00000000-0005-0000-0000-0000320C0000}"/>
    <cellStyle name="Currency 5 2 4 2 5 2" xfId="4225" xr:uid="{00000000-0005-0000-0000-0000330C0000}"/>
    <cellStyle name="Currency 5 2 4 2 5 2 2" xfId="8447" xr:uid="{00000000-0005-0000-0000-0000340C0000}"/>
    <cellStyle name="Currency 5 2 4 2 5 3" xfId="6302" xr:uid="{00000000-0005-0000-0000-0000350C0000}"/>
    <cellStyle name="Currency 5 2 4 2 6" xfId="2431" xr:uid="{00000000-0005-0000-0000-0000360C0000}"/>
    <cellStyle name="Currency 5 2 4 2 6 2" xfId="6715" xr:uid="{00000000-0005-0000-0000-0000370C0000}"/>
    <cellStyle name="Currency 5 2 4 2 7" xfId="2728" xr:uid="{00000000-0005-0000-0000-0000380C0000}"/>
    <cellStyle name="Currency 5 2 4 2 8" xfId="2809" xr:uid="{00000000-0005-0000-0000-0000390C0000}"/>
    <cellStyle name="Currency 5 2 4 2 8 2" xfId="7032" xr:uid="{00000000-0005-0000-0000-00003A0C0000}"/>
    <cellStyle name="Currency 5 2 4 2 9" xfId="4649" xr:uid="{00000000-0005-0000-0000-00003B0C0000}"/>
    <cellStyle name="Currency 5 2 4 3" xfId="732" xr:uid="{00000000-0005-0000-0000-00003C0C0000}"/>
    <cellStyle name="Currency 5 2 4 3 2" xfId="2985" xr:uid="{00000000-0005-0000-0000-00003D0C0000}"/>
    <cellStyle name="Currency 5 2 4 3 2 2" xfId="7207" xr:uid="{00000000-0005-0000-0000-00003E0C0000}"/>
    <cellStyle name="Currency 5 2 4 3 3" xfId="5062" xr:uid="{00000000-0005-0000-0000-00003F0C0000}"/>
    <cellStyle name="Currency 5 2 4 4" xfId="1167" xr:uid="{00000000-0005-0000-0000-0000400C0000}"/>
    <cellStyle name="Currency 5 2 4 4 2" xfId="3398" xr:uid="{00000000-0005-0000-0000-0000410C0000}"/>
    <cellStyle name="Currency 5 2 4 4 2 2" xfId="7620" xr:uid="{00000000-0005-0000-0000-0000420C0000}"/>
    <cellStyle name="Currency 5 2 4 4 3" xfId="5475" xr:uid="{00000000-0005-0000-0000-0000430C0000}"/>
    <cellStyle name="Currency 5 2 4 5" xfId="1581" xr:uid="{00000000-0005-0000-0000-0000440C0000}"/>
    <cellStyle name="Currency 5 2 4 5 2" xfId="3811" xr:uid="{00000000-0005-0000-0000-0000450C0000}"/>
    <cellStyle name="Currency 5 2 4 5 2 2" xfId="8033" xr:uid="{00000000-0005-0000-0000-0000460C0000}"/>
    <cellStyle name="Currency 5 2 4 5 3" xfId="5888" xr:uid="{00000000-0005-0000-0000-0000470C0000}"/>
    <cellStyle name="Currency 5 2 4 6" xfId="1995" xr:uid="{00000000-0005-0000-0000-0000480C0000}"/>
    <cellStyle name="Currency 5 2 4 6 2" xfId="4224" xr:uid="{00000000-0005-0000-0000-0000490C0000}"/>
    <cellStyle name="Currency 5 2 4 6 2 2" xfId="8446" xr:uid="{00000000-0005-0000-0000-00004A0C0000}"/>
    <cellStyle name="Currency 5 2 4 6 3" xfId="6301" xr:uid="{00000000-0005-0000-0000-00004B0C0000}"/>
    <cellStyle name="Currency 5 2 4 7" xfId="2430" xr:uid="{00000000-0005-0000-0000-00004C0C0000}"/>
    <cellStyle name="Currency 5 2 4 7 2" xfId="6714" xr:uid="{00000000-0005-0000-0000-00004D0C0000}"/>
    <cellStyle name="Currency 5 2 4 8" xfId="2727" xr:uid="{00000000-0005-0000-0000-00004E0C0000}"/>
    <cellStyle name="Currency 5 2 4 9" xfId="2808" xr:uid="{00000000-0005-0000-0000-00004F0C0000}"/>
    <cellStyle name="Currency 5 2 4 9 2" xfId="7031"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09" xr:uid="{00000000-0005-0000-0000-0000540C0000}"/>
    <cellStyle name="Currency 5 2 5 2 3" xfId="5064" xr:uid="{00000000-0005-0000-0000-0000550C0000}"/>
    <cellStyle name="Currency 5 2 5 3" xfId="1169" xr:uid="{00000000-0005-0000-0000-0000560C0000}"/>
    <cellStyle name="Currency 5 2 5 3 2" xfId="3400" xr:uid="{00000000-0005-0000-0000-0000570C0000}"/>
    <cellStyle name="Currency 5 2 5 3 2 2" xfId="7622" xr:uid="{00000000-0005-0000-0000-0000580C0000}"/>
    <cellStyle name="Currency 5 2 5 3 3" xfId="5477" xr:uid="{00000000-0005-0000-0000-0000590C0000}"/>
    <cellStyle name="Currency 5 2 5 4" xfId="1583" xr:uid="{00000000-0005-0000-0000-00005A0C0000}"/>
    <cellStyle name="Currency 5 2 5 4 2" xfId="3813" xr:uid="{00000000-0005-0000-0000-00005B0C0000}"/>
    <cellStyle name="Currency 5 2 5 4 2 2" xfId="8035" xr:uid="{00000000-0005-0000-0000-00005C0C0000}"/>
    <cellStyle name="Currency 5 2 5 4 3" xfId="5890" xr:uid="{00000000-0005-0000-0000-00005D0C0000}"/>
    <cellStyle name="Currency 5 2 5 5" xfId="1997" xr:uid="{00000000-0005-0000-0000-00005E0C0000}"/>
    <cellStyle name="Currency 5 2 5 5 2" xfId="4226" xr:uid="{00000000-0005-0000-0000-00005F0C0000}"/>
    <cellStyle name="Currency 5 2 5 5 2 2" xfId="8448" xr:uid="{00000000-0005-0000-0000-0000600C0000}"/>
    <cellStyle name="Currency 5 2 5 5 3" xfId="6303" xr:uid="{00000000-0005-0000-0000-0000610C0000}"/>
    <cellStyle name="Currency 5 2 5 6" xfId="2432" xr:uid="{00000000-0005-0000-0000-0000620C0000}"/>
    <cellStyle name="Currency 5 2 5 6 2" xfId="6716" xr:uid="{00000000-0005-0000-0000-0000630C0000}"/>
    <cellStyle name="Currency 5 2 5 7" xfId="2729" xr:uid="{00000000-0005-0000-0000-0000640C0000}"/>
    <cellStyle name="Currency 5 2 5 8" xfId="2810" xr:uid="{00000000-0005-0000-0000-0000650C0000}"/>
    <cellStyle name="Currency 5 2 5 8 2" xfId="7033" xr:uid="{00000000-0005-0000-0000-0000660C0000}"/>
    <cellStyle name="Currency 5 2 5 9" xfId="4650"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0" xr:uid="{00000000-0005-0000-0000-00006B0C0000}"/>
    <cellStyle name="Currency 5 2 6 2 3" xfId="5065" xr:uid="{00000000-0005-0000-0000-00006C0C0000}"/>
    <cellStyle name="Currency 5 2 6 3" xfId="1170" xr:uid="{00000000-0005-0000-0000-00006D0C0000}"/>
    <cellStyle name="Currency 5 2 6 3 2" xfId="3401" xr:uid="{00000000-0005-0000-0000-00006E0C0000}"/>
    <cellStyle name="Currency 5 2 6 3 2 2" xfId="7623" xr:uid="{00000000-0005-0000-0000-00006F0C0000}"/>
    <cellStyle name="Currency 5 2 6 3 3" xfId="5478" xr:uid="{00000000-0005-0000-0000-0000700C0000}"/>
    <cellStyle name="Currency 5 2 6 4" xfId="1584" xr:uid="{00000000-0005-0000-0000-0000710C0000}"/>
    <cellStyle name="Currency 5 2 6 4 2" xfId="3814" xr:uid="{00000000-0005-0000-0000-0000720C0000}"/>
    <cellStyle name="Currency 5 2 6 4 2 2" xfId="8036" xr:uid="{00000000-0005-0000-0000-0000730C0000}"/>
    <cellStyle name="Currency 5 2 6 4 3" xfId="5891" xr:uid="{00000000-0005-0000-0000-0000740C0000}"/>
    <cellStyle name="Currency 5 2 6 5" xfId="1998" xr:uid="{00000000-0005-0000-0000-0000750C0000}"/>
    <cellStyle name="Currency 5 2 6 5 2" xfId="4227" xr:uid="{00000000-0005-0000-0000-0000760C0000}"/>
    <cellStyle name="Currency 5 2 6 5 2 2" xfId="8449" xr:uid="{00000000-0005-0000-0000-0000770C0000}"/>
    <cellStyle name="Currency 5 2 6 5 3" xfId="6304" xr:uid="{00000000-0005-0000-0000-0000780C0000}"/>
    <cellStyle name="Currency 5 2 6 6" xfId="2433" xr:uid="{00000000-0005-0000-0000-0000790C0000}"/>
    <cellStyle name="Currency 5 2 6 6 2" xfId="6717" xr:uid="{00000000-0005-0000-0000-00007A0C0000}"/>
    <cellStyle name="Currency 5 2 6 7" xfId="2730" xr:uid="{00000000-0005-0000-0000-00007B0C0000}"/>
    <cellStyle name="Currency 5 2 6 8" xfId="2811" xr:uid="{00000000-0005-0000-0000-00007C0C0000}"/>
    <cellStyle name="Currency 5 2 6 8 2" xfId="7034" xr:uid="{00000000-0005-0000-0000-00007D0C0000}"/>
    <cellStyle name="Currency 5 2 6 9" xfId="4651"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5" xr:uid="{00000000-0005-0000-0000-0000830C0000}"/>
    <cellStyle name="Currency 5 3 2 11" xfId="4652" xr:uid="{00000000-0005-0000-0000-0000840C0000}"/>
    <cellStyle name="Currency 5 3 2 2" xfId="211" xr:uid="{00000000-0005-0000-0000-0000850C0000}"/>
    <cellStyle name="Currency 5 3 2 2 10" xfId="4653"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3" xr:uid="{00000000-0005-0000-0000-00008A0C0000}"/>
    <cellStyle name="Currency 5 3 2 2 2 2 3" xfId="5068" xr:uid="{00000000-0005-0000-0000-00008B0C0000}"/>
    <cellStyle name="Currency 5 3 2 2 2 3" xfId="1173" xr:uid="{00000000-0005-0000-0000-00008C0C0000}"/>
    <cellStyle name="Currency 5 3 2 2 2 3 2" xfId="3404" xr:uid="{00000000-0005-0000-0000-00008D0C0000}"/>
    <cellStyle name="Currency 5 3 2 2 2 3 2 2" xfId="7626" xr:uid="{00000000-0005-0000-0000-00008E0C0000}"/>
    <cellStyle name="Currency 5 3 2 2 2 3 3" xfId="5481" xr:uid="{00000000-0005-0000-0000-00008F0C0000}"/>
    <cellStyle name="Currency 5 3 2 2 2 4" xfId="1587" xr:uid="{00000000-0005-0000-0000-0000900C0000}"/>
    <cellStyle name="Currency 5 3 2 2 2 4 2" xfId="3817" xr:uid="{00000000-0005-0000-0000-0000910C0000}"/>
    <cellStyle name="Currency 5 3 2 2 2 4 2 2" xfId="8039" xr:uid="{00000000-0005-0000-0000-0000920C0000}"/>
    <cellStyle name="Currency 5 3 2 2 2 4 3" xfId="5894" xr:uid="{00000000-0005-0000-0000-0000930C0000}"/>
    <cellStyle name="Currency 5 3 2 2 2 5" xfId="2001" xr:uid="{00000000-0005-0000-0000-0000940C0000}"/>
    <cellStyle name="Currency 5 3 2 2 2 5 2" xfId="4230" xr:uid="{00000000-0005-0000-0000-0000950C0000}"/>
    <cellStyle name="Currency 5 3 2 2 2 5 2 2" xfId="8452" xr:uid="{00000000-0005-0000-0000-0000960C0000}"/>
    <cellStyle name="Currency 5 3 2 2 2 5 3" xfId="6307" xr:uid="{00000000-0005-0000-0000-0000970C0000}"/>
    <cellStyle name="Currency 5 3 2 2 2 6" xfId="2436" xr:uid="{00000000-0005-0000-0000-0000980C0000}"/>
    <cellStyle name="Currency 5 3 2 2 2 6 2" xfId="6720" xr:uid="{00000000-0005-0000-0000-0000990C0000}"/>
    <cellStyle name="Currency 5 3 2 2 2 7" xfId="2733" xr:uid="{00000000-0005-0000-0000-00009A0C0000}"/>
    <cellStyle name="Currency 5 3 2 2 2 8" xfId="2814" xr:uid="{00000000-0005-0000-0000-00009B0C0000}"/>
    <cellStyle name="Currency 5 3 2 2 2 8 2" xfId="7037" xr:uid="{00000000-0005-0000-0000-00009C0C0000}"/>
    <cellStyle name="Currency 5 3 2 2 2 9" xfId="4654" xr:uid="{00000000-0005-0000-0000-00009D0C0000}"/>
    <cellStyle name="Currency 5 3 2 2 3" xfId="737" xr:uid="{00000000-0005-0000-0000-00009E0C0000}"/>
    <cellStyle name="Currency 5 3 2 2 3 2" xfId="2990" xr:uid="{00000000-0005-0000-0000-00009F0C0000}"/>
    <cellStyle name="Currency 5 3 2 2 3 2 2" xfId="7212" xr:uid="{00000000-0005-0000-0000-0000A00C0000}"/>
    <cellStyle name="Currency 5 3 2 2 3 3" xfId="5067" xr:uid="{00000000-0005-0000-0000-0000A10C0000}"/>
    <cellStyle name="Currency 5 3 2 2 4" xfId="1172" xr:uid="{00000000-0005-0000-0000-0000A20C0000}"/>
    <cellStyle name="Currency 5 3 2 2 4 2" xfId="3403" xr:uid="{00000000-0005-0000-0000-0000A30C0000}"/>
    <cellStyle name="Currency 5 3 2 2 4 2 2" xfId="7625" xr:uid="{00000000-0005-0000-0000-0000A40C0000}"/>
    <cellStyle name="Currency 5 3 2 2 4 3" xfId="5480" xr:uid="{00000000-0005-0000-0000-0000A50C0000}"/>
    <cellStyle name="Currency 5 3 2 2 5" xfId="1586" xr:uid="{00000000-0005-0000-0000-0000A60C0000}"/>
    <cellStyle name="Currency 5 3 2 2 5 2" xfId="3816" xr:uid="{00000000-0005-0000-0000-0000A70C0000}"/>
    <cellStyle name="Currency 5 3 2 2 5 2 2" xfId="8038" xr:uid="{00000000-0005-0000-0000-0000A80C0000}"/>
    <cellStyle name="Currency 5 3 2 2 5 3" xfId="5893" xr:uid="{00000000-0005-0000-0000-0000A90C0000}"/>
    <cellStyle name="Currency 5 3 2 2 6" xfId="2000" xr:uid="{00000000-0005-0000-0000-0000AA0C0000}"/>
    <cellStyle name="Currency 5 3 2 2 6 2" xfId="4229" xr:uid="{00000000-0005-0000-0000-0000AB0C0000}"/>
    <cellStyle name="Currency 5 3 2 2 6 2 2" xfId="8451" xr:uid="{00000000-0005-0000-0000-0000AC0C0000}"/>
    <cellStyle name="Currency 5 3 2 2 6 3" xfId="6306" xr:uid="{00000000-0005-0000-0000-0000AD0C0000}"/>
    <cellStyle name="Currency 5 3 2 2 7" xfId="2435" xr:uid="{00000000-0005-0000-0000-0000AE0C0000}"/>
    <cellStyle name="Currency 5 3 2 2 7 2" xfId="6719" xr:uid="{00000000-0005-0000-0000-0000AF0C0000}"/>
    <cellStyle name="Currency 5 3 2 2 8" xfId="2732" xr:uid="{00000000-0005-0000-0000-0000B00C0000}"/>
    <cellStyle name="Currency 5 3 2 2 9" xfId="2813" xr:uid="{00000000-0005-0000-0000-0000B10C0000}"/>
    <cellStyle name="Currency 5 3 2 2 9 2" xfId="7036"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4" xr:uid="{00000000-0005-0000-0000-0000B60C0000}"/>
    <cellStyle name="Currency 5 3 2 3 2 3" xfId="5069" xr:uid="{00000000-0005-0000-0000-0000B70C0000}"/>
    <cellStyle name="Currency 5 3 2 3 3" xfId="1174" xr:uid="{00000000-0005-0000-0000-0000B80C0000}"/>
    <cellStyle name="Currency 5 3 2 3 3 2" xfId="3405" xr:uid="{00000000-0005-0000-0000-0000B90C0000}"/>
    <cellStyle name="Currency 5 3 2 3 3 2 2" xfId="7627" xr:uid="{00000000-0005-0000-0000-0000BA0C0000}"/>
    <cellStyle name="Currency 5 3 2 3 3 3" xfId="5482" xr:uid="{00000000-0005-0000-0000-0000BB0C0000}"/>
    <cellStyle name="Currency 5 3 2 3 4" xfId="1588" xr:uid="{00000000-0005-0000-0000-0000BC0C0000}"/>
    <cellStyle name="Currency 5 3 2 3 4 2" xfId="3818" xr:uid="{00000000-0005-0000-0000-0000BD0C0000}"/>
    <cellStyle name="Currency 5 3 2 3 4 2 2" xfId="8040" xr:uid="{00000000-0005-0000-0000-0000BE0C0000}"/>
    <cellStyle name="Currency 5 3 2 3 4 3" xfId="5895" xr:uid="{00000000-0005-0000-0000-0000BF0C0000}"/>
    <cellStyle name="Currency 5 3 2 3 5" xfId="2002" xr:uid="{00000000-0005-0000-0000-0000C00C0000}"/>
    <cellStyle name="Currency 5 3 2 3 5 2" xfId="4231" xr:uid="{00000000-0005-0000-0000-0000C10C0000}"/>
    <cellStyle name="Currency 5 3 2 3 5 2 2" xfId="8453" xr:uid="{00000000-0005-0000-0000-0000C20C0000}"/>
    <cellStyle name="Currency 5 3 2 3 5 3" xfId="6308" xr:uid="{00000000-0005-0000-0000-0000C30C0000}"/>
    <cellStyle name="Currency 5 3 2 3 6" xfId="2437" xr:uid="{00000000-0005-0000-0000-0000C40C0000}"/>
    <cellStyle name="Currency 5 3 2 3 6 2" xfId="6721" xr:uid="{00000000-0005-0000-0000-0000C50C0000}"/>
    <cellStyle name="Currency 5 3 2 3 7" xfId="2734" xr:uid="{00000000-0005-0000-0000-0000C60C0000}"/>
    <cellStyle name="Currency 5 3 2 3 8" xfId="2815" xr:uid="{00000000-0005-0000-0000-0000C70C0000}"/>
    <cellStyle name="Currency 5 3 2 3 8 2" xfId="7038" xr:uid="{00000000-0005-0000-0000-0000C80C0000}"/>
    <cellStyle name="Currency 5 3 2 3 9" xfId="4655" xr:uid="{00000000-0005-0000-0000-0000C90C0000}"/>
    <cellStyle name="Currency 5 3 2 4" xfId="736" xr:uid="{00000000-0005-0000-0000-0000CA0C0000}"/>
    <cellStyle name="Currency 5 3 2 4 2" xfId="2989" xr:uid="{00000000-0005-0000-0000-0000CB0C0000}"/>
    <cellStyle name="Currency 5 3 2 4 2 2" xfId="7211" xr:uid="{00000000-0005-0000-0000-0000CC0C0000}"/>
    <cellStyle name="Currency 5 3 2 4 3" xfId="5066" xr:uid="{00000000-0005-0000-0000-0000CD0C0000}"/>
    <cellStyle name="Currency 5 3 2 5" xfId="1171" xr:uid="{00000000-0005-0000-0000-0000CE0C0000}"/>
    <cellStyle name="Currency 5 3 2 5 2" xfId="3402" xr:uid="{00000000-0005-0000-0000-0000CF0C0000}"/>
    <cellStyle name="Currency 5 3 2 5 2 2" xfId="7624" xr:uid="{00000000-0005-0000-0000-0000D00C0000}"/>
    <cellStyle name="Currency 5 3 2 5 3" xfId="5479" xr:uid="{00000000-0005-0000-0000-0000D10C0000}"/>
    <cellStyle name="Currency 5 3 2 6" xfId="1585" xr:uid="{00000000-0005-0000-0000-0000D20C0000}"/>
    <cellStyle name="Currency 5 3 2 6 2" xfId="3815" xr:uid="{00000000-0005-0000-0000-0000D30C0000}"/>
    <cellStyle name="Currency 5 3 2 6 2 2" xfId="8037" xr:uid="{00000000-0005-0000-0000-0000D40C0000}"/>
    <cellStyle name="Currency 5 3 2 6 3" xfId="5892" xr:uid="{00000000-0005-0000-0000-0000D50C0000}"/>
    <cellStyle name="Currency 5 3 2 7" xfId="1999" xr:uid="{00000000-0005-0000-0000-0000D60C0000}"/>
    <cellStyle name="Currency 5 3 2 7 2" xfId="4228" xr:uid="{00000000-0005-0000-0000-0000D70C0000}"/>
    <cellStyle name="Currency 5 3 2 7 2 2" xfId="8450" xr:uid="{00000000-0005-0000-0000-0000D80C0000}"/>
    <cellStyle name="Currency 5 3 2 7 3" xfId="6305" xr:uid="{00000000-0005-0000-0000-0000D90C0000}"/>
    <cellStyle name="Currency 5 3 2 8" xfId="2434" xr:uid="{00000000-0005-0000-0000-0000DA0C0000}"/>
    <cellStyle name="Currency 5 3 2 8 2" xfId="6718" xr:uid="{00000000-0005-0000-0000-0000DB0C0000}"/>
    <cellStyle name="Currency 5 3 2 9" xfId="2731" xr:uid="{00000000-0005-0000-0000-0000DC0C0000}"/>
    <cellStyle name="Currency 5 3 3" xfId="214" xr:uid="{00000000-0005-0000-0000-0000DD0C0000}"/>
    <cellStyle name="Currency 5 3 3 10" xfId="4656"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6" xr:uid="{00000000-0005-0000-0000-0000E20C0000}"/>
    <cellStyle name="Currency 5 3 3 2 2 3" xfId="5071" xr:uid="{00000000-0005-0000-0000-0000E30C0000}"/>
    <cellStyle name="Currency 5 3 3 2 3" xfId="1176" xr:uid="{00000000-0005-0000-0000-0000E40C0000}"/>
    <cellStyle name="Currency 5 3 3 2 3 2" xfId="3407" xr:uid="{00000000-0005-0000-0000-0000E50C0000}"/>
    <cellStyle name="Currency 5 3 3 2 3 2 2" xfId="7629" xr:uid="{00000000-0005-0000-0000-0000E60C0000}"/>
    <cellStyle name="Currency 5 3 3 2 3 3" xfId="5484" xr:uid="{00000000-0005-0000-0000-0000E70C0000}"/>
    <cellStyle name="Currency 5 3 3 2 4" xfId="1590" xr:uid="{00000000-0005-0000-0000-0000E80C0000}"/>
    <cellStyle name="Currency 5 3 3 2 4 2" xfId="3820" xr:uid="{00000000-0005-0000-0000-0000E90C0000}"/>
    <cellStyle name="Currency 5 3 3 2 4 2 2" xfId="8042" xr:uid="{00000000-0005-0000-0000-0000EA0C0000}"/>
    <cellStyle name="Currency 5 3 3 2 4 3" xfId="5897" xr:uid="{00000000-0005-0000-0000-0000EB0C0000}"/>
    <cellStyle name="Currency 5 3 3 2 5" xfId="2004" xr:uid="{00000000-0005-0000-0000-0000EC0C0000}"/>
    <cellStyle name="Currency 5 3 3 2 5 2" xfId="4233" xr:uid="{00000000-0005-0000-0000-0000ED0C0000}"/>
    <cellStyle name="Currency 5 3 3 2 5 2 2" xfId="8455" xr:uid="{00000000-0005-0000-0000-0000EE0C0000}"/>
    <cellStyle name="Currency 5 3 3 2 5 3" xfId="6310" xr:uid="{00000000-0005-0000-0000-0000EF0C0000}"/>
    <cellStyle name="Currency 5 3 3 2 6" xfId="2439" xr:uid="{00000000-0005-0000-0000-0000F00C0000}"/>
    <cellStyle name="Currency 5 3 3 2 6 2" xfId="6723" xr:uid="{00000000-0005-0000-0000-0000F10C0000}"/>
    <cellStyle name="Currency 5 3 3 2 7" xfId="2736" xr:uid="{00000000-0005-0000-0000-0000F20C0000}"/>
    <cellStyle name="Currency 5 3 3 2 8" xfId="2817" xr:uid="{00000000-0005-0000-0000-0000F30C0000}"/>
    <cellStyle name="Currency 5 3 3 2 8 2" xfId="7040" xr:uid="{00000000-0005-0000-0000-0000F40C0000}"/>
    <cellStyle name="Currency 5 3 3 2 9" xfId="4657" xr:uid="{00000000-0005-0000-0000-0000F50C0000}"/>
    <cellStyle name="Currency 5 3 3 3" xfId="740" xr:uid="{00000000-0005-0000-0000-0000F60C0000}"/>
    <cellStyle name="Currency 5 3 3 3 2" xfId="2993" xr:uid="{00000000-0005-0000-0000-0000F70C0000}"/>
    <cellStyle name="Currency 5 3 3 3 2 2" xfId="7215" xr:uid="{00000000-0005-0000-0000-0000F80C0000}"/>
    <cellStyle name="Currency 5 3 3 3 3" xfId="5070" xr:uid="{00000000-0005-0000-0000-0000F90C0000}"/>
    <cellStyle name="Currency 5 3 3 4" xfId="1175" xr:uid="{00000000-0005-0000-0000-0000FA0C0000}"/>
    <cellStyle name="Currency 5 3 3 4 2" xfId="3406" xr:uid="{00000000-0005-0000-0000-0000FB0C0000}"/>
    <cellStyle name="Currency 5 3 3 4 2 2" xfId="7628" xr:uid="{00000000-0005-0000-0000-0000FC0C0000}"/>
    <cellStyle name="Currency 5 3 3 4 3" xfId="5483" xr:uid="{00000000-0005-0000-0000-0000FD0C0000}"/>
    <cellStyle name="Currency 5 3 3 5" xfId="1589" xr:uid="{00000000-0005-0000-0000-0000FE0C0000}"/>
    <cellStyle name="Currency 5 3 3 5 2" xfId="3819" xr:uid="{00000000-0005-0000-0000-0000FF0C0000}"/>
    <cellStyle name="Currency 5 3 3 5 2 2" xfId="8041" xr:uid="{00000000-0005-0000-0000-0000000D0000}"/>
    <cellStyle name="Currency 5 3 3 5 3" xfId="5896" xr:uid="{00000000-0005-0000-0000-0000010D0000}"/>
    <cellStyle name="Currency 5 3 3 6" xfId="2003" xr:uid="{00000000-0005-0000-0000-0000020D0000}"/>
    <cellStyle name="Currency 5 3 3 6 2" xfId="4232" xr:uid="{00000000-0005-0000-0000-0000030D0000}"/>
    <cellStyle name="Currency 5 3 3 6 2 2" xfId="8454" xr:uid="{00000000-0005-0000-0000-0000040D0000}"/>
    <cellStyle name="Currency 5 3 3 6 3" xfId="6309" xr:uid="{00000000-0005-0000-0000-0000050D0000}"/>
    <cellStyle name="Currency 5 3 3 7" xfId="2438" xr:uid="{00000000-0005-0000-0000-0000060D0000}"/>
    <cellStyle name="Currency 5 3 3 7 2" xfId="6722" xr:uid="{00000000-0005-0000-0000-0000070D0000}"/>
    <cellStyle name="Currency 5 3 3 8" xfId="2735" xr:uid="{00000000-0005-0000-0000-0000080D0000}"/>
    <cellStyle name="Currency 5 3 3 9" xfId="2816" xr:uid="{00000000-0005-0000-0000-0000090D0000}"/>
    <cellStyle name="Currency 5 3 3 9 2" xfId="7039"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7" xr:uid="{00000000-0005-0000-0000-00000E0D0000}"/>
    <cellStyle name="Currency 5 3 4 2 3" xfId="5072" xr:uid="{00000000-0005-0000-0000-00000F0D0000}"/>
    <cellStyle name="Currency 5 3 4 3" xfId="1177" xr:uid="{00000000-0005-0000-0000-0000100D0000}"/>
    <cellStyle name="Currency 5 3 4 3 2" xfId="3408" xr:uid="{00000000-0005-0000-0000-0000110D0000}"/>
    <cellStyle name="Currency 5 3 4 3 2 2" xfId="7630" xr:uid="{00000000-0005-0000-0000-0000120D0000}"/>
    <cellStyle name="Currency 5 3 4 3 3" xfId="5485" xr:uid="{00000000-0005-0000-0000-0000130D0000}"/>
    <cellStyle name="Currency 5 3 4 4" xfId="1591" xr:uid="{00000000-0005-0000-0000-0000140D0000}"/>
    <cellStyle name="Currency 5 3 4 4 2" xfId="3821" xr:uid="{00000000-0005-0000-0000-0000150D0000}"/>
    <cellStyle name="Currency 5 3 4 4 2 2" xfId="8043" xr:uid="{00000000-0005-0000-0000-0000160D0000}"/>
    <cellStyle name="Currency 5 3 4 4 3" xfId="5898" xr:uid="{00000000-0005-0000-0000-0000170D0000}"/>
    <cellStyle name="Currency 5 3 4 5" xfId="2005" xr:uid="{00000000-0005-0000-0000-0000180D0000}"/>
    <cellStyle name="Currency 5 3 4 5 2" xfId="4234" xr:uid="{00000000-0005-0000-0000-0000190D0000}"/>
    <cellStyle name="Currency 5 3 4 5 2 2" xfId="8456" xr:uid="{00000000-0005-0000-0000-00001A0D0000}"/>
    <cellStyle name="Currency 5 3 4 5 3" xfId="6311" xr:uid="{00000000-0005-0000-0000-00001B0D0000}"/>
    <cellStyle name="Currency 5 3 4 6" xfId="2440" xr:uid="{00000000-0005-0000-0000-00001C0D0000}"/>
    <cellStyle name="Currency 5 3 4 6 2" xfId="6724" xr:uid="{00000000-0005-0000-0000-00001D0D0000}"/>
    <cellStyle name="Currency 5 3 4 7" xfId="2737" xr:uid="{00000000-0005-0000-0000-00001E0D0000}"/>
    <cellStyle name="Currency 5 3 4 8" xfId="2818" xr:uid="{00000000-0005-0000-0000-00001F0D0000}"/>
    <cellStyle name="Currency 5 3 4 8 2" xfId="7041" xr:uid="{00000000-0005-0000-0000-0000200D0000}"/>
    <cellStyle name="Currency 5 3 4 9" xfId="4658"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8" xr:uid="{00000000-0005-0000-0000-0000250D0000}"/>
    <cellStyle name="Currency 5 3 5 2 3" xfId="5073" xr:uid="{00000000-0005-0000-0000-0000260D0000}"/>
    <cellStyle name="Currency 5 3 5 3" xfId="1178" xr:uid="{00000000-0005-0000-0000-0000270D0000}"/>
    <cellStyle name="Currency 5 3 5 3 2" xfId="3409" xr:uid="{00000000-0005-0000-0000-0000280D0000}"/>
    <cellStyle name="Currency 5 3 5 3 2 2" xfId="7631" xr:uid="{00000000-0005-0000-0000-0000290D0000}"/>
    <cellStyle name="Currency 5 3 5 3 3" xfId="5486" xr:uid="{00000000-0005-0000-0000-00002A0D0000}"/>
    <cellStyle name="Currency 5 3 5 4" xfId="1592" xr:uid="{00000000-0005-0000-0000-00002B0D0000}"/>
    <cellStyle name="Currency 5 3 5 4 2" xfId="3822" xr:uid="{00000000-0005-0000-0000-00002C0D0000}"/>
    <cellStyle name="Currency 5 3 5 4 2 2" xfId="8044" xr:uid="{00000000-0005-0000-0000-00002D0D0000}"/>
    <cellStyle name="Currency 5 3 5 4 3" xfId="5899" xr:uid="{00000000-0005-0000-0000-00002E0D0000}"/>
    <cellStyle name="Currency 5 3 5 5" xfId="2006" xr:uid="{00000000-0005-0000-0000-00002F0D0000}"/>
    <cellStyle name="Currency 5 3 5 5 2" xfId="4235" xr:uid="{00000000-0005-0000-0000-0000300D0000}"/>
    <cellStyle name="Currency 5 3 5 5 2 2" xfId="8457" xr:uid="{00000000-0005-0000-0000-0000310D0000}"/>
    <cellStyle name="Currency 5 3 5 5 3" xfId="6312" xr:uid="{00000000-0005-0000-0000-0000320D0000}"/>
    <cellStyle name="Currency 5 3 5 6" xfId="2441" xr:uid="{00000000-0005-0000-0000-0000330D0000}"/>
    <cellStyle name="Currency 5 3 5 6 2" xfId="6725" xr:uid="{00000000-0005-0000-0000-0000340D0000}"/>
    <cellStyle name="Currency 5 3 5 7" xfId="2738" xr:uid="{00000000-0005-0000-0000-0000350D0000}"/>
    <cellStyle name="Currency 5 3 5 8" xfId="2819" xr:uid="{00000000-0005-0000-0000-0000360D0000}"/>
    <cellStyle name="Currency 5 3 5 8 2" xfId="7042" xr:uid="{00000000-0005-0000-0000-0000370D0000}"/>
    <cellStyle name="Currency 5 3 5 9" xfId="4659"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0"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0" xr:uid="{00000000-0005-0000-0000-0000400D0000}"/>
    <cellStyle name="Currency 5 5 2 2 3" xfId="5075" xr:uid="{00000000-0005-0000-0000-0000410D0000}"/>
    <cellStyle name="Currency 5 5 2 3" xfId="1180" xr:uid="{00000000-0005-0000-0000-0000420D0000}"/>
    <cellStyle name="Currency 5 5 2 3 2" xfId="3411" xr:uid="{00000000-0005-0000-0000-0000430D0000}"/>
    <cellStyle name="Currency 5 5 2 3 2 2" xfId="7633" xr:uid="{00000000-0005-0000-0000-0000440D0000}"/>
    <cellStyle name="Currency 5 5 2 3 3" xfId="5488" xr:uid="{00000000-0005-0000-0000-0000450D0000}"/>
    <cellStyle name="Currency 5 5 2 4" xfId="1594" xr:uid="{00000000-0005-0000-0000-0000460D0000}"/>
    <cellStyle name="Currency 5 5 2 4 2" xfId="3824" xr:uid="{00000000-0005-0000-0000-0000470D0000}"/>
    <cellStyle name="Currency 5 5 2 4 2 2" xfId="8046" xr:uid="{00000000-0005-0000-0000-0000480D0000}"/>
    <cellStyle name="Currency 5 5 2 4 3" xfId="5901" xr:uid="{00000000-0005-0000-0000-0000490D0000}"/>
    <cellStyle name="Currency 5 5 2 5" xfId="2008" xr:uid="{00000000-0005-0000-0000-00004A0D0000}"/>
    <cellStyle name="Currency 5 5 2 5 2" xfId="4237" xr:uid="{00000000-0005-0000-0000-00004B0D0000}"/>
    <cellStyle name="Currency 5 5 2 5 2 2" xfId="8459" xr:uid="{00000000-0005-0000-0000-00004C0D0000}"/>
    <cellStyle name="Currency 5 5 2 5 3" xfId="6314" xr:uid="{00000000-0005-0000-0000-00004D0D0000}"/>
    <cellStyle name="Currency 5 5 2 6" xfId="2443" xr:uid="{00000000-0005-0000-0000-00004E0D0000}"/>
    <cellStyle name="Currency 5 5 2 6 2" xfId="6727" xr:uid="{00000000-0005-0000-0000-00004F0D0000}"/>
    <cellStyle name="Currency 5 5 2 7" xfId="2740" xr:uid="{00000000-0005-0000-0000-0000500D0000}"/>
    <cellStyle name="Currency 5 5 2 8" xfId="2821" xr:uid="{00000000-0005-0000-0000-0000510D0000}"/>
    <cellStyle name="Currency 5 5 2 8 2" xfId="7044" xr:uid="{00000000-0005-0000-0000-0000520D0000}"/>
    <cellStyle name="Currency 5 5 2 9" xfId="4661" xr:uid="{00000000-0005-0000-0000-0000530D0000}"/>
    <cellStyle name="Currency 5 5 3" xfId="745" xr:uid="{00000000-0005-0000-0000-0000540D0000}"/>
    <cellStyle name="Currency 5 5 3 2" xfId="2997" xr:uid="{00000000-0005-0000-0000-0000550D0000}"/>
    <cellStyle name="Currency 5 5 3 2 2" xfId="7219" xr:uid="{00000000-0005-0000-0000-0000560D0000}"/>
    <cellStyle name="Currency 5 5 3 3" xfId="5074" xr:uid="{00000000-0005-0000-0000-0000570D0000}"/>
    <cellStyle name="Currency 5 5 4" xfId="1179" xr:uid="{00000000-0005-0000-0000-0000580D0000}"/>
    <cellStyle name="Currency 5 5 4 2" xfId="3410" xr:uid="{00000000-0005-0000-0000-0000590D0000}"/>
    <cellStyle name="Currency 5 5 4 2 2" xfId="7632" xr:uid="{00000000-0005-0000-0000-00005A0D0000}"/>
    <cellStyle name="Currency 5 5 4 3" xfId="5487" xr:uid="{00000000-0005-0000-0000-00005B0D0000}"/>
    <cellStyle name="Currency 5 5 5" xfId="1593" xr:uid="{00000000-0005-0000-0000-00005C0D0000}"/>
    <cellStyle name="Currency 5 5 5 2" xfId="3823" xr:uid="{00000000-0005-0000-0000-00005D0D0000}"/>
    <cellStyle name="Currency 5 5 5 2 2" xfId="8045" xr:uid="{00000000-0005-0000-0000-00005E0D0000}"/>
    <cellStyle name="Currency 5 5 5 3" xfId="5900" xr:uid="{00000000-0005-0000-0000-00005F0D0000}"/>
    <cellStyle name="Currency 5 5 6" xfId="2007" xr:uid="{00000000-0005-0000-0000-0000600D0000}"/>
    <cellStyle name="Currency 5 5 6 2" xfId="4236" xr:uid="{00000000-0005-0000-0000-0000610D0000}"/>
    <cellStyle name="Currency 5 5 6 2 2" xfId="8458" xr:uid="{00000000-0005-0000-0000-0000620D0000}"/>
    <cellStyle name="Currency 5 5 6 3" xfId="6313" xr:uid="{00000000-0005-0000-0000-0000630D0000}"/>
    <cellStyle name="Currency 5 5 7" xfId="2442" xr:uid="{00000000-0005-0000-0000-0000640D0000}"/>
    <cellStyle name="Currency 5 5 7 2" xfId="6726" xr:uid="{00000000-0005-0000-0000-0000650D0000}"/>
    <cellStyle name="Currency 5 5 8" xfId="2739" xr:uid="{00000000-0005-0000-0000-0000660D0000}"/>
    <cellStyle name="Currency 5 5 9" xfId="2820" xr:uid="{00000000-0005-0000-0000-0000670D0000}"/>
    <cellStyle name="Currency 5 5 9 2" xfId="7043"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1" xr:uid="{00000000-0005-0000-0000-00006C0D0000}"/>
    <cellStyle name="Currency 5 6 2 3" xfId="5076" xr:uid="{00000000-0005-0000-0000-00006D0D0000}"/>
    <cellStyle name="Currency 5 6 3" xfId="1181" xr:uid="{00000000-0005-0000-0000-00006E0D0000}"/>
    <cellStyle name="Currency 5 6 3 2" xfId="3412" xr:uid="{00000000-0005-0000-0000-00006F0D0000}"/>
    <cellStyle name="Currency 5 6 3 2 2" xfId="7634" xr:uid="{00000000-0005-0000-0000-0000700D0000}"/>
    <cellStyle name="Currency 5 6 3 3" xfId="5489" xr:uid="{00000000-0005-0000-0000-0000710D0000}"/>
    <cellStyle name="Currency 5 6 4" xfId="1595" xr:uid="{00000000-0005-0000-0000-0000720D0000}"/>
    <cellStyle name="Currency 5 6 4 2" xfId="3825" xr:uid="{00000000-0005-0000-0000-0000730D0000}"/>
    <cellStyle name="Currency 5 6 4 2 2" xfId="8047" xr:uid="{00000000-0005-0000-0000-0000740D0000}"/>
    <cellStyle name="Currency 5 6 4 3" xfId="5902" xr:uid="{00000000-0005-0000-0000-0000750D0000}"/>
    <cellStyle name="Currency 5 6 5" xfId="2009" xr:uid="{00000000-0005-0000-0000-0000760D0000}"/>
    <cellStyle name="Currency 5 6 5 2" xfId="4238" xr:uid="{00000000-0005-0000-0000-0000770D0000}"/>
    <cellStyle name="Currency 5 6 5 2 2" xfId="8460" xr:uid="{00000000-0005-0000-0000-0000780D0000}"/>
    <cellStyle name="Currency 5 6 5 3" xfId="6315" xr:uid="{00000000-0005-0000-0000-0000790D0000}"/>
    <cellStyle name="Currency 5 6 6" xfId="2444" xr:uid="{00000000-0005-0000-0000-00007A0D0000}"/>
    <cellStyle name="Currency 5 6 6 2" xfId="6728" xr:uid="{00000000-0005-0000-0000-00007B0D0000}"/>
    <cellStyle name="Currency 5 6 7" xfId="2741" xr:uid="{00000000-0005-0000-0000-00007C0D0000}"/>
    <cellStyle name="Currency 5 6 8" xfId="2822" xr:uid="{00000000-0005-0000-0000-00007D0D0000}"/>
    <cellStyle name="Currency 5 6 8 2" xfId="7045" xr:uid="{00000000-0005-0000-0000-00007E0D0000}"/>
    <cellStyle name="Currency 5 6 9" xfId="4662"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2" xr:uid="{00000000-0005-0000-0000-0000830D0000}"/>
    <cellStyle name="Currency 5 7 2 3" xfId="5077" xr:uid="{00000000-0005-0000-0000-0000840D0000}"/>
    <cellStyle name="Currency 5 7 3" xfId="1182" xr:uid="{00000000-0005-0000-0000-0000850D0000}"/>
    <cellStyle name="Currency 5 7 3 2" xfId="3413" xr:uid="{00000000-0005-0000-0000-0000860D0000}"/>
    <cellStyle name="Currency 5 7 3 2 2" xfId="7635" xr:uid="{00000000-0005-0000-0000-0000870D0000}"/>
    <cellStyle name="Currency 5 7 3 3" xfId="5490" xr:uid="{00000000-0005-0000-0000-0000880D0000}"/>
    <cellStyle name="Currency 5 7 4" xfId="1596" xr:uid="{00000000-0005-0000-0000-0000890D0000}"/>
    <cellStyle name="Currency 5 7 4 2" xfId="3826" xr:uid="{00000000-0005-0000-0000-00008A0D0000}"/>
    <cellStyle name="Currency 5 7 4 2 2" xfId="8048" xr:uid="{00000000-0005-0000-0000-00008B0D0000}"/>
    <cellStyle name="Currency 5 7 4 3" xfId="5903" xr:uid="{00000000-0005-0000-0000-00008C0D0000}"/>
    <cellStyle name="Currency 5 7 5" xfId="2010" xr:uid="{00000000-0005-0000-0000-00008D0D0000}"/>
    <cellStyle name="Currency 5 7 5 2" xfId="4239" xr:uid="{00000000-0005-0000-0000-00008E0D0000}"/>
    <cellStyle name="Currency 5 7 5 2 2" xfId="8461" xr:uid="{00000000-0005-0000-0000-00008F0D0000}"/>
    <cellStyle name="Currency 5 7 5 3" xfId="6316" xr:uid="{00000000-0005-0000-0000-0000900D0000}"/>
    <cellStyle name="Currency 5 7 6" xfId="2445" xr:uid="{00000000-0005-0000-0000-0000910D0000}"/>
    <cellStyle name="Currency 5 7 6 2" xfId="6729" xr:uid="{00000000-0005-0000-0000-0000920D0000}"/>
    <cellStyle name="Currency 5 7 7" xfId="2742" xr:uid="{00000000-0005-0000-0000-0000930D0000}"/>
    <cellStyle name="Currency 5 7 8" xfId="2823" xr:uid="{00000000-0005-0000-0000-0000940D0000}"/>
    <cellStyle name="Currency 5 7 8 2" xfId="7046" xr:uid="{00000000-0005-0000-0000-0000950D0000}"/>
    <cellStyle name="Currency 5 7 9" xfId="4663"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0" xr:uid="{00000000-0005-0000-0000-0000CB0D0000}"/>
    <cellStyle name="Normal 12 11" xfId="4664"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6" xr:uid="{00000000-0005-0000-0000-0000D20D0000}"/>
    <cellStyle name="Normal 12 2 2 2 2 3" xfId="5081" xr:uid="{00000000-0005-0000-0000-0000D30D0000}"/>
    <cellStyle name="Normal 12 2 2 2 3" xfId="1186" xr:uid="{00000000-0005-0000-0000-0000D40D0000}"/>
    <cellStyle name="Normal 12 2 2 2 3 2" xfId="3417" xr:uid="{00000000-0005-0000-0000-0000D50D0000}"/>
    <cellStyle name="Normal 12 2 2 2 3 2 2" xfId="7639" xr:uid="{00000000-0005-0000-0000-0000D60D0000}"/>
    <cellStyle name="Normal 12 2 2 2 3 3" xfId="5494" xr:uid="{00000000-0005-0000-0000-0000D70D0000}"/>
    <cellStyle name="Normal 12 2 2 2 4" xfId="1600" xr:uid="{00000000-0005-0000-0000-0000D80D0000}"/>
    <cellStyle name="Normal 12 2 2 2 4 2" xfId="3830" xr:uid="{00000000-0005-0000-0000-0000D90D0000}"/>
    <cellStyle name="Normal 12 2 2 2 4 2 2" xfId="8052" xr:uid="{00000000-0005-0000-0000-0000DA0D0000}"/>
    <cellStyle name="Normal 12 2 2 2 4 3" xfId="5907" xr:uid="{00000000-0005-0000-0000-0000DB0D0000}"/>
    <cellStyle name="Normal 12 2 2 2 5" xfId="2014" xr:uid="{00000000-0005-0000-0000-0000DC0D0000}"/>
    <cellStyle name="Normal 12 2 2 2 5 2" xfId="4243" xr:uid="{00000000-0005-0000-0000-0000DD0D0000}"/>
    <cellStyle name="Normal 12 2 2 2 5 2 2" xfId="8465" xr:uid="{00000000-0005-0000-0000-0000DE0D0000}"/>
    <cellStyle name="Normal 12 2 2 2 5 3" xfId="6320" xr:uid="{00000000-0005-0000-0000-0000DF0D0000}"/>
    <cellStyle name="Normal 12 2 2 2 6" xfId="2450" xr:uid="{00000000-0005-0000-0000-0000E00D0000}"/>
    <cellStyle name="Normal 12 2 2 2 6 2" xfId="6733" xr:uid="{00000000-0005-0000-0000-0000E10D0000}"/>
    <cellStyle name="Normal 12 2 2 2 7" xfId="4667" xr:uid="{00000000-0005-0000-0000-0000E20D0000}"/>
    <cellStyle name="Normal 12 2 2 3" xfId="762" xr:uid="{00000000-0005-0000-0000-0000E30D0000}"/>
    <cellStyle name="Normal 12 2 2 3 2" xfId="3003" xr:uid="{00000000-0005-0000-0000-0000E40D0000}"/>
    <cellStyle name="Normal 12 2 2 3 2 2" xfId="7225" xr:uid="{00000000-0005-0000-0000-0000E50D0000}"/>
    <cellStyle name="Normal 12 2 2 3 3" xfId="5080" xr:uid="{00000000-0005-0000-0000-0000E60D0000}"/>
    <cellStyle name="Normal 12 2 2 4" xfId="1185" xr:uid="{00000000-0005-0000-0000-0000E70D0000}"/>
    <cellStyle name="Normal 12 2 2 4 2" xfId="3416" xr:uid="{00000000-0005-0000-0000-0000E80D0000}"/>
    <cellStyle name="Normal 12 2 2 4 2 2" xfId="7638" xr:uid="{00000000-0005-0000-0000-0000E90D0000}"/>
    <cellStyle name="Normal 12 2 2 4 3" xfId="5493" xr:uid="{00000000-0005-0000-0000-0000EA0D0000}"/>
    <cellStyle name="Normal 12 2 2 5" xfId="1599" xr:uid="{00000000-0005-0000-0000-0000EB0D0000}"/>
    <cellStyle name="Normal 12 2 2 5 2" xfId="3829" xr:uid="{00000000-0005-0000-0000-0000EC0D0000}"/>
    <cellStyle name="Normal 12 2 2 5 2 2" xfId="8051" xr:uid="{00000000-0005-0000-0000-0000ED0D0000}"/>
    <cellStyle name="Normal 12 2 2 5 3" xfId="5906" xr:uid="{00000000-0005-0000-0000-0000EE0D0000}"/>
    <cellStyle name="Normal 12 2 2 6" xfId="2013" xr:uid="{00000000-0005-0000-0000-0000EF0D0000}"/>
    <cellStyle name="Normal 12 2 2 6 2" xfId="4242" xr:uid="{00000000-0005-0000-0000-0000F00D0000}"/>
    <cellStyle name="Normal 12 2 2 6 2 2" xfId="8464" xr:uid="{00000000-0005-0000-0000-0000F10D0000}"/>
    <cellStyle name="Normal 12 2 2 6 3" xfId="6319" xr:uid="{00000000-0005-0000-0000-0000F20D0000}"/>
    <cellStyle name="Normal 12 2 2 7" xfId="2449" xr:uid="{00000000-0005-0000-0000-0000F30D0000}"/>
    <cellStyle name="Normal 12 2 2 7 2" xfId="6732" xr:uid="{00000000-0005-0000-0000-0000F40D0000}"/>
    <cellStyle name="Normal 12 2 2 8" xfId="4666"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7" xr:uid="{00000000-0005-0000-0000-0000F90D0000}"/>
    <cellStyle name="Normal 12 2 3 2 3" xfId="5082" xr:uid="{00000000-0005-0000-0000-0000FA0D0000}"/>
    <cellStyle name="Normal 12 2 3 3" xfId="1187" xr:uid="{00000000-0005-0000-0000-0000FB0D0000}"/>
    <cellStyle name="Normal 12 2 3 3 2" xfId="3418" xr:uid="{00000000-0005-0000-0000-0000FC0D0000}"/>
    <cellStyle name="Normal 12 2 3 3 2 2" xfId="7640" xr:uid="{00000000-0005-0000-0000-0000FD0D0000}"/>
    <cellStyle name="Normal 12 2 3 3 3" xfId="5495" xr:uid="{00000000-0005-0000-0000-0000FE0D0000}"/>
    <cellStyle name="Normal 12 2 3 4" xfId="1601" xr:uid="{00000000-0005-0000-0000-0000FF0D0000}"/>
    <cellStyle name="Normal 12 2 3 4 2" xfId="3831" xr:uid="{00000000-0005-0000-0000-0000000E0000}"/>
    <cellStyle name="Normal 12 2 3 4 2 2" xfId="8053" xr:uid="{00000000-0005-0000-0000-0000010E0000}"/>
    <cellStyle name="Normal 12 2 3 4 3" xfId="5908" xr:uid="{00000000-0005-0000-0000-0000020E0000}"/>
    <cellStyle name="Normal 12 2 3 5" xfId="2015" xr:uid="{00000000-0005-0000-0000-0000030E0000}"/>
    <cellStyle name="Normal 12 2 3 5 2" xfId="4244" xr:uid="{00000000-0005-0000-0000-0000040E0000}"/>
    <cellStyle name="Normal 12 2 3 5 2 2" xfId="8466" xr:uid="{00000000-0005-0000-0000-0000050E0000}"/>
    <cellStyle name="Normal 12 2 3 5 3" xfId="6321" xr:uid="{00000000-0005-0000-0000-0000060E0000}"/>
    <cellStyle name="Normal 12 2 3 6" xfId="2451" xr:uid="{00000000-0005-0000-0000-0000070E0000}"/>
    <cellStyle name="Normal 12 2 3 6 2" xfId="6734" xr:uid="{00000000-0005-0000-0000-0000080E0000}"/>
    <cellStyle name="Normal 12 2 3 7" xfId="4668" xr:uid="{00000000-0005-0000-0000-0000090E0000}"/>
    <cellStyle name="Normal 12 2 4" xfId="761" xr:uid="{00000000-0005-0000-0000-00000A0E0000}"/>
    <cellStyle name="Normal 12 2 4 2" xfId="3002" xr:uid="{00000000-0005-0000-0000-00000B0E0000}"/>
    <cellStyle name="Normal 12 2 4 2 2" xfId="7224" xr:uid="{00000000-0005-0000-0000-00000C0E0000}"/>
    <cellStyle name="Normal 12 2 4 3" xfId="5079" xr:uid="{00000000-0005-0000-0000-00000D0E0000}"/>
    <cellStyle name="Normal 12 2 5" xfId="1184" xr:uid="{00000000-0005-0000-0000-00000E0E0000}"/>
    <cellStyle name="Normal 12 2 5 2" xfId="3415" xr:uid="{00000000-0005-0000-0000-00000F0E0000}"/>
    <cellStyle name="Normal 12 2 5 2 2" xfId="7637" xr:uid="{00000000-0005-0000-0000-0000100E0000}"/>
    <cellStyle name="Normal 12 2 5 3" xfId="5492" xr:uid="{00000000-0005-0000-0000-0000110E0000}"/>
    <cellStyle name="Normal 12 2 6" xfId="1598" xr:uid="{00000000-0005-0000-0000-0000120E0000}"/>
    <cellStyle name="Normal 12 2 6 2" xfId="3828" xr:uid="{00000000-0005-0000-0000-0000130E0000}"/>
    <cellStyle name="Normal 12 2 6 2 2" xfId="8050" xr:uid="{00000000-0005-0000-0000-0000140E0000}"/>
    <cellStyle name="Normal 12 2 6 3" xfId="5905" xr:uid="{00000000-0005-0000-0000-0000150E0000}"/>
    <cellStyle name="Normal 12 2 7" xfId="2012" xr:uid="{00000000-0005-0000-0000-0000160E0000}"/>
    <cellStyle name="Normal 12 2 7 2" xfId="4241" xr:uid="{00000000-0005-0000-0000-0000170E0000}"/>
    <cellStyle name="Normal 12 2 7 2 2" xfId="8463" xr:uid="{00000000-0005-0000-0000-0000180E0000}"/>
    <cellStyle name="Normal 12 2 7 3" xfId="6318" xr:uid="{00000000-0005-0000-0000-0000190E0000}"/>
    <cellStyle name="Normal 12 2 8" xfId="2448" xr:uid="{00000000-0005-0000-0000-00001A0E0000}"/>
    <cellStyle name="Normal 12 2 8 2" xfId="6731" xr:uid="{00000000-0005-0000-0000-00001B0E0000}"/>
    <cellStyle name="Normal 12 2 9" xfId="4665"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29" xr:uid="{00000000-0005-0000-0000-0000210E0000}"/>
    <cellStyle name="Normal 12 3 2 2 3" xfId="5084" xr:uid="{00000000-0005-0000-0000-0000220E0000}"/>
    <cellStyle name="Normal 12 3 2 3" xfId="1189" xr:uid="{00000000-0005-0000-0000-0000230E0000}"/>
    <cellStyle name="Normal 12 3 2 3 2" xfId="3420" xr:uid="{00000000-0005-0000-0000-0000240E0000}"/>
    <cellStyle name="Normal 12 3 2 3 2 2" xfId="7642" xr:uid="{00000000-0005-0000-0000-0000250E0000}"/>
    <cellStyle name="Normal 12 3 2 3 3" xfId="5497" xr:uid="{00000000-0005-0000-0000-0000260E0000}"/>
    <cellStyle name="Normal 12 3 2 4" xfId="1603" xr:uid="{00000000-0005-0000-0000-0000270E0000}"/>
    <cellStyle name="Normal 12 3 2 4 2" xfId="3833" xr:uid="{00000000-0005-0000-0000-0000280E0000}"/>
    <cellStyle name="Normal 12 3 2 4 2 2" xfId="8055" xr:uid="{00000000-0005-0000-0000-0000290E0000}"/>
    <cellStyle name="Normal 12 3 2 4 3" xfId="5910" xr:uid="{00000000-0005-0000-0000-00002A0E0000}"/>
    <cellStyle name="Normal 12 3 2 5" xfId="2017" xr:uid="{00000000-0005-0000-0000-00002B0E0000}"/>
    <cellStyle name="Normal 12 3 2 5 2" xfId="4246" xr:uid="{00000000-0005-0000-0000-00002C0E0000}"/>
    <cellStyle name="Normal 12 3 2 5 2 2" xfId="8468" xr:uid="{00000000-0005-0000-0000-00002D0E0000}"/>
    <cellStyle name="Normal 12 3 2 5 3" xfId="6323" xr:uid="{00000000-0005-0000-0000-00002E0E0000}"/>
    <cellStyle name="Normal 12 3 2 6" xfId="2453" xr:uid="{00000000-0005-0000-0000-00002F0E0000}"/>
    <cellStyle name="Normal 12 3 2 6 2" xfId="6736" xr:uid="{00000000-0005-0000-0000-0000300E0000}"/>
    <cellStyle name="Normal 12 3 2 7" xfId="4670" xr:uid="{00000000-0005-0000-0000-0000310E0000}"/>
    <cellStyle name="Normal 12 3 3" xfId="765" xr:uid="{00000000-0005-0000-0000-0000320E0000}"/>
    <cellStyle name="Normal 12 3 3 2" xfId="3006" xr:uid="{00000000-0005-0000-0000-0000330E0000}"/>
    <cellStyle name="Normal 12 3 3 2 2" xfId="7228" xr:uid="{00000000-0005-0000-0000-0000340E0000}"/>
    <cellStyle name="Normal 12 3 3 3" xfId="5083" xr:uid="{00000000-0005-0000-0000-0000350E0000}"/>
    <cellStyle name="Normal 12 3 4" xfId="1188" xr:uid="{00000000-0005-0000-0000-0000360E0000}"/>
    <cellStyle name="Normal 12 3 4 2" xfId="3419" xr:uid="{00000000-0005-0000-0000-0000370E0000}"/>
    <cellStyle name="Normal 12 3 4 2 2" xfId="7641" xr:uid="{00000000-0005-0000-0000-0000380E0000}"/>
    <cellStyle name="Normal 12 3 4 3" xfId="5496" xr:uid="{00000000-0005-0000-0000-0000390E0000}"/>
    <cellStyle name="Normal 12 3 5" xfId="1602" xr:uid="{00000000-0005-0000-0000-00003A0E0000}"/>
    <cellStyle name="Normal 12 3 5 2" xfId="3832" xr:uid="{00000000-0005-0000-0000-00003B0E0000}"/>
    <cellStyle name="Normal 12 3 5 2 2" xfId="8054" xr:uid="{00000000-0005-0000-0000-00003C0E0000}"/>
    <cellStyle name="Normal 12 3 5 3" xfId="5909" xr:uid="{00000000-0005-0000-0000-00003D0E0000}"/>
    <cellStyle name="Normal 12 3 6" xfId="2016" xr:uid="{00000000-0005-0000-0000-00003E0E0000}"/>
    <cellStyle name="Normal 12 3 6 2" xfId="4245" xr:uid="{00000000-0005-0000-0000-00003F0E0000}"/>
    <cellStyle name="Normal 12 3 6 2 2" xfId="8467" xr:uid="{00000000-0005-0000-0000-0000400E0000}"/>
    <cellStyle name="Normal 12 3 6 3" xfId="6322" xr:uid="{00000000-0005-0000-0000-0000410E0000}"/>
    <cellStyle name="Normal 12 3 7" xfId="2452" xr:uid="{00000000-0005-0000-0000-0000420E0000}"/>
    <cellStyle name="Normal 12 3 7 2" xfId="6735" xr:uid="{00000000-0005-0000-0000-0000430E0000}"/>
    <cellStyle name="Normal 12 3 8" xfId="4669"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0" xr:uid="{00000000-0005-0000-0000-0000480E0000}"/>
    <cellStyle name="Normal 12 4 2 3" xfId="5085" xr:uid="{00000000-0005-0000-0000-0000490E0000}"/>
    <cellStyle name="Normal 12 4 3" xfId="1190" xr:uid="{00000000-0005-0000-0000-00004A0E0000}"/>
    <cellStyle name="Normal 12 4 3 2" xfId="3421" xr:uid="{00000000-0005-0000-0000-00004B0E0000}"/>
    <cellStyle name="Normal 12 4 3 2 2" xfId="7643" xr:uid="{00000000-0005-0000-0000-00004C0E0000}"/>
    <cellStyle name="Normal 12 4 3 3" xfId="5498" xr:uid="{00000000-0005-0000-0000-00004D0E0000}"/>
    <cellStyle name="Normal 12 4 4" xfId="1604" xr:uid="{00000000-0005-0000-0000-00004E0E0000}"/>
    <cellStyle name="Normal 12 4 4 2" xfId="3834" xr:uid="{00000000-0005-0000-0000-00004F0E0000}"/>
    <cellStyle name="Normal 12 4 4 2 2" xfId="8056" xr:uid="{00000000-0005-0000-0000-0000500E0000}"/>
    <cellStyle name="Normal 12 4 4 3" xfId="5911" xr:uid="{00000000-0005-0000-0000-0000510E0000}"/>
    <cellStyle name="Normal 12 4 5" xfId="2018" xr:uid="{00000000-0005-0000-0000-0000520E0000}"/>
    <cellStyle name="Normal 12 4 5 2" xfId="4247" xr:uid="{00000000-0005-0000-0000-0000530E0000}"/>
    <cellStyle name="Normal 12 4 5 2 2" xfId="8469" xr:uid="{00000000-0005-0000-0000-0000540E0000}"/>
    <cellStyle name="Normal 12 4 5 3" xfId="6324" xr:uid="{00000000-0005-0000-0000-0000550E0000}"/>
    <cellStyle name="Normal 12 4 6" xfId="2454" xr:uid="{00000000-0005-0000-0000-0000560E0000}"/>
    <cellStyle name="Normal 12 4 6 2" xfId="6737" xr:uid="{00000000-0005-0000-0000-0000570E0000}"/>
    <cellStyle name="Normal 12 4 7" xfId="4671"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3" xr:uid="{00000000-0005-0000-0000-00005C0E0000}"/>
    <cellStyle name="Normal 12 6 3" xfId="5078" xr:uid="{00000000-0005-0000-0000-00005D0E0000}"/>
    <cellStyle name="Normal 12 7" xfId="1183" xr:uid="{00000000-0005-0000-0000-00005E0E0000}"/>
    <cellStyle name="Normal 12 7 2" xfId="3414" xr:uid="{00000000-0005-0000-0000-00005F0E0000}"/>
    <cellStyle name="Normal 12 7 2 2" xfId="7636" xr:uid="{00000000-0005-0000-0000-0000600E0000}"/>
    <cellStyle name="Normal 12 7 3" xfId="5491" xr:uid="{00000000-0005-0000-0000-0000610E0000}"/>
    <cellStyle name="Normal 12 8" xfId="1597" xr:uid="{00000000-0005-0000-0000-0000620E0000}"/>
    <cellStyle name="Normal 12 8 2" xfId="3827" xr:uid="{00000000-0005-0000-0000-0000630E0000}"/>
    <cellStyle name="Normal 12 8 2 2" xfId="8049" xr:uid="{00000000-0005-0000-0000-0000640E0000}"/>
    <cellStyle name="Normal 12 8 3" xfId="5904" xr:uid="{00000000-0005-0000-0000-0000650E0000}"/>
    <cellStyle name="Normal 12 9" xfId="2011" xr:uid="{00000000-0005-0000-0000-0000660E0000}"/>
    <cellStyle name="Normal 12 9 2" xfId="4240" xr:uid="{00000000-0005-0000-0000-0000670E0000}"/>
    <cellStyle name="Normal 12 9 2 2" xfId="8462" xr:uid="{00000000-0005-0000-0000-0000680E0000}"/>
    <cellStyle name="Normal 12 9 3" xfId="6317"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1" xr:uid="{00000000-0005-0000-0000-00006F0E0000}"/>
    <cellStyle name="Normal 14 2 3" xfId="5086" xr:uid="{00000000-0005-0000-0000-0000700E0000}"/>
    <cellStyle name="Normal 14 3" xfId="1191" xr:uid="{00000000-0005-0000-0000-0000710E0000}"/>
    <cellStyle name="Normal 14 3 2" xfId="3422" xr:uid="{00000000-0005-0000-0000-0000720E0000}"/>
    <cellStyle name="Normal 14 3 2 2" xfId="7644" xr:uid="{00000000-0005-0000-0000-0000730E0000}"/>
    <cellStyle name="Normal 14 3 3" xfId="5499" xr:uid="{00000000-0005-0000-0000-0000740E0000}"/>
    <cellStyle name="Normal 14 4" xfId="1605" xr:uid="{00000000-0005-0000-0000-0000750E0000}"/>
    <cellStyle name="Normal 14 4 2" xfId="3835" xr:uid="{00000000-0005-0000-0000-0000760E0000}"/>
    <cellStyle name="Normal 14 4 2 2" xfId="8057" xr:uid="{00000000-0005-0000-0000-0000770E0000}"/>
    <cellStyle name="Normal 14 4 3" xfId="5912" xr:uid="{00000000-0005-0000-0000-0000780E0000}"/>
    <cellStyle name="Normal 14 5" xfId="2019" xr:uid="{00000000-0005-0000-0000-0000790E0000}"/>
    <cellStyle name="Normal 14 5 2" xfId="4248" xr:uid="{00000000-0005-0000-0000-00007A0E0000}"/>
    <cellStyle name="Normal 14 5 2 2" xfId="8470" xr:uid="{00000000-0005-0000-0000-00007B0E0000}"/>
    <cellStyle name="Normal 14 5 3" xfId="6325" xr:uid="{00000000-0005-0000-0000-00007C0E0000}"/>
    <cellStyle name="Normal 14 6" xfId="2455" xr:uid="{00000000-0005-0000-0000-00007D0E0000}"/>
    <cellStyle name="Normal 14 6 2" xfId="6738" xr:uid="{00000000-0005-0000-0000-00007E0E0000}"/>
    <cellStyle name="Normal 14 7" xfId="4672" xr:uid="{00000000-0005-0000-0000-00007F0E0000}"/>
    <cellStyle name="Normal 15" xfId="4496" xr:uid="{00000000-0005-0000-0000-0000800E0000}"/>
    <cellStyle name="Normal 16" xfId="4500" xr:uid="{00000000-0005-0000-0000-0000810E0000}"/>
    <cellStyle name="Normal 16 2" xfId="8715" xr:uid="{00000000-0005-0000-0000-0000820E0000}"/>
    <cellStyle name="Normal 16 3" xfId="8718" xr:uid="{3DE1BEEB-61FA-4094-B10F-9E0444F68763}"/>
    <cellStyle name="Normal 16 3 2" xfId="8722" xr:uid="{FE0BC069-4698-40B2-814D-8E09719245E9}"/>
    <cellStyle name="Normal 16 3 2 2" xfId="8725" xr:uid="{D3E9609F-293A-4CFC-B194-1FF2F92D621D}"/>
    <cellStyle name="Normal 16 3 2 2 2" xfId="8729" xr:uid="{0CF71623-CBC5-4058-AF95-7007D48CCB2D}"/>
    <cellStyle name="Normal 16 3 2 2 2 2" xfId="8733" xr:uid="{0BD4DC65-8284-43DB-BFFE-72660C034E8E}"/>
    <cellStyle name="Normal 17" xfId="8728" xr:uid="{3FF0972C-833B-4475-99D8-1A6907499E71}"/>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1" xr:uid="{00000000-0005-0000-0000-0000900E0000}"/>
    <cellStyle name="Normal 2 4 2 10 3" xfId="6326" xr:uid="{00000000-0005-0000-0000-0000910E0000}"/>
    <cellStyle name="Normal 2 4 2 11" xfId="2456" xr:uid="{00000000-0005-0000-0000-0000920E0000}"/>
    <cellStyle name="Normal 2 4 2 11 2" xfId="6739" xr:uid="{00000000-0005-0000-0000-0000930E0000}"/>
    <cellStyle name="Normal 2 4 2 12" xfId="4673" xr:uid="{00000000-0005-0000-0000-0000940E0000}"/>
    <cellStyle name="Normal 2 4 2 2" xfId="280" xr:uid="{00000000-0005-0000-0000-0000950E0000}"/>
    <cellStyle name="Normal 2 4 2 3" xfId="281" xr:uid="{00000000-0005-0000-0000-0000960E0000}"/>
    <cellStyle name="Normal 2 4 2 3 10" xfId="4674"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6" xr:uid="{00000000-0005-0000-0000-00009D0E0000}"/>
    <cellStyle name="Normal 2 4 2 3 2 2 2 2 3" xfId="5091" xr:uid="{00000000-0005-0000-0000-00009E0E0000}"/>
    <cellStyle name="Normal 2 4 2 3 2 2 2 3" xfId="1197" xr:uid="{00000000-0005-0000-0000-00009F0E0000}"/>
    <cellStyle name="Normal 2 4 2 3 2 2 2 3 2" xfId="3427" xr:uid="{00000000-0005-0000-0000-0000A00E0000}"/>
    <cellStyle name="Normal 2 4 2 3 2 2 2 3 2 2" xfId="7649" xr:uid="{00000000-0005-0000-0000-0000A10E0000}"/>
    <cellStyle name="Normal 2 4 2 3 2 2 2 3 3" xfId="5504" xr:uid="{00000000-0005-0000-0000-0000A20E0000}"/>
    <cellStyle name="Normal 2 4 2 3 2 2 2 4" xfId="1610" xr:uid="{00000000-0005-0000-0000-0000A30E0000}"/>
    <cellStyle name="Normal 2 4 2 3 2 2 2 4 2" xfId="3840" xr:uid="{00000000-0005-0000-0000-0000A40E0000}"/>
    <cellStyle name="Normal 2 4 2 3 2 2 2 4 2 2" xfId="8062" xr:uid="{00000000-0005-0000-0000-0000A50E0000}"/>
    <cellStyle name="Normal 2 4 2 3 2 2 2 4 3" xfId="5917" xr:uid="{00000000-0005-0000-0000-0000A60E0000}"/>
    <cellStyle name="Normal 2 4 2 3 2 2 2 5" xfId="2024" xr:uid="{00000000-0005-0000-0000-0000A70E0000}"/>
    <cellStyle name="Normal 2 4 2 3 2 2 2 5 2" xfId="4253" xr:uid="{00000000-0005-0000-0000-0000A80E0000}"/>
    <cellStyle name="Normal 2 4 2 3 2 2 2 5 2 2" xfId="8475" xr:uid="{00000000-0005-0000-0000-0000A90E0000}"/>
    <cellStyle name="Normal 2 4 2 3 2 2 2 5 3" xfId="6330" xr:uid="{00000000-0005-0000-0000-0000AA0E0000}"/>
    <cellStyle name="Normal 2 4 2 3 2 2 2 6" xfId="2460" xr:uid="{00000000-0005-0000-0000-0000AB0E0000}"/>
    <cellStyle name="Normal 2 4 2 3 2 2 2 6 2" xfId="6743" xr:uid="{00000000-0005-0000-0000-0000AC0E0000}"/>
    <cellStyle name="Normal 2 4 2 3 2 2 2 7" xfId="4677" xr:uid="{00000000-0005-0000-0000-0000AD0E0000}"/>
    <cellStyle name="Normal 2 4 2 3 2 2 3" xfId="774" xr:uid="{00000000-0005-0000-0000-0000AE0E0000}"/>
    <cellStyle name="Normal 2 4 2 3 2 2 3 2" xfId="3013" xr:uid="{00000000-0005-0000-0000-0000AF0E0000}"/>
    <cellStyle name="Normal 2 4 2 3 2 2 3 2 2" xfId="7235" xr:uid="{00000000-0005-0000-0000-0000B00E0000}"/>
    <cellStyle name="Normal 2 4 2 3 2 2 3 3" xfId="5090" xr:uid="{00000000-0005-0000-0000-0000B10E0000}"/>
    <cellStyle name="Normal 2 4 2 3 2 2 4" xfId="1196" xr:uid="{00000000-0005-0000-0000-0000B20E0000}"/>
    <cellStyle name="Normal 2 4 2 3 2 2 4 2" xfId="3426" xr:uid="{00000000-0005-0000-0000-0000B30E0000}"/>
    <cellStyle name="Normal 2 4 2 3 2 2 4 2 2" xfId="7648" xr:uid="{00000000-0005-0000-0000-0000B40E0000}"/>
    <cellStyle name="Normal 2 4 2 3 2 2 4 3" xfId="5503" xr:uid="{00000000-0005-0000-0000-0000B50E0000}"/>
    <cellStyle name="Normal 2 4 2 3 2 2 5" xfId="1609" xr:uid="{00000000-0005-0000-0000-0000B60E0000}"/>
    <cellStyle name="Normal 2 4 2 3 2 2 5 2" xfId="3839" xr:uid="{00000000-0005-0000-0000-0000B70E0000}"/>
    <cellStyle name="Normal 2 4 2 3 2 2 5 2 2" xfId="8061" xr:uid="{00000000-0005-0000-0000-0000B80E0000}"/>
    <cellStyle name="Normal 2 4 2 3 2 2 5 3" xfId="5916" xr:uid="{00000000-0005-0000-0000-0000B90E0000}"/>
    <cellStyle name="Normal 2 4 2 3 2 2 6" xfId="2023" xr:uid="{00000000-0005-0000-0000-0000BA0E0000}"/>
    <cellStyle name="Normal 2 4 2 3 2 2 6 2" xfId="4252" xr:uid="{00000000-0005-0000-0000-0000BB0E0000}"/>
    <cellStyle name="Normal 2 4 2 3 2 2 6 2 2" xfId="8474" xr:uid="{00000000-0005-0000-0000-0000BC0E0000}"/>
    <cellStyle name="Normal 2 4 2 3 2 2 6 3" xfId="6329" xr:uid="{00000000-0005-0000-0000-0000BD0E0000}"/>
    <cellStyle name="Normal 2 4 2 3 2 2 7" xfId="2459" xr:uid="{00000000-0005-0000-0000-0000BE0E0000}"/>
    <cellStyle name="Normal 2 4 2 3 2 2 7 2" xfId="6742" xr:uid="{00000000-0005-0000-0000-0000BF0E0000}"/>
    <cellStyle name="Normal 2 4 2 3 2 2 8" xfId="4676"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7" xr:uid="{00000000-0005-0000-0000-0000C40E0000}"/>
    <cellStyle name="Normal 2 4 2 3 2 3 2 3" xfId="5092" xr:uid="{00000000-0005-0000-0000-0000C50E0000}"/>
    <cellStyle name="Normal 2 4 2 3 2 3 3" xfId="1198" xr:uid="{00000000-0005-0000-0000-0000C60E0000}"/>
    <cellStyle name="Normal 2 4 2 3 2 3 3 2" xfId="3428" xr:uid="{00000000-0005-0000-0000-0000C70E0000}"/>
    <cellStyle name="Normal 2 4 2 3 2 3 3 2 2" xfId="7650" xr:uid="{00000000-0005-0000-0000-0000C80E0000}"/>
    <cellStyle name="Normal 2 4 2 3 2 3 3 3" xfId="5505" xr:uid="{00000000-0005-0000-0000-0000C90E0000}"/>
    <cellStyle name="Normal 2 4 2 3 2 3 4" xfId="1611" xr:uid="{00000000-0005-0000-0000-0000CA0E0000}"/>
    <cellStyle name="Normal 2 4 2 3 2 3 4 2" xfId="3841" xr:uid="{00000000-0005-0000-0000-0000CB0E0000}"/>
    <cellStyle name="Normal 2 4 2 3 2 3 4 2 2" xfId="8063" xr:uid="{00000000-0005-0000-0000-0000CC0E0000}"/>
    <cellStyle name="Normal 2 4 2 3 2 3 4 3" xfId="5918" xr:uid="{00000000-0005-0000-0000-0000CD0E0000}"/>
    <cellStyle name="Normal 2 4 2 3 2 3 5" xfId="2025" xr:uid="{00000000-0005-0000-0000-0000CE0E0000}"/>
    <cellStyle name="Normal 2 4 2 3 2 3 5 2" xfId="4254" xr:uid="{00000000-0005-0000-0000-0000CF0E0000}"/>
    <cellStyle name="Normal 2 4 2 3 2 3 5 2 2" xfId="8476" xr:uid="{00000000-0005-0000-0000-0000D00E0000}"/>
    <cellStyle name="Normal 2 4 2 3 2 3 5 3" xfId="6331" xr:uid="{00000000-0005-0000-0000-0000D10E0000}"/>
    <cellStyle name="Normal 2 4 2 3 2 3 6" xfId="2461" xr:uid="{00000000-0005-0000-0000-0000D20E0000}"/>
    <cellStyle name="Normal 2 4 2 3 2 3 6 2" xfId="6744" xr:uid="{00000000-0005-0000-0000-0000D30E0000}"/>
    <cellStyle name="Normal 2 4 2 3 2 3 7" xfId="4678" xr:uid="{00000000-0005-0000-0000-0000D40E0000}"/>
    <cellStyle name="Normal 2 4 2 3 2 4" xfId="773" xr:uid="{00000000-0005-0000-0000-0000D50E0000}"/>
    <cellStyle name="Normal 2 4 2 3 2 4 2" xfId="3012" xr:uid="{00000000-0005-0000-0000-0000D60E0000}"/>
    <cellStyle name="Normal 2 4 2 3 2 4 2 2" xfId="7234" xr:uid="{00000000-0005-0000-0000-0000D70E0000}"/>
    <cellStyle name="Normal 2 4 2 3 2 4 3" xfId="5089" xr:uid="{00000000-0005-0000-0000-0000D80E0000}"/>
    <cellStyle name="Normal 2 4 2 3 2 5" xfId="1195" xr:uid="{00000000-0005-0000-0000-0000D90E0000}"/>
    <cellStyle name="Normal 2 4 2 3 2 5 2" xfId="3425" xr:uid="{00000000-0005-0000-0000-0000DA0E0000}"/>
    <cellStyle name="Normal 2 4 2 3 2 5 2 2" xfId="7647" xr:uid="{00000000-0005-0000-0000-0000DB0E0000}"/>
    <cellStyle name="Normal 2 4 2 3 2 5 3" xfId="5502" xr:uid="{00000000-0005-0000-0000-0000DC0E0000}"/>
    <cellStyle name="Normal 2 4 2 3 2 6" xfId="1608" xr:uid="{00000000-0005-0000-0000-0000DD0E0000}"/>
    <cellStyle name="Normal 2 4 2 3 2 6 2" xfId="3838" xr:uid="{00000000-0005-0000-0000-0000DE0E0000}"/>
    <cellStyle name="Normal 2 4 2 3 2 6 2 2" xfId="8060" xr:uid="{00000000-0005-0000-0000-0000DF0E0000}"/>
    <cellStyle name="Normal 2 4 2 3 2 6 3" xfId="5915" xr:uid="{00000000-0005-0000-0000-0000E00E0000}"/>
    <cellStyle name="Normal 2 4 2 3 2 7" xfId="2022" xr:uid="{00000000-0005-0000-0000-0000E10E0000}"/>
    <cellStyle name="Normal 2 4 2 3 2 7 2" xfId="4251" xr:uid="{00000000-0005-0000-0000-0000E20E0000}"/>
    <cellStyle name="Normal 2 4 2 3 2 7 2 2" xfId="8473" xr:uid="{00000000-0005-0000-0000-0000E30E0000}"/>
    <cellStyle name="Normal 2 4 2 3 2 7 3" xfId="6328" xr:uid="{00000000-0005-0000-0000-0000E40E0000}"/>
    <cellStyle name="Normal 2 4 2 3 2 8" xfId="2458" xr:uid="{00000000-0005-0000-0000-0000E50E0000}"/>
    <cellStyle name="Normal 2 4 2 3 2 8 2" xfId="6741" xr:uid="{00000000-0005-0000-0000-0000E60E0000}"/>
    <cellStyle name="Normal 2 4 2 3 2 9" xfId="4675"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39" xr:uid="{00000000-0005-0000-0000-0000EC0E0000}"/>
    <cellStyle name="Normal 2 4 2 3 3 2 2 3" xfId="5094" xr:uid="{00000000-0005-0000-0000-0000ED0E0000}"/>
    <cellStyle name="Normal 2 4 2 3 3 2 3" xfId="1200" xr:uid="{00000000-0005-0000-0000-0000EE0E0000}"/>
    <cellStyle name="Normal 2 4 2 3 3 2 3 2" xfId="3430" xr:uid="{00000000-0005-0000-0000-0000EF0E0000}"/>
    <cellStyle name="Normal 2 4 2 3 3 2 3 2 2" xfId="7652" xr:uid="{00000000-0005-0000-0000-0000F00E0000}"/>
    <cellStyle name="Normal 2 4 2 3 3 2 3 3" xfId="5507" xr:uid="{00000000-0005-0000-0000-0000F10E0000}"/>
    <cellStyle name="Normal 2 4 2 3 3 2 4" xfId="1613" xr:uid="{00000000-0005-0000-0000-0000F20E0000}"/>
    <cellStyle name="Normal 2 4 2 3 3 2 4 2" xfId="3843" xr:uid="{00000000-0005-0000-0000-0000F30E0000}"/>
    <cellStyle name="Normal 2 4 2 3 3 2 4 2 2" xfId="8065" xr:uid="{00000000-0005-0000-0000-0000F40E0000}"/>
    <cellStyle name="Normal 2 4 2 3 3 2 4 3" xfId="5920" xr:uid="{00000000-0005-0000-0000-0000F50E0000}"/>
    <cellStyle name="Normal 2 4 2 3 3 2 5" xfId="2027" xr:uid="{00000000-0005-0000-0000-0000F60E0000}"/>
    <cellStyle name="Normal 2 4 2 3 3 2 5 2" xfId="4256" xr:uid="{00000000-0005-0000-0000-0000F70E0000}"/>
    <cellStyle name="Normal 2 4 2 3 3 2 5 2 2" xfId="8478" xr:uid="{00000000-0005-0000-0000-0000F80E0000}"/>
    <cellStyle name="Normal 2 4 2 3 3 2 5 3" xfId="6333" xr:uid="{00000000-0005-0000-0000-0000F90E0000}"/>
    <cellStyle name="Normal 2 4 2 3 3 2 6" xfId="2463" xr:uid="{00000000-0005-0000-0000-0000FA0E0000}"/>
    <cellStyle name="Normal 2 4 2 3 3 2 6 2" xfId="6746" xr:uid="{00000000-0005-0000-0000-0000FB0E0000}"/>
    <cellStyle name="Normal 2 4 2 3 3 2 7" xfId="4680" xr:uid="{00000000-0005-0000-0000-0000FC0E0000}"/>
    <cellStyle name="Normal 2 4 2 3 3 3" xfId="777" xr:uid="{00000000-0005-0000-0000-0000FD0E0000}"/>
    <cellStyle name="Normal 2 4 2 3 3 3 2" xfId="3016" xr:uid="{00000000-0005-0000-0000-0000FE0E0000}"/>
    <cellStyle name="Normal 2 4 2 3 3 3 2 2" xfId="7238" xr:uid="{00000000-0005-0000-0000-0000FF0E0000}"/>
    <cellStyle name="Normal 2 4 2 3 3 3 3" xfId="5093" xr:uid="{00000000-0005-0000-0000-0000000F0000}"/>
    <cellStyle name="Normal 2 4 2 3 3 4" xfId="1199" xr:uid="{00000000-0005-0000-0000-0000010F0000}"/>
    <cellStyle name="Normal 2 4 2 3 3 4 2" xfId="3429" xr:uid="{00000000-0005-0000-0000-0000020F0000}"/>
    <cellStyle name="Normal 2 4 2 3 3 4 2 2" xfId="7651" xr:uid="{00000000-0005-0000-0000-0000030F0000}"/>
    <cellStyle name="Normal 2 4 2 3 3 4 3" xfId="5506" xr:uid="{00000000-0005-0000-0000-0000040F0000}"/>
    <cellStyle name="Normal 2 4 2 3 3 5" xfId="1612" xr:uid="{00000000-0005-0000-0000-0000050F0000}"/>
    <cellStyle name="Normal 2 4 2 3 3 5 2" xfId="3842" xr:uid="{00000000-0005-0000-0000-0000060F0000}"/>
    <cellStyle name="Normal 2 4 2 3 3 5 2 2" xfId="8064" xr:uid="{00000000-0005-0000-0000-0000070F0000}"/>
    <cellStyle name="Normal 2 4 2 3 3 5 3" xfId="5919" xr:uid="{00000000-0005-0000-0000-0000080F0000}"/>
    <cellStyle name="Normal 2 4 2 3 3 6" xfId="2026" xr:uid="{00000000-0005-0000-0000-0000090F0000}"/>
    <cellStyle name="Normal 2 4 2 3 3 6 2" xfId="4255" xr:uid="{00000000-0005-0000-0000-00000A0F0000}"/>
    <cellStyle name="Normal 2 4 2 3 3 6 2 2" xfId="8477" xr:uid="{00000000-0005-0000-0000-00000B0F0000}"/>
    <cellStyle name="Normal 2 4 2 3 3 6 3" xfId="6332" xr:uid="{00000000-0005-0000-0000-00000C0F0000}"/>
    <cellStyle name="Normal 2 4 2 3 3 7" xfId="2462" xr:uid="{00000000-0005-0000-0000-00000D0F0000}"/>
    <cellStyle name="Normal 2 4 2 3 3 7 2" xfId="6745" xr:uid="{00000000-0005-0000-0000-00000E0F0000}"/>
    <cellStyle name="Normal 2 4 2 3 3 8" xfId="4679"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0" xr:uid="{00000000-0005-0000-0000-0000130F0000}"/>
    <cellStyle name="Normal 2 4 2 3 4 2 3" xfId="5095" xr:uid="{00000000-0005-0000-0000-0000140F0000}"/>
    <cellStyle name="Normal 2 4 2 3 4 3" xfId="1201" xr:uid="{00000000-0005-0000-0000-0000150F0000}"/>
    <cellStyle name="Normal 2 4 2 3 4 3 2" xfId="3431" xr:uid="{00000000-0005-0000-0000-0000160F0000}"/>
    <cellStyle name="Normal 2 4 2 3 4 3 2 2" xfId="7653" xr:uid="{00000000-0005-0000-0000-0000170F0000}"/>
    <cellStyle name="Normal 2 4 2 3 4 3 3" xfId="5508" xr:uid="{00000000-0005-0000-0000-0000180F0000}"/>
    <cellStyle name="Normal 2 4 2 3 4 4" xfId="1614" xr:uid="{00000000-0005-0000-0000-0000190F0000}"/>
    <cellStyle name="Normal 2 4 2 3 4 4 2" xfId="3844" xr:uid="{00000000-0005-0000-0000-00001A0F0000}"/>
    <cellStyle name="Normal 2 4 2 3 4 4 2 2" xfId="8066" xr:uid="{00000000-0005-0000-0000-00001B0F0000}"/>
    <cellStyle name="Normal 2 4 2 3 4 4 3" xfId="5921" xr:uid="{00000000-0005-0000-0000-00001C0F0000}"/>
    <cellStyle name="Normal 2 4 2 3 4 5" xfId="2028" xr:uid="{00000000-0005-0000-0000-00001D0F0000}"/>
    <cellStyle name="Normal 2 4 2 3 4 5 2" xfId="4257" xr:uid="{00000000-0005-0000-0000-00001E0F0000}"/>
    <cellStyle name="Normal 2 4 2 3 4 5 2 2" xfId="8479" xr:uid="{00000000-0005-0000-0000-00001F0F0000}"/>
    <cellStyle name="Normal 2 4 2 3 4 5 3" xfId="6334" xr:uid="{00000000-0005-0000-0000-0000200F0000}"/>
    <cellStyle name="Normal 2 4 2 3 4 6" xfId="2464" xr:uid="{00000000-0005-0000-0000-0000210F0000}"/>
    <cellStyle name="Normal 2 4 2 3 4 6 2" xfId="6747" xr:uid="{00000000-0005-0000-0000-0000220F0000}"/>
    <cellStyle name="Normal 2 4 2 3 4 7" xfId="4681" xr:uid="{00000000-0005-0000-0000-0000230F0000}"/>
    <cellStyle name="Normal 2 4 2 3 5" xfId="772" xr:uid="{00000000-0005-0000-0000-0000240F0000}"/>
    <cellStyle name="Normal 2 4 2 3 5 2" xfId="3011" xr:uid="{00000000-0005-0000-0000-0000250F0000}"/>
    <cellStyle name="Normal 2 4 2 3 5 2 2" xfId="7233" xr:uid="{00000000-0005-0000-0000-0000260F0000}"/>
    <cellStyle name="Normal 2 4 2 3 5 3" xfId="5088" xr:uid="{00000000-0005-0000-0000-0000270F0000}"/>
    <cellStyle name="Normal 2 4 2 3 6" xfId="1194" xr:uid="{00000000-0005-0000-0000-0000280F0000}"/>
    <cellStyle name="Normal 2 4 2 3 6 2" xfId="3424" xr:uid="{00000000-0005-0000-0000-0000290F0000}"/>
    <cellStyle name="Normal 2 4 2 3 6 2 2" xfId="7646" xr:uid="{00000000-0005-0000-0000-00002A0F0000}"/>
    <cellStyle name="Normal 2 4 2 3 6 3" xfId="5501" xr:uid="{00000000-0005-0000-0000-00002B0F0000}"/>
    <cellStyle name="Normal 2 4 2 3 7" xfId="1607" xr:uid="{00000000-0005-0000-0000-00002C0F0000}"/>
    <cellStyle name="Normal 2 4 2 3 7 2" xfId="3837" xr:uid="{00000000-0005-0000-0000-00002D0F0000}"/>
    <cellStyle name="Normal 2 4 2 3 7 2 2" xfId="8059" xr:uid="{00000000-0005-0000-0000-00002E0F0000}"/>
    <cellStyle name="Normal 2 4 2 3 7 3" xfId="5914" xr:uid="{00000000-0005-0000-0000-00002F0F0000}"/>
    <cellStyle name="Normal 2 4 2 3 8" xfId="2021" xr:uid="{00000000-0005-0000-0000-0000300F0000}"/>
    <cellStyle name="Normal 2 4 2 3 8 2" xfId="4250" xr:uid="{00000000-0005-0000-0000-0000310F0000}"/>
    <cellStyle name="Normal 2 4 2 3 8 2 2" xfId="8472" xr:uid="{00000000-0005-0000-0000-0000320F0000}"/>
    <cellStyle name="Normal 2 4 2 3 8 3" xfId="6327" xr:uid="{00000000-0005-0000-0000-0000330F0000}"/>
    <cellStyle name="Normal 2 4 2 3 9" xfId="2457" xr:uid="{00000000-0005-0000-0000-0000340F0000}"/>
    <cellStyle name="Normal 2 4 2 3 9 2" xfId="6740"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3" xr:uid="{00000000-0005-0000-0000-00003B0F0000}"/>
    <cellStyle name="Normal 2 4 2 4 2 2 2 3" xfId="5098" xr:uid="{00000000-0005-0000-0000-00003C0F0000}"/>
    <cellStyle name="Normal 2 4 2 4 2 2 3" xfId="1204" xr:uid="{00000000-0005-0000-0000-00003D0F0000}"/>
    <cellStyle name="Normal 2 4 2 4 2 2 3 2" xfId="3434" xr:uid="{00000000-0005-0000-0000-00003E0F0000}"/>
    <cellStyle name="Normal 2 4 2 4 2 2 3 2 2" xfId="7656" xr:uid="{00000000-0005-0000-0000-00003F0F0000}"/>
    <cellStyle name="Normal 2 4 2 4 2 2 3 3" xfId="5511" xr:uid="{00000000-0005-0000-0000-0000400F0000}"/>
    <cellStyle name="Normal 2 4 2 4 2 2 4" xfId="1617" xr:uid="{00000000-0005-0000-0000-0000410F0000}"/>
    <cellStyle name="Normal 2 4 2 4 2 2 4 2" xfId="3847" xr:uid="{00000000-0005-0000-0000-0000420F0000}"/>
    <cellStyle name="Normal 2 4 2 4 2 2 4 2 2" xfId="8069" xr:uid="{00000000-0005-0000-0000-0000430F0000}"/>
    <cellStyle name="Normal 2 4 2 4 2 2 4 3" xfId="5924" xr:uid="{00000000-0005-0000-0000-0000440F0000}"/>
    <cellStyle name="Normal 2 4 2 4 2 2 5" xfId="2031" xr:uid="{00000000-0005-0000-0000-0000450F0000}"/>
    <cellStyle name="Normal 2 4 2 4 2 2 5 2" xfId="4260" xr:uid="{00000000-0005-0000-0000-0000460F0000}"/>
    <cellStyle name="Normal 2 4 2 4 2 2 5 2 2" xfId="8482" xr:uid="{00000000-0005-0000-0000-0000470F0000}"/>
    <cellStyle name="Normal 2 4 2 4 2 2 5 3" xfId="6337" xr:uid="{00000000-0005-0000-0000-0000480F0000}"/>
    <cellStyle name="Normal 2 4 2 4 2 2 6" xfId="2467" xr:uid="{00000000-0005-0000-0000-0000490F0000}"/>
    <cellStyle name="Normal 2 4 2 4 2 2 6 2" xfId="6750" xr:uid="{00000000-0005-0000-0000-00004A0F0000}"/>
    <cellStyle name="Normal 2 4 2 4 2 2 7" xfId="4684" xr:uid="{00000000-0005-0000-0000-00004B0F0000}"/>
    <cellStyle name="Normal 2 4 2 4 2 3" xfId="781" xr:uid="{00000000-0005-0000-0000-00004C0F0000}"/>
    <cellStyle name="Normal 2 4 2 4 2 3 2" xfId="3020" xr:uid="{00000000-0005-0000-0000-00004D0F0000}"/>
    <cellStyle name="Normal 2 4 2 4 2 3 2 2" xfId="7242" xr:uid="{00000000-0005-0000-0000-00004E0F0000}"/>
    <cellStyle name="Normal 2 4 2 4 2 3 3" xfId="5097" xr:uid="{00000000-0005-0000-0000-00004F0F0000}"/>
    <cellStyle name="Normal 2 4 2 4 2 4" xfId="1203" xr:uid="{00000000-0005-0000-0000-0000500F0000}"/>
    <cellStyle name="Normal 2 4 2 4 2 4 2" xfId="3433" xr:uid="{00000000-0005-0000-0000-0000510F0000}"/>
    <cellStyle name="Normal 2 4 2 4 2 4 2 2" xfId="7655" xr:uid="{00000000-0005-0000-0000-0000520F0000}"/>
    <cellStyle name="Normal 2 4 2 4 2 4 3" xfId="5510" xr:uid="{00000000-0005-0000-0000-0000530F0000}"/>
    <cellStyle name="Normal 2 4 2 4 2 5" xfId="1616" xr:uid="{00000000-0005-0000-0000-0000540F0000}"/>
    <cellStyle name="Normal 2 4 2 4 2 5 2" xfId="3846" xr:uid="{00000000-0005-0000-0000-0000550F0000}"/>
    <cellStyle name="Normal 2 4 2 4 2 5 2 2" xfId="8068" xr:uid="{00000000-0005-0000-0000-0000560F0000}"/>
    <cellStyle name="Normal 2 4 2 4 2 5 3" xfId="5923" xr:uid="{00000000-0005-0000-0000-0000570F0000}"/>
    <cellStyle name="Normal 2 4 2 4 2 6" xfId="2030" xr:uid="{00000000-0005-0000-0000-0000580F0000}"/>
    <cellStyle name="Normal 2 4 2 4 2 6 2" xfId="4259" xr:uid="{00000000-0005-0000-0000-0000590F0000}"/>
    <cellStyle name="Normal 2 4 2 4 2 6 2 2" xfId="8481" xr:uid="{00000000-0005-0000-0000-00005A0F0000}"/>
    <cellStyle name="Normal 2 4 2 4 2 6 3" xfId="6336" xr:uid="{00000000-0005-0000-0000-00005B0F0000}"/>
    <cellStyle name="Normal 2 4 2 4 2 7" xfId="2466" xr:uid="{00000000-0005-0000-0000-00005C0F0000}"/>
    <cellStyle name="Normal 2 4 2 4 2 7 2" xfId="6749" xr:uid="{00000000-0005-0000-0000-00005D0F0000}"/>
    <cellStyle name="Normal 2 4 2 4 2 8" xfId="4683"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4" xr:uid="{00000000-0005-0000-0000-0000620F0000}"/>
    <cellStyle name="Normal 2 4 2 4 3 2 3" xfId="5099" xr:uid="{00000000-0005-0000-0000-0000630F0000}"/>
    <cellStyle name="Normal 2 4 2 4 3 3" xfId="1205" xr:uid="{00000000-0005-0000-0000-0000640F0000}"/>
    <cellStyle name="Normal 2 4 2 4 3 3 2" xfId="3435" xr:uid="{00000000-0005-0000-0000-0000650F0000}"/>
    <cellStyle name="Normal 2 4 2 4 3 3 2 2" xfId="7657" xr:uid="{00000000-0005-0000-0000-0000660F0000}"/>
    <cellStyle name="Normal 2 4 2 4 3 3 3" xfId="5512" xr:uid="{00000000-0005-0000-0000-0000670F0000}"/>
    <cellStyle name="Normal 2 4 2 4 3 4" xfId="1618" xr:uid="{00000000-0005-0000-0000-0000680F0000}"/>
    <cellStyle name="Normal 2 4 2 4 3 4 2" xfId="3848" xr:uid="{00000000-0005-0000-0000-0000690F0000}"/>
    <cellStyle name="Normal 2 4 2 4 3 4 2 2" xfId="8070" xr:uid="{00000000-0005-0000-0000-00006A0F0000}"/>
    <cellStyle name="Normal 2 4 2 4 3 4 3" xfId="5925" xr:uid="{00000000-0005-0000-0000-00006B0F0000}"/>
    <cellStyle name="Normal 2 4 2 4 3 5" xfId="2032" xr:uid="{00000000-0005-0000-0000-00006C0F0000}"/>
    <cellStyle name="Normal 2 4 2 4 3 5 2" xfId="4261" xr:uid="{00000000-0005-0000-0000-00006D0F0000}"/>
    <cellStyle name="Normal 2 4 2 4 3 5 2 2" xfId="8483" xr:uid="{00000000-0005-0000-0000-00006E0F0000}"/>
    <cellStyle name="Normal 2 4 2 4 3 5 3" xfId="6338" xr:uid="{00000000-0005-0000-0000-00006F0F0000}"/>
    <cellStyle name="Normal 2 4 2 4 3 6" xfId="2468" xr:uid="{00000000-0005-0000-0000-0000700F0000}"/>
    <cellStyle name="Normal 2 4 2 4 3 6 2" xfId="6751" xr:uid="{00000000-0005-0000-0000-0000710F0000}"/>
    <cellStyle name="Normal 2 4 2 4 3 7" xfId="4685" xr:uid="{00000000-0005-0000-0000-0000720F0000}"/>
    <cellStyle name="Normal 2 4 2 4 4" xfId="780" xr:uid="{00000000-0005-0000-0000-0000730F0000}"/>
    <cellStyle name="Normal 2 4 2 4 4 2" xfId="3019" xr:uid="{00000000-0005-0000-0000-0000740F0000}"/>
    <cellStyle name="Normal 2 4 2 4 4 2 2" xfId="7241" xr:uid="{00000000-0005-0000-0000-0000750F0000}"/>
    <cellStyle name="Normal 2 4 2 4 4 3" xfId="5096" xr:uid="{00000000-0005-0000-0000-0000760F0000}"/>
    <cellStyle name="Normal 2 4 2 4 5" xfId="1202" xr:uid="{00000000-0005-0000-0000-0000770F0000}"/>
    <cellStyle name="Normal 2 4 2 4 5 2" xfId="3432" xr:uid="{00000000-0005-0000-0000-0000780F0000}"/>
    <cellStyle name="Normal 2 4 2 4 5 2 2" xfId="7654" xr:uid="{00000000-0005-0000-0000-0000790F0000}"/>
    <cellStyle name="Normal 2 4 2 4 5 3" xfId="5509" xr:uid="{00000000-0005-0000-0000-00007A0F0000}"/>
    <cellStyle name="Normal 2 4 2 4 6" xfId="1615" xr:uid="{00000000-0005-0000-0000-00007B0F0000}"/>
    <cellStyle name="Normal 2 4 2 4 6 2" xfId="3845" xr:uid="{00000000-0005-0000-0000-00007C0F0000}"/>
    <cellStyle name="Normal 2 4 2 4 6 2 2" xfId="8067" xr:uid="{00000000-0005-0000-0000-00007D0F0000}"/>
    <cellStyle name="Normal 2 4 2 4 6 3" xfId="5922" xr:uid="{00000000-0005-0000-0000-00007E0F0000}"/>
    <cellStyle name="Normal 2 4 2 4 7" xfId="2029" xr:uid="{00000000-0005-0000-0000-00007F0F0000}"/>
    <cellStyle name="Normal 2 4 2 4 7 2" xfId="4258" xr:uid="{00000000-0005-0000-0000-0000800F0000}"/>
    <cellStyle name="Normal 2 4 2 4 7 2 2" xfId="8480" xr:uid="{00000000-0005-0000-0000-0000810F0000}"/>
    <cellStyle name="Normal 2 4 2 4 7 3" xfId="6335" xr:uid="{00000000-0005-0000-0000-0000820F0000}"/>
    <cellStyle name="Normal 2 4 2 4 8" xfId="2465" xr:uid="{00000000-0005-0000-0000-0000830F0000}"/>
    <cellStyle name="Normal 2 4 2 4 8 2" xfId="6748" xr:uid="{00000000-0005-0000-0000-0000840F0000}"/>
    <cellStyle name="Normal 2 4 2 4 9" xfId="4682"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6" xr:uid="{00000000-0005-0000-0000-00008A0F0000}"/>
    <cellStyle name="Normal 2 4 2 5 2 2 3" xfId="5101" xr:uid="{00000000-0005-0000-0000-00008B0F0000}"/>
    <cellStyle name="Normal 2 4 2 5 2 3" xfId="1207" xr:uid="{00000000-0005-0000-0000-00008C0F0000}"/>
    <cellStyle name="Normal 2 4 2 5 2 3 2" xfId="3437" xr:uid="{00000000-0005-0000-0000-00008D0F0000}"/>
    <cellStyle name="Normal 2 4 2 5 2 3 2 2" xfId="7659" xr:uid="{00000000-0005-0000-0000-00008E0F0000}"/>
    <cellStyle name="Normal 2 4 2 5 2 3 3" xfId="5514" xr:uid="{00000000-0005-0000-0000-00008F0F0000}"/>
    <cellStyle name="Normal 2 4 2 5 2 4" xfId="1620" xr:uid="{00000000-0005-0000-0000-0000900F0000}"/>
    <cellStyle name="Normal 2 4 2 5 2 4 2" xfId="3850" xr:uid="{00000000-0005-0000-0000-0000910F0000}"/>
    <cellStyle name="Normal 2 4 2 5 2 4 2 2" xfId="8072" xr:uid="{00000000-0005-0000-0000-0000920F0000}"/>
    <cellStyle name="Normal 2 4 2 5 2 4 3" xfId="5927" xr:uid="{00000000-0005-0000-0000-0000930F0000}"/>
    <cellStyle name="Normal 2 4 2 5 2 5" xfId="2034" xr:uid="{00000000-0005-0000-0000-0000940F0000}"/>
    <cellStyle name="Normal 2 4 2 5 2 5 2" xfId="4263" xr:uid="{00000000-0005-0000-0000-0000950F0000}"/>
    <cellStyle name="Normal 2 4 2 5 2 5 2 2" xfId="8485" xr:uid="{00000000-0005-0000-0000-0000960F0000}"/>
    <cellStyle name="Normal 2 4 2 5 2 5 3" xfId="6340" xr:uid="{00000000-0005-0000-0000-0000970F0000}"/>
    <cellStyle name="Normal 2 4 2 5 2 6" xfId="2470" xr:uid="{00000000-0005-0000-0000-0000980F0000}"/>
    <cellStyle name="Normal 2 4 2 5 2 6 2" xfId="6753" xr:uid="{00000000-0005-0000-0000-0000990F0000}"/>
    <cellStyle name="Normal 2 4 2 5 2 7" xfId="4687" xr:uid="{00000000-0005-0000-0000-00009A0F0000}"/>
    <cellStyle name="Normal 2 4 2 5 3" xfId="784" xr:uid="{00000000-0005-0000-0000-00009B0F0000}"/>
    <cellStyle name="Normal 2 4 2 5 3 2" xfId="3023" xr:uid="{00000000-0005-0000-0000-00009C0F0000}"/>
    <cellStyle name="Normal 2 4 2 5 3 2 2" xfId="7245" xr:uid="{00000000-0005-0000-0000-00009D0F0000}"/>
    <cellStyle name="Normal 2 4 2 5 3 3" xfId="5100" xr:uid="{00000000-0005-0000-0000-00009E0F0000}"/>
    <cellStyle name="Normal 2 4 2 5 4" xfId="1206" xr:uid="{00000000-0005-0000-0000-00009F0F0000}"/>
    <cellStyle name="Normal 2 4 2 5 4 2" xfId="3436" xr:uid="{00000000-0005-0000-0000-0000A00F0000}"/>
    <cellStyle name="Normal 2 4 2 5 4 2 2" xfId="7658" xr:uid="{00000000-0005-0000-0000-0000A10F0000}"/>
    <cellStyle name="Normal 2 4 2 5 4 3" xfId="5513" xr:uid="{00000000-0005-0000-0000-0000A20F0000}"/>
    <cellStyle name="Normal 2 4 2 5 5" xfId="1619" xr:uid="{00000000-0005-0000-0000-0000A30F0000}"/>
    <cellStyle name="Normal 2 4 2 5 5 2" xfId="3849" xr:uid="{00000000-0005-0000-0000-0000A40F0000}"/>
    <cellStyle name="Normal 2 4 2 5 5 2 2" xfId="8071" xr:uid="{00000000-0005-0000-0000-0000A50F0000}"/>
    <cellStyle name="Normal 2 4 2 5 5 3" xfId="5926" xr:uid="{00000000-0005-0000-0000-0000A60F0000}"/>
    <cellStyle name="Normal 2 4 2 5 6" xfId="2033" xr:uid="{00000000-0005-0000-0000-0000A70F0000}"/>
    <cellStyle name="Normal 2 4 2 5 6 2" xfId="4262" xr:uid="{00000000-0005-0000-0000-0000A80F0000}"/>
    <cellStyle name="Normal 2 4 2 5 6 2 2" xfId="8484" xr:uid="{00000000-0005-0000-0000-0000A90F0000}"/>
    <cellStyle name="Normal 2 4 2 5 6 3" xfId="6339" xr:uid="{00000000-0005-0000-0000-0000AA0F0000}"/>
    <cellStyle name="Normal 2 4 2 5 7" xfId="2469" xr:uid="{00000000-0005-0000-0000-0000AB0F0000}"/>
    <cellStyle name="Normal 2 4 2 5 7 2" xfId="6752" xr:uid="{00000000-0005-0000-0000-0000AC0F0000}"/>
    <cellStyle name="Normal 2 4 2 5 8" xfId="4686"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7" xr:uid="{00000000-0005-0000-0000-0000B10F0000}"/>
    <cellStyle name="Normal 2 4 2 6 2 3" xfId="5102" xr:uid="{00000000-0005-0000-0000-0000B20F0000}"/>
    <cellStyle name="Normal 2 4 2 6 3" xfId="1208" xr:uid="{00000000-0005-0000-0000-0000B30F0000}"/>
    <cellStyle name="Normal 2 4 2 6 3 2" xfId="3438" xr:uid="{00000000-0005-0000-0000-0000B40F0000}"/>
    <cellStyle name="Normal 2 4 2 6 3 2 2" xfId="7660" xr:uid="{00000000-0005-0000-0000-0000B50F0000}"/>
    <cellStyle name="Normal 2 4 2 6 3 3" xfId="5515" xr:uid="{00000000-0005-0000-0000-0000B60F0000}"/>
    <cellStyle name="Normal 2 4 2 6 4" xfId="1621" xr:uid="{00000000-0005-0000-0000-0000B70F0000}"/>
    <cellStyle name="Normal 2 4 2 6 4 2" xfId="3851" xr:uid="{00000000-0005-0000-0000-0000B80F0000}"/>
    <cellStyle name="Normal 2 4 2 6 4 2 2" xfId="8073" xr:uid="{00000000-0005-0000-0000-0000B90F0000}"/>
    <cellStyle name="Normal 2 4 2 6 4 3" xfId="5928" xr:uid="{00000000-0005-0000-0000-0000BA0F0000}"/>
    <cellStyle name="Normal 2 4 2 6 5" xfId="2035" xr:uid="{00000000-0005-0000-0000-0000BB0F0000}"/>
    <cellStyle name="Normal 2 4 2 6 5 2" xfId="4264" xr:uid="{00000000-0005-0000-0000-0000BC0F0000}"/>
    <cellStyle name="Normal 2 4 2 6 5 2 2" xfId="8486" xr:uid="{00000000-0005-0000-0000-0000BD0F0000}"/>
    <cellStyle name="Normal 2 4 2 6 5 3" xfId="6341" xr:uid="{00000000-0005-0000-0000-0000BE0F0000}"/>
    <cellStyle name="Normal 2 4 2 6 6" xfId="2471" xr:uid="{00000000-0005-0000-0000-0000BF0F0000}"/>
    <cellStyle name="Normal 2 4 2 6 6 2" xfId="6754" xr:uid="{00000000-0005-0000-0000-0000C00F0000}"/>
    <cellStyle name="Normal 2 4 2 6 7" xfId="4688" xr:uid="{00000000-0005-0000-0000-0000C10F0000}"/>
    <cellStyle name="Normal 2 4 2 7" xfId="771" xr:uid="{00000000-0005-0000-0000-0000C20F0000}"/>
    <cellStyle name="Normal 2 4 2 7 2" xfId="3010" xr:uid="{00000000-0005-0000-0000-0000C30F0000}"/>
    <cellStyle name="Normal 2 4 2 7 2 2" xfId="7232" xr:uid="{00000000-0005-0000-0000-0000C40F0000}"/>
    <cellStyle name="Normal 2 4 2 7 3" xfId="5087" xr:uid="{00000000-0005-0000-0000-0000C50F0000}"/>
    <cellStyle name="Normal 2 4 2 8" xfId="1193" xr:uid="{00000000-0005-0000-0000-0000C60F0000}"/>
    <cellStyle name="Normal 2 4 2 8 2" xfId="3423" xr:uid="{00000000-0005-0000-0000-0000C70F0000}"/>
    <cellStyle name="Normal 2 4 2 8 2 2" xfId="7645" xr:uid="{00000000-0005-0000-0000-0000C80F0000}"/>
    <cellStyle name="Normal 2 4 2 8 3" xfId="5500" xr:uid="{00000000-0005-0000-0000-0000C90F0000}"/>
    <cellStyle name="Normal 2 4 2 9" xfId="1606" xr:uid="{00000000-0005-0000-0000-0000CA0F0000}"/>
    <cellStyle name="Normal 2 4 2 9 2" xfId="3836" xr:uid="{00000000-0005-0000-0000-0000CB0F0000}"/>
    <cellStyle name="Normal 2 4 2 9 2 2" xfId="8058" xr:uid="{00000000-0005-0000-0000-0000CC0F0000}"/>
    <cellStyle name="Normal 2 4 2 9 3" xfId="5913"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1" xr:uid="{00000000-0005-0000-0000-0000D50F0000}"/>
    <cellStyle name="Normal 2 4 3 3 2 2 2 3" xfId="5106" xr:uid="{00000000-0005-0000-0000-0000D60F0000}"/>
    <cellStyle name="Normal 2 4 3 3 2 2 3" xfId="1212" xr:uid="{00000000-0005-0000-0000-0000D70F0000}"/>
    <cellStyle name="Normal 2 4 3 3 2 2 3 2" xfId="3442" xr:uid="{00000000-0005-0000-0000-0000D80F0000}"/>
    <cellStyle name="Normal 2 4 3 3 2 2 3 2 2" xfId="7664" xr:uid="{00000000-0005-0000-0000-0000D90F0000}"/>
    <cellStyle name="Normal 2 4 3 3 2 2 3 3" xfId="5519" xr:uid="{00000000-0005-0000-0000-0000DA0F0000}"/>
    <cellStyle name="Normal 2 4 3 3 2 2 4" xfId="1625" xr:uid="{00000000-0005-0000-0000-0000DB0F0000}"/>
    <cellStyle name="Normal 2 4 3 3 2 2 4 2" xfId="3855" xr:uid="{00000000-0005-0000-0000-0000DC0F0000}"/>
    <cellStyle name="Normal 2 4 3 3 2 2 4 2 2" xfId="8077" xr:uid="{00000000-0005-0000-0000-0000DD0F0000}"/>
    <cellStyle name="Normal 2 4 3 3 2 2 4 3" xfId="5932" xr:uid="{00000000-0005-0000-0000-0000DE0F0000}"/>
    <cellStyle name="Normal 2 4 3 3 2 2 5" xfId="2039" xr:uid="{00000000-0005-0000-0000-0000DF0F0000}"/>
    <cellStyle name="Normal 2 4 3 3 2 2 5 2" xfId="4268" xr:uid="{00000000-0005-0000-0000-0000E00F0000}"/>
    <cellStyle name="Normal 2 4 3 3 2 2 5 2 2" xfId="8490" xr:uid="{00000000-0005-0000-0000-0000E10F0000}"/>
    <cellStyle name="Normal 2 4 3 3 2 2 5 3" xfId="6345" xr:uid="{00000000-0005-0000-0000-0000E20F0000}"/>
    <cellStyle name="Normal 2 4 3 3 2 2 6" xfId="2475" xr:uid="{00000000-0005-0000-0000-0000E30F0000}"/>
    <cellStyle name="Normal 2 4 3 3 2 2 6 2" xfId="6758" xr:uid="{00000000-0005-0000-0000-0000E40F0000}"/>
    <cellStyle name="Normal 2 4 3 3 2 2 7" xfId="4692" xr:uid="{00000000-0005-0000-0000-0000E50F0000}"/>
    <cellStyle name="Normal 2 4 3 3 2 3" xfId="789" xr:uid="{00000000-0005-0000-0000-0000E60F0000}"/>
    <cellStyle name="Normal 2 4 3 3 2 3 2" xfId="3028" xr:uid="{00000000-0005-0000-0000-0000E70F0000}"/>
    <cellStyle name="Normal 2 4 3 3 2 3 2 2" xfId="7250" xr:uid="{00000000-0005-0000-0000-0000E80F0000}"/>
    <cellStyle name="Normal 2 4 3 3 2 3 3" xfId="5105" xr:uid="{00000000-0005-0000-0000-0000E90F0000}"/>
    <cellStyle name="Normal 2 4 3 3 2 4" xfId="1211" xr:uid="{00000000-0005-0000-0000-0000EA0F0000}"/>
    <cellStyle name="Normal 2 4 3 3 2 4 2" xfId="3441" xr:uid="{00000000-0005-0000-0000-0000EB0F0000}"/>
    <cellStyle name="Normal 2 4 3 3 2 4 2 2" xfId="7663" xr:uid="{00000000-0005-0000-0000-0000EC0F0000}"/>
    <cellStyle name="Normal 2 4 3 3 2 4 3" xfId="5518" xr:uid="{00000000-0005-0000-0000-0000ED0F0000}"/>
    <cellStyle name="Normal 2 4 3 3 2 5" xfId="1624" xr:uid="{00000000-0005-0000-0000-0000EE0F0000}"/>
    <cellStyle name="Normal 2 4 3 3 2 5 2" xfId="3854" xr:uid="{00000000-0005-0000-0000-0000EF0F0000}"/>
    <cellStyle name="Normal 2 4 3 3 2 5 2 2" xfId="8076" xr:uid="{00000000-0005-0000-0000-0000F00F0000}"/>
    <cellStyle name="Normal 2 4 3 3 2 5 3" xfId="5931" xr:uid="{00000000-0005-0000-0000-0000F10F0000}"/>
    <cellStyle name="Normal 2 4 3 3 2 6" xfId="2038" xr:uid="{00000000-0005-0000-0000-0000F20F0000}"/>
    <cellStyle name="Normal 2 4 3 3 2 6 2" xfId="4267" xr:uid="{00000000-0005-0000-0000-0000F30F0000}"/>
    <cellStyle name="Normal 2 4 3 3 2 6 2 2" xfId="8489" xr:uid="{00000000-0005-0000-0000-0000F40F0000}"/>
    <cellStyle name="Normal 2 4 3 3 2 6 3" xfId="6344" xr:uid="{00000000-0005-0000-0000-0000F50F0000}"/>
    <cellStyle name="Normal 2 4 3 3 2 7" xfId="2474" xr:uid="{00000000-0005-0000-0000-0000F60F0000}"/>
    <cellStyle name="Normal 2 4 3 3 2 7 2" xfId="6757" xr:uid="{00000000-0005-0000-0000-0000F70F0000}"/>
    <cellStyle name="Normal 2 4 3 3 2 8" xfId="4691"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2" xr:uid="{00000000-0005-0000-0000-0000FC0F0000}"/>
    <cellStyle name="Normal 2 4 3 3 3 2 3" xfId="5107" xr:uid="{00000000-0005-0000-0000-0000FD0F0000}"/>
    <cellStyle name="Normal 2 4 3 3 3 3" xfId="1213" xr:uid="{00000000-0005-0000-0000-0000FE0F0000}"/>
    <cellStyle name="Normal 2 4 3 3 3 3 2" xfId="3443" xr:uid="{00000000-0005-0000-0000-0000FF0F0000}"/>
    <cellStyle name="Normal 2 4 3 3 3 3 2 2" xfId="7665" xr:uid="{00000000-0005-0000-0000-000000100000}"/>
    <cellStyle name="Normal 2 4 3 3 3 3 3" xfId="5520" xr:uid="{00000000-0005-0000-0000-000001100000}"/>
    <cellStyle name="Normal 2 4 3 3 3 4" xfId="1626" xr:uid="{00000000-0005-0000-0000-000002100000}"/>
    <cellStyle name="Normal 2 4 3 3 3 4 2" xfId="3856" xr:uid="{00000000-0005-0000-0000-000003100000}"/>
    <cellStyle name="Normal 2 4 3 3 3 4 2 2" xfId="8078" xr:uid="{00000000-0005-0000-0000-000004100000}"/>
    <cellStyle name="Normal 2 4 3 3 3 4 3" xfId="5933" xr:uid="{00000000-0005-0000-0000-000005100000}"/>
    <cellStyle name="Normal 2 4 3 3 3 5" xfId="2040" xr:uid="{00000000-0005-0000-0000-000006100000}"/>
    <cellStyle name="Normal 2 4 3 3 3 5 2" xfId="4269" xr:uid="{00000000-0005-0000-0000-000007100000}"/>
    <cellStyle name="Normal 2 4 3 3 3 5 2 2" xfId="8491" xr:uid="{00000000-0005-0000-0000-000008100000}"/>
    <cellStyle name="Normal 2 4 3 3 3 5 3" xfId="6346" xr:uid="{00000000-0005-0000-0000-000009100000}"/>
    <cellStyle name="Normal 2 4 3 3 3 6" xfId="2476" xr:uid="{00000000-0005-0000-0000-00000A100000}"/>
    <cellStyle name="Normal 2 4 3 3 3 6 2" xfId="6759" xr:uid="{00000000-0005-0000-0000-00000B100000}"/>
    <cellStyle name="Normal 2 4 3 3 3 7" xfId="4693" xr:uid="{00000000-0005-0000-0000-00000C100000}"/>
    <cellStyle name="Normal 2 4 3 3 4" xfId="788" xr:uid="{00000000-0005-0000-0000-00000D100000}"/>
    <cellStyle name="Normal 2 4 3 3 4 2" xfId="3027" xr:uid="{00000000-0005-0000-0000-00000E100000}"/>
    <cellStyle name="Normal 2 4 3 3 4 2 2" xfId="7249" xr:uid="{00000000-0005-0000-0000-00000F100000}"/>
    <cellStyle name="Normal 2 4 3 3 4 3" xfId="5104" xr:uid="{00000000-0005-0000-0000-000010100000}"/>
    <cellStyle name="Normal 2 4 3 3 5" xfId="1210" xr:uid="{00000000-0005-0000-0000-000011100000}"/>
    <cellStyle name="Normal 2 4 3 3 5 2" xfId="3440" xr:uid="{00000000-0005-0000-0000-000012100000}"/>
    <cellStyle name="Normal 2 4 3 3 5 2 2" xfId="7662" xr:uid="{00000000-0005-0000-0000-000013100000}"/>
    <cellStyle name="Normal 2 4 3 3 5 3" xfId="5517" xr:uid="{00000000-0005-0000-0000-000014100000}"/>
    <cellStyle name="Normal 2 4 3 3 6" xfId="1623" xr:uid="{00000000-0005-0000-0000-000015100000}"/>
    <cellStyle name="Normal 2 4 3 3 6 2" xfId="3853" xr:uid="{00000000-0005-0000-0000-000016100000}"/>
    <cellStyle name="Normal 2 4 3 3 6 2 2" xfId="8075" xr:uid="{00000000-0005-0000-0000-000017100000}"/>
    <cellStyle name="Normal 2 4 3 3 6 3" xfId="5930" xr:uid="{00000000-0005-0000-0000-000018100000}"/>
    <cellStyle name="Normal 2 4 3 3 7" xfId="2037" xr:uid="{00000000-0005-0000-0000-000019100000}"/>
    <cellStyle name="Normal 2 4 3 3 7 2" xfId="4266" xr:uid="{00000000-0005-0000-0000-00001A100000}"/>
    <cellStyle name="Normal 2 4 3 3 7 2 2" xfId="8488" xr:uid="{00000000-0005-0000-0000-00001B100000}"/>
    <cellStyle name="Normal 2 4 3 3 7 3" xfId="6343" xr:uid="{00000000-0005-0000-0000-00001C100000}"/>
    <cellStyle name="Normal 2 4 3 3 8" xfId="2473" xr:uid="{00000000-0005-0000-0000-00001D100000}"/>
    <cellStyle name="Normal 2 4 3 3 8 2" xfId="6756" xr:uid="{00000000-0005-0000-0000-00001E100000}"/>
    <cellStyle name="Normal 2 4 3 3 9" xfId="4690" xr:uid="{00000000-0005-0000-0000-00001F100000}"/>
    <cellStyle name="Normal 2 4 3 4" xfId="787" xr:uid="{00000000-0005-0000-0000-000020100000}"/>
    <cellStyle name="Normal 2 4 3 4 2" xfId="3026" xr:uid="{00000000-0005-0000-0000-000021100000}"/>
    <cellStyle name="Normal 2 4 3 4 2 2" xfId="7248" xr:uid="{00000000-0005-0000-0000-000022100000}"/>
    <cellStyle name="Normal 2 4 3 4 3" xfId="5103" xr:uid="{00000000-0005-0000-0000-000023100000}"/>
    <cellStyle name="Normal 2 4 3 5" xfId="1209" xr:uid="{00000000-0005-0000-0000-000024100000}"/>
    <cellStyle name="Normal 2 4 3 5 2" xfId="3439" xr:uid="{00000000-0005-0000-0000-000025100000}"/>
    <cellStyle name="Normal 2 4 3 5 2 2" xfId="7661" xr:uid="{00000000-0005-0000-0000-000026100000}"/>
    <cellStyle name="Normal 2 4 3 5 3" xfId="5516" xr:uid="{00000000-0005-0000-0000-000027100000}"/>
    <cellStyle name="Normal 2 4 3 6" xfId="1622" xr:uid="{00000000-0005-0000-0000-000028100000}"/>
    <cellStyle name="Normal 2 4 3 6 2" xfId="3852" xr:uid="{00000000-0005-0000-0000-000029100000}"/>
    <cellStyle name="Normal 2 4 3 6 2 2" xfId="8074" xr:uid="{00000000-0005-0000-0000-00002A100000}"/>
    <cellStyle name="Normal 2 4 3 6 3" xfId="5929" xr:uid="{00000000-0005-0000-0000-00002B100000}"/>
    <cellStyle name="Normal 2 4 3 7" xfId="2036" xr:uid="{00000000-0005-0000-0000-00002C100000}"/>
    <cellStyle name="Normal 2 4 3 7 2" xfId="4265" xr:uid="{00000000-0005-0000-0000-00002D100000}"/>
    <cellStyle name="Normal 2 4 3 7 2 2" xfId="8487" xr:uid="{00000000-0005-0000-0000-00002E100000}"/>
    <cellStyle name="Normal 2 4 3 7 3" xfId="6342" xr:uid="{00000000-0005-0000-0000-00002F100000}"/>
    <cellStyle name="Normal 2 4 3 8" xfId="2472" xr:uid="{00000000-0005-0000-0000-000030100000}"/>
    <cellStyle name="Normal 2 4 3 8 2" xfId="6755" xr:uid="{00000000-0005-0000-0000-000031100000}"/>
    <cellStyle name="Normal 2 4 3 9" xfId="4689" xr:uid="{00000000-0005-0000-0000-000032100000}"/>
    <cellStyle name="Normal 2 4 4" xfId="302" xr:uid="{00000000-0005-0000-0000-000033100000}"/>
    <cellStyle name="Normal 2 4 5" xfId="303" xr:uid="{00000000-0005-0000-0000-000034100000}"/>
    <cellStyle name="Normal 2 4 5 10" xfId="4694"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6" xr:uid="{00000000-0005-0000-0000-00003B100000}"/>
    <cellStyle name="Normal 2 4 5 2 2 2 2 3" xfId="5111" xr:uid="{00000000-0005-0000-0000-00003C100000}"/>
    <cellStyle name="Normal 2 4 5 2 2 2 3" xfId="1217" xr:uid="{00000000-0005-0000-0000-00003D100000}"/>
    <cellStyle name="Normal 2 4 5 2 2 2 3 2" xfId="3447" xr:uid="{00000000-0005-0000-0000-00003E100000}"/>
    <cellStyle name="Normal 2 4 5 2 2 2 3 2 2" xfId="7669" xr:uid="{00000000-0005-0000-0000-00003F100000}"/>
    <cellStyle name="Normal 2 4 5 2 2 2 3 3" xfId="5524" xr:uid="{00000000-0005-0000-0000-000040100000}"/>
    <cellStyle name="Normal 2 4 5 2 2 2 4" xfId="1630" xr:uid="{00000000-0005-0000-0000-000041100000}"/>
    <cellStyle name="Normal 2 4 5 2 2 2 4 2" xfId="3860" xr:uid="{00000000-0005-0000-0000-000042100000}"/>
    <cellStyle name="Normal 2 4 5 2 2 2 4 2 2" xfId="8082" xr:uid="{00000000-0005-0000-0000-000043100000}"/>
    <cellStyle name="Normal 2 4 5 2 2 2 4 3" xfId="5937" xr:uid="{00000000-0005-0000-0000-000044100000}"/>
    <cellStyle name="Normal 2 4 5 2 2 2 5" xfId="2044" xr:uid="{00000000-0005-0000-0000-000045100000}"/>
    <cellStyle name="Normal 2 4 5 2 2 2 5 2" xfId="4273" xr:uid="{00000000-0005-0000-0000-000046100000}"/>
    <cellStyle name="Normal 2 4 5 2 2 2 5 2 2" xfId="8495" xr:uid="{00000000-0005-0000-0000-000047100000}"/>
    <cellStyle name="Normal 2 4 5 2 2 2 5 3" xfId="6350" xr:uid="{00000000-0005-0000-0000-000048100000}"/>
    <cellStyle name="Normal 2 4 5 2 2 2 6" xfId="2480" xr:uid="{00000000-0005-0000-0000-000049100000}"/>
    <cellStyle name="Normal 2 4 5 2 2 2 6 2" xfId="6763" xr:uid="{00000000-0005-0000-0000-00004A100000}"/>
    <cellStyle name="Normal 2 4 5 2 2 2 7" xfId="4697" xr:uid="{00000000-0005-0000-0000-00004B100000}"/>
    <cellStyle name="Normal 2 4 5 2 2 3" xfId="794" xr:uid="{00000000-0005-0000-0000-00004C100000}"/>
    <cellStyle name="Normal 2 4 5 2 2 3 2" xfId="3033" xr:uid="{00000000-0005-0000-0000-00004D100000}"/>
    <cellStyle name="Normal 2 4 5 2 2 3 2 2" xfId="7255" xr:uid="{00000000-0005-0000-0000-00004E100000}"/>
    <cellStyle name="Normal 2 4 5 2 2 3 3" xfId="5110" xr:uid="{00000000-0005-0000-0000-00004F100000}"/>
    <cellStyle name="Normal 2 4 5 2 2 4" xfId="1216" xr:uid="{00000000-0005-0000-0000-000050100000}"/>
    <cellStyle name="Normal 2 4 5 2 2 4 2" xfId="3446" xr:uid="{00000000-0005-0000-0000-000051100000}"/>
    <cellStyle name="Normal 2 4 5 2 2 4 2 2" xfId="7668" xr:uid="{00000000-0005-0000-0000-000052100000}"/>
    <cellStyle name="Normal 2 4 5 2 2 4 3" xfId="5523" xr:uid="{00000000-0005-0000-0000-000053100000}"/>
    <cellStyle name="Normal 2 4 5 2 2 5" xfId="1629" xr:uid="{00000000-0005-0000-0000-000054100000}"/>
    <cellStyle name="Normal 2 4 5 2 2 5 2" xfId="3859" xr:uid="{00000000-0005-0000-0000-000055100000}"/>
    <cellStyle name="Normal 2 4 5 2 2 5 2 2" xfId="8081" xr:uid="{00000000-0005-0000-0000-000056100000}"/>
    <cellStyle name="Normal 2 4 5 2 2 5 3" xfId="5936" xr:uid="{00000000-0005-0000-0000-000057100000}"/>
    <cellStyle name="Normal 2 4 5 2 2 6" xfId="2043" xr:uid="{00000000-0005-0000-0000-000058100000}"/>
    <cellStyle name="Normal 2 4 5 2 2 6 2" xfId="4272" xr:uid="{00000000-0005-0000-0000-000059100000}"/>
    <cellStyle name="Normal 2 4 5 2 2 6 2 2" xfId="8494" xr:uid="{00000000-0005-0000-0000-00005A100000}"/>
    <cellStyle name="Normal 2 4 5 2 2 6 3" xfId="6349" xr:uid="{00000000-0005-0000-0000-00005B100000}"/>
    <cellStyle name="Normal 2 4 5 2 2 7" xfId="2479" xr:uid="{00000000-0005-0000-0000-00005C100000}"/>
    <cellStyle name="Normal 2 4 5 2 2 7 2" xfId="6762" xr:uid="{00000000-0005-0000-0000-00005D100000}"/>
    <cellStyle name="Normal 2 4 5 2 2 8" xfId="4696"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7" xr:uid="{00000000-0005-0000-0000-000062100000}"/>
    <cellStyle name="Normal 2 4 5 2 3 2 3" xfId="5112" xr:uid="{00000000-0005-0000-0000-000063100000}"/>
    <cellStyle name="Normal 2 4 5 2 3 3" xfId="1218" xr:uid="{00000000-0005-0000-0000-000064100000}"/>
    <cellStyle name="Normal 2 4 5 2 3 3 2" xfId="3448" xr:uid="{00000000-0005-0000-0000-000065100000}"/>
    <cellStyle name="Normal 2 4 5 2 3 3 2 2" xfId="7670" xr:uid="{00000000-0005-0000-0000-000066100000}"/>
    <cellStyle name="Normal 2 4 5 2 3 3 3" xfId="5525" xr:uid="{00000000-0005-0000-0000-000067100000}"/>
    <cellStyle name="Normal 2 4 5 2 3 4" xfId="1631" xr:uid="{00000000-0005-0000-0000-000068100000}"/>
    <cellStyle name="Normal 2 4 5 2 3 4 2" xfId="3861" xr:uid="{00000000-0005-0000-0000-000069100000}"/>
    <cellStyle name="Normal 2 4 5 2 3 4 2 2" xfId="8083" xr:uid="{00000000-0005-0000-0000-00006A100000}"/>
    <cellStyle name="Normal 2 4 5 2 3 4 3" xfId="5938" xr:uid="{00000000-0005-0000-0000-00006B100000}"/>
    <cellStyle name="Normal 2 4 5 2 3 5" xfId="2045" xr:uid="{00000000-0005-0000-0000-00006C100000}"/>
    <cellStyle name="Normal 2 4 5 2 3 5 2" xfId="4274" xr:uid="{00000000-0005-0000-0000-00006D100000}"/>
    <cellStyle name="Normal 2 4 5 2 3 5 2 2" xfId="8496" xr:uid="{00000000-0005-0000-0000-00006E100000}"/>
    <cellStyle name="Normal 2 4 5 2 3 5 3" xfId="6351" xr:uid="{00000000-0005-0000-0000-00006F100000}"/>
    <cellStyle name="Normal 2 4 5 2 3 6" xfId="2481" xr:uid="{00000000-0005-0000-0000-000070100000}"/>
    <cellStyle name="Normal 2 4 5 2 3 6 2" xfId="6764" xr:uid="{00000000-0005-0000-0000-000071100000}"/>
    <cellStyle name="Normal 2 4 5 2 3 7" xfId="4698" xr:uid="{00000000-0005-0000-0000-000072100000}"/>
    <cellStyle name="Normal 2 4 5 2 4" xfId="793" xr:uid="{00000000-0005-0000-0000-000073100000}"/>
    <cellStyle name="Normal 2 4 5 2 4 2" xfId="3032" xr:uid="{00000000-0005-0000-0000-000074100000}"/>
    <cellStyle name="Normal 2 4 5 2 4 2 2" xfId="7254" xr:uid="{00000000-0005-0000-0000-000075100000}"/>
    <cellStyle name="Normal 2 4 5 2 4 3" xfId="5109" xr:uid="{00000000-0005-0000-0000-000076100000}"/>
    <cellStyle name="Normal 2 4 5 2 5" xfId="1215" xr:uid="{00000000-0005-0000-0000-000077100000}"/>
    <cellStyle name="Normal 2 4 5 2 5 2" xfId="3445" xr:uid="{00000000-0005-0000-0000-000078100000}"/>
    <cellStyle name="Normal 2 4 5 2 5 2 2" xfId="7667" xr:uid="{00000000-0005-0000-0000-000079100000}"/>
    <cellStyle name="Normal 2 4 5 2 5 3" xfId="5522" xr:uid="{00000000-0005-0000-0000-00007A100000}"/>
    <cellStyle name="Normal 2 4 5 2 6" xfId="1628" xr:uid="{00000000-0005-0000-0000-00007B100000}"/>
    <cellStyle name="Normal 2 4 5 2 6 2" xfId="3858" xr:uid="{00000000-0005-0000-0000-00007C100000}"/>
    <cellStyle name="Normal 2 4 5 2 6 2 2" xfId="8080" xr:uid="{00000000-0005-0000-0000-00007D100000}"/>
    <cellStyle name="Normal 2 4 5 2 6 3" xfId="5935" xr:uid="{00000000-0005-0000-0000-00007E100000}"/>
    <cellStyle name="Normal 2 4 5 2 7" xfId="2042" xr:uid="{00000000-0005-0000-0000-00007F100000}"/>
    <cellStyle name="Normal 2 4 5 2 7 2" xfId="4271" xr:uid="{00000000-0005-0000-0000-000080100000}"/>
    <cellStyle name="Normal 2 4 5 2 7 2 2" xfId="8493" xr:uid="{00000000-0005-0000-0000-000081100000}"/>
    <cellStyle name="Normal 2 4 5 2 7 3" xfId="6348" xr:uid="{00000000-0005-0000-0000-000082100000}"/>
    <cellStyle name="Normal 2 4 5 2 8" xfId="2478" xr:uid="{00000000-0005-0000-0000-000083100000}"/>
    <cellStyle name="Normal 2 4 5 2 8 2" xfId="6761" xr:uid="{00000000-0005-0000-0000-000084100000}"/>
    <cellStyle name="Normal 2 4 5 2 9" xfId="4695"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59" xr:uid="{00000000-0005-0000-0000-00008A100000}"/>
    <cellStyle name="Normal 2 4 5 3 2 2 3" xfId="5114" xr:uid="{00000000-0005-0000-0000-00008B100000}"/>
    <cellStyle name="Normal 2 4 5 3 2 3" xfId="1220" xr:uid="{00000000-0005-0000-0000-00008C100000}"/>
    <cellStyle name="Normal 2 4 5 3 2 3 2" xfId="3450" xr:uid="{00000000-0005-0000-0000-00008D100000}"/>
    <cellStyle name="Normal 2 4 5 3 2 3 2 2" xfId="7672" xr:uid="{00000000-0005-0000-0000-00008E100000}"/>
    <cellStyle name="Normal 2 4 5 3 2 3 3" xfId="5527" xr:uid="{00000000-0005-0000-0000-00008F100000}"/>
    <cellStyle name="Normal 2 4 5 3 2 4" xfId="1633" xr:uid="{00000000-0005-0000-0000-000090100000}"/>
    <cellStyle name="Normal 2 4 5 3 2 4 2" xfId="3863" xr:uid="{00000000-0005-0000-0000-000091100000}"/>
    <cellStyle name="Normal 2 4 5 3 2 4 2 2" xfId="8085" xr:uid="{00000000-0005-0000-0000-000092100000}"/>
    <cellStyle name="Normal 2 4 5 3 2 4 3" xfId="5940" xr:uid="{00000000-0005-0000-0000-000093100000}"/>
    <cellStyle name="Normal 2 4 5 3 2 5" xfId="2047" xr:uid="{00000000-0005-0000-0000-000094100000}"/>
    <cellStyle name="Normal 2 4 5 3 2 5 2" xfId="4276" xr:uid="{00000000-0005-0000-0000-000095100000}"/>
    <cellStyle name="Normal 2 4 5 3 2 5 2 2" xfId="8498" xr:uid="{00000000-0005-0000-0000-000096100000}"/>
    <cellStyle name="Normal 2 4 5 3 2 5 3" xfId="6353" xr:uid="{00000000-0005-0000-0000-000097100000}"/>
    <cellStyle name="Normal 2 4 5 3 2 6" xfId="2483" xr:uid="{00000000-0005-0000-0000-000098100000}"/>
    <cellStyle name="Normal 2 4 5 3 2 6 2" xfId="6766" xr:uid="{00000000-0005-0000-0000-000099100000}"/>
    <cellStyle name="Normal 2 4 5 3 2 7" xfId="4700" xr:uid="{00000000-0005-0000-0000-00009A100000}"/>
    <cellStyle name="Normal 2 4 5 3 3" xfId="797" xr:uid="{00000000-0005-0000-0000-00009B100000}"/>
    <cellStyle name="Normal 2 4 5 3 3 2" xfId="3036" xr:uid="{00000000-0005-0000-0000-00009C100000}"/>
    <cellStyle name="Normal 2 4 5 3 3 2 2" xfId="7258" xr:uid="{00000000-0005-0000-0000-00009D100000}"/>
    <cellStyle name="Normal 2 4 5 3 3 3" xfId="5113" xr:uid="{00000000-0005-0000-0000-00009E100000}"/>
    <cellStyle name="Normal 2 4 5 3 4" xfId="1219" xr:uid="{00000000-0005-0000-0000-00009F100000}"/>
    <cellStyle name="Normal 2 4 5 3 4 2" xfId="3449" xr:uid="{00000000-0005-0000-0000-0000A0100000}"/>
    <cellStyle name="Normal 2 4 5 3 4 2 2" xfId="7671" xr:uid="{00000000-0005-0000-0000-0000A1100000}"/>
    <cellStyle name="Normal 2 4 5 3 4 3" xfId="5526" xr:uid="{00000000-0005-0000-0000-0000A2100000}"/>
    <cellStyle name="Normal 2 4 5 3 5" xfId="1632" xr:uid="{00000000-0005-0000-0000-0000A3100000}"/>
    <cellStyle name="Normal 2 4 5 3 5 2" xfId="3862" xr:uid="{00000000-0005-0000-0000-0000A4100000}"/>
    <cellStyle name="Normal 2 4 5 3 5 2 2" xfId="8084" xr:uid="{00000000-0005-0000-0000-0000A5100000}"/>
    <cellStyle name="Normal 2 4 5 3 5 3" xfId="5939" xr:uid="{00000000-0005-0000-0000-0000A6100000}"/>
    <cellStyle name="Normal 2 4 5 3 6" xfId="2046" xr:uid="{00000000-0005-0000-0000-0000A7100000}"/>
    <cellStyle name="Normal 2 4 5 3 6 2" xfId="4275" xr:uid="{00000000-0005-0000-0000-0000A8100000}"/>
    <cellStyle name="Normal 2 4 5 3 6 2 2" xfId="8497" xr:uid="{00000000-0005-0000-0000-0000A9100000}"/>
    <cellStyle name="Normal 2 4 5 3 6 3" xfId="6352" xr:uid="{00000000-0005-0000-0000-0000AA100000}"/>
    <cellStyle name="Normal 2 4 5 3 7" xfId="2482" xr:uid="{00000000-0005-0000-0000-0000AB100000}"/>
    <cellStyle name="Normal 2 4 5 3 7 2" xfId="6765" xr:uid="{00000000-0005-0000-0000-0000AC100000}"/>
    <cellStyle name="Normal 2 4 5 3 8" xfId="4699"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0" xr:uid="{00000000-0005-0000-0000-0000B1100000}"/>
    <cellStyle name="Normal 2 4 5 4 2 3" xfId="5115" xr:uid="{00000000-0005-0000-0000-0000B2100000}"/>
    <cellStyle name="Normal 2 4 5 4 3" xfId="1221" xr:uid="{00000000-0005-0000-0000-0000B3100000}"/>
    <cellStyle name="Normal 2 4 5 4 3 2" xfId="3451" xr:uid="{00000000-0005-0000-0000-0000B4100000}"/>
    <cellStyle name="Normal 2 4 5 4 3 2 2" xfId="7673" xr:uid="{00000000-0005-0000-0000-0000B5100000}"/>
    <cellStyle name="Normal 2 4 5 4 3 3" xfId="5528" xr:uid="{00000000-0005-0000-0000-0000B6100000}"/>
    <cellStyle name="Normal 2 4 5 4 4" xfId="1634" xr:uid="{00000000-0005-0000-0000-0000B7100000}"/>
    <cellStyle name="Normal 2 4 5 4 4 2" xfId="3864" xr:uid="{00000000-0005-0000-0000-0000B8100000}"/>
    <cellStyle name="Normal 2 4 5 4 4 2 2" xfId="8086" xr:uid="{00000000-0005-0000-0000-0000B9100000}"/>
    <cellStyle name="Normal 2 4 5 4 4 3" xfId="5941" xr:uid="{00000000-0005-0000-0000-0000BA100000}"/>
    <cellStyle name="Normal 2 4 5 4 5" xfId="2048" xr:uid="{00000000-0005-0000-0000-0000BB100000}"/>
    <cellStyle name="Normal 2 4 5 4 5 2" xfId="4277" xr:uid="{00000000-0005-0000-0000-0000BC100000}"/>
    <cellStyle name="Normal 2 4 5 4 5 2 2" xfId="8499" xr:uid="{00000000-0005-0000-0000-0000BD100000}"/>
    <cellStyle name="Normal 2 4 5 4 5 3" xfId="6354" xr:uid="{00000000-0005-0000-0000-0000BE100000}"/>
    <cellStyle name="Normal 2 4 5 4 6" xfId="2484" xr:uid="{00000000-0005-0000-0000-0000BF100000}"/>
    <cellStyle name="Normal 2 4 5 4 6 2" xfId="6767" xr:uid="{00000000-0005-0000-0000-0000C0100000}"/>
    <cellStyle name="Normal 2 4 5 4 7" xfId="4701" xr:uid="{00000000-0005-0000-0000-0000C1100000}"/>
    <cellStyle name="Normal 2 4 5 5" xfId="792" xr:uid="{00000000-0005-0000-0000-0000C2100000}"/>
    <cellStyle name="Normal 2 4 5 5 2" xfId="3031" xr:uid="{00000000-0005-0000-0000-0000C3100000}"/>
    <cellStyle name="Normal 2 4 5 5 2 2" xfId="7253" xr:uid="{00000000-0005-0000-0000-0000C4100000}"/>
    <cellStyle name="Normal 2 4 5 5 3" xfId="5108" xr:uid="{00000000-0005-0000-0000-0000C5100000}"/>
    <cellStyle name="Normal 2 4 5 6" xfId="1214" xr:uid="{00000000-0005-0000-0000-0000C6100000}"/>
    <cellStyle name="Normal 2 4 5 6 2" xfId="3444" xr:uid="{00000000-0005-0000-0000-0000C7100000}"/>
    <cellStyle name="Normal 2 4 5 6 2 2" xfId="7666" xr:uid="{00000000-0005-0000-0000-0000C8100000}"/>
    <cellStyle name="Normal 2 4 5 6 3" xfId="5521" xr:uid="{00000000-0005-0000-0000-0000C9100000}"/>
    <cellStyle name="Normal 2 4 5 7" xfId="1627" xr:uid="{00000000-0005-0000-0000-0000CA100000}"/>
    <cellStyle name="Normal 2 4 5 7 2" xfId="3857" xr:uid="{00000000-0005-0000-0000-0000CB100000}"/>
    <cellStyle name="Normal 2 4 5 7 2 2" xfId="8079" xr:uid="{00000000-0005-0000-0000-0000CC100000}"/>
    <cellStyle name="Normal 2 4 5 7 3" xfId="5934" xr:uid="{00000000-0005-0000-0000-0000CD100000}"/>
    <cellStyle name="Normal 2 4 5 8" xfId="2041" xr:uid="{00000000-0005-0000-0000-0000CE100000}"/>
    <cellStyle name="Normal 2 4 5 8 2" xfId="4270" xr:uid="{00000000-0005-0000-0000-0000CF100000}"/>
    <cellStyle name="Normal 2 4 5 8 2 2" xfId="8492" xr:uid="{00000000-0005-0000-0000-0000D0100000}"/>
    <cellStyle name="Normal 2 4 5 8 3" xfId="6347" xr:uid="{00000000-0005-0000-0000-0000D1100000}"/>
    <cellStyle name="Normal 2 4 5 9" xfId="2477" xr:uid="{00000000-0005-0000-0000-0000D2100000}"/>
    <cellStyle name="Normal 2 4 5 9 2" xfId="6760"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2" xr:uid="{00000000-0005-0000-0000-0000D9100000}"/>
    <cellStyle name="Normal 2 4 7 2 2 3" xfId="5117" xr:uid="{00000000-0005-0000-0000-0000DA100000}"/>
    <cellStyle name="Normal 2 4 7 2 3" xfId="1223" xr:uid="{00000000-0005-0000-0000-0000DB100000}"/>
    <cellStyle name="Normal 2 4 7 2 3 2" xfId="3453" xr:uid="{00000000-0005-0000-0000-0000DC100000}"/>
    <cellStyle name="Normal 2 4 7 2 3 2 2" xfId="7675" xr:uid="{00000000-0005-0000-0000-0000DD100000}"/>
    <cellStyle name="Normal 2 4 7 2 3 3" xfId="5530" xr:uid="{00000000-0005-0000-0000-0000DE100000}"/>
    <cellStyle name="Normal 2 4 7 2 4" xfId="1636" xr:uid="{00000000-0005-0000-0000-0000DF100000}"/>
    <cellStyle name="Normal 2 4 7 2 4 2" xfId="3866" xr:uid="{00000000-0005-0000-0000-0000E0100000}"/>
    <cellStyle name="Normal 2 4 7 2 4 2 2" xfId="8088" xr:uid="{00000000-0005-0000-0000-0000E1100000}"/>
    <cellStyle name="Normal 2 4 7 2 4 3" xfId="5943" xr:uid="{00000000-0005-0000-0000-0000E2100000}"/>
    <cellStyle name="Normal 2 4 7 2 5" xfId="2050" xr:uid="{00000000-0005-0000-0000-0000E3100000}"/>
    <cellStyle name="Normal 2 4 7 2 5 2" xfId="4279" xr:uid="{00000000-0005-0000-0000-0000E4100000}"/>
    <cellStyle name="Normal 2 4 7 2 5 2 2" xfId="8501" xr:uid="{00000000-0005-0000-0000-0000E5100000}"/>
    <cellStyle name="Normal 2 4 7 2 5 3" xfId="6356" xr:uid="{00000000-0005-0000-0000-0000E6100000}"/>
    <cellStyle name="Normal 2 4 7 2 6" xfId="2486" xr:uid="{00000000-0005-0000-0000-0000E7100000}"/>
    <cellStyle name="Normal 2 4 7 2 6 2" xfId="6769" xr:uid="{00000000-0005-0000-0000-0000E8100000}"/>
    <cellStyle name="Normal 2 4 7 2 7" xfId="4703" xr:uid="{00000000-0005-0000-0000-0000E9100000}"/>
    <cellStyle name="Normal 2 4 7 3" xfId="800" xr:uid="{00000000-0005-0000-0000-0000EA100000}"/>
    <cellStyle name="Normal 2 4 7 3 2" xfId="3039" xr:uid="{00000000-0005-0000-0000-0000EB100000}"/>
    <cellStyle name="Normal 2 4 7 3 2 2" xfId="7261" xr:uid="{00000000-0005-0000-0000-0000EC100000}"/>
    <cellStyle name="Normal 2 4 7 3 3" xfId="5116" xr:uid="{00000000-0005-0000-0000-0000ED100000}"/>
    <cellStyle name="Normal 2 4 7 4" xfId="1222" xr:uid="{00000000-0005-0000-0000-0000EE100000}"/>
    <cellStyle name="Normal 2 4 7 4 2" xfId="3452" xr:uid="{00000000-0005-0000-0000-0000EF100000}"/>
    <cellStyle name="Normal 2 4 7 4 2 2" xfId="7674" xr:uid="{00000000-0005-0000-0000-0000F0100000}"/>
    <cellStyle name="Normal 2 4 7 4 3" xfId="5529" xr:uid="{00000000-0005-0000-0000-0000F1100000}"/>
    <cellStyle name="Normal 2 4 7 5" xfId="1635" xr:uid="{00000000-0005-0000-0000-0000F2100000}"/>
    <cellStyle name="Normal 2 4 7 5 2" xfId="3865" xr:uid="{00000000-0005-0000-0000-0000F3100000}"/>
    <cellStyle name="Normal 2 4 7 5 2 2" xfId="8087" xr:uid="{00000000-0005-0000-0000-0000F4100000}"/>
    <cellStyle name="Normal 2 4 7 5 3" xfId="5942" xr:uid="{00000000-0005-0000-0000-0000F5100000}"/>
    <cellStyle name="Normal 2 4 7 6" xfId="2049" xr:uid="{00000000-0005-0000-0000-0000F6100000}"/>
    <cellStyle name="Normal 2 4 7 6 2" xfId="4278" xr:uid="{00000000-0005-0000-0000-0000F7100000}"/>
    <cellStyle name="Normal 2 4 7 6 2 2" xfId="8500" xr:uid="{00000000-0005-0000-0000-0000F8100000}"/>
    <cellStyle name="Normal 2 4 7 6 3" xfId="6355" xr:uid="{00000000-0005-0000-0000-0000F9100000}"/>
    <cellStyle name="Normal 2 4 7 7" xfId="2485" xr:uid="{00000000-0005-0000-0000-0000FA100000}"/>
    <cellStyle name="Normal 2 4 7 7 2" xfId="6768" xr:uid="{00000000-0005-0000-0000-0000FB100000}"/>
    <cellStyle name="Normal 2 4 7 8" xfId="4702"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3" xr:uid="{00000000-0005-0000-0000-000000110000}"/>
    <cellStyle name="Normal 2 4 8 2 3" xfId="5118" xr:uid="{00000000-0005-0000-0000-000001110000}"/>
    <cellStyle name="Normal 2 4 8 3" xfId="1224" xr:uid="{00000000-0005-0000-0000-000002110000}"/>
    <cellStyle name="Normal 2 4 8 3 2" xfId="3454" xr:uid="{00000000-0005-0000-0000-000003110000}"/>
    <cellStyle name="Normal 2 4 8 3 2 2" xfId="7676" xr:uid="{00000000-0005-0000-0000-000004110000}"/>
    <cellStyle name="Normal 2 4 8 3 3" xfId="5531" xr:uid="{00000000-0005-0000-0000-000005110000}"/>
    <cellStyle name="Normal 2 4 8 4" xfId="1637" xr:uid="{00000000-0005-0000-0000-000006110000}"/>
    <cellStyle name="Normal 2 4 8 4 2" xfId="3867" xr:uid="{00000000-0005-0000-0000-000007110000}"/>
    <cellStyle name="Normal 2 4 8 4 2 2" xfId="8089" xr:uid="{00000000-0005-0000-0000-000008110000}"/>
    <cellStyle name="Normal 2 4 8 4 3" xfId="5944" xr:uid="{00000000-0005-0000-0000-000009110000}"/>
    <cellStyle name="Normal 2 4 8 5" xfId="2051" xr:uid="{00000000-0005-0000-0000-00000A110000}"/>
    <cellStyle name="Normal 2 4 8 5 2" xfId="4280" xr:uid="{00000000-0005-0000-0000-00000B110000}"/>
    <cellStyle name="Normal 2 4 8 5 2 2" xfId="8502" xr:uid="{00000000-0005-0000-0000-00000C110000}"/>
    <cellStyle name="Normal 2 4 8 5 3" xfId="6357" xr:uid="{00000000-0005-0000-0000-00000D110000}"/>
    <cellStyle name="Normal 2 4 8 6" xfId="2487" xr:uid="{00000000-0005-0000-0000-00000E110000}"/>
    <cellStyle name="Normal 2 4 8 6 2" xfId="6770" xr:uid="{00000000-0005-0000-0000-00000F110000}"/>
    <cellStyle name="Normal 2 4 8 7" xfId="4704" xr:uid="{00000000-0005-0000-0000-000010110000}"/>
    <cellStyle name="Normal 2 5" xfId="315" xr:uid="{00000000-0005-0000-0000-000011110000}"/>
    <cellStyle name="Normal 2 5 10" xfId="4705"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7" xr:uid="{00000000-0005-0000-0000-00001A110000}"/>
    <cellStyle name="Normal 2 5 4 2 2 2 3" xfId="5122" xr:uid="{00000000-0005-0000-0000-00001B110000}"/>
    <cellStyle name="Normal 2 5 4 2 2 3" xfId="1228" xr:uid="{00000000-0005-0000-0000-00001C110000}"/>
    <cellStyle name="Normal 2 5 4 2 2 3 2" xfId="3458" xr:uid="{00000000-0005-0000-0000-00001D110000}"/>
    <cellStyle name="Normal 2 5 4 2 2 3 2 2" xfId="7680" xr:uid="{00000000-0005-0000-0000-00001E110000}"/>
    <cellStyle name="Normal 2 5 4 2 2 3 3" xfId="5535" xr:uid="{00000000-0005-0000-0000-00001F110000}"/>
    <cellStyle name="Normal 2 5 4 2 2 4" xfId="1641" xr:uid="{00000000-0005-0000-0000-000020110000}"/>
    <cellStyle name="Normal 2 5 4 2 2 4 2" xfId="3871" xr:uid="{00000000-0005-0000-0000-000021110000}"/>
    <cellStyle name="Normal 2 5 4 2 2 4 2 2" xfId="8093" xr:uid="{00000000-0005-0000-0000-000022110000}"/>
    <cellStyle name="Normal 2 5 4 2 2 4 3" xfId="5948" xr:uid="{00000000-0005-0000-0000-000023110000}"/>
    <cellStyle name="Normal 2 5 4 2 2 5" xfId="2055" xr:uid="{00000000-0005-0000-0000-000024110000}"/>
    <cellStyle name="Normal 2 5 4 2 2 5 2" xfId="4284" xr:uid="{00000000-0005-0000-0000-000025110000}"/>
    <cellStyle name="Normal 2 5 4 2 2 5 2 2" xfId="8506" xr:uid="{00000000-0005-0000-0000-000026110000}"/>
    <cellStyle name="Normal 2 5 4 2 2 5 3" xfId="6361" xr:uid="{00000000-0005-0000-0000-000027110000}"/>
    <cellStyle name="Normal 2 5 4 2 2 6" xfId="2491" xr:uid="{00000000-0005-0000-0000-000028110000}"/>
    <cellStyle name="Normal 2 5 4 2 2 6 2" xfId="6774" xr:uid="{00000000-0005-0000-0000-000029110000}"/>
    <cellStyle name="Normal 2 5 4 2 2 7" xfId="4708" xr:uid="{00000000-0005-0000-0000-00002A110000}"/>
    <cellStyle name="Normal 2 5 4 2 3" xfId="805" xr:uid="{00000000-0005-0000-0000-00002B110000}"/>
    <cellStyle name="Normal 2 5 4 2 3 2" xfId="3044" xr:uid="{00000000-0005-0000-0000-00002C110000}"/>
    <cellStyle name="Normal 2 5 4 2 3 2 2" xfId="7266" xr:uid="{00000000-0005-0000-0000-00002D110000}"/>
    <cellStyle name="Normal 2 5 4 2 3 3" xfId="5121" xr:uid="{00000000-0005-0000-0000-00002E110000}"/>
    <cellStyle name="Normal 2 5 4 2 4" xfId="1227" xr:uid="{00000000-0005-0000-0000-00002F110000}"/>
    <cellStyle name="Normal 2 5 4 2 4 2" xfId="3457" xr:uid="{00000000-0005-0000-0000-000030110000}"/>
    <cellStyle name="Normal 2 5 4 2 4 2 2" xfId="7679" xr:uid="{00000000-0005-0000-0000-000031110000}"/>
    <cellStyle name="Normal 2 5 4 2 4 3" xfId="5534" xr:uid="{00000000-0005-0000-0000-000032110000}"/>
    <cellStyle name="Normal 2 5 4 2 5" xfId="1640" xr:uid="{00000000-0005-0000-0000-000033110000}"/>
    <cellStyle name="Normal 2 5 4 2 5 2" xfId="3870" xr:uid="{00000000-0005-0000-0000-000034110000}"/>
    <cellStyle name="Normal 2 5 4 2 5 2 2" xfId="8092" xr:uid="{00000000-0005-0000-0000-000035110000}"/>
    <cellStyle name="Normal 2 5 4 2 5 3" xfId="5947" xr:uid="{00000000-0005-0000-0000-000036110000}"/>
    <cellStyle name="Normal 2 5 4 2 6" xfId="2054" xr:uid="{00000000-0005-0000-0000-000037110000}"/>
    <cellStyle name="Normal 2 5 4 2 6 2" xfId="4283" xr:uid="{00000000-0005-0000-0000-000038110000}"/>
    <cellStyle name="Normal 2 5 4 2 6 2 2" xfId="8505" xr:uid="{00000000-0005-0000-0000-000039110000}"/>
    <cellStyle name="Normal 2 5 4 2 6 3" xfId="6360" xr:uid="{00000000-0005-0000-0000-00003A110000}"/>
    <cellStyle name="Normal 2 5 4 2 7" xfId="2490" xr:uid="{00000000-0005-0000-0000-00003B110000}"/>
    <cellStyle name="Normal 2 5 4 2 7 2" xfId="6773" xr:uid="{00000000-0005-0000-0000-00003C110000}"/>
    <cellStyle name="Normal 2 5 4 2 8" xfId="4707"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8" xr:uid="{00000000-0005-0000-0000-000041110000}"/>
    <cellStyle name="Normal 2 5 4 3 2 3" xfId="5123" xr:uid="{00000000-0005-0000-0000-000042110000}"/>
    <cellStyle name="Normal 2 5 4 3 3" xfId="1229" xr:uid="{00000000-0005-0000-0000-000043110000}"/>
    <cellStyle name="Normal 2 5 4 3 3 2" xfId="3459" xr:uid="{00000000-0005-0000-0000-000044110000}"/>
    <cellStyle name="Normal 2 5 4 3 3 2 2" xfId="7681" xr:uid="{00000000-0005-0000-0000-000045110000}"/>
    <cellStyle name="Normal 2 5 4 3 3 3" xfId="5536" xr:uid="{00000000-0005-0000-0000-000046110000}"/>
    <cellStyle name="Normal 2 5 4 3 4" xfId="1642" xr:uid="{00000000-0005-0000-0000-000047110000}"/>
    <cellStyle name="Normal 2 5 4 3 4 2" xfId="3872" xr:uid="{00000000-0005-0000-0000-000048110000}"/>
    <cellStyle name="Normal 2 5 4 3 4 2 2" xfId="8094" xr:uid="{00000000-0005-0000-0000-000049110000}"/>
    <cellStyle name="Normal 2 5 4 3 4 3" xfId="5949" xr:uid="{00000000-0005-0000-0000-00004A110000}"/>
    <cellStyle name="Normal 2 5 4 3 5" xfId="2056" xr:uid="{00000000-0005-0000-0000-00004B110000}"/>
    <cellStyle name="Normal 2 5 4 3 5 2" xfId="4285" xr:uid="{00000000-0005-0000-0000-00004C110000}"/>
    <cellStyle name="Normal 2 5 4 3 5 2 2" xfId="8507" xr:uid="{00000000-0005-0000-0000-00004D110000}"/>
    <cellStyle name="Normal 2 5 4 3 5 3" xfId="6362" xr:uid="{00000000-0005-0000-0000-00004E110000}"/>
    <cellStyle name="Normal 2 5 4 3 6" xfId="2492" xr:uid="{00000000-0005-0000-0000-00004F110000}"/>
    <cellStyle name="Normal 2 5 4 3 6 2" xfId="6775" xr:uid="{00000000-0005-0000-0000-000050110000}"/>
    <cellStyle name="Normal 2 5 4 3 7" xfId="4709" xr:uid="{00000000-0005-0000-0000-000051110000}"/>
    <cellStyle name="Normal 2 5 4 4" xfId="804" xr:uid="{00000000-0005-0000-0000-000052110000}"/>
    <cellStyle name="Normal 2 5 4 4 2" xfId="3043" xr:uid="{00000000-0005-0000-0000-000053110000}"/>
    <cellStyle name="Normal 2 5 4 4 2 2" xfId="7265" xr:uid="{00000000-0005-0000-0000-000054110000}"/>
    <cellStyle name="Normal 2 5 4 4 3" xfId="5120" xr:uid="{00000000-0005-0000-0000-000055110000}"/>
    <cellStyle name="Normal 2 5 4 5" xfId="1226" xr:uid="{00000000-0005-0000-0000-000056110000}"/>
    <cellStyle name="Normal 2 5 4 5 2" xfId="3456" xr:uid="{00000000-0005-0000-0000-000057110000}"/>
    <cellStyle name="Normal 2 5 4 5 2 2" xfId="7678" xr:uid="{00000000-0005-0000-0000-000058110000}"/>
    <cellStyle name="Normal 2 5 4 5 3" xfId="5533" xr:uid="{00000000-0005-0000-0000-000059110000}"/>
    <cellStyle name="Normal 2 5 4 6" xfId="1639" xr:uid="{00000000-0005-0000-0000-00005A110000}"/>
    <cellStyle name="Normal 2 5 4 6 2" xfId="3869" xr:uid="{00000000-0005-0000-0000-00005B110000}"/>
    <cellStyle name="Normal 2 5 4 6 2 2" xfId="8091" xr:uid="{00000000-0005-0000-0000-00005C110000}"/>
    <cellStyle name="Normal 2 5 4 6 3" xfId="5946" xr:uid="{00000000-0005-0000-0000-00005D110000}"/>
    <cellStyle name="Normal 2 5 4 7" xfId="2053" xr:uid="{00000000-0005-0000-0000-00005E110000}"/>
    <cellStyle name="Normal 2 5 4 7 2" xfId="4282" xr:uid="{00000000-0005-0000-0000-00005F110000}"/>
    <cellStyle name="Normal 2 5 4 7 2 2" xfId="8504" xr:uid="{00000000-0005-0000-0000-000060110000}"/>
    <cellStyle name="Normal 2 5 4 7 3" xfId="6359" xr:uid="{00000000-0005-0000-0000-000061110000}"/>
    <cellStyle name="Normal 2 5 4 8" xfId="2489" xr:uid="{00000000-0005-0000-0000-000062110000}"/>
    <cellStyle name="Normal 2 5 4 8 2" xfId="6772" xr:uid="{00000000-0005-0000-0000-000063110000}"/>
    <cellStyle name="Normal 2 5 4 9" xfId="4706" xr:uid="{00000000-0005-0000-0000-000064110000}"/>
    <cellStyle name="Normal 2 5 5" xfId="803" xr:uid="{00000000-0005-0000-0000-000065110000}"/>
    <cellStyle name="Normal 2 5 5 2" xfId="3042" xr:uid="{00000000-0005-0000-0000-000066110000}"/>
    <cellStyle name="Normal 2 5 5 2 2" xfId="7264" xr:uid="{00000000-0005-0000-0000-000067110000}"/>
    <cellStyle name="Normal 2 5 5 3" xfId="5119" xr:uid="{00000000-0005-0000-0000-000068110000}"/>
    <cellStyle name="Normal 2 5 6" xfId="1225" xr:uid="{00000000-0005-0000-0000-000069110000}"/>
    <cellStyle name="Normal 2 5 6 2" xfId="3455" xr:uid="{00000000-0005-0000-0000-00006A110000}"/>
    <cellStyle name="Normal 2 5 6 2 2" xfId="7677" xr:uid="{00000000-0005-0000-0000-00006B110000}"/>
    <cellStyle name="Normal 2 5 6 3" xfId="5532" xr:uid="{00000000-0005-0000-0000-00006C110000}"/>
    <cellStyle name="Normal 2 5 7" xfId="1638" xr:uid="{00000000-0005-0000-0000-00006D110000}"/>
    <cellStyle name="Normal 2 5 7 2" xfId="3868" xr:uid="{00000000-0005-0000-0000-00006E110000}"/>
    <cellStyle name="Normal 2 5 7 2 2" xfId="8090" xr:uid="{00000000-0005-0000-0000-00006F110000}"/>
    <cellStyle name="Normal 2 5 7 3" xfId="5945" xr:uid="{00000000-0005-0000-0000-000070110000}"/>
    <cellStyle name="Normal 2 5 8" xfId="2052" xr:uid="{00000000-0005-0000-0000-000071110000}"/>
    <cellStyle name="Normal 2 5 8 2" xfId="4281" xr:uid="{00000000-0005-0000-0000-000072110000}"/>
    <cellStyle name="Normal 2 5 8 2 2" xfId="8503" xr:uid="{00000000-0005-0000-0000-000073110000}"/>
    <cellStyle name="Normal 2 5 8 3" xfId="6358" xr:uid="{00000000-0005-0000-0000-000074110000}"/>
    <cellStyle name="Normal 2 5 9" xfId="2488" xr:uid="{00000000-0005-0000-0000-000075110000}"/>
    <cellStyle name="Normal 2 5 9 2" xfId="6771"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2" xr:uid="{00000000-0005-0000-0000-000083110000}"/>
    <cellStyle name="Normal 3 2 3 2 2 2 3" xfId="5127" xr:uid="{00000000-0005-0000-0000-000084110000}"/>
    <cellStyle name="Normal 3 2 3 2 2 3" xfId="1233" xr:uid="{00000000-0005-0000-0000-000085110000}"/>
    <cellStyle name="Normal 3 2 3 2 2 3 2" xfId="3463" xr:uid="{00000000-0005-0000-0000-000086110000}"/>
    <cellStyle name="Normal 3 2 3 2 2 3 2 2" xfId="7685" xr:uid="{00000000-0005-0000-0000-000087110000}"/>
    <cellStyle name="Normal 3 2 3 2 2 3 3" xfId="5540" xr:uid="{00000000-0005-0000-0000-000088110000}"/>
    <cellStyle name="Normal 3 2 3 2 2 4" xfId="1646" xr:uid="{00000000-0005-0000-0000-000089110000}"/>
    <cellStyle name="Normal 3 2 3 2 2 4 2" xfId="3876" xr:uid="{00000000-0005-0000-0000-00008A110000}"/>
    <cellStyle name="Normal 3 2 3 2 2 4 2 2" xfId="8098" xr:uid="{00000000-0005-0000-0000-00008B110000}"/>
    <cellStyle name="Normal 3 2 3 2 2 4 3" xfId="5953" xr:uid="{00000000-0005-0000-0000-00008C110000}"/>
    <cellStyle name="Normal 3 2 3 2 2 5" xfId="2060" xr:uid="{00000000-0005-0000-0000-00008D110000}"/>
    <cellStyle name="Normal 3 2 3 2 2 5 2" xfId="4289" xr:uid="{00000000-0005-0000-0000-00008E110000}"/>
    <cellStyle name="Normal 3 2 3 2 2 5 2 2" xfId="8511" xr:uid="{00000000-0005-0000-0000-00008F110000}"/>
    <cellStyle name="Normal 3 2 3 2 2 5 3" xfId="6366" xr:uid="{00000000-0005-0000-0000-000090110000}"/>
    <cellStyle name="Normal 3 2 3 2 2 6" xfId="2496" xr:uid="{00000000-0005-0000-0000-000091110000}"/>
    <cellStyle name="Normal 3 2 3 2 2 6 2" xfId="6779" xr:uid="{00000000-0005-0000-0000-000092110000}"/>
    <cellStyle name="Normal 3 2 3 2 2 7" xfId="4713" xr:uid="{00000000-0005-0000-0000-000093110000}"/>
    <cellStyle name="Normal 3 2 3 2 3" xfId="812" xr:uid="{00000000-0005-0000-0000-000094110000}"/>
    <cellStyle name="Normal 3 2 3 2 3 2" xfId="3049" xr:uid="{00000000-0005-0000-0000-000095110000}"/>
    <cellStyle name="Normal 3 2 3 2 3 2 2" xfId="7271" xr:uid="{00000000-0005-0000-0000-000096110000}"/>
    <cellStyle name="Normal 3 2 3 2 3 3" xfId="5126" xr:uid="{00000000-0005-0000-0000-000097110000}"/>
    <cellStyle name="Normal 3 2 3 2 4" xfId="1232" xr:uid="{00000000-0005-0000-0000-000098110000}"/>
    <cellStyle name="Normal 3 2 3 2 4 2" xfId="3462" xr:uid="{00000000-0005-0000-0000-000099110000}"/>
    <cellStyle name="Normal 3 2 3 2 4 2 2" xfId="7684" xr:uid="{00000000-0005-0000-0000-00009A110000}"/>
    <cellStyle name="Normal 3 2 3 2 4 3" xfId="5539" xr:uid="{00000000-0005-0000-0000-00009B110000}"/>
    <cellStyle name="Normal 3 2 3 2 5" xfId="1645" xr:uid="{00000000-0005-0000-0000-00009C110000}"/>
    <cellStyle name="Normal 3 2 3 2 5 2" xfId="3875" xr:uid="{00000000-0005-0000-0000-00009D110000}"/>
    <cellStyle name="Normal 3 2 3 2 5 2 2" xfId="8097" xr:uid="{00000000-0005-0000-0000-00009E110000}"/>
    <cellStyle name="Normal 3 2 3 2 5 3" xfId="5952" xr:uid="{00000000-0005-0000-0000-00009F110000}"/>
    <cellStyle name="Normal 3 2 3 2 6" xfId="2059" xr:uid="{00000000-0005-0000-0000-0000A0110000}"/>
    <cellStyle name="Normal 3 2 3 2 6 2" xfId="4288" xr:uid="{00000000-0005-0000-0000-0000A1110000}"/>
    <cellStyle name="Normal 3 2 3 2 6 2 2" xfId="8510" xr:uid="{00000000-0005-0000-0000-0000A2110000}"/>
    <cellStyle name="Normal 3 2 3 2 6 3" xfId="6365" xr:uid="{00000000-0005-0000-0000-0000A3110000}"/>
    <cellStyle name="Normal 3 2 3 2 7" xfId="2495" xr:uid="{00000000-0005-0000-0000-0000A4110000}"/>
    <cellStyle name="Normal 3 2 3 2 7 2" xfId="6778" xr:uid="{00000000-0005-0000-0000-0000A5110000}"/>
    <cellStyle name="Normal 3 2 3 2 8" xfId="4712"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3" xr:uid="{00000000-0005-0000-0000-0000AA110000}"/>
    <cellStyle name="Normal 3 2 3 3 2 3" xfId="5128" xr:uid="{00000000-0005-0000-0000-0000AB110000}"/>
    <cellStyle name="Normal 3 2 3 3 3" xfId="1234" xr:uid="{00000000-0005-0000-0000-0000AC110000}"/>
    <cellStyle name="Normal 3 2 3 3 3 2" xfId="3464" xr:uid="{00000000-0005-0000-0000-0000AD110000}"/>
    <cellStyle name="Normal 3 2 3 3 3 2 2" xfId="7686" xr:uid="{00000000-0005-0000-0000-0000AE110000}"/>
    <cellStyle name="Normal 3 2 3 3 3 3" xfId="5541" xr:uid="{00000000-0005-0000-0000-0000AF110000}"/>
    <cellStyle name="Normal 3 2 3 3 4" xfId="1647" xr:uid="{00000000-0005-0000-0000-0000B0110000}"/>
    <cellStyle name="Normal 3 2 3 3 4 2" xfId="3877" xr:uid="{00000000-0005-0000-0000-0000B1110000}"/>
    <cellStyle name="Normal 3 2 3 3 4 2 2" xfId="8099" xr:uid="{00000000-0005-0000-0000-0000B2110000}"/>
    <cellStyle name="Normal 3 2 3 3 4 3" xfId="5954" xr:uid="{00000000-0005-0000-0000-0000B3110000}"/>
    <cellStyle name="Normal 3 2 3 3 5" xfId="2061" xr:uid="{00000000-0005-0000-0000-0000B4110000}"/>
    <cellStyle name="Normal 3 2 3 3 5 2" xfId="4290" xr:uid="{00000000-0005-0000-0000-0000B5110000}"/>
    <cellStyle name="Normal 3 2 3 3 5 2 2" xfId="8512" xr:uid="{00000000-0005-0000-0000-0000B6110000}"/>
    <cellStyle name="Normal 3 2 3 3 5 3" xfId="6367" xr:uid="{00000000-0005-0000-0000-0000B7110000}"/>
    <cellStyle name="Normal 3 2 3 3 6" xfId="2497" xr:uid="{00000000-0005-0000-0000-0000B8110000}"/>
    <cellStyle name="Normal 3 2 3 3 6 2" xfId="6780" xr:uid="{00000000-0005-0000-0000-0000B9110000}"/>
    <cellStyle name="Normal 3 2 3 3 7" xfId="4714" xr:uid="{00000000-0005-0000-0000-0000BA110000}"/>
    <cellStyle name="Normal 3 2 3 4" xfId="811" xr:uid="{00000000-0005-0000-0000-0000BB110000}"/>
    <cellStyle name="Normal 3 2 3 4 2" xfId="3048" xr:uid="{00000000-0005-0000-0000-0000BC110000}"/>
    <cellStyle name="Normal 3 2 3 4 2 2" xfId="7270" xr:uid="{00000000-0005-0000-0000-0000BD110000}"/>
    <cellStyle name="Normal 3 2 3 4 3" xfId="5125" xr:uid="{00000000-0005-0000-0000-0000BE110000}"/>
    <cellStyle name="Normal 3 2 3 5" xfId="1231" xr:uid="{00000000-0005-0000-0000-0000BF110000}"/>
    <cellStyle name="Normal 3 2 3 5 2" xfId="3461" xr:uid="{00000000-0005-0000-0000-0000C0110000}"/>
    <cellStyle name="Normal 3 2 3 5 2 2" xfId="7683" xr:uid="{00000000-0005-0000-0000-0000C1110000}"/>
    <cellStyle name="Normal 3 2 3 5 3" xfId="5538" xr:uid="{00000000-0005-0000-0000-0000C2110000}"/>
    <cellStyle name="Normal 3 2 3 6" xfId="1644" xr:uid="{00000000-0005-0000-0000-0000C3110000}"/>
    <cellStyle name="Normal 3 2 3 6 2" xfId="3874" xr:uid="{00000000-0005-0000-0000-0000C4110000}"/>
    <cellStyle name="Normal 3 2 3 6 2 2" xfId="8096" xr:uid="{00000000-0005-0000-0000-0000C5110000}"/>
    <cellStyle name="Normal 3 2 3 6 3" xfId="5951" xr:uid="{00000000-0005-0000-0000-0000C6110000}"/>
    <cellStyle name="Normal 3 2 3 7" xfId="2058" xr:uid="{00000000-0005-0000-0000-0000C7110000}"/>
    <cellStyle name="Normal 3 2 3 7 2" xfId="4287" xr:uid="{00000000-0005-0000-0000-0000C8110000}"/>
    <cellStyle name="Normal 3 2 3 7 2 2" xfId="8509" xr:uid="{00000000-0005-0000-0000-0000C9110000}"/>
    <cellStyle name="Normal 3 2 3 7 3" xfId="6364" xr:uid="{00000000-0005-0000-0000-0000CA110000}"/>
    <cellStyle name="Normal 3 2 3 8" xfId="2494" xr:uid="{00000000-0005-0000-0000-0000CB110000}"/>
    <cellStyle name="Normal 3 2 3 8 2" xfId="6777" xr:uid="{00000000-0005-0000-0000-0000CC110000}"/>
    <cellStyle name="Normal 3 2 3 9" xfId="4711" xr:uid="{00000000-0005-0000-0000-0000CD110000}"/>
    <cellStyle name="Normal 3 2 4" xfId="809" xr:uid="{00000000-0005-0000-0000-0000CE110000}"/>
    <cellStyle name="Normal 3 2 4 2" xfId="3047" xr:uid="{00000000-0005-0000-0000-0000CF110000}"/>
    <cellStyle name="Normal 3 2 4 2 2" xfId="7269" xr:uid="{00000000-0005-0000-0000-0000D0110000}"/>
    <cellStyle name="Normal 3 2 4 3" xfId="5124" xr:uid="{00000000-0005-0000-0000-0000D1110000}"/>
    <cellStyle name="Normal 3 2 5" xfId="1230" xr:uid="{00000000-0005-0000-0000-0000D2110000}"/>
    <cellStyle name="Normal 3 2 5 2" xfId="3460" xr:uid="{00000000-0005-0000-0000-0000D3110000}"/>
    <cellStyle name="Normal 3 2 5 2 2" xfId="7682" xr:uid="{00000000-0005-0000-0000-0000D4110000}"/>
    <cellStyle name="Normal 3 2 5 3" xfId="5537" xr:uid="{00000000-0005-0000-0000-0000D5110000}"/>
    <cellStyle name="Normal 3 2 6" xfId="1643" xr:uid="{00000000-0005-0000-0000-0000D6110000}"/>
    <cellStyle name="Normal 3 2 6 2" xfId="3873" xr:uid="{00000000-0005-0000-0000-0000D7110000}"/>
    <cellStyle name="Normal 3 2 6 2 2" xfId="8095" xr:uid="{00000000-0005-0000-0000-0000D8110000}"/>
    <cellStyle name="Normal 3 2 6 3" xfId="5950" xr:uid="{00000000-0005-0000-0000-0000D9110000}"/>
    <cellStyle name="Normal 3 2 7" xfId="2057" xr:uid="{00000000-0005-0000-0000-0000DA110000}"/>
    <cellStyle name="Normal 3 2 7 2" xfId="4286" xr:uid="{00000000-0005-0000-0000-0000DB110000}"/>
    <cellStyle name="Normal 3 2 7 2 2" xfId="8508" xr:uid="{00000000-0005-0000-0000-0000DC110000}"/>
    <cellStyle name="Normal 3 2 7 3" xfId="6363" xr:uid="{00000000-0005-0000-0000-0000DD110000}"/>
    <cellStyle name="Normal 3 2 8" xfId="2493" xr:uid="{00000000-0005-0000-0000-0000DE110000}"/>
    <cellStyle name="Normal 3 2 8 2" xfId="6776" xr:uid="{00000000-0005-0000-0000-0000DF110000}"/>
    <cellStyle name="Normal 3 2 9" xfId="4710"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3" xr:uid="{00000000-0005-0000-0000-0000EC110000}"/>
    <cellStyle name="Normal 4 2 2 10 3" xfId="6368" xr:uid="{00000000-0005-0000-0000-0000ED110000}"/>
    <cellStyle name="Normal 4 2 2 11" xfId="2498" xr:uid="{00000000-0005-0000-0000-0000EE110000}"/>
    <cellStyle name="Normal 4 2 2 11 2" xfId="6781" xr:uid="{00000000-0005-0000-0000-0000EF110000}"/>
    <cellStyle name="Normal 4 2 2 12" xfId="4716" xr:uid="{00000000-0005-0000-0000-0000F0110000}"/>
    <cellStyle name="Normal 4 2 2 2" xfId="338" xr:uid="{00000000-0005-0000-0000-0000F1110000}"/>
    <cellStyle name="Normal 4 2 2 3" xfId="339" xr:uid="{00000000-0005-0000-0000-0000F2110000}"/>
    <cellStyle name="Normal 4 2 2 3 10" xfId="4717"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8" xr:uid="{00000000-0005-0000-0000-0000F9110000}"/>
    <cellStyle name="Normal 4 2 2 3 2 2 2 2 3" xfId="5133" xr:uid="{00000000-0005-0000-0000-0000FA110000}"/>
    <cellStyle name="Normal 4 2 2 3 2 2 2 3" xfId="1239" xr:uid="{00000000-0005-0000-0000-0000FB110000}"/>
    <cellStyle name="Normal 4 2 2 3 2 2 2 3 2" xfId="3469" xr:uid="{00000000-0005-0000-0000-0000FC110000}"/>
    <cellStyle name="Normal 4 2 2 3 2 2 2 3 2 2" xfId="7691" xr:uid="{00000000-0005-0000-0000-0000FD110000}"/>
    <cellStyle name="Normal 4 2 2 3 2 2 2 3 3" xfId="5546" xr:uid="{00000000-0005-0000-0000-0000FE110000}"/>
    <cellStyle name="Normal 4 2 2 3 2 2 2 4" xfId="1652" xr:uid="{00000000-0005-0000-0000-0000FF110000}"/>
    <cellStyle name="Normal 4 2 2 3 2 2 2 4 2" xfId="3882" xr:uid="{00000000-0005-0000-0000-000000120000}"/>
    <cellStyle name="Normal 4 2 2 3 2 2 2 4 2 2" xfId="8104" xr:uid="{00000000-0005-0000-0000-000001120000}"/>
    <cellStyle name="Normal 4 2 2 3 2 2 2 4 3" xfId="5959" xr:uid="{00000000-0005-0000-0000-000002120000}"/>
    <cellStyle name="Normal 4 2 2 3 2 2 2 5" xfId="2066" xr:uid="{00000000-0005-0000-0000-000003120000}"/>
    <cellStyle name="Normal 4 2 2 3 2 2 2 5 2" xfId="4295" xr:uid="{00000000-0005-0000-0000-000004120000}"/>
    <cellStyle name="Normal 4 2 2 3 2 2 2 5 2 2" xfId="8517" xr:uid="{00000000-0005-0000-0000-000005120000}"/>
    <cellStyle name="Normal 4 2 2 3 2 2 2 5 3" xfId="6372" xr:uid="{00000000-0005-0000-0000-000006120000}"/>
    <cellStyle name="Normal 4 2 2 3 2 2 2 6" xfId="2502" xr:uid="{00000000-0005-0000-0000-000007120000}"/>
    <cellStyle name="Normal 4 2 2 3 2 2 2 6 2" xfId="6785" xr:uid="{00000000-0005-0000-0000-000008120000}"/>
    <cellStyle name="Normal 4 2 2 3 2 2 2 7" xfId="4720" xr:uid="{00000000-0005-0000-0000-000009120000}"/>
    <cellStyle name="Normal 4 2 2 3 2 2 3" xfId="818" xr:uid="{00000000-0005-0000-0000-00000A120000}"/>
    <cellStyle name="Normal 4 2 2 3 2 2 3 2" xfId="3055" xr:uid="{00000000-0005-0000-0000-00000B120000}"/>
    <cellStyle name="Normal 4 2 2 3 2 2 3 2 2" xfId="7277" xr:uid="{00000000-0005-0000-0000-00000C120000}"/>
    <cellStyle name="Normal 4 2 2 3 2 2 3 3" xfId="5132" xr:uid="{00000000-0005-0000-0000-00000D120000}"/>
    <cellStyle name="Normal 4 2 2 3 2 2 4" xfId="1238" xr:uid="{00000000-0005-0000-0000-00000E120000}"/>
    <cellStyle name="Normal 4 2 2 3 2 2 4 2" xfId="3468" xr:uid="{00000000-0005-0000-0000-00000F120000}"/>
    <cellStyle name="Normal 4 2 2 3 2 2 4 2 2" xfId="7690" xr:uid="{00000000-0005-0000-0000-000010120000}"/>
    <cellStyle name="Normal 4 2 2 3 2 2 4 3" xfId="5545" xr:uid="{00000000-0005-0000-0000-000011120000}"/>
    <cellStyle name="Normal 4 2 2 3 2 2 5" xfId="1651" xr:uid="{00000000-0005-0000-0000-000012120000}"/>
    <cellStyle name="Normal 4 2 2 3 2 2 5 2" xfId="3881" xr:uid="{00000000-0005-0000-0000-000013120000}"/>
    <cellStyle name="Normal 4 2 2 3 2 2 5 2 2" xfId="8103" xr:uid="{00000000-0005-0000-0000-000014120000}"/>
    <cellStyle name="Normal 4 2 2 3 2 2 5 3" xfId="5958" xr:uid="{00000000-0005-0000-0000-000015120000}"/>
    <cellStyle name="Normal 4 2 2 3 2 2 6" xfId="2065" xr:uid="{00000000-0005-0000-0000-000016120000}"/>
    <cellStyle name="Normal 4 2 2 3 2 2 6 2" xfId="4294" xr:uid="{00000000-0005-0000-0000-000017120000}"/>
    <cellStyle name="Normal 4 2 2 3 2 2 6 2 2" xfId="8516" xr:uid="{00000000-0005-0000-0000-000018120000}"/>
    <cellStyle name="Normal 4 2 2 3 2 2 6 3" xfId="6371" xr:uid="{00000000-0005-0000-0000-000019120000}"/>
    <cellStyle name="Normal 4 2 2 3 2 2 7" xfId="2501" xr:uid="{00000000-0005-0000-0000-00001A120000}"/>
    <cellStyle name="Normal 4 2 2 3 2 2 7 2" xfId="6784" xr:uid="{00000000-0005-0000-0000-00001B120000}"/>
    <cellStyle name="Normal 4 2 2 3 2 2 8" xfId="4719"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79" xr:uid="{00000000-0005-0000-0000-000020120000}"/>
    <cellStyle name="Normal 4 2 2 3 2 3 2 3" xfId="5134" xr:uid="{00000000-0005-0000-0000-000021120000}"/>
    <cellStyle name="Normal 4 2 2 3 2 3 3" xfId="1240" xr:uid="{00000000-0005-0000-0000-000022120000}"/>
    <cellStyle name="Normal 4 2 2 3 2 3 3 2" xfId="3470" xr:uid="{00000000-0005-0000-0000-000023120000}"/>
    <cellStyle name="Normal 4 2 2 3 2 3 3 2 2" xfId="7692" xr:uid="{00000000-0005-0000-0000-000024120000}"/>
    <cellStyle name="Normal 4 2 2 3 2 3 3 3" xfId="5547" xr:uid="{00000000-0005-0000-0000-000025120000}"/>
    <cellStyle name="Normal 4 2 2 3 2 3 4" xfId="1653" xr:uid="{00000000-0005-0000-0000-000026120000}"/>
    <cellStyle name="Normal 4 2 2 3 2 3 4 2" xfId="3883" xr:uid="{00000000-0005-0000-0000-000027120000}"/>
    <cellStyle name="Normal 4 2 2 3 2 3 4 2 2" xfId="8105" xr:uid="{00000000-0005-0000-0000-000028120000}"/>
    <cellStyle name="Normal 4 2 2 3 2 3 4 3" xfId="5960" xr:uid="{00000000-0005-0000-0000-000029120000}"/>
    <cellStyle name="Normal 4 2 2 3 2 3 5" xfId="2067" xr:uid="{00000000-0005-0000-0000-00002A120000}"/>
    <cellStyle name="Normal 4 2 2 3 2 3 5 2" xfId="4296" xr:uid="{00000000-0005-0000-0000-00002B120000}"/>
    <cellStyle name="Normal 4 2 2 3 2 3 5 2 2" xfId="8518" xr:uid="{00000000-0005-0000-0000-00002C120000}"/>
    <cellStyle name="Normal 4 2 2 3 2 3 5 3" xfId="6373" xr:uid="{00000000-0005-0000-0000-00002D120000}"/>
    <cellStyle name="Normal 4 2 2 3 2 3 6" xfId="2503" xr:uid="{00000000-0005-0000-0000-00002E120000}"/>
    <cellStyle name="Normal 4 2 2 3 2 3 6 2" xfId="6786" xr:uid="{00000000-0005-0000-0000-00002F120000}"/>
    <cellStyle name="Normal 4 2 2 3 2 3 7" xfId="4721" xr:uid="{00000000-0005-0000-0000-000030120000}"/>
    <cellStyle name="Normal 4 2 2 3 2 4" xfId="817" xr:uid="{00000000-0005-0000-0000-000031120000}"/>
    <cellStyle name="Normal 4 2 2 3 2 4 2" xfId="3054" xr:uid="{00000000-0005-0000-0000-000032120000}"/>
    <cellStyle name="Normal 4 2 2 3 2 4 2 2" xfId="7276" xr:uid="{00000000-0005-0000-0000-000033120000}"/>
    <cellStyle name="Normal 4 2 2 3 2 4 3" xfId="5131" xr:uid="{00000000-0005-0000-0000-000034120000}"/>
    <cellStyle name="Normal 4 2 2 3 2 5" xfId="1237" xr:uid="{00000000-0005-0000-0000-000035120000}"/>
    <cellStyle name="Normal 4 2 2 3 2 5 2" xfId="3467" xr:uid="{00000000-0005-0000-0000-000036120000}"/>
    <cellStyle name="Normal 4 2 2 3 2 5 2 2" xfId="7689" xr:uid="{00000000-0005-0000-0000-000037120000}"/>
    <cellStyle name="Normal 4 2 2 3 2 5 3" xfId="5544" xr:uid="{00000000-0005-0000-0000-000038120000}"/>
    <cellStyle name="Normal 4 2 2 3 2 6" xfId="1650" xr:uid="{00000000-0005-0000-0000-000039120000}"/>
    <cellStyle name="Normal 4 2 2 3 2 6 2" xfId="3880" xr:uid="{00000000-0005-0000-0000-00003A120000}"/>
    <cellStyle name="Normal 4 2 2 3 2 6 2 2" xfId="8102" xr:uid="{00000000-0005-0000-0000-00003B120000}"/>
    <cellStyle name="Normal 4 2 2 3 2 6 3" xfId="5957" xr:uid="{00000000-0005-0000-0000-00003C120000}"/>
    <cellStyle name="Normal 4 2 2 3 2 7" xfId="2064" xr:uid="{00000000-0005-0000-0000-00003D120000}"/>
    <cellStyle name="Normal 4 2 2 3 2 7 2" xfId="4293" xr:uid="{00000000-0005-0000-0000-00003E120000}"/>
    <cellStyle name="Normal 4 2 2 3 2 7 2 2" xfId="8515" xr:uid="{00000000-0005-0000-0000-00003F120000}"/>
    <cellStyle name="Normal 4 2 2 3 2 7 3" xfId="6370" xr:uid="{00000000-0005-0000-0000-000040120000}"/>
    <cellStyle name="Normal 4 2 2 3 2 8" xfId="2500" xr:uid="{00000000-0005-0000-0000-000041120000}"/>
    <cellStyle name="Normal 4 2 2 3 2 8 2" xfId="6783" xr:uid="{00000000-0005-0000-0000-000042120000}"/>
    <cellStyle name="Normal 4 2 2 3 2 9" xfId="4718"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1" xr:uid="{00000000-0005-0000-0000-000048120000}"/>
    <cellStyle name="Normal 4 2 2 3 3 2 2 3" xfId="5136" xr:uid="{00000000-0005-0000-0000-000049120000}"/>
    <cellStyle name="Normal 4 2 2 3 3 2 3" xfId="1242" xr:uid="{00000000-0005-0000-0000-00004A120000}"/>
    <cellStyle name="Normal 4 2 2 3 3 2 3 2" xfId="3472" xr:uid="{00000000-0005-0000-0000-00004B120000}"/>
    <cellStyle name="Normal 4 2 2 3 3 2 3 2 2" xfId="7694" xr:uid="{00000000-0005-0000-0000-00004C120000}"/>
    <cellStyle name="Normal 4 2 2 3 3 2 3 3" xfId="5549" xr:uid="{00000000-0005-0000-0000-00004D120000}"/>
    <cellStyle name="Normal 4 2 2 3 3 2 4" xfId="1655" xr:uid="{00000000-0005-0000-0000-00004E120000}"/>
    <cellStyle name="Normal 4 2 2 3 3 2 4 2" xfId="3885" xr:uid="{00000000-0005-0000-0000-00004F120000}"/>
    <cellStyle name="Normal 4 2 2 3 3 2 4 2 2" xfId="8107" xr:uid="{00000000-0005-0000-0000-000050120000}"/>
    <cellStyle name="Normal 4 2 2 3 3 2 4 3" xfId="5962" xr:uid="{00000000-0005-0000-0000-000051120000}"/>
    <cellStyle name="Normal 4 2 2 3 3 2 5" xfId="2069" xr:uid="{00000000-0005-0000-0000-000052120000}"/>
    <cellStyle name="Normal 4 2 2 3 3 2 5 2" xfId="4298" xr:uid="{00000000-0005-0000-0000-000053120000}"/>
    <cellStyle name="Normal 4 2 2 3 3 2 5 2 2" xfId="8520" xr:uid="{00000000-0005-0000-0000-000054120000}"/>
    <cellStyle name="Normal 4 2 2 3 3 2 5 3" xfId="6375" xr:uid="{00000000-0005-0000-0000-000055120000}"/>
    <cellStyle name="Normal 4 2 2 3 3 2 6" xfId="2505" xr:uid="{00000000-0005-0000-0000-000056120000}"/>
    <cellStyle name="Normal 4 2 2 3 3 2 6 2" xfId="6788" xr:uid="{00000000-0005-0000-0000-000057120000}"/>
    <cellStyle name="Normal 4 2 2 3 3 2 7" xfId="4723" xr:uid="{00000000-0005-0000-0000-000058120000}"/>
    <cellStyle name="Normal 4 2 2 3 3 3" xfId="821" xr:uid="{00000000-0005-0000-0000-000059120000}"/>
    <cellStyle name="Normal 4 2 2 3 3 3 2" xfId="3058" xr:uid="{00000000-0005-0000-0000-00005A120000}"/>
    <cellStyle name="Normal 4 2 2 3 3 3 2 2" xfId="7280" xr:uid="{00000000-0005-0000-0000-00005B120000}"/>
    <cellStyle name="Normal 4 2 2 3 3 3 3" xfId="5135" xr:uid="{00000000-0005-0000-0000-00005C120000}"/>
    <cellStyle name="Normal 4 2 2 3 3 4" xfId="1241" xr:uid="{00000000-0005-0000-0000-00005D120000}"/>
    <cellStyle name="Normal 4 2 2 3 3 4 2" xfId="3471" xr:uid="{00000000-0005-0000-0000-00005E120000}"/>
    <cellStyle name="Normal 4 2 2 3 3 4 2 2" xfId="7693" xr:uid="{00000000-0005-0000-0000-00005F120000}"/>
    <cellStyle name="Normal 4 2 2 3 3 4 3" xfId="5548" xr:uid="{00000000-0005-0000-0000-000060120000}"/>
    <cellStyle name="Normal 4 2 2 3 3 5" xfId="1654" xr:uid="{00000000-0005-0000-0000-000061120000}"/>
    <cellStyle name="Normal 4 2 2 3 3 5 2" xfId="3884" xr:uid="{00000000-0005-0000-0000-000062120000}"/>
    <cellStyle name="Normal 4 2 2 3 3 5 2 2" xfId="8106" xr:uid="{00000000-0005-0000-0000-000063120000}"/>
    <cellStyle name="Normal 4 2 2 3 3 5 3" xfId="5961" xr:uid="{00000000-0005-0000-0000-000064120000}"/>
    <cellStyle name="Normal 4 2 2 3 3 6" xfId="2068" xr:uid="{00000000-0005-0000-0000-000065120000}"/>
    <cellStyle name="Normal 4 2 2 3 3 6 2" xfId="4297" xr:uid="{00000000-0005-0000-0000-000066120000}"/>
    <cellStyle name="Normal 4 2 2 3 3 6 2 2" xfId="8519" xr:uid="{00000000-0005-0000-0000-000067120000}"/>
    <cellStyle name="Normal 4 2 2 3 3 6 3" xfId="6374" xr:uid="{00000000-0005-0000-0000-000068120000}"/>
    <cellStyle name="Normal 4 2 2 3 3 7" xfId="2504" xr:uid="{00000000-0005-0000-0000-000069120000}"/>
    <cellStyle name="Normal 4 2 2 3 3 7 2" xfId="6787" xr:uid="{00000000-0005-0000-0000-00006A120000}"/>
    <cellStyle name="Normal 4 2 2 3 3 8" xfId="4722"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2" xr:uid="{00000000-0005-0000-0000-00006F120000}"/>
    <cellStyle name="Normal 4 2 2 3 4 2 3" xfId="5137" xr:uid="{00000000-0005-0000-0000-000070120000}"/>
    <cellStyle name="Normal 4 2 2 3 4 3" xfId="1243" xr:uid="{00000000-0005-0000-0000-000071120000}"/>
    <cellStyle name="Normal 4 2 2 3 4 3 2" xfId="3473" xr:uid="{00000000-0005-0000-0000-000072120000}"/>
    <cellStyle name="Normal 4 2 2 3 4 3 2 2" xfId="7695" xr:uid="{00000000-0005-0000-0000-000073120000}"/>
    <cellStyle name="Normal 4 2 2 3 4 3 3" xfId="5550" xr:uid="{00000000-0005-0000-0000-000074120000}"/>
    <cellStyle name="Normal 4 2 2 3 4 4" xfId="1656" xr:uid="{00000000-0005-0000-0000-000075120000}"/>
    <cellStyle name="Normal 4 2 2 3 4 4 2" xfId="3886" xr:uid="{00000000-0005-0000-0000-000076120000}"/>
    <cellStyle name="Normal 4 2 2 3 4 4 2 2" xfId="8108" xr:uid="{00000000-0005-0000-0000-000077120000}"/>
    <cellStyle name="Normal 4 2 2 3 4 4 3" xfId="5963" xr:uid="{00000000-0005-0000-0000-000078120000}"/>
    <cellStyle name="Normal 4 2 2 3 4 5" xfId="2070" xr:uid="{00000000-0005-0000-0000-000079120000}"/>
    <cellStyle name="Normal 4 2 2 3 4 5 2" xfId="4299" xr:uid="{00000000-0005-0000-0000-00007A120000}"/>
    <cellStyle name="Normal 4 2 2 3 4 5 2 2" xfId="8521" xr:uid="{00000000-0005-0000-0000-00007B120000}"/>
    <cellStyle name="Normal 4 2 2 3 4 5 3" xfId="6376" xr:uid="{00000000-0005-0000-0000-00007C120000}"/>
    <cellStyle name="Normal 4 2 2 3 4 6" xfId="2506" xr:uid="{00000000-0005-0000-0000-00007D120000}"/>
    <cellStyle name="Normal 4 2 2 3 4 6 2" xfId="6789" xr:uid="{00000000-0005-0000-0000-00007E120000}"/>
    <cellStyle name="Normal 4 2 2 3 4 7" xfId="4724" xr:uid="{00000000-0005-0000-0000-00007F120000}"/>
    <cellStyle name="Normal 4 2 2 3 5" xfId="816" xr:uid="{00000000-0005-0000-0000-000080120000}"/>
    <cellStyle name="Normal 4 2 2 3 5 2" xfId="3053" xr:uid="{00000000-0005-0000-0000-000081120000}"/>
    <cellStyle name="Normal 4 2 2 3 5 2 2" xfId="7275" xr:uid="{00000000-0005-0000-0000-000082120000}"/>
    <cellStyle name="Normal 4 2 2 3 5 3" xfId="5130" xr:uid="{00000000-0005-0000-0000-000083120000}"/>
    <cellStyle name="Normal 4 2 2 3 6" xfId="1236" xr:uid="{00000000-0005-0000-0000-000084120000}"/>
    <cellStyle name="Normal 4 2 2 3 6 2" xfId="3466" xr:uid="{00000000-0005-0000-0000-000085120000}"/>
    <cellStyle name="Normal 4 2 2 3 6 2 2" xfId="7688" xr:uid="{00000000-0005-0000-0000-000086120000}"/>
    <cellStyle name="Normal 4 2 2 3 6 3" xfId="5543" xr:uid="{00000000-0005-0000-0000-000087120000}"/>
    <cellStyle name="Normal 4 2 2 3 7" xfId="1649" xr:uid="{00000000-0005-0000-0000-000088120000}"/>
    <cellStyle name="Normal 4 2 2 3 7 2" xfId="3879" xr:uid="{00000000-0005-0000-0000-000089120000}"/>
    <cellStyle name="Normal 4 2 2 3 7 2 2" xfId="8101" xr:uid="{00000000-0005-0000-0000-00008A120000}"/>
    <cellStyle name="Normal 4 2 2 3 7 3" xfId="5956" xr:uid="{00000000-0005-0000-0000-00008B120000}"/>
    <cellStyle name="Normal 4 2 2 3 8" xfId="2063" xr:uid="{00000000-0005-0000-0000-00008C120000}"/>
    <cellStyle name="Normal 4 2 2 3 8 2" xfId="4292" xr:uid="{00000000-0005-0000-0000-00008D120000}"/>
    <cellStyle name="Normal 4 2 2 3 8 2 2" xfId="8514" xr:uid="{00000000-0005-0000-0000-00008E120000}"/>
    <cellStyle name="Normal 4 2 2 3 8 3" xfId="6369" xr:uid="{00000000-0005-0000-0000-00008F120000}"/>
    <cellStyle name="Normal 4 2 2 3 9" xfId="2499" xr:uid="{00000000-0005-0000-0000-000090120000}"/>
    <cellStyle name="Normal 4 2 2 3 9 2" xfId="6782"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5" xr:uid="{00000000-0005-0000-0000-000097120000}"/>
    <cellStyle name="Normal 4 2 2 4 2 2 2 3" xfId="5140" xr:uid="{00000000-0005-0000-0000-000098120000}"/>
    <cellStyle name="Normal 4 2 2 4 2 2 3" xfId="1246" xr:uid="{00000000-0005-0000-0000-000099120000}"/>
    <cellStyle name="Normal 4 2 2 4 2 2 3 2" xfId="3476" xr:uid="{00000000-0005-0000-0000-00009A120000}"/>
    <cellStyle name="Normal 4 2 2 4 2 2 3 2 2" xfId="7698" xr:uid="{00000000-0005-0000-0000-00009B120000}"/>
    <cellStyle name="Normal 4 2 2 4 2 2 3 3" xfId="5553" xr:uid="{00000000-0005-0000-0000-00009C120000}"/>
    <cellStyle name="Normal 4 2 2 4 2 2 4" xfId="1659" xr:uid="{00000000-0005-0000-0000-00009D120000}"/>
    <cellStyle name="Normal 4 2 2 4 2 2 4 2" xfId="3889" xr:uid="{00000000-0005-0000-0000-00009E120000}"/>
    <cellStyle name="Normal 4 2 2 4 2 2 4 2 2" xfId="8111" xr:uid="{00000000-0005-0000-0000-00009F120000}"/>
    <cellStyle name="Normal 4 2 2 4 2 2 4 3" xfId="5966" xr:uid="{00000000-0005-0000-0000-0000A0120000}"/>
    <cellStyle name="Normal 4 2 2 4 2 2 5" xfId="2073" xr:uid="{00000000-0005-0000-0000-0000A1120000}"/>
    <cellStyle name="Normal 4 2 2 4 2 2 5 2" xfId="4302" xr:uid="{00000000-0005-0000-0000-0000A2120000}"/>
    <cellStyle name="Normal 4 2 2 4 2 2 5 2 2" xfId="8524" xr:uid="{00000000-0005-0000-0000-0000A3120000}"/>
    <cellStyle name="Normal 4 2 2 4 2 2 5 3" xfId="6379" xr:uid="{00000000-0005-0000-0000-0000A4120000}"/>
    <cellStyle name="Normal 4 2 2 4 2 2 6" xfId="2509" xr:uid="{00000000-0005-0000-0000-0000A5120000}"/>
    <cellStyle name="Normal 4 2 2 4 2 2 6 2" xfId="6792" xr:uid="{00000000-0005-0000-0000-0000A6120000}"/>
    <cellStyle name="Normal 4 2 2 4 2 2 7" xfId="4727" xr:uid="{00000000-0005-0000-0000-0000A7120000}"/>
    <cellStyle name="Normal 4 2 2 4 2 3" xfId="825" xr:uid="{00000000-0005-0000-0000-0000A8120000}"/>
    <cellStyle name="Normal 4 2 2 4 2 3 2" xfId="3062" xr:uid="{00000000-0005-0000-0000-0000A9120000}"/>
    <cellStyle name="Normal 4 2 2 4 2 3 2 2" xfId="7284" xr:uid="{00000000-0005-0000-0000-0000AA120000}"/>
    <cellStyle name="Normal 4 2 2 4 2 3 3" xfId="5139" xr:uid="{00000000-0005-0000-0000-0000AB120000}"/>
    <cellStyle name="Normal 4 2 2 4 2 4" xfId="1245" xr:uid="{00000000-0005-0000-0000-0000AC120000}"/>
    <cellStyle name="Normal 4 2 2 4 2 4 2" xfId="3475" xr:uid="{00000000-0005-0000-0000-0000AD120000}"/>
    <cellStyle name="Normal 4 2 2 4 2 4 2 2" xfId="7697" xr:uid="{00000000-0005-0000-0000-0000AE120000}"/>
    <cellStyle name="Normal 4 2 2 4 2 4 3" xfId="5552" xr:uid="{00000000-0005-0000-0000-0000AF120000}"/>
    <cellStyle name="Normal 4 2 2 4 2 5" xfId="1658" xr:uid="{00000000-0005-0000-0000-0000B0120000}"/>
    <cellStyle name="Normal 4 2 2 4 2 5 2" xfId="3888" xr:uid="{00000000-0005-0000-0000-0000B1120000}"/>
    <cellStyle name="Normal 4 2 2 4 2 5 2 2" xfId="8110" xr:uid="{00000000-0005-0000-0000-0000B2120000}"/>
    <cellStyle name="Normal 4 2 2 4 2 5 3" xfId="5965" xr:uid="{00000000-0005-0000-0000-0000B3120000}"/>
    <cellStyle name="Normal 4 2 2 4 2 6" xfId="2072" xr:uid="{00000000-0005-0000-0000-0000B4120000}"/>
    <cellStyle name="Normal 4 2 2 4 2 6 2" xfId="4301" xr:uid="{00000000-0005-0000-0000-0000B5120000}"/>
    <cellStyle name="Normal 4 2 2 4 2 6 2 2" xfId="8523" xr:uid="{00000000-0005-0000-0000-0000B6120000}"/>
    <cellStyle name="Normal 4 2 2 4 2 6 3" xfId="6378" xr:uid="{00000000-0005-0000-0000-0000B7120000}"/>
    <cellStyle name="Normal 4 2 2 4 2 7" xfId="2508" xr:uid="{00000000-0005-0000-0000-0000B8120000}"/>
    <cellStyle name="Normal 4 2 2 4 2 7 2" xfId="6791" xr:uid="{00000000-0005-0000-0000-0000B9120000}"/>
    <cellStyle name="Normal 4 2 2 4 2 8" xfId="4726"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6" xr:uid="{00000000-0005-0000-0000-0000BE120000}"/>
    <cellStyle name="Normal 4 2 2 4 3 2 3" xfId="5141" xr:uid="{00000000-0005-0000-0000-0000BF120000}"/>
    <cellStyle name="Normal 4 2 2 4 3 3" xfId="1247" xr:uid="{00000000-0005-0000-0000-0000C0120000}"/>
    <cellStyle name="Normal 4 2 2 4 3 3 2" xfId="3477" xr:uid="{00000000-0005-0000-0000-0000C1120000}"/>
    <cellStyle name="Normal 4 2 2 4 3 3 2 2" xfId="7699" xr:uid="{00000000-0005-0000-0000-0000C2120000}"/>
    <cellStyle name="Normal 4 2 2 4 3 3 3" xfId="5554" xr:uid="{00000000-0005-0000-0000-0000C3120000}"/>
    <cellStyle name="Normal 4 2 2 4 3 4" xfId="1660" xr:uid="{00000000-0005-0000-0000-0000C4120000}"/>
    <cellStyle name="Normal 4 2 2 4 3 4 2" xfId="3890" xr:uid="{00000000-0005-0000-0000-0000C5120000}"/>
    <cellStyle name="Normal 4 2 2 4 3 4 2 2" xfId="8112" xr:uid="{00000000-0005-0000-0000-0000C6120000}"/>
    <cellStyle name="Normal 4 2 2 4 3 4 3" xfId="5967" xr:uid="{00000000-0005-0000-0000-0000C7120000}"/>
    <cellStyle name="Normal 4 2 2 4 3 5" xfId="2074" xr:uid="{00000000-0005-0000-0000-0000C8120000}"/>
    <cellStyle name="Normal 4 2 2 4 3 5 2" xfId="4303" xr:uid="{00000000-0005-0000-0000-0000C9120000}"/>
    <cellStyle name="Normal 4 2 2 4 3 5 2 2" xfId="8525" xr:uid="{00000000-0005-0000-0000-0000CA120000}"/>
    <cellStyle name="Normal 4 2 2 4 3 5 3" xfId="6380" xr:uid="{00000000-0005-0000-0000-0000CB120000}"/>
    <cellStyle name="Normal 4 2 2 4 3 6" xfId="2510" xr:uid="{00000000-0005-0000-0000-0000CC120000}"/>
    <cellStyle name="Normal 4 2 2 4 3 6 2" xfId="6793" xr:uid="{00000000-0005-0000-0000-0000CD120000}"/>
    <cellStyle name="Normal 4 2 2 4 3 7" xfId="4728" xr:uid="{00000000-0005-0000-0000-0000CE120000}"/>
    <cellStyle name="Normal 4 2 2 4 4" xfId="824" xr:uid="{00000000-0005-0000-0000-0000CF120000}"/>
    <cellStyle name="Normal 4 2 2 4 4 2" xfId="3061" xr:uid="{00000000-0005-0000-0000-0000D0120000}"/>
    <cellStyle name="Normal 4 2 2 4 4 2 2" xfId="7283" xr:uid="{00000000-0005-0000-0000-0000D1120000}"/>
    <cellStyle name="Normal 4 2 2 4 4 3" xfId="5138" xr:uid="{00000000-0005-0000-0000-0000D2120000}"/>
    <cellStyle name="Normal 4 2 2 4 5" xfId="1244" xr:uid="{00000000-0005-0000-0000-0000D3120000}"/>
    <cellStyle name="Normal 4 2 2 4 5 2" xfId="3474" xr:uid="{00000000-0005-0000-0000-0000D4120000}"/>
    <cellStyle name="Normal 4 2 2 4 5 2 2" xfId="7696" xr:uid="{00000000-0005-0000-0000-0000D5120000}"/>
    <cellStyle name="Normal 4 2 2 4 5 3" xfId="5551" xr:uid="{00000000-0005-0000-0000-0000D6120000}"/>
    <cellStyle name="Normal 4 2 2 4 6" xfId="1657" xr:uid="{00000000-0005-0000-0000-0000D7120000}"/>
    <cellStyle name="Normal 4 2 2 4 6 2" xfId="3887" xr:uid="{00000000-0005-0000-0000-0000D8120000}"/>
    <cellStyle name="Normal 4 2 2 4 6 2 2" xfId="8109" xr:uid="{00000000-0005-0000-0000-0000D9120000}"/>
    <cellStyle name="Normal 4 2 2 4 6 3" xfId="5964" xr:uid="{00000000-0005-0000-0000-0000DA120000}"/>
    <cellStyle name="Normal 4 2 2 4 7" xfId="2071" xr:uid="{00000000-0005-0000-0000-0000DB120000}"/>
    <cellStyle name="Normal 4 2 2 4 7 2" xfId="4300" xr:uid="{00000000-0005-0000-0000-0000DC120000}"/>
    <cellStyle name="Normal 4 2 2 4 7 2 2" xfId="8522" xr:uid="{00000000-0005-0000-0000-0000DD120000}"/>
    <cellStyle name="Normal 4 2 2 4 7 3" xfId="6377" xr:uid="{00000000-0005-0000-0000-0000DE120000}"/>
    <cellStyle name="Normal 4 2 2 4 8" xfId="2507" xr:uid="{00000000-0005-0000-0000-0000DF120000}"/>
    <cellStyle name="Normal 4 2 2 4 8 2" xfId="6790" xr:uid="{00000000-0005-0000-0000-0000E0120000}"/>
    <cellStyle name="Normal 4 2 2 4 9" xfId="4725"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8" xr:uid="{00000000-0005-0000-0000-0000E6120000}"/>
    <cellStyle name="Normal 4 2 2 5 2 2 3" xfId="5143" xr:uid="{00000000-0005-0000-0000-0000E7120000}"/>
    <cellStyle name="Normal 4 2 2 5 2 3" xfId="1249" xr:uid="{00000000-0005-0000-0000-0000E8120000}"/>
    <cellStyle name="Normal 4 2 2 5 2 3 2" xfId="3479" xr:uid="{00000000-0005-0000-0000-0000E9120000}"/>
    <cellStyle name="Normal 4 2 2 5 2 3 2 2" xfId="7701" xr:uid="{00000000-0005-0000-0000-0000EA120000}"/>
    <cellStyle name="Normal 4 2 2 5 2 3 3" xfId="5556" xr:uid="{00000000-0005-0000-0000-0000EB120000}"/>
    <cellStyle name="Normal 4 2 2 5 2 4" xfId="1662" xr:uid="{00000000-0005-0000-0000-0000EC120000}"/>
    <cellStyle name="Normal 4 2 2 5 2 4 2" xfId="3892" xr:uid="{00000000-0005-0000-0000-0000ED120000}"/>
    <cellStyle name="Normal 4 2 2 5 2 4 2 2" xfId="8114" xr:uid="{00000000-0005-0000-0000-0000EE120000}"/>
    <cellStyle name="Normal 4 2 2 5 2 4 3" xfId="5969" xr:uid="{00000000-0005-0000-0000-0000EF120000}"/>
    <cellStyle name="Normal 4 2 2 5 2 5" xfId="2076" xr:uid="{00000000-0005-0000-0000-0000F0120000}"/>
    <cellStyle name="Normal 4 2 2 5 2 5 2" xfId="4305" xr:uid="{00000000-0005-0000-0000-0000F1120000}"/>
    <cellStyle name="Normal 4 2 2 5 2 5 2 2" xfId="8527" xr:uid="{00000000-0005-0000-0000-0000F2120000}"/>
    <cellStyle name="Normal 4 2 2 5 2 5 3" xfId="6382" xr:uid="{00000000-0005-0000-0000-0000F3120000}"/>
    <cellStyle name="Normal 4 2 2 5 2 6" xfId="2512" xr:uid="{00000000-0005-0000-0000-0000F4120000}"/>
    <cellStyle name="Normal 4 2 2 5 2 6 2" xfId="6795" xr:uid="{00000000-0005-0000-0000-0000F5120000}"/>
    <cellStyle name="Normal 4 2 2 5 2 7" xfId="4730" xr:uid="{00000000-0005-0000-0000-0000F6120000}"/>
    <cellStyle name="Normal 4 2 2 5 3" xfId="828" xr:uid="{00000000-0005-0000-0000-0000F7120000}"/>
    <cellStyle name="Normal 4 2 2 5 3 2" xfId="3065" xr:uid="{00000000-0005-0000-0000-0000F8120000}"/>
    <cellStyle name="Normal 4 2 2 5 3 2 2" xfId="7287" xr:uid="{00000000-0005-0000-0000-0000F9120000}"/>
    <cellStyle name="Normal 4 2 2 5 3 3" xfId="5142" xr:uid="{00000000-0005-0000-0000-0000FA120000}"/>
    <cellStyle name="Normal 4 2 2 5 4" xfId="1248" xr:uid="{00000000-0005-0000-0000-0000FB120000}"/>
    <cellStyle name="Normal 4 2 2 5 4 2" xfId="3478" xr:uid="{00000000-0005-0000-0000-0000FC120000}"/>
    <cellStyle name="Normal 4 2 2 5 4 2 2" xfId="7700" xr:uid="{00000000-0005-0000-0000-0000FD120000}"/>
    <cellStyle name="Normal 4 2 2 5 4 3" xfId="5555" xr:uid="{00000000-0005-0000-0000-0000FE120000}"/>
    <cellStyle name="Normal 4 2 2 5 5" xfId="1661" xr:uid="{00000000-0005-0000-0000-0000FF120000}"/>
    <cellStyle name="Normal 4 2 2 5 5 2" xfId="3891" xr:uid="{00000000-0005-0000-0000-000000130000}"/>
    <cellStyle name="Normal 4 2 2 5 5 2 2" xfId="8113" xr:uid="{00000000-0005-0000-0000-000001130000}"/>
    <cellStyle name="Normal 4 2 2 5 5 3" xfId="5968" xr:uid="{00000000-0005-0000-0000-000002130000}"/>
    <cellStyle name="Normal 4 2 2 5 6" xfId="2075" xr:uid="{00000000-0005-0000-0000-000003130000}"/>
    <cellStyle name="Normal 4 2 2 5 6 2" xfId="4304" xr:uid="{00000000-0005-0000-0000-000004130000}"/>
    <cellStyle name="Normal 4 2 2 5 6 2 2" xfId="8526" xr:uid="{00000000-0005-0000-0000-000005130000}"/>
    <cellStyle name="Normal 4 2 2 5 6 3" xfId="6381" xr:uid="{00000000-0005-0000-0000-000006130000}"/>
    <cellStyle name="Normal 4 2 2 5 7" xfId="2511" xr:uid="{00000000-0005-0000-0000-000007130000}"/>
    <cellStyle name="Normal 4 2 2 5 7 2" xfId="6794" xr:uid="{00000000-0005-0000-0000-000008130000}"/>
    <cellStyle name="Normal 4 2 2 5 8" xfId="4729"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89" xr:uid="{00000000-0005-0000-0000-00000D130000}"/>
    <cellStyle name="Normal 4 2 2 6 2 3" xfId="5144" xr:uid="{00000000-0005-0000-0000-00000E130000}"/>
    <cellStyle name="Normal 4 2 2 6 3" xfId="1250" xr:uid="{00000000-0005-0000-0000-00000F130000}"/>
    <cellStyle name="Normal 4 2 2 6 3 2" xfId="3480" xr:uid="{00000000-0005-0000-0000-000010130000}"/>
    <cellStyle name="Normal 4 2 2 6 3 2 2" xfId="7702" xr:uid="{00000000-0005-0000-0000-000011130000}"/>
    <cellStyle name="Normal 4 2 2 6 3 3" xfId="5557" xr:uid="{00000000-0005-0000-0000-000012130000}"/>
    <cellStyle name="Normal 4 2 2 6 4" xfId="1663" xr:uid="{00000000-0005-0000-0000-000013130000}"/>
    <cellStyle name="Normal 4 2 2 6 4 2" xfId="3893" xr:uid="{00000000-0005-0000-0000-000014130000}"/>
    <cellStyle name="Normal 4 2 2 6 4 2 2" xfId="8115" xr:uid="{00000000-0005-0000-0000-000015130000}"/>
    <cellStyle name="Normal 4 2 2 6 4 3" xfId="5970" xr:uid="{00000000-0005-0000-0000-000016130000}"/>
    <cellStyle name="Normal 4 2 2 6 5" xfId="2077" xr:uid="{00000000-0005-0000-0000-000017130000}"/>
    <cellStyle name="Normal 4 2 2 6 5 2" xfId="4306" xr:uid="{00000000-0005-0000-0000-000018130000}"/>
    <cellStyle name="Normal 4 2 2 6 5 2 2" xfId="8528" xr:uid="{00000000-0005-0000-0000-000019130000}"/>
    <cellStyle name="Normal 4 2 2 6 5 3" xfId="6383" xr:uid="{00000000-0005-0000-0000-00001A130000}"/>
    <cellStyle name="Normal 4 2 2 6 6" xfId="2513" xr:uid="{00000000-0005-0000-0000-00001B130000}"/>
    <cellStyle name="Normal 4 2 2 6 6 2" xfId="6796" xr:uid="{00000000-0005-0000-0000-00001C130000}"/>
    <cellStyle name="Normal 4 2 2 6 7" xfId="4731" xr:uid="{00000000-0005-0000-0000-00001D130000}"/>
    <cellStyle name="Normal 4 2 2 7" xfId="815" xr:uid="{00000000-0005-0000-0000-00001E130000}"/>
    <cellStyle name="Normal 4 2 2 7 2" xfId="3052" xr:uid="{00000000-0005-0000-0000-00001F130000}"/>
    <cellStyle name="Normal 4 2 2 7 2 2" xfId="7274" xr:uid="{00000000-0005-0000-0000-000020130000}"/>
    <cellStyle name="Normal 4 2 2 7 3" xfId="5129" xr:uid="{00000000-0005-0000-0000-000021130000}"/>
    <cellStyle name="Normal 4 2 2 8" xfId="1235" xr:uid="{00000000-0005-0000-0000-000022130000}"/>
    <cellStyle name="Normal 4 2 2 8 2" xfId="3465" xr:uid="{00000000-0005-0000-0000-000023130000}"/>
    <cellStyle name="Normal 4 2 2 8 2 2" xfId="7687" xr:uid="{00000000-0005-0000-0000-000024130000}"/>
    <cellStyle name="Normal 4 2 2 8 3" xfId="5542" xr:uid="{00000000-0005-0000-0000-000025130000}"/>
    <cellStyle name="Normal 4 2 2 9" xfId="1648" xr:uid="{00000000-0005-0000-0000-000026130000}"/>
    <cellStyle name="Normal 4 2 2 9 2" xfId="3878" xr:uid="{00000000-0005-0000-0000-000027130000}"/>
    <cellStyle name="Normal 4 2 2 9 2 2" xfId="8100" xr:uid="{00000000-0005-0000-0000-000028130000}"/>
    <cellStyle name="Normal 4 2 2 9 3" xfId="5955" xr:uid="{00000000-0005-0000-0000-000029130000}"/>
    <cellStyle name="Normal 4 2 3" xfId="354" xr:uid="{00000000-0005-0000-0000-00002A130000}"/>
    <cellStyle name="Normal 4 2 4" xfId="355" xr:uid="{00000000-0005-0000-0000-00002B130000}"/>
    <cellStyle name="Normal 4 2 4 10" xfId="4732"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3" xr:uid="{00000000-0005-0000-0000-000032130000}"/>
    <cellStyle name="Normal 4 2 4 2 2 2 2 3" xfId="5148" xr:uid="{00000000-0005-0000-0000-000033130000}"/>
    <cellStyle name="Normal 4 2 4 2 2 2 3" xfId="1254" xr:uid="{00000000-0005-0000-0000-000034130000}"/>
    <cellStyle name="Normal 4 2 4 2 2 2 3 2" xfId="3484" xr:uid="{00000000-0005-0000-0000-000035130000}"/>
    <cellStyle name="Normal 4 2 4 2 2 2 3 2 2" xfId="7706" xr:uid="{00000000-0005-0000-0000-000036130000}"/>
    <cellStyle name="Normal 4 2 4 2 2 2 3 3" xfId="5561" xr:uid="{00000000-0005-0000-0000-000037130000}"/>
    <cellStyle name="Normal 4 2 4 2 2 2 4" xfId="1667" xr:uid="{00000000-0005-0000-0000-000038130000}"/>
    <cellStyle name="Normal 4 2 4 2 2 2 4 2" xfId="3897" xr:uid="{00000000-0005-0000-0000-000039130000}"/>
    <cellStyle name="Normal 4 2 4 2 2 2 4 2 2" xfId="8119" xr:uid="{00000000-0005-0000-0000-00003A130000}"/>
    <cellStyle name="Normal 4 2 4 2 2 2 4 3" xfId="5974" xr:uid="{00000000-0005-0000-0000-00003B130000}"/>
    <cellStyle name="Normal 4 2 4 2 2 2 5" xfId="2081" xr:uid="{00000000-0005-0000-0000-00003C130000}"/>
    <cellStyle name="Normal 4 2 4 2 2 2 5 2" xfId="4310" xr:uid="{00000000-0005-0000-0000-00003D130000}"/>
    <cellStyle name="Normal 4 2 4 2 2 2 5 2 2" xfId="8532" xr:uid="{00000000-0005-0000-0000-00003E130000}"/>
    <cellStyle name="Normal 4 2 4 2 2 2 5 3" xfId="6387" xr:uid="{00000000-0005-0000-0000-00003F130000}"/>
    <cellStyle name="Normal 4 2 4 2 2 2 6" xfId="2517" xr:uid="{00000000-0005-0000-0000-000040130000}"/>
    <cellStyle name="Normal 4 2 4 2 2 2 6 2" xfId="6800" xr:uid="{00000000-0005-0000-0000-000041130000}"/>
    <cellStyle name="Normal 4 2 4 2 2 2 7" xfId="4735" xr:uid="{00000000-0005-0000-0000-000042130000}"/>
    <cellStyle name="Normal 4 2 4 2 2 3" xfId="833" xr:uid="{00000000-0005-0000-0000-000043130000}"/>
    <cellStyle name="Normal 4 2 4 2 2 3 2" xfId="3070" xr:uid="{00000000-0005-0000-0000-000044130000}"/>
    <cellStyle name="Normal 4 2 4 2 2 3 2 2" xfId="7292" xr:uid="{00000000-0005-0000-0000-000045130000}"/>
    <cellStyle name="Normal 4 2 4 2 2 3 3" xfId="5147" xr:uid="{00000000-0005-0000-0000-000046130000}"/>
    <cellStyle name="Normal 4 2 4 2 2 4" xfId="1253" xr:uid="{00000000-0005-0000-0000-000047130000}"/>
    <cellStyle name="Normal 4 2 4 2 2 4 2" xfId="3483" xr:uid="{00000000-0005-0000-0000-000048130000}"/>
    <cellStyle name="Normal 4 2 4 2 2 4 2 2" xfId="7705" xr:uid="{00000000-0005-0000-0000-000049130000}"/>
    <cellStyle name="Normal 4 2 4 2 2 4 3" xfId="5560" xr:uid="{00000000-0005-0000-0000-00004A130000}"/>
    <cellStyle name="Normal 4 2 4 2 2 5" xfId="1666" xr:uid="{00000000-0005-0000-0000-00004B130000}"/>
    <cellStyle name="Normal 4 2 4 2 2 5 2" xfId="3896" xr:uid="{00000000-0005-0000-0000-00004C130000}"/>
    <cellStyle name="Normal 4 2 4 2 2 5 2 2" xfId="8118" xr:uid="{00000000-0005-0000-0000-00004D130000}"/>
    <cellStyle name="Normal 4 2 4 2 2 5 3" xfId="5973" xr:uid="{00000000-0005-0000-0000-00004E130000}"/>
    <cellStyle name="Normal 4 2 4 2 2 6" xfId="2080" xr:uid="{00000000-0005-0000-0000-00004F130000}"/>
    <cellStyle name="Normal 4 2 4 2 2 6 2" xfId="4309" xr:uid="{00000000-0005-0000-0000-000050130000}"/>
    <cellStyle name="Normal 4 2 4 2 2 6 2 2" xfId="8531" xr:uid="{00000000-0005-0000-0000-000051130000}"/>
    <cellStyle name="Normal 4 2 4 2 2 6 3" xfId="6386" xr:uid="{00000000-0005-0000-0000-000052130000}"/>
    <cellStyle name="Normal 4 2 4 2 2 7" xfId="2516" xr:uid="{00000000-0005-0000-0000-000053130000}"/>
    <cellStyle name="Normal 4 2 4 2 2 7 2" xfId="6799" xr:uid="{00000000-0005-0000-0000-000054130000}"/>
    <cellStyle name="Normal 4 2 4 2 2 8" xfId="4734"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4" xr:uid="{00000000-0005-0000-0000-000059130000}"/>
    <cellStyle name="Normal 4 2 4 2 3 2 3" xfId="5149" xr:uid="{00000000-0005-0000-0000-00005A130000}"/>
    <cellStyle name="Normal 4 2 4 2 3 3" xfId="1255" xr:uid="{00000000-0005-0000-0000-00005B130000}"/>
    <cellStyle name="Normal 4 2 4 2 3 3 2" xfId="3485" xr:uid="{00000000-0005-0000-0000-00005C130000}"/>
    <cellStyle name="Normal 4 2 4 2 3 3 2 2" xfId="7707" xr:uid="{00000000-0005-0000-0000-00005D130000}"/>
    <cellStyle name="Normal 4 2 4 2 3 3 3" xfId="5562" xr:uid="{00000000-0005-0000-0000-00005E130000}"/>
    <cellStyle name="Normal 4 2 4 2 3 4" xfId="1668" xr:uid="{00000000-0005-0000-0000-00005F130000}"/>
    <cellStyle name="Normal 4 2 4 2 3 4 2" xfId="3898" xr:uid="{00000000-0005-0000-0000-000060130000}"/>
    <cellStyle name="Normal 4 2 4 2 3 4 2 2" xfId="8120" xr:uid="{00000000-0005-0000-0000-000061130000}"/>
    <cellStyle name="Normal 4 2 4 2 3 4 3" xfId="5975" xr:uid="{00000000-0005-0000-0000-000062130000}"/>
    <cellStyle name="Normal 4 2 4 2 3 5" xfId="2082" xr:uid="{00000000-0005-0000-0000-000063130000}"/>
    <cellStyle name="Normal 4 2 4 2 3 5 2" xfId="4311" xr:uid="{00000000-0005-0000-0000-000064130000}"/>
    <cellStyle name="Normal 4 2 4 2 3 5 2 2" xfId="8533" xr:uid="{00000000-0005-0000-0000-000065130000}"/>
    <cellStyle name="Normal 4 2 4 2 3 5 3" xfId="6388" xr:uid="{00000000-0005-0000-0000-000066130000}"/>
    <cellStyle name="Normal 4 2 4 2 3 6" xfId="2518" xr:uid="{00000000-0005-0000-0000-000067130000}"/>
    <cellStyle name="Normal 4 2 4 2 3 6 2" xfId="6801" xr:uid="{00000000-0005-0000-0000-000068130000}"/>
    <cellStyle name="Normal 4 2 4 2 3 7" xfId="4736" xr:uid="{00000000-0005-0000-0000-000069130000}"/>
    <cellStyle name="Normal 4 2 4 2 4" xfId="832" xr:uid="{00000000-0005-0000-0000-00006A130000}"/>
    <cellStyle name="Normal 4 2 4 2 4 2" xfId="3069" xr:uid="{00000000-0005-0000-0000-00006B130000}"/>
    <cellStyle name="Normal 4 2 4 2 4 2 2" xfId="7291" xr:uid="{00000000-0005-0000-0000-00006C130000}"/>
    <cellStyle name="Normal 4 2 4 2 4 3" xfId="5146" xr:uid="{00000000-0005-0000-0000-00006D130000}"/>
    <cellStyle name="Normal 4 2 4 2 5" xfId="1252" xr:uid="{00000000-0005-0000-0000-00006E130000}"/>
    <cellStyle name="Normal 4 2 4 2 5 2" xfId="3482" xr:uid="{00000000-0005-0000-0000-00006F130000}"/>
    <cellStyle name="Normal 4 2 4 2 5 2 2" xfId="7704" xr:uid="{00000000-0005-0000-0000-000070130000}"/>
    <cellStyle name="Normal 4 2 4 2 5 3" xfId="5559" xr:uid="{00000000-0005-0000-0000-000071130000}"/>
    <cellStyle name="Normal 4 2 4 2 6" xfId="1665" xr:uid="{00000000-0005-0000-0000-000072130000}"/>
    <cellStyle name="Normal 4 2 4 2 6 2" xfId="3895" xr:uid="{00000000-0005-0000-0000-000073130000}"/>
    <cellStyle name="Normal 4 2 4 2 6 2 2" xfId="8117" xr:uid="{00000000-0005-0000-0000-000074130000}"/>
    <cellStyle name="Normal 4 2 4 2 6 3" xfId="5972" xr:uid="{00000000-0005-0000-0000-000075130000}"/>
    <cellStyle name="Normal 4 2 4 2 7" xfId="2079" xr:uid="{00000000-0005-0000-0000-000076130000}"/>
    <cellStyle name="Normal 4 2 4 2 7 2" xfId="4308" xr:uid="{00000000-0005-0000-0000-000077130000}"/>
    <cellStyle name="Normal 4 2 4 2 7 2 2" xfId="8530" xr:uid="{00000000-0005-0000-0000-000078130000}"/>
    <cellStyle name="Normal 4 2 4 2 7 3" xfId="6385" xr:uid="{00000000-0005-0000-0000-000079130000}"/>
    <cellStyle name="Normal 4 2 4 2 8" xfId="2515" xr:uid="{00000000-0005-0000-0000-00007A130000}"/>
    <cellStyle name="Normal 4 2 4 2 8 2" xfId="6798" xr:uid="{00000000-0005-0000-0000-00007B130000}"/>
    <cellStyle name="Normal 4 2 4 2 9" xfId="4733"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6" xr:uid="{00000000-0005-0000-0000-000081130000}"/>
    <cellStyle name="Normal 4 2 4 3 2 2 3" xfId="5151" xr:uid="{00000000-0005-0000-0000-000082130000}"/>
    <cellStyle name="Normal 4 2 4 3 2 3" xfId="1257" xr:uid="{00000000-0005-0000-0000-000083130000}"/>
    <cellStyle name="Normal 4 2 4 3 2 3 2" xfId="3487" xr:uid="{00000000-0005-0000-0000-000084130000}"/>
    <cellStyle name="Normal 4 2 4 3 2 3 2 2" xfId="7709" xr:uid="{00000000-0005-0000-0000-000085130000}"/>
    <cellStyle name="Normal 4 2 4 3 2 3 3" xfId="5564" xr:uid="{00000000-0005-0000-0000-000086130000}"/>
    <cellStyle name="Normal 4 2 4 3 2 4" xfId="1670" xr:uid="{00000000-0005-0000-0000-000087130000}"/>
    <cellStyle name="Normal 4 2 4 3 2 4 2" xfId="3900" xr:uid="{00000000-0005-0000-0000-000088130000}"/>
    <cellStyle name="Normal 4 2 4 3 2 4 2 2" xfId="8122" xr:uid="{00000000-0005-0000-0000-000089130000}"/>
    <cellStyle name="Normal 4 2 4 3 2 4 3" xfId="5977" xr:uid="{00000000-0005-0000-0000-00008A130000}"/>
    <cellStyle name="Normal 4 2 4 3 2 5" xfId="2084" xr:uid="{00000000-0005-0000-0000-00008B130000}"/>
    <cellStyle name="Normal 4 2 4 3 2 5 2" xfId="4313" xr:uid="{00000000-0005-0000-0000-00008C130000}"/>
    <cellStyle name="Normal 4 2 4 3 2 5 2 2" xfId="8535" xr:uid="{00000000-0005-0000-0000-00008D130000}"/>
    <cellStyle name="Normal 4 2 4 3 2 5 3" xfId="6390" xr:uid="{00000000-0005-0000-0000-00008E130000}"/>
    <cellStyle name="Normal 4 2 4 3 2 6" xfId="2520" xr:uid="{00000000-0005-0000-0000-00008F130000}"/>
    <cellStyle name="Normal 4 2 4 3 2 6 2" xfId="6803" xr:uid="{00000000-0005-0000-0000-000090130000}"/>
    <cellStyle name="Normal 4 2 4 3 2 7" xfId="4738" xr:uid="{00000000-0005-0000-0000-000091130000}"/>
    <cellStyle name="Normal 4 2 4 3 3" xfId="836" xr:uid="{00000000-0005-0000-0000-000092130000}"/>
    <cellStyle name="Normal 4 2 4 3 3 2" xfId="3073" xr:uid="{00000000-0005-0000-0000-000093130000}"/>
    <cellStyle name="Normal 4 2 4 3 3 2 2" xfId="7295" xr:uid="{00000000-0005-0000-0000-000094130000}"/>
    <cellStyle name="Normal 4 2 4 3 3 3" xfId="5150" xr:uid="{00000000-0005-0000-0000-000095130000}"/>
    <cellStyle name="Normal 4 2 4 3 4" xfId="1256" xr:uid="{00000000-0005-0000-0000-000096130000}"/>
    <cellStyle name="Normal 4 2 4 3 4 2" xfId="3486" xr:uid="{00000000-0005-0000-0000-000097130000}"/>
    <cellStyle name="Normal 4 2 4 3 4 2 2" xfId="7708" xr:uid="{00000000-0005-0000-0000-000098130000}"/>
    <cellStyle name="Normal 4 2 4 3 4 3" xfId="5563" xr:uid="{00000000-0005-0000-0000-000099130000}"/>
    <cellStyle name="Normal 4 2 4 3 5" xfId="1669" xr:uid="{00000000-0005-0000-0000-00009A130000}"/>
    <cellStyle name="Normal 4 2 4 3 5 2" xfId="3899" xr:uid="{00000000-0005-0000-0000-00009B130000}"/>
    <cellStyle name="Normal 4 2 4 3 5 2 2" xfId="8121" xr:uid="{00000000-0005-0000-0000-00009C130000}"/>
    <cellStyle name="Normal 4 2 4 3 5 3" xfId="5976" xr:uid="{00000000-0005-0000-0000-00009D130000}"/>
    <cellStyle name="Normal 4 2 4 3 6" xfId="2083" xr:uid="{00000000-0005-0000-0000-00009E130000}"/>
    <cellStyle name="Normal 4 2 4 3 6 2" xfId="4312" xr:uid="{00000000-0005-0000-0000-00009F130000}"/>
    <cellStyle name="Normal 4 2 4 3 6 2 2" xfId="8534" xr:uid="{00000000-0005-0000-0000-0000A0130000}"/>
    <cellStyle name="Normal 4 2 4 3 6 3" xfId="6389" xr:uid="{00000000-0005-0000-0000-0000A1130000}"/>
    <cellStyle name="Normal 4 2 4 3 7" xfId="2519" xr:uid="{00000000-0005-0000-0000-0000A2130000}"/>
    <cellStyle name="Normal 4 2 4 3 7 2" xfId="6802" xr:uid="{00000000-0005-0000-0000-0000A3130000}"/>
    <cellStyle name="Normal 4 2 4 3 8" xfId="4737"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7" xr:uid="{00000000-0005-0000-0000-0000A8130000}"/>
    <cellStyle name="Normal 4 2 4 4 2 3" xfId="5152" xr:uid="{00000000-0005-0000-0000-0000A9130000}"/>
    <cellStyle name="Normal 4 2 4 4 3" xfId="1258" xr:uid="{00000000-0005-0000-0000-0000AA130000}"/>
    <cellStyle name="Normal 4 2 4 4 3 2" xfId="3488" xr:uid="{00000000-0005-0000-0000-0000AB130000}"/>
    <cellStyle name="Normal 4 2 4 4 3 2 2" xfId="7710" xr:uid="{00000000-0005-0000-0000-0000AC130000}"/>
    <cellStyle name="Normal 4 2 4 4 3 3" xfId="5565" xr:uid="{00000000-0005-0000-0000-0000AD130000}"/>
    <cellStyle name="Normal 4 2 4 4 4" xfId="1671" xr:uid="{00000000-0005-0000-0000-0000AE130000}"/>
    <cellStyle name="Normal 4 2 4 4 4 2" xfId="3901" xr:uid="{00000000-0005-0000-0000-0000AF130000}"/>
    <cellStyle name="Normal 4 2 4 4 4 2 2" xfId="8123" xr:uid="{00000000-0005-0000-0000-0000B0130000}"/>
    <cellStyle name="Normal 4 2 4 4 4 3" xfId="5978" xr:uid="{00000000-0005-0000-0000-0000B1130000}"/>
    <cellStyle name="Normal 4 2 4 4 5" xfId="2085" xr:uid="{00000000-0005-0000-0000-0000B2130000}"/>
    <cellStyle name="Normal 4 2 4 4 5 2" xfId="4314" xr:uid="{00000000-0005-0000-0000-0000B3130000}"/>
    <cellStyle name="Normal 4 2 4 4 5 2 2" xfId="8536" xr:uid="{00000000-0005-0000-0000-0000B4130000}"/>
    <cellStyle name="Normal 4 2 4 4 5 3" xfId="6391" xr:uid="{00000000-0005-0000-0000-0000B5130000}"/>
    <cellStyle name="Normal 4 2 4 4 6" xfId="2521" xr:uid="{00000000-0005-0000-0000-0000B6130000}"/>
    <cellStyle name="Normal 4 2 4 4 6 2" xfId="6804" xr:uid="{00000000-0005-0000-0000-0000B7130000}"/>
    <cellStyle name="Normal 4 2 4 4 7" xfId="4739" xr:uid="{00000000-0005-0000-0000-0000B8130000}"/>
    <cellStyle name="Normal 4 2 4 5" xfId="831" xr:uid="{00000000-0005-0000-0000-0000B9130000}"/>
    <cellStyle name="Normal 4 2 4 5 2" xfId="3068" xr:uid="{00000000-0005-0000-0000-0000BA130000}"/>
    <cellStyle name="Normal 4 2 4 5 2 2" xfId="7290" xr:uid="{00000000-0005-0000-0000-0000BB130000}"/>
    <cellStyle name="Normal 4 2 4 5 3" xfId="5145" xr:uid="{00000000-0005-0000-0000-0000BC130000}"/>
    <cellStyle name="Normal 4 2 4 6" xfId="1251" xr:uid="{00000000-0005-0000-0000-0000BD130000}"/>
    <cellStyle name="Normal 4 2 4 6 2" xfId="3481" xr:uid="{00000000-0005-0000-0000-0000BE130000}"/>
    <cellStyle name="Normal 4 2 4 6 2 2" xfId="7703" xr:uid="{00000000-0005-0000-0000-0000BF130000}"/>
    <cellStyle name="Normal 4 2 4 6 3" xfId="5558" xr:uid="{00000000-0005-0000-0000-0000C0130000}"/>
    <cellStyle name="Normal 4 2 4 7" xfId="1664" xr:uid="{00000000-0005-0000-0000-0000C1130000}"/>
    <cellStyle name="Normal 4 2 4 7 2" xfId="3894" xr:uid="{00000000-0005-0000-0000-0000C2130000}"/>
    <cellStyle name="Normal 4 2 4 7 2 2" xfId="8116" xr:uid="{00000000-0005-0000-0000-0000C3130000}"/>
    <cellStyle name="Normal 4 2 4 7 3" xfId="5971" xr:uid="{00000000-0005-0000-0000-0000C4130000}"/>
    <cellStyle name="Normal 4 2 4 8" xfId="2078" xr:uid="{00000000-0005-0000-0000-0000C5130000}"/>
    <cellStyle name="Normal 4 2 4 8 2" xfId="4307" xr:uid="{00000000-0005-0000-0000-0000C6130000}"/>
    <cellStyle name="Normal 4 2 4 8 2 2" xfId="8529" xr:uid="{00000000-0005-0000-0000-0000C7130000}"/>
    <cellStyle name="Normal 4 2 4 8 3" xfId="6384" xr:uid="{00000000-0005-0000-0000-0000C8130000}"/>
    <cellStyle name="Normal 4 2 4 9" xfId="2514" xr:uid="{00000000-0005-0000-0000-0000C9130000}"/>
    <cellStyle name="Normal 4 2 4 9 2" xfId="6797"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299" xr:uid="{00000000-0005-0000-0000-0000CF130000}"/>
    <cellStyle name="Normal 4 2 5 2 2 3" xfId="5154" xr:uid="{00000000-0005-0000-0000-0000D0130000}"/>
    <cellStyle name="Normal 4 2 5 2 3" xfId="1260" xr:uid="{00000000-0005-0000-0000-0000D1130000}"/>
    <cellStyle name="Normal 4 2 5 2 3 2" xfId="3490" xr:uid="{00000000-0005-0000-0000-0000D2130000}"/>
    <cellStyle name="Normal 4 2 5 2 3 2 2" xfId="7712" xr:uid="{00000000-0005-0000-0000-0000D3130000}"/>
    <cellStyle name="Normal 4 2 5 2 3 3" xfId="5567" xr:uid="{00000000-0005-0000-0000-0000D4130000}"/>
    <cellStyle name="Normal 4 2 5 2 4" xfId="1673" xr:uid="{00000000-0005-0000-0000-0000D5130000}"/>
    <cellStyle name="Normal 4 2 5 2 4 2" xfId="3903" xr:uid="{00000000-0005-0000-0000-0000D6130000}"/>
    <cellStyle name="Normal 4 2 5 2 4 2 2" xfId="8125" xr:uid="{00000000-0005-0000-0000-0000D7130000}"/>
    <cellStyle name="Normal 4 2 5 2 4 3" xfId="5980" xr:uid="{00000000-0005-0000-0000-0000D8130000}"/>
    <cellStyle name="Normal 4 2 5 2 5" xfId="2087" xr:uid="{00000000-0005-0000-0000-0000D9130000}"/>
    <cellStyle name="Normal 4 2 5 2 5 2" xfId="4316" xr:uid="{00000000-0005-0000-0000-0000DA130000}"/>
    <cellStyle name="Normal 4 2 5 2 5 2 2" xfId="8538" xr:uid="{00000000-0005-0000-0000-0000DB130000}"/>
    <cellStyle name="Normal 4 2 5 2 5 3" xfId="6393" xr:uid="{00000000-0005-0000-0000-0000DC130000}"/>
    <cellStyle name="Normal 4 2 5 2 6" xfId="2523" xr:uid="{00000000-0005-0000-0000-0000DD130000}"/>
    <cellStyle name="Normal 4 2 5 2 6 2" xfId="6806" xr:uid="{00000000-0005-0000-0000-0000DE130000}"/>
    <cellStyle name="Normal 4 2 5 2 7" xfId="4741" xr:uid="{00000000-0005-0000-0000-0000DF130000}"/>
    <cellStyle name="Normal 4 2 5 3" xfId="839" xr:uid="{00000000-0005-0000-0000-0000E0130000}"/>
    <cellStyle name="Normal 4 2 5 3 2" xfId="3076" xr:uid="{00000000-0005-0000-0000-0000E1130000}"/>
    <cellStyle name="Normal 4 2 5 3 2 2" xfId="7298" xr:uid="{00000000-0005-0000-0000-0000E2130000}"/>
    <cellStyle name="Normal 4 2 5 3 3" xfId="5153" xr:uid="{00000000-0005-0000-0000-0000E3130000}"/>
    <cellStyle name="Normal 4 2 5 4" xfId="1259" xr:uid="{00000000-0005-0000-0000-0000E4130000}"/>
    <cellStyle name="Normal 4 2 5 4 2" xfId="3489" xr:uid="{00000000-0005-0000-0000-0000E5130000}"/>
    <cellStyle name="Normal 4 2 5 4 2 2" xfId="7711" xr:uid="{00000000-0005-0000-0000-0000E6130000}"/>
    <cellStyle name="Normal 4 2 5 4 3" xfId="5566" xr:uid="{00000000-0005-0000-0000-0000E7130000}"/>
    <cellStyle name="Normal 4 2 5 5" xfId="1672" xr:uid="{00000000-0005-0000-0000-0000E8130000}"/>
    <cellStyle name="Normal 4 2 5 5 2" xfId="3902" xr:uid="{00000000-0005-0000-0000-0000E9130000}"/>
    <cellStyle name="Normal 4 2 5 5 2 2" xfId="8124" xr:uid="{00000000-0005-0000-0000-0000EA130000}"/>
    <cellStyle name="Normal 4 2 5 5 3" xfId="5979" xr:uid="{00000000-0005-0000-0000-0000EB130000}"/>
    <cellStyle name="Normal 4 2 5 6" xfId="2086" xr:uid="{00000000-0005-0000-0000-0000EC130000}"/>
    <cellStyle name="Normal 4 2 5 6 2" xfId="4315" xr:uid="{00000000-0005-0000-0000-0000ED130000}"/>
    <cellStyle name="Normal 4 2 5 6 2 2" xfId="8537" xr:uid="{00000000-0005-0000-0000-0000EE130000}"/>
    <cellStyle name="Normal 4 2 5 6 3" xfId="6392" xr:uid="{00000000-0005-0000-0000-0000EF130000}"/>
    <cellStyle name="Normal 4 2 5 7" xfId="2522" xr:uid="{00000000-0005-0000-0000-0000F0130000}"/>
    <cellStyle name="Normal 4 2 5 7 2" xfId="6805" xr:uid="{00000000-0005-0000-0000-0000F1130000}"/>
    <cellStyle name="Normal 4 2 5 8" xfId="4740"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0" xr:uid="{00000000-0005-0000-0000-0000F6130000}"/>
    <cellStyle name="Normal 4 2 6 2 3" xfId="5155" xr:uid="{00000000-0005-0000-0000-0000F7130000}"/>
    <cellStyle name="Normal 4 2 6 3" xfId="1261" xr:uid="{00000000-0005-0000-0000-0000F8130000}"/>
    <cellStyle name="Normal 4 2 6 3 2" xfId="3491" xr:uid="{00000000-0005-0000-0000-0000F9130000}"/>
    <cellStyle name="Normal 4 2 6 3 2 2" xfId="7713" xr:uid="{00000000-0005-0000-0000-0000FA130000}"/>
    <cellStyle name="Normal 4 2 6 3 3" xfId="5568" xr:uid="{00000000-0005-0000-0000-0000FB130000}"/>
    <cellStyle name="Normal 4 2 6 4" xfId="1674" xr:uid="{00000000-0005-0000-0000-0000FC130000}"/>
    <cellStyle name="Normal 4 2 6 4 2" xfId="3904" xr:uid="{00000000-0005-0000-0000-0000FD130000}"/>
    <cellStyle name="Normal 4 2 6 4 2 2" xfId="8126" xr:uid="{00000000-0005-0000-0000-0000FE130000}"/>
    <cellStyle name="Normal 4 2 6 4 3" xfId="5981" xr:uid="{00000000-0005-0000-0000-0000FF130000}"/>
    <cellStyle name="Normal 4 2 6 5" xfId="2088" xr:uid="{00000000-0005-0000-0000-000000140000}"/>
    <cellStyle name="Normal 4 2 6 5 2" xfId="4317" xr:uid="{00000000-0005-0000-0000-000001140000}"/>
    <cellStyle name="Normal 4 2 6 5 2 2" xfId="8539" xr:uid="{00000000-0005-0000-0000-000002140000}"/>
    <cellStyle name="Normal 4 2 6 5 3" xfId="6394" xr:uid="{00000000-0005-0000-0000-000003140000}"/>
    <cellStyle name="Normal 4 2 6 6" xfId="2524" xr:uid="{00000000-0005-0000-0000-000004140000}"/>
    <cellStyle name="Normal 4 2 6 6 2" xfId="6807" xr:uid="{00000000-0005-0000-0000-000005140000}"/>
    <cellStyle name="Normal 4 2 6 7" xfId="4742"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4" xr:uid="{00000000-0005-0000-0000-00000F140000}"/>
    <cellStyle name="Normal 4 3 2 2 2 2 2 2 3" xfId="5159" xr:uid="{00000000-0005-0000-0000-000010140000}"/>
    <cellStyle name="Normal 4 3 2 2 2 2 2 3" xfId="1265" xr:uid="{00000000-0005-0000-0000-000011140000}"/>
    <cellStyle name="Normal 4 3 2 2 2 2 2 3 2" xfId="3495" xr:uid="{00000000-0005-0000-0000-000012140000}"/>
    <cellStyle name="Normal 4 3 2 2 2 2 2 3 2 2" xfId="7717" xr:uid="{00000000-0005-0000-0000-000013140000}"/>
    <cellStyle name="Normal 4 3 2 2 2 2 2 3 3" xfId="5572" xr:uid="{00000000-0005-0000-0000-000014140000}"/>
    <cellStyle name="Normal 4 3 2 2 2 2 2 4" xfId="1678" xr:uid="{00000000-0005-0000-0000-000015140000}"/>
    <cellStyle name="Normal 4 3 2 2 2 2 2 4 2" xfId="3908" xr:uid="{00000000-0005-0000-0000-000016140000}"/>
    <cellStyle name="Normal 4 3 2 2 2 2 2 4 2 2" xfId="8130" xr:uid="{00000000-0005-0000-0000-000017140000}"/>
    <cellStyle name="Normal 4 3 2 2 2 2 2 4 3" xfId="5985" xr:uid="{00000000-0005-0000-0000-000018140000}"/>
    <cellStyle name="Normal 4 3 2 2 2 2 2 5" xfId="2092" xr:uid="{00000000-0005-0000-0000-000019140000}"/>
    <cellStyle name="Normal 4 3 2 2 2 2 2 5 2" xfId="4321" xr:uid="{00000000-0005-0000-0000-00001A140000}"/>
    <cellStyle name="Normal 4 3 2 2 2 2 2 5 2 2" xfId="8543" xr:uid="{00000000-0005-0000-0000-00001B140000}"/>
    <cellStyle name="Normal 4 3 2 2 2 2 2 5 3" xfId="6398" xr:uid="{00000000-0005-0000-0000-00001C140000}"/>
    <cellStyle name="Normal 4 3 2 2 2 2 2 6" xfId="2528" xr:uid="{00000000-0005-0000-0000-00001D140000}"/>
    <cellStyle name="Normal 4 3 2 2 2 2 2 6 2" xfId="6811" xr:uid="{00000000-0005-0000-0000-00001E140000}"/>
    <cellStyle name="Normal 4 3 2 2 2 2 2 7" xfId="4746" xr:uid="{00000000-0005-0000-0000-00001F140000}"/>
    <cellStyle name="Normal 4 3 2 2 2 2 3" xfId="845" xr:uid="{00000000-0005-0000-0000-000020140000}"/>
    <cellStyle name="Normal 4 3 2 2 2 2 3 2" xfId="3081" xr:uid="{00000000-0005-0000-0000-000021140000}"/>
    <cellStyle name="Normal 4 3 2 2 2 2 3 2 2" xfId="7303" xr:uid="{00000000-0005-0000-0000-000022140000}"/>
    <cellStyle name="Normal 4 3 2 2 2 2 3 3" xfId="5158" xr:uid="{00000000-0005-0000-0000-000023140000}"/>
    <cellStyle name="Normal 4 3 2 2 2 2 4" xfId="1264" xr:uid="{00000000-0005-0000-0000-000024140000}"/>
    <cellStyle name="Normal 4 3 2 2 2 2 4 2" xfId="3494" xr:uid="{00000000-0005-0000-0000-000025140000}"/>
    <cellStyle name="Normal 4 3 2 2 2 2 4 2 2" xfId="7716" xr:uid="{00000000-0005-0000-0000-000026140000}"/>
    <cellStyle name="Normal 4 3 2 2 2 2 4 3" xfId="5571" xr:uid="{00000000-0005-0000-0000-000027140000}"/>
    <cellStyle name="Normal 4 3 2 2 2 2 5" xfId="1677" xr:uid="{00000000-0005-0000-0000-000028140000}"/>
    <cellStyle name="Normal 4 3 2 2 2 2 5 2" xfId="3907" xr:uid="{00000000-0005-0000-0000-000029140000}"/>
    <cellStyle name="Normal 4 3 2 2 2 2 5 2 2" xfId="8129" xr:uid="{00000000-0005-0000-0000-00002A140000}"/>
    <cellStyle name="Normal 4 3 2 2 2 2 5 3" xfId="5984" xr:uid="{00000000-0005-0000-0000-00002B140000}"/>
    <cellStyle name="Normal 4 3 2 2 2 2 6" xfId="2091" xr:uid="{00000000-0005-0000-0000-00002C140000}"/>
    <cellStyle name="Normal 4 3 2 2 2 2 6 2" xfId="4320" xr:uid="{00000000-0005-0000-0000-00002D140000}"/>
    <cellStyle name="Normal 4 3 2 2 2 2 6 2 2" xfId="8542" xr:uid="{00000000-0005-0000-0000-00002E140000}"/>
    <cellStyle name="Normal 4 3 2 2 2 2 6 3" xfId="6397" xr:uid="{00000000-0005-0000-0000-00002F140000}"/>
    <cellStyle name="Normal 4 3 2 2 2 2 7" xfId="2527" xr:uid="{00000000-0005-0000-0000-000030140000}"/>
    <cellStyle name="Normal 4 3 2 2 2 2 7 2" xfId="6810" xr:uid="{00000000-0005-0000-0000-000031140000}"/>
    <cellStyle name="Normal 4 3 2 2 2 2 8" xfId="4745"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5" xr:uid="{00000000-0005-0000-0000-000036140000}"/>
    <cellStyle name="Normal 4 3 2 2 2 3 2 3" xfId="5160" xr:uid="{00000000-0005-0000-0000-000037140000}"/>
    <cellStyle name="Normal 4 3 2 2 2 3 3" xfId="1266" xr:uid="{00000000-0005-0000-0000-000038140000}"/>
    <cellStyle name="Normal 4 3 2 2 2 3 3 2" xfId="3496" xr:uid="{00000000-0005-0000-0000-000039140000}"/>
    <cellStyle name="Normal 4 3 2 2 2 3 3 2 2" xfId="7718" xr:uid="{00000000-0005-0000-0000-00003A140000}"/>
    <cellStyle name="Normal 4 3 2 2 2 3 3 3" xfId="5573" xr:uid="{00000000-0005-0000-0000-00003B140000}"/>
    <cellStyle name="Normal 4 3 2 2 2 3 4" xfId="1679" xr:uid="{00000000-0005-0000-0000-00003C140000}"/>
    <cellStyle name="Normal 4 3 2 2 2 3 4 2" xfId="3909" xr:uid="{00000000-0005-0000-0000-00003D140000}"/>
    <cellStyle name="Normal 4 3 2 2 2 3 4 2 2" xfId="8131" xr:uid="{00000000-0005-0000-0000-00003E140000}"/>
    <cellStyle name="Normal 4 3 2 2 2 3 4 3" xfId="5986" xr:uid="{00000000-0005-0000-0000-00003F140000}"/>
    <cellStyle name="Normal 4 3 2 2 2 3 5" xfId="2093" xr:uid="{00000000-0005-0000-0000-000040140000}"/>
    <cellStyle name="Normal 4 3 2 2 2 3 5 2" xfId="4322" xr:uid="{00000000-0005-0000-0000-000041140000}"/>
    <cellStyle name="Normal 4 3 2 2 2 3 5 2 2" xfId="8544" xr:uid="{00000000-0005-0000-0000-000042140000}"/>
    <cellStyle name="Normal 4 3 2 2 2 3 5 3" xfId="6399" xr:uid="{00000000-0005-0000-0000-000043140000}"/>
    <cellStyle name="Normal 4 3 2 2 2 3 6" xfId="2529" xr:uid="{00000000-0005-0000-0000-000044140000}"/>
    <cellStyle name="Normal 4 3 2 2 2 3 6 2" xfId="6812" xr:uid="{00000000-0005-0000-0000-000045140000}"/>
    <cellStyle name="Normal 4 3 2 2 2 3 7" xfId="4747" xr:uid="{00000000-0005-0000-0000-000046140000}"/>
    <cellStyle name="Normal 4 3 2 2 2 4" xfId="844" xr:uid="{00000000-0005-0000-0000-000047140000}"/>
    <cellStyle name="Normal 4 3 2 2 2 4 2" xfId="3080" xr:uid="{00000000-0005-0000-0000-000048140000}"/>
    <cellStyle name="Normal 4 3 2 2 2 4 2 2" xfId="7302" xr:uid="{00000000-0005-0000-0000-000049140000}"/>
    <cellStyle name="Normal 4 3 2 2 2 4 3" xfId="5157" xr:uid="{00000000-0005-0000-0000-00004A140000}"/>
    <cellStyle name="Normal 4 3 2 2 2 5" xfId="1263" xr:uid="{00000000-0005-0000-0000-00004B140000}"/>
    <cellStyle name="Normal 4 3 2 2 2 5 2" xfId="3493" xr:uid="{00000000-0005-0000-0000-00004C140000}"/>
    <cellStyle name="Normal 4 3 2 2 2 5 2 2" xfId="7715" xr:uid="{00000000-0005-0000-0000-00004D140000}"/>
    <cellStyle name="Normal 4 3 2 2 2 5 3" xfId="5570" xr:uid="{00000000-0005-0000-0000-00004E140000}"/>
    <cellStyle name="Normal 4 3 2 2 2 6" xfId="1676" xr:uid="{00000000-0005-0000-0000-00004F140000}"/>
    <cellStyle name="Normal 4 3 2 2 2 6 2" xfId="3906" xr:uid="{00000000-0005-0000-0000-000050140000}"/>
    <cellStyle name="Normal 4 3 2 2 2 6 2 2" xfId="8128" xr:uid="{00000000-0005-0000-0000-000051140000}"/>
    <cellStyle name="Normal 4 3 2 2 2 6 3" xfId="5983" xr:uid="{00000000-0005-0000-0000-000052140000}"/>
    <cellStyle name="Normal 4 3 2 2 2 7" xfId="2090" xr:uid="{00000000-0005-0000-0000-000053140000}"/>
    <cellStyle name="Normal 4 3 2 2 2 7 2" xfId="4319" xr:uid="{00000000-0005-0000-0000-000054140000}"/>
    <cellStyle name="Normal 4 3 2 2 2 7 2 2" xfId="8541" xr:uid="{00000000-0005-0000-0000-000055140000}"/>
    <cellStyle name="Normal 4 3 2 2 2 7 3" xfId="6396" xr:uid="{00000000-0005-0000-0000-000056140000}"/>
    <cellStyle name="Normal 4 3 2 2 2 8" xfId="2526" xr:uid="{00000000-0005-0000-0000-000057140000}"/>
    <cellStyle name="Normal 4 3 2 2 2 8 2" xfId="6809" xr:uid="{00000000-0005-0000-0000-000058140000}"/>
    <cellStyle name="Normal 4 3 2 2 2 9" xfId="4744"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8" xr:uid="{00000000-0005-0000-0000-000062140000}"/>
    <cellStyle name="Normal 4 3 3 2 2 2 3" xfId="5163" xr:uid="{00000000-0005-0000-0000-000063140000}"/>
    <cellStyle name="Normal 4 3 3 2 2 3" xfId="1269" xr:uid="{00000000-0005-0000-0000-000064140000}"/>
    <cellStyle name="Normal 4 3 3 2 2 3 2" xfId="3499" xr:uid="{00000000-0005-0000-0000-000065140000}"/>
    <cellStyle name="Normal 4 3 3 2 2 3 2 2" xfId="7721" xr:uid="{00000000-0005-0000-0000-000066140000}"/>
    <cellStyle name="Normal 4 3 3 2 2 3 3" xfId="5576" xr:uid="{00000000-0005-0000-0000-000067140000}"/>
    <cellStyle name="Normal 4 3 3 2 2 4" xfId="1682" xr:uid="{00000000-0005-0000-0000-000068140000}"/>
    <cellStyle name="Normal 4 3 3 2 2 4 2" xfId="3912" xr:uid="{00000000-0005-0000-0000-000069140000}"/>
    <cellStyle name="Normal 4 3 3 2 2 4 2 2" xfId="8134" xr:uid="{00000000-0005-0000-0000-00006A140000}"/>
    <cellStyle name="Normal 4 3 3 2 2 4 3" xfId="5989" xr:uid="{00000000-0005-0000-0000-00006B140000}"/>
    <cellStyle name="Normal 4 3 3 2 2 5" xfId="2096" xr:uid="{00000000-0005-0000-0000-00006C140000}"/>
    <cellStyle name="Normal 4 3 3 2 2 5 2" xfId="4325" xr:uid="{00000000-0005-0000-0000-00006D140000}"/>
    <cellStyle name="Normal 4 3 3 2 2 5 2 2" xfId="8547" xr:uid="{00000000-0005-0000-0000-00006E140000}"/>
    <cellStyle name="Normal 4 3 3 2 2 5 3" xfId="6402" xr:uid="{00000000-0005-0000-0000-00006F140000}"/>
    <cellStyle name="Normal 4 3 3 2 2 6" xfId="2532" xr:uid="{00000000-0005-0000-0000-000070140000}"/>
    <cellStyle name="Normal 4 3 3 2 2 6 2" xfId="6815" xr:uid="{00000000-0005-0000-0000-000071140000}"/>
    <cellStyle name="Normal 4 3 3 2 2 7" xfId="4750" xr:uid="{00000000-0005-0000-0000-000072140000}"/>
    <cellStyle name="Normal 4 3 3 2 3" xfId="850" xr:uid="{00000000-0005-0000-0000-000073140000}"/>
    <cellStyle name="Normal 4 3 3 2 3 2" xfId="3085" xr:uid="{00000000-0005-0000-0000-000074140000}"/>
    <cellStyle name="Normal 4 3 3 2 3 2 2" xfId="7307" xr:uid="{00000000-0005-0000-0000-000075140000}"/>
    <cellStyle name="Normal 4 3 3 2 3 3" xfId="5162" xr:uid="{00000000-0005-0000-0000-000076140000}"/>
    <cellStyle name="Normal 4 3 3 2 4" xfId="1268" xr:uid="{00000000-0005-0000-0000-000077140000}"/>
    <cellStyle name="Normal 4 3 3 2 4 2" xfId="3498" xr:uid="{00000000-0005-0000-0000-000078140000}"/>
    <cellStyle name="Normal 4 3 3 2 4 2 2" xfId="7720" xr:uid="{00000000-0005-0000-0000-000079140000}"/>
    <cellStyle name="Normal 4 3 3 2 4 3" xfId="5575" xr:uid="{00000000-0005-0000-0000-00007A140000}"/>
    <cellStyle name="Normal 4 3 3 2 5" xfId="1681" xr:uid="{00000000-0005-0000-0000-00007B140000}"/>
    <cellStyle name="Normal 4 3 3 2 5 2" xfId="3911" xr:uid="{00000000-0005-0000-0000-00007C140000}"/>
    <cellStyle name="Normal 4 3 3 2 5 2 2" xfId="8133" xr:uid="{00000000-0005-0000-0000-00007D140000}"/>
    <cellStyle name="Normal 4 3 3 2 5 3" xfId="5988" xr:uid="{00000000-0005-0000-0000-00007E140000}"/>
    <cellStyle name="Normal 4 3 3 2 6" xfId="2095" xr:uid="{00000000-0005-0000-0000-00007F140000}"/>
    <cellStyle name="Normal 4 3 3 2 6 2" xfId="4324" xr:uid="{00000000-0005-0000-0000-000080140000}"/>
    <cellStyle name="Normal 4 3 3 2 6 2 2" xfId="8546" xr:uid="{00000000-0005-0000-0000-000081140000}"/>
    <cellStyle name="Normal 4 3 3 2 6 3" xfId="6401" xr:uid="{00000000-0005-0000-0000-000082140000}"/>
    <cellStyle name="Normal 4 3 3 2 7" xfId="2531" xr:uid="{00000000-0005-0000-0000-000083140000}"/>
    <cellStyle name="Normal 4 3 3 2 7 2" xfId="6814" xr:uid="{00000000-0005-0000-0000-000084140000}"/>
    <cellStyle name="Normal 4 3 3 2 8" xfId="4749"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09" xr:uid="{00000000-0005-0000-0000-000089140000}"/>
    <cellStyle name="Normal 4 3 3 3 2 3" xfId="5164" xr:uid="{00000000-0005-0000-0000-00008A140000}"/>
    <cellStyle name="Normal 4 3 3 3 3" xfId="1270" xr:uid="{00000000-0005-0000-0000-00008B140000}"/>
    <cellStyle name="Normal 4 3 3 3 3 2" xfId="3500" xr:uid="{00000000-0005-0000-0000-00008C140000}"/>
    <cellStyle name="Normal 4 3 3 3 3 2 2" xfId="7722" xr:uid="{00000000-0005-0000-0000-00008D140000}"/>
    <cellStyle name="Normal 4 3 3 3 3 3" xfId="5577" xr:uid="{00000000-0005-0000-0000-00008E140000}"/>
    <cellStyle name="Normal 4 3 3 3 4" xfId="1683" xr:uid="{00000000-0005-0000-0000-00008F140000}"/>
    <cellStyle name="Normal 4 3 3 3 4 2" xfId="3913" xr:uid="{00000000-0005-0000-0000-000090140000}"/>
    <cellStyle name="Normal 4 3 3 3 4 2 2" xfId="8135" xr:uid="{00000000-0005-0000-0000-000091140000}"/>
    <cellStyle name="Normal 4 3 3 3 4 3" xfId="5990" xr:uid="{00000000-0005-0000-0000-000092140000}"/>
    <cellStyle name="Normal 4 3 3 3 5" xfId="2097" xr:uid="{00000000-0005-0000-0000-000093140000}"/>
    <cellStyle name="Normal 4 3 3 3 5 2" xfId="4326" xr:uid="{00000000-0005-0000-0000-000094140000}"/>
    <cellStyle name="Normal 4 3 3 3 5 2 2" xfId="8548" xr:uid="{00000000-0005-0000-0000-000095140000}"/>
    <cellStyle name="Normal 4 3 3 3 5 3" xfId="6403" xr:uid="{00000000-0005-0000-0000-000096140000}"/>
    <cellStyle name="Normal 4 3 3 3 6" xfId="2533" xr:uid="{00000000-0005-0000-0000-000097140000}"/>
    <cellStyle name="Normal 4 3 3 3 6 2" xfId="6816" xr:uid="{00000000-0005-0000-0000-000098140000}"/>
    <cellStyle name="Normal 4 3 3 3 7" xfId="4751" xr:uid="{00000000-0005-0000-0000-000099140000}"/>
    <cellStyle name="Normal 4 3 3 4" xfId="849" xr:uid="{00000000-0005-0000-0000-00009A140000}"/>
    <cellStyle name="Normal 4 3 3 4 2" xfId="3084" xr:uid="{00000000-0005-0000-0000-00009B140000}"/>
    <cellStyle name="Normal 4 3 3 4 2 2" xfId="7306" xr:uid="{00000000-0005-0000-0000-00009C140000}"/>
    <cellStyle name="Normal 4 3 3 4 3" xfId="5161" xr:uid="{00000000-0005-0000-0000-00009D140000}"/>
    <cellStyle name="Normal 4 3 3 5" xfId="1267" xr:uid="{00000000-0005-0000-0000-00009E140000}"/>
    <cellStyle name="Normal 4 3 3 5 2" xfId="3497" xr:uid="{00000000-0005-0000-0000-00009F140000}"/>
    <cellStyle name="Normal 4 3 3 5 2 2" xfId="7719" xr:uid="{00000000-0005-0000-0000-0000A0140000}"/>
    <cellStyle name="Normal 4 3 3 5 3" xfId="5574" xr:uid="{00000000-0005-0000-0000-0000A1140000}"/>
    <cellStyle name="Normal 4 3 3 6" xfId="1680" xr:uid="{00000000-0005-0000-0000-0000A2140000}"/>
    <cellStyle name="Normal 4 3 3 6 2" xfId="3910" xr:uid="{00000000-0005-0000-0000-0000A3140000}"/>
    <cellStyle name="Normal 4 3 3 6 2 2" xfId="8132" xr:uid="{00000000-0005-0000-0000-0000A4140000}"/>
    <cellStyle name="Normal 4 3 3 6 3" xfId="5987" xr:uid="{00000000-0005-0000-0000-0000A5140000}"/>
    <cellStyle name="Normal 4 3 3 7" xfId="2094" xr:uid="{00000000-0005-0000-0000-0000A6140000}"/>
    <cellStyle name="Normal 4 3 3 7 2" xfId="4323" xr:uid="{00000000-0005-0000-0000-0000A7140000}"/>
    <cellStyle name="Normal 4 3 3 7 2 2" xfId="8545" xr:uid="{00000000-0005-0000-0000-0000A8140000}"/>
    <cellStyle name="Normal 4 3 3 7 3" xfId="6400" xr:uid="{00000000-0005-0000-0000-0000A9140000}"/>
    <cellStyle name="Normal 4 3 3 8" xfId="2530" xr:uid="{00000000-0005-0000-0000-0000AA140000}"/>
    <cellStyle name="Normal 4 3 3 8 2" xfId="6813" xr:uid="{00000000-0005-0000-0000-0000AB140000}"/>
    <cellStyle name="Normal 4 3 3 9" xfId="4748" xr:uid="{00000000-0005-0000-0000-0000AC140000}"/>
    <cellStyle name="Normal 4 3 4" xfId="842" xr:uid="{00000000-0005-0000-0000-0000AD140000}"/>
    <cellStyle name="Normal 4 3 4 2" xfId="3079" xr:uid="{00000000-0005-0000-0000-0000AE140000}"/>
    <cellStyle name="Normal 4 3 4 2 2" xfId="7301" xr:uid="{00000000-0005-0000-0000-0000AF140000}"/>
    <cellStyle name="Normal 4 3 4 3" xfId="5156" xr:uid="{00000000-0005-0000-0000-0000B0140000}"/>
    <cellStyle name="Normal 4 3 5" xfId="1262" xr:uid="{00000000-0005-0000-0000-0000B1140000}"/>
    <cellStyle name="Normal 4 3 5 2" xfId="3492" xr:uid="{00000000-0005-0000-0000-0000B2140000}"/>
    <cellStyle name="Normal 4 3 5 2 2" xfId="7714" xr:uid="{00000000-0005-0000-0000-0000B3140000}"/>
    <cellStyle name="Normal 4 3 5 3" xfId="5569" xr:uid="{00000000-0005-0000-0000-0000B4140000}"/>
    <cellStyle name="Normal 4 3 6" xfId="1675" xr:uid="{00000000-0005-0000-0000-0000B5140000}"/>
    <cellStyle name="Normal 4 3 6 2" xfId="3905" xr:uid="{00000000-0005-0000-0000-0000B6140000}"/>
    <cellStyle name="Normal 4 3 6 2 2" xfId="8127" xr:uid="{00000000-0005-0000-0000-0000B7140000}"/>
    <cellStyle name="Normal 4 3 6 3" xfId="5982" xr:uid="{00000000-0005-0000-0000-0000B8140000}"/>
    <cellStyle name="Normal 4 3 7" xfId="2089" xr:uid="{00000000-0005-0000-0000-0000B9140000}"/>
    <cellStyle name="Normal 4 3 7 2" xfId="4318" xr:uid="{00000000-0005-0000-0000-0000BA140000}"/>
    <cellStyle name="Normal 4 3 7 2 2" xfId="8540" xr:uid="{00000000-0005-0000-0000-0000BB140000}"/>
    <cellStyle name="Normal 4 3 7 3" xfId="6395" xr:uid="{00000000-0005-0000-0000-0000BC140000}"/>
    <cellStyle name="Normal 4 3 8" xfId="2525" xr:uid="{00000000-0005-0000-0000-0000BD140000}"/>
    <cellStyle name="Normal 4 3 8 2" xfId="6808" xr:uid="{00000000-0005-0000-0000-0000BE140000}"/>
    <cellStyle name="Normal 4 3 9" xfId="4743" xr:uid="{00000000-0005-0000-0000-0000BF140000}"/>
    <cellStyle name="Normal 4 4" xfId="378" xr:uid="{00000000-0005-0000-0000-0000C0140000}"/>
    <cellStyle name="Normal 4 4 10" xfId="2534" xr:uid="{00000000-0005-0000-0000-0000C1140000}"/>
    <cellStyle name="Normal 4 4 10 2" xfId="6817" xr:uid="{00000000-0005-0000-0000-0000C2140000}"/>
    <cellStyle name="Normal 4 4 11" xfId="4752" xr:uid="{00000000-0005-0000-0000-0000C3140000}"/>
    <cellStyle name="Normal 4 4 2" xfId="379" xr:uid="{00000000-0005-0000-0000-0000C4140000}"/>
    <cellStyle name="Normal 4 4 2 10" xfId="4753"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4" xr:uid="{00000000-0005-0000-0000-0000CB140000}"/>
    <cellStyle name="Normal 4 4 2 2 2 2 2 3" xfId="5169" xr:uid="{00000000-0005-0000-0000-0000CC140000}"/>
    <cellStyle name="Normal 4 4 2 2 2 2 3" xfId="1275" xr:uid="{00000000-0005-0000-0000-0000CD140000}"/>
    <cellStyle name="Normal 4 4 2 2 2 2 3 2" xfId="3505" xr:uid="{00000000-0005-0000-0000-0000CE140000}"/>
    <cellStyle name="Normal 4 4 2 2 2 2 3 2 2" xfId="7727" xr:uid="{00000000-0005-0000-0000-0000CF140000}"/>
    <cellStyle name="Normal 4 4 2 2 2 2 3 3" xfId="5582" xr:uid="{00000000-0005-0000-0000-0000D0140000}"/>
    <cellStyle name="Normal 4 4 2 2 2 2 4" xfId="1688" xr:uid="{00000000-0005-0000-0000-0000D1140000}"/>
    <cellStyle name="Normal 4 4 2 2 2 2 4 2" xfId="3918" xr:uid="{00000000-0005-0000-0000-0000D2140000}"/>
    <cellStyle name="Normal 4 4 2 2 2 2 4 2 2" xfId="8140" xr:uid="{00000000-0005-0000-0000-0000D3140000}"/>
    <cellStyle name="Normal 4 4 2 2 2 2 4 3" xfId="5995" xr:uid="{00000000-0005-0000-0000-0000D4140000}"/>
    <cellStyle name="Normal 4 4 2 2 2 2 5" xfId="2102" xr:uid="{00000000-0005-0000-0000-0000D5140000}"/>
    <cellStyle name="Normal 4 4 2 2 2 2 5 2" xfId="4331" xr:uid="{00000000-0005-0000-0000-0000D6140000}"/>
    <cellStyle name="Normal 4 4 2 2 2 2 5 2 2" xfId="8553" xr:uid="{00000000-0005-0000-0000-0000D7140000}"/>
    <cellStyle name="Normal 4 4 2 2 2 2 5 3" xfId="6408" xr:uid="{00000000-0005-0000-0000-0000D8140000}"/>
    <cellStyle name="Normal 4 4 2 2 2 2 6" xfId="2538" xr:uid="{00000000-0005-0000-0000-0000D9140000}"/>
    <cellStyle name="Normal 4 4 2 2 2 2 6 2" xfId="6821" xr:uid="{00000000-0005-0000-0000-0000DA140000}"/>
    <cellStyle name="Normal 4 4 2 2 2 2 7" xfId="4756" xr:uid="{00000000-0005-0000-0000-0000DB140000}"/>
    <cellStyle name="Normal 4 4 2 2 2 3" xfId="856" xr:uid="{00000000-0005-0000-0000-0000DC140000}"/>
    <cellStyle name="Normal 4 4 2 2 2 3 2" xfId="3091" xr:uid="{00000000-0005-0000-0000-0000DD140000}"/>
    <cellStyle name="Normal 4 4 2 2 2 3 2 2" xfId="7313" xr:uid="{00000000-0005-0000-0000-0000DE140000}"/>
    <cellStyle name="Normal 4 4 2 2 2 3 3" xfId="5168" xr:uid="{00000000-0005-0000-0000-0000DF140000}"/>
    <cellStyle name="Normal 4 4 2 2 2 4" xfId="1274" xr:uid="{00000000-0005-0000-0000-0000E0140000}"/>
    <cellStyle name="Normal 4 4 2 2 2 4 2" xfId="3504" xr:uid="{00000000-0005-0000-0000-0000E1140000}"/>
    <cellStyle name="Normal 4 4 2 2 2 4 2 2" xfId="7726" xr:uid="{00000000-0005-0000-0000-0000E2140000}"/>
    <cellStyle name="Normal 4 4 2 2 2 4 3" xfId="5581" xr:uid="{00000000-0005-0000-0000-0000E3140000}"/>
    <cellStyle name="Normal 4 4 2 2 2 5" xfId="1687" xr:uid="{00000000-0005-0000-0000-0000E4140000}"/>
    <cellStyle name="Normal 4 4 2 2 2 5 2" xfId="3917" xr:uid="{00000000-0005-0000-0000-0000E5140000}"/>
    <cellStyle name="Normal 4 4 2 2 2 5 2 2" xfId="8139" xr:uid="{00000000-0005-0000-0000-0000E6140000}"/>
    <cellStyle name="Normal 4 4 2 2 2 5 3" xfId="5994" xr:uid="{00000000-0005-0000-0000-0000E7140000}"/>
    <cellStyle name="Normal 4 4 2 2 2 6" xfId="2101" xr:uid="{00000000-0005-0000-0000-0000E8140000}"/>
    <cellStyle name="Normal 4 4 2 2 2 6 2" xfId="4330" xr:uid="{00000000-0005-0000-0000-0000E9140000}"/>
    <cellStyle name="Normal 4 4 2 2 2 6 2 2" xfId="8552" xr:uid="{00000000-0005-0000-0000-0000EA140000}"/>
    <cellStyle name="Normal 4 4 2 2 2 6 3" xfId="6407" xr:uid="{00000000-0005-0000-0000-0000EB140000}"/>
    <cellStyle name="Normal 4 4 2 2 2 7" xfId="2537" xr:uid="{00000000-0005-0000-0000-0000EC140000}"/>
    <cellStyle name="Normal 4 4 2 2 2 7 2" xfId="6820" xr:uid="{00000000-0005-0000-0000-0000ED140000}"/>
    <cellStyle name="Normal 4 4 2 2 2 8" xfId="4755"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5" xr:uid="{00000000-0005-0000-0000-0000F2140000}"/>
    <cellStyle name="Normal 4 4 2 2 3 2 3" xfId="5170" xr:uid="{00000000-0005-0000-0000-0000F3140000}"/>
    <cellStyle name="Normal 4 4 2 2 3 3" xfId="1276" xr:uid="{00000000-0005-0000-0000-0000F4140000}"/>
    <cellStyle name="Normal 4 4 2 2 3 3 2" xfId="3506" xr:uid="{00000000-0005-0000-0000-0000F5140000}"/>
    <cellStyle name="Normal 4 4 2 2 3 3 2 2" xfId="7728" xr:uid="{00000000-0005-0000-0000-0000F6140000}"/>
    <cellStyle name="Normal 4 4 2 2 3 3 3" xfId="5583" xr:uid="{00000000-0005-0000-0000-0000F7140000}"/>
    <cellStyle name="Normal 4 4 2 2 3 4" xfId="1689" xr:uid="{00000000-0005-0000-0000-0000F8140000}"/>
    <cellStyle name="Normal 4 4 2 2 3 4 2" xfId="3919" xr:uid="{00000000-0005-0000-0000-0000F9140000}"/>
    <cellStyle name="Normal 4 4 2 2 3 4 2 2" xfId="8141" xr:uid="{00000000-0005-0000-0000-0000FA140000}"/>
    <cellStyle name="Normal 4 4 2 2 3 4 3" xfId="5996" xr:uid="{00000000-0005-0000-0000-0000FB140000}"/>
    <cellStyle name="Normal 4 4 2 2 3 5" xfId="2103" xr:uid="{00000000-0005-0000-0000-0000FC140000}"/>
    <cellStyle name="Normal 4 4 2 2 3 5 2" xfId="4332" xr:uid="{00000000-0005-0000-0000-0000FD140000}"/>
    <cellStyle name="Normal 4 4 2 2 3 5 2 2" xfId="8554" xr:uid="{00000000-0005-0000-0000-0000FE140000}"/>
    <cellStyle name="Normal 4 4 2 2 3 5 3" xfId="6409" xr:uid="{00000000-0005-0000-0000-0000FF140000}"/>
    <cellStyle name="Normal 4 4 2 2 3 6" xfId="2539" xr:uid="{00000000-0005-0000-0000-000000150000}"/>
    <cellStyle name="Normal 4 4 2 2 3 6 2" xfId="6822" xr:uid="{00000000-0005-0000-0000-000001150000}"/>
    <cellStyle name="Normal 4 4 2 2 3 7" xfId="4757" xr:uid="{00000000-0005-0000-0000-000002150000}"/>
    <cellStyle name="Normal 4 4 2 2 4" xfId="855" xr:uid="{00000000-0005-0000-0000-000003150000}"/>
    <cellStyle name="Normal 4 4 2 2 4 2" xfId="3090" xr:uid="{00000000-0005-0000-0000-000004150000}"/>
    <cellStyle name="Normal 4 4 2 2 4 2 2" xfId="7312" xr:uid="{00000000-0005-0000-0000-000005150000}"/>
    <cellStyle name="Normal 4 4 2 2 4 3" xfId="5167" xr:uid="{00000000-0005-0000-0000-000006150000}"/>
    <cellStyle name="Normal 4 4 2 2 5" xfId="1273" xr:uid="{00000000-0005-0000-0000-000007150000}"/>
    <cellStyle name="Normal 4 4 2 2 5 2" xfId="3503" xr:uid="{00000000-0005-0000-0000-000008150000}"/>
    <cellStyle name="Normal 4 4 2 2 5 2 2" xfId="7725" xr:uid="{00000000-0005-0000-0000-000009150000}"/>
    <cellStyle name="Normal 4 4 2 2 5 3" xfId="5580" xr:uid="{00000000-0005-0000-0000-00000A150000}"/>
    <cellStyle name="Normal 4 4 2 2 6" xfId="1686" xr:uid="{00000000-0005-0000-0000-00000B150000}"/>
    <cellStyle name="Normal 4 4 2 2 6 2" xfId="3916" xr:uid="{00000000-0005-0000-0000-00000C150000}"/>
    <cellStyle name="Normal 4 4 2 2 6 2 2" xfId="8138" xr:uid="{00000000-0005-0000-0000-00000D150000}"/>
    <cellStyle name="Normal 4 4 2 2 6 3" xfId="5993" xr:uid="{00000000-0005-0000-0000-00000E150000}"/>
    <cellStyle name="Normal 4 4 2 2 7" xfId="2100" xr:uid="{00000000-0005-0000-0000-00000F150000}"/>
    <cellStyle name="Normal 4 4 2 2 7 2" xfId="4329" xr:uid="{00000000-0005-0000-0000-000010150000}"/>
    <cellStyle name="Normal 4 4 2 2 7 2 2" xfId="8551" xr:uid="{00000000-0005-0000-0000-000011150000}"/>
    <cellStyle name="Normal 4 4 2 2 7 3" xfId="6406" xr:uid="{00000000-0005-0000-0000-000012150000}"/>
    <cellStyle name="Normal 4 4 2 2 8" xfId="2536" xr:uid="{00000000-0005-0000-0000-000013150000}"/>
    <cellStyle name="Normal 4 4 2 2 8 2" xfId="6819" xr:uid="{00000000-0005-0000-0000-000014150000}"/>
    <cellStyle name="Normal 4 4 2 2 9" xfId="4754"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7" xr:uid="{00000000-0005-0000-0000-00001A150000}"/>
    <cellStyle name="Normal 4 4 2 3 2 2 3" xfId="5172" xr:uid="{00000000-0005-0000-0000-00001B150000}"/>
    <cellStyle name="Normal 4 4 2 3 2 3" xfId="1278" xr:uid="{00000000-0005-0000-0000-00001C150000}"/>
    <cellStyle name="Normal 4 4 2 3 2 3 2" xfId="3508" xr:uid="{00000000-0005-0000-0000-00001D150000}"/>
    <cellStyle name="Normal 4 4 2 3 2 3 2 2" xfId="7730" xr:uid="{00000000-0005-0000-0000-00001E150000}"/>
    <cellStyle name="Normal 4 4 2 3 2 3 3" xfId="5585" xr:uid="{00000000-0005-0000-0000-00001F150000}"/>
    <cellStyle name="Normal 4 4 2 3 2 4" xfId="1691" xr:uid="{00000000-0005-0000-0000-000020150000}"/>
    <cellStyle name="Normal 4 4 2 3 2 4 2" xfId="3921" xr:uid="{00000000-0005-0000-0000-000021150000}"/>
    <cellStyle name="Normal 4 4 2 3 2 4 2 2" xfId="8143" xr:uid="{00000000-0005-0000-0000-000022150000}"/>
    <cellStyle name="Normal 4 4 2 3 2 4 3" xfId="5998" xr:uid="{00000000-0005-0000-0000-000023150000}"/>
    <cellStyle name="Normal 4 4 2 3 2 5" xfId="2105" xr:uid="{00000000-0005-0000-0000-000024150000}"/>
    <cellStyle name="Normal 4 4 2 3 2 5 2" xfId="4334" xr:uid="{00000000-0005-0000-0000-000025150000}"/>
    <cellStyle name="Normal 4 4 2 3 2 5 2 2" xfId="8556" xr:uid="{00000000-0005-0000-0000-000026150000}"/>
    <cellStyle name="Normal 4 4 2 3 2 5 3" xfId="6411" xr:uid="{00000000-0005-0000-0000-000027150000}"/>
    <cellStyle name="Normal 4 4 2 3 2 6" xfId="2541" xr:uid="{00000000-0005-0000-0000-000028150000}"/>
    <cellStyle name="Normal 4 4 2 3 2 6 2" xfId="6824" xr:uid="{00000000-0005-0000-0000-000029150000}"/>
    <cellStyle name="Normal 4 4 2 3 2 7" xfId="4759" xr:uid="{00000000-0005-0000-0000-00002A150000}"/>
    <cellStyle name="Normal 4 4 2 3 3" xfId="859" xr:uid="{00000000-0005-0000-0000-00002B150000}"/>
    <cellStyle name="Normal 4 4 2 3 3 2" xfId="3094" xr:uid="{00000000-0005-0000-0000-00002C150000}"/>
    <cellStyle name="Normal 4 4 2 3 3 2 2" xfId="7316" xr:uid="{00000000-0005-0000-0000-00002D150000}"/>
    <cellStyle name="Normal 4 4 2 3 3 3" xfId="5171" xr:uid="{00000000-0005-0000-0000-00002E150000}"/>
    <cellStyle name="Normal 4 4 2 3 4" xfId="1277" xr:uid="{00000000-0005-0000-0000-00002F150000}"/>
    <cellStyle name="Normal 4 4 2 3 4 2" xfId="3507" xr:uid="{00000000-0005-0000-0000-000030150000}"/>
    <cellStyle name="Normal 4 4 2 3 4 2 2" xfId="7729" xr:uid="{00000000-0005-0000-0000-000031150000}"/>
    <cellStyle name="Normal 4 4 2 3 4 3" xfId="5584" xr:uid="{00000000-0005-0000-0000-000032150000}"/>
    <cellStyle name="Normal 4 4 2 3 5" xfId="1690" xr:uid="{00000000-0005-0000-0000-000033150000}"/>
    <cellStyle name="Normal 4 4 2 3 5 2" xfId="3920" xr:uid="{00000000-0005-0000-0000-000034150000}"/>
    <cellStyle name="Normal 4 4 2 3 5 2 2" xfId="8142" xr:uid="{00000000-0005-0000-0000-000035150000}"/>
    <cellStyle name="Normal 4 4 2 3 5 3" xfId="5997" xr:uid="{00000000-0005-0000-0000-000036150000}"/>
    <cellStyle name="Normal 4 4 2 3 6" xfId="2104" xr:uid="{00000000-0005-0000-0000-000037150000}"/>
    <cellStyle name="Normal 4 4 2 3 6 2" xfId="4333" xr:uid="{00000000-0005-0000-0000-000038150000}"/>
    <cellStyle name="Normal 4 4 2 3 6 2 2" xfId="8555" xr:uid="{00000000-0005-0000-0000-000039150000}"/>
    <cellStyle name="Normal 4 4 2 3 6 3" xfId="6410" xr:uid="{00000000-0005-0000-0000-00003A150000}"/>
    <cellStyle name="Normal 4 4 2 3 7" xfId="2540" xr:uid="{00000000-0005-0000-0000-00003B150000}"/>
    <cellStyle name="Normal 4 4 2 3 7 2" xfId="6823" xr:uid="{00000000-0005-0000-0000-00003C150000}"/>
    <cellStyle name="Normal 4 4 2 3 8" xfId="4758"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8" xr:uid="{00000000-0005-0000-0000-000041150000}"/>
    <cellStyle name="Normal 4 4 2 4 2 3" xfId="5173" xr:uid="{00000000-0005-0000-0000-000042150000}"/>
    <cellStyle name="Normal 4 4 2 4 3" xfId="1279" xr:uid="{00000000-0005-0000-0000-000043150000}"/>
    <cellStyle name="Normal 4 4 2 4 3 2" xfId="3509" xr:uid="{00000000-0005-0000-0000-000044150000}"/>
    <cellStyle name="Normal 4 4 2 4 3 2 2" xfId="7731" xr:uid="{00000000-0005-0000-0000-000045150000}"/>
    <cellStyle name="Normal 4 4 2 4 3 3" xfId="5586" xr:uid="{00000000-0005-0000-0000-000046150000}"/>
    <cellStyle name="Normal 4 4 2 4 4" xfId="1692" xr:uid="{00000000-0005-0000-0000-000047150000}"/>
    <cellStyle name="Normal 4 4 2 4 4 2" xfId="3922" xr:uid="{00000000-0005-0000-0000-000048150000}"/>
    <cellStyle name="Normal 4 4 2 4 4 2 2" xfId="8144" xr:uid="{00000000-0005-0000-0000-000049150000}"/>
    <cellStyle name="Normal 4 4 2 4 4 3" xfId="5999" xr:uid="{00000000-0005-0000-0000-00004A150000}"/>
    <cellStyle name="Normal 4 4 2 4 5" xfId="2106" xr:uid="{00000000-0005-0000-0000-00004B150000}"/>
    <cellStyle name="Normal 4 4 2 4 5 2" xfId="4335" xr:uid="{00000000-0005-0000-0000-00004C150000}"/>
    <cellStyle name="Normal 4 4 2 4 5 2 2" xfId="8557" xr:uid="{00000000-0005-0000-0000-00004D150000}"/>
    <cellStyle name="Normal 4 4 2 4 5 3" xfId="6412" xr:uid="{00000000-0005-0000-0000-00004E150000}"/>
    <cellStyle name="Normal 4 4 2 4 6" xfId="2542" xr:uid="{00000000-0005-0000-0000-00004F150000}"/>
    <cellStyle name="Normal 4 4 2 4 6 2" xfId="6825" xr:uid="{00000000-0005-0000-0000-000050150000}"/>
    <cellStyle name="Normal 4 4 2 4 7" xfId="4760" xr:uid="{00000000-0005-0000-0000-000051150000}"/>
    <cellStyle name="Normal 4 4 2 5" xfId="854" xr:uid="{00000000-0005-0000-0000-000052150000}"/>
    <cellStyle name="Normal 4 4 2 5 2" xfId="3089" xr:uid="{00000000-0005-0000-0000-000053150000}"/>
    <cellStyle name="Normal 4 4 2 5 2 2" xfId="7311" xr:uid="{00000000-0005-0000-0000-000054150000}"/>
    <cellStyle name="Normal 4 4 2 5 3" xfId="5166" xr:uid="{00000000-0005-0000-0000-000055150000}"/>
    <cellStyle name="Normal 4 4 2 6" xfId="1272" xr:uid="{00000000-0005-0000-0000-000056150000}"/>
    <cellStyle name="Normal 4 4 2 6 2" xfId="3502" xr:uid="{00000000-0005-0000-0000-000057150000}"/>
    <cellStyle name="Normal 4 4 2 6 2 2" xfId="7724" xr:uid="{00000000-0005-0000-0000-000058150000}"/>
    <cellStyle name="Normal 4 4 2 6 3" xfId="5579" xr:uid="{00000000-0005-0000-0000-000059150000}"/>
    <cellStyle name="Normal 4 4 2 7" xfId="1685" xr:uid="{00000000-0005-0000-0000-00005A150000}"/>
    <cellStyle name="Normal 4 4 2 7 2" xfId="3915" xr:uid="{00000000-0005-0000-0000-00005B150000}"/>
    <cellStyle name="Normal 4 4 2 7 2 2" xfId="8137" xr:uid="{00000000-0005-0000-0000-00005C150000}"/>
    <cellStyle name="Normal 4 4 2 7 3" xfId="5992" xr:uid="{00000000-0005-0000-0000-00005D150000}"/>
    <cellStyle name="Normal 4 4 2 8" xfId="2099" xr:uid="{00000000-0005-0000-0000-00005E150000}"/>
    <cellStyle name="Normal 4 4 2 8 2" xfId="4328" xr:uid="{00000000-0005-0000-0000-00005F150000}"/>
    <cellStyle name="Normal 4 4 2 8 2 2" xfId="8550" xr:uid="{00000000-0005-0000-0000-000060150000}"/>
    <cellStyle name="Normal 4 4 2 8 3" xfId="6405" xr:uid="{00000000-0005-0000-0000-000061150000}"/>
    <cellStyle name="Normal 4 4 2 9" xfId="2535" xr:uid="{00000000-0005-0000-0000-000062150000}"/>
    <cellStyle name="Normal 4 4 2 9 2" xfId="6818"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1" xr:uid="{00000000-0005-0000-0000-000069150000}"/>
    <cellStyle name="Normal 4 4 3 2 2 2 3" xfId="5176" xr:uid="{00000000-0005-0000-0000-00006A150000}"/>
    <cellStyle name="Normal 4 4 3 2 2 3" xfId="1282" xr:uid="{00000000-0005-0000-0000-00006B150000}"/>
    <cellStyle name="Normal 4 4 3 2 2 3 2" xfId="3512" xr:uid="{00000000-0005-0000-0000-00006C150000}"/>
    <cellStyle name="Normal 4 4 3 2 2 3 2 2" xfId="7734" xr:uid="{00000000-0005-0000-0000-00006D150000}"/>
    <cellStyle name="Normal 4 4 3 2 2 3 3" xfId="5589" xr:uid="{00000000-0005-0000-0000-00006E150000}"/>
    <cellStyle name="Normal 4 4 3 2 2 4" xfId="1695" xr:uid="{00000000-0005-0000-0000-00006F150000}"/>
    <cellStyle name="Normal 4 4 3 2 2 4 2" xfId="3925" xr:uid="{00000000-0005-0000-0000-000070150000}"/>
    <cellStyle name="Normal 4 4 3 2 2 4 2 2" xfId="8147" xr:uid="{00000000-0005-0000-0000-000071150000}"/>
    <cellStyle name="Normal 4 4 3 2 2 4 3" xfId="6002" xr:uid="{00000000-0005-0000-0000-000072150000}"/>
    <cellStyle name="Normal 4 4 3 2 2 5" xfId="2109" xr:uid="{00000000-0005-0000-0000-000073150000}"/>
    <cellStyle name="Normal 4 4 3 2 2 5 2" xfId="4338" xr:uid="{00000000-0005-0000-0000-000074150000}"/>
    <cellStyle name="Normal 4 4 3 2 2 5 2 2" xfId="8560" xr:uid="{00000000-0005-0000-0000-000075150000}"/>
    <cellStyle name="Normal 4 4 3 2 2 5 3" xfId="6415" xr:uid="{00000000-0005-0000-0000-000076150000}"/>
    <cellStyle name="Normal 4 4 3 2 2 6" xfId="2545" xr:uid="{00000000-0005-0000-0000-000077150000}"/>
    <cellStyle name="Normal 4 4 3 2 2 6 2" xfId="6828" xr:uid="{00000000-0005-0000-0000-000078150000}"/>
    <cellStyle name="Normal 4 4 3 2 2 7" xfId="4763" xr:uid="{00000000-0005-0000-0000-000079150000}"/>
    <cellStyle name="Normal 4 4 3 2 3" xfId="863" xr:uid="{00000000-0005-0000-0000-00007A150000}"/>
    <cellStyle name="Normal 4 4 3 2 3 2" xfId="3098" xr:uid="{00000000-0005-0000-0000-00007B150000}"/>
    <cellStyle name="Normal 4 4 3 2 3 2 2" xfId="7320" xr:uid="{00000000-0005-0000-0000-00007C150000}"/>
    <cellStyle name="Normal 4 4 3 2 3 3" xfId="5175" xr:uid="{00000000-0005-0000-0000-00007D150000}"/>
    <cellStyle name="Normal 4 4 3 2 4" xfId="1281" xr:uid="{00000000-0005-0000-0000-00007E150000}"/>
    <cellStyle name="Normal 4 4 3 2 4 2" xfId="3511" xr:uid="{00000000-0005-0000-0000-00007F150000}"/>
    <cellStyle name="Normal 4 4 3 2 4 2 2" xfId="7733" xr:uid="{00000000-0005-0000-0000-000080150000}"/>
    <cellStyle name="Normal 4 4 3 2 4 3" xfId="5588" xr:uid="{00000000-0005-0000-0000-000081150000}"/>
    <cellStyle name="Normal 4 4 3 2 5" xfId="1694" xr:uid="{00000000-0005-0000-0000-000082150000}"/>
    <cellStyle name="Normal 4 4 3 2 5 2" xfId="3924" xr:uid="{00000000-0005-0000-0000-000083150000}"/>
    <cellStyle name="Normal 4 4 3 2 5 2 2" xfId="8146" xr:uid="{00000000-0005-0000-0000-000084150000}"/>
    <cellStyle name="Normal 4 4 3 2 5 3" xfId="6001" xr:uid="{00000000-0005-0000-0000-000085150000}"/>
    <cellStyle name="Normal 4 4 3 2 6" xfId="2108" xr:uid="{00000000-0005-0000-0000-000086150000}"/>
    <cellStyle name="Normal 4 4 3 2 6 2" xfId="4337" xr:uid="{00000000-0005-0000-0000-000087150000}"/>
    <cellStyle name="Normal 4 4 3 2 6 2 2" xfId="8559" xr:uid="{00000000-0005-0000-0000-000088150000}"/>
    <cellStyle name="Normal 4 4 3 2 6 3" xfId="6414" xr:uid="{00000000-0005-0000-0000-000089150000}"/>
    <cellStyle name="Normal 4 4 3 2 7" xfId="2544" xr:uid="{00000000-0005-0000-0000-00008A150000}"/>
    <cellStyle name="Normal 4 4 3 2 7 2" xfId="6827" xr:uid="{00000000-0005-0000-0000-00008B150000}"/>
    <cellStyle name="Normal 4 4 3 2 8" xfId="4762"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2" xr:uid="{00000000-0005-0000-0000-000090150000}"/>
    <cellStyle name="Normal 4 4 3 3 2 3" xfId="5177" xr:uid="{00000000-0005-0000-0000-000091150000}"/>
    <cellStyle name="Normal 4 4 3 3 3" xfId="1283" xr:uid="{00000000-0005-0000-0000-000092150000}"/>
    <cellStyle name="Normal 4 4 3 3 3 2" xfId="3513" xr:uid="{00000000-0005-0000-0000-000093150000}"/>
    <cellStyle name="Normal 4 4 3 3 3 2 2" xfId="7735" xr:uid="{00000000-0005-0000-0000-000094150000}"/>
    <cellStyle name="Normal 4 4 3 3 3 3" xfId="5590" xr:uid="{00000000-0005-0000-0000-000095150000}"/>
    <cellStyle name="Normal 4 4 3 3 4" xfId="1696" xr:uid="{00000000-0005-0000-0000-000096150000}"/>
    <cellStyle name="Normal 4 4 3 3 4 2" xfId="3926" xr:uid="{00000000-0005-0000-0000-000097150000}"/>
    <cellStyle name="Normal 4 4 3 3 4 2 2" xfId="8148" xr:uid="{00000000-0005-0000-0000-000098150000}"/>
    <cellStyle name="Normal 4 4 3 3 4 3" xfId="6003" xr:uid="{00000000-0005-0000-0000-000099150000}"/>
    <cellStyle name="Normal 4 4 3 3 5" xfId="2110" xr:uid="{00000000-0005-0000-0000-00009A150000}"/>
    <cellStyle name="Normal 4 4 3 3 5 2" xfId="4339" xr:uid="{00000000-0005-0000-0000-00009B150000}"/>
    <cellStyle name="Normal 4 4 3 3 5 2 2" xfId="8561" xr:uid="{00000000-0005-0000-0000-00009C150000}"/>
    <cellStyle name="Normal 4 4 3 3 5 3" xfId="6416" xr:uid="{00000000-0005-0000-0000-00009D150000}"/>
    <cellStyle name="Normal 4 4 3 3 6" xfId="2546" xr:uid="{00000000-0005-0000-0000-00009E150000}"/>
    <cellStyle name="Normal 4 4 3 3 6 2" xfId="6829" xr:uid="{00000000-0005-0000-0000-00009F150000}"/>
    <cellStyle name="Normal 4 4 3 3 7" xfId="4764" xr:uid="{00000000-0005-0000-0000-0000A0150000}"/>
    <cellStyle name="Normal 4 4 3 4" xfId="862" xr:uid="{00000000-0005-0000-0000-0000A1150000}"/>
    <cellStyle name="Normal 4 4 3 4 2" xfId="3097" xr:uid="{00000000-0005-0000-0000-0000A2150000}"/>
    <cellStyle name="Normal 4 4 3 4 2 2" xfId="7319" xr:uid="{00000000-0005-0000-0000-0000A3150000}"/>
    <cellStyle name="Normal 4 4 3 4 3" xfId="5174" xr:uid="{00000000-0005-0000-0000-0000A4150000}"/>
    <cellStyle name="Normal 4 4 3 5" xfId="1280" xr:uid="{00000000-0005-0000-0000-0000A5150000}"/>
    <cellStyle name="Normal 4 4 3 5 2" xfId="3510" xr:uid="{00000000-0005-0000-0000-0000A6150000}"/>
    <cellStyle name="Normal 4 4 3 5 2 2" xfId="7732" xr:uid="{00000000-0005-0000-0000-0000A7150000}"/>
    <cellStyle name="Normal 4 4 3 5 3" xfId="5587" xr:uid="{00000000-0005-0000-0000-0000A8150000}"/>
    <cellStyle name="Normal 4 4 3 6" xfId="1693" xr:uid="{00000000-0005-0000-0000-0000A9150000}"/>
    <cellStyle name="Normal 4 4 3 6 2" xfId="3923" xr:uid="{00000000-0005-0000-0000-0000AA150000}"/>
    <cellStyle name="Normal 4 4 3 6 2 2" xfId="8145" xr:uid="{00000000-0005-0000-0000-0000AB150000}"/>
    <cellStyle name="Normal 4 4 3 6 3" xfId="6000" xr:uid="{00000000-0005-0000-0000-0000AC150000}"/>
    <cellStyle name="Normal 4 4 3 7" xfId="2107" xr:uid="{00000000-0005-0000-0000-0000AD150000}"/>
    <cellStyle name="Normal 4 4 3 7 2" xfId="4336" xr:uid="{00000000-0005-0000-0000-0000AE150000}"/>
    <cellStyle name="Normal 4 4 3 7 2 2" xfId="8558" xr:uid="{00000000-0005-0000-0000-0000AF150000}"/>
    <cellStyle name="Normal 4 4 3 7 3" xfId="6413" xr:uid="{00000000-0005-0000-0000-0000B0150000}"/>
    <cellStyle name="Normal 4 4 3 8" xfId="2543" xr:uid="{00000000-0005-0000-0000-0000B1150000}"/>
    <cellStyle name="Normal 4 4 3 8 2" xfId="6826" xr:uid="{00000000-0005-0000-0000-0000B2150000}"/>
    <cellStyle name="Normal 4 4 3 9" xfId="4761"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4" xr:uid="{00000000-0005-0000-0000-0000B8150000}"/>
    <cellStyle name="Normal 4 4 4 2 2 3" xfId="5179" xr:uid="{00000000-0005-0000-0000-0000B9150000}"/>
    <cellStyle name="Normal 4 4 4 2 3" xfId="1285" xr:uid="{00000000-0005-0000-0000-0000BA150000}"/>
    <cellStyle name="Normal 4 4 4 2 3 2" xfId="3515" xr:uid="{00000000-0005-0000-0000-0000BB150000}"/>
    <cellStyle name="Normal 4 4 4 2 3 2 2" xfId="7737" xr:uid="{00000000-0005-0000-0000-0000BC150000}"/>
    <cellStyle name="Normal 4 4 4 2 3 3" xfId="5592" xr:uid="{00000000-0005-0000-0000-0000BD150000}"/>
    <cellStyle name="Normal 4 4 4 2 4" xfId="1698" xr:uid="{00000000-0005-0000-0000-0000BE150000}"/>
    <cellStyle name="Normal 4 4 4 2 4 2" xfId="3928" xr:uid="{00000000-0005-0000-0000-0000BF150000}"/>
    <cellStyle name="Normal 4 4 4 2 4 2 2" xfId="8150" xr:uid="{00000000-0005-0000-0000-0000C0150000}"/>
    <cellStyle name="Normal 4 4 4 2 4 3" xfId="6005" xr:uid="{00000000-0005-0000-0000-0000C1150000}"/>
    <cellStyle name="Normal 4 4 4 2 5" xfId="2112" xr:uid="{00000000-0005-0000-0000-0000C2150000}"/>
    <cellStyle name="Normal 4 4 4 2 5 2" xfId="4341" xr:uid="{00000000-0005-0000-0000-0000C3150000}"/>
    <cellStyle name="Normal 4 4 4 2 5 2 2" xfId="8563" xr:uid="{00000000-0005-0000-0000-0000C4150000}"/>
    <cellStyle name="Normal 4 4 4 2 5 3" xfId="6418" xr:uid="{00000000-0005-0000-0000-0000C5150000}"/>
    <cellStyle name="Normal 4 4 4 2 6" xfId="2548" xr:uid="{00000000-0005-0000-0000-0000C6150000}"/>
    <cellStyle name="Normal 4 4 4 2 6 2" xfId="6831" xr:uid="{00000000-0005-0000-0000-0000C7150000}"/>
    <cellStyle name="Normal 4 4 4 2 7" xfId="4766" xr:uid="{00000000-0005-0000-0000-0000C8150000}"/>
    <cellStyle name="Normal 4 4 4 3" xfId="866" xr:uid="{00000000-0005-0000-0000-0000C9150000}"/>
    <cellStyle name="Normal 4 4 4 3 2" xfId="3101" xr:uid="{00000000-0005-0000-0000-0000CA150000}"/>
    <cellStyle name="Normal 4 4 4 3 2 2" xfId="7323" xr:uid="{00000000-0005-0000-0000-0000CB150000}"/>
    <cellStyle name="Normal 4 4 4 3 3" xfId="5178" xr:uid="{00000000-0005-0000-0000-0000CC150000}"/>
    <cellStyle name="Normal 4 4 4 4" xfId="1284" xr:uid="{00000000-0005-0000-0000-0000CD150000}"/>
    <cellStyle name="Normal 4 4 4 4 2" xfId="3514" xr:uid="{00000000-0005-0000-0000-0000CE150000}"/>
    <cellStyle name="Normal 4 4 4 4 2 2" xfId="7736" xr:uid="{00000000-0005-0000-0000-0000CF150000}"/>
    <cellStyle name="Normal 4 4 4 4 3" xfId="5591" xr:uid="{00000000-0005-0000-0000-0000D0150000}"/>
    <cellStyle name="Normal 4 4 4 5" xfId="1697" xr:uid="{00000000-0005-0000-0000-0000D1150000}"/>
    <cellStyle name="Normal 4 4 4 5 2" xfId="3927" xr:uid="{00000000-0005-0000-0000-0000D2150000}"/>
    <cellStyle name="Normal 4 4 4 5 2 2" xfId="8149" xr:uid="{00000000-0005-0000-0000-0000D3150000}"/>
    <cellStyle name="Normal 4 4 4 5 3" xfId="6004" xr:uid="{00000000-0005-0000-0000-0000D4150000}"/>
    <cellStyle name="Normal 4 4 4 6" xfId="2111" xr:uid="{00000000-0005-0000-0000-0000D5150000}"/>
    <cellStyle name="Normal 4 4 4 6 2" xfId="4340" xr:uid="{00000000-0005-0000-0000-0000D6150000}"/>
    <cellStyle name="Normal 4 4 4 6 2 2" xfId="8562" xr:uid="{00000000-0005-0000-0000-0000D7150000}"/>
    <cellStyle name="Normal 4 4 4 6 3" xfId="6417" xr:uid="{00000000-0005-0000-0000-0000D8150000}"/>
    <cellStyle name="Normal 4 4 4 7" xfId="2547" xr:uid="{00000000-0005-0000-0000-0000D9150000}"/>
    <cellStyle name="Normal 4 4 4 7 2" xfId="6830" xr:uid="{00000000-0005-0000-0000-0000DA150000}"/>
    <cellStyle name="Normal 4 4 4 8" xfId="4765"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5" xr:uid="{00000000-0005-0000-0000-0000DF150000}"/>
    <cellStyle name="Normal 4 4 5 2 3" xfId="5180" xr:uid="{00000000-0005-0000-0000-0000E0150000}"/>
    <cellStyle name="Normal 4 4 5 3" xfId="1286" xr:uid="{00000000-0005-0000-0000-0000E1150000}"/>
    <cellStyle name="Normal 4 4 5 3 2" xfId="3516" xr:uid="{00000000-0005-0000-0000-0000E2150000}"/>
    <cellStyle name="Normal 4 4 5 3 2 2" xfId="7738" xr:uid="{00000000-0005-0000-0000-0000E3150000}"/>
    <cellStyle name="Normal 4 4 5 3 3" xfId="5593" xr:uid="{00000000-0005-0000-0000-0000E4150000}"/>
    <cellStyle name="Normal 4 4 5 4" xfId="1699" xr:uid="{00000000-0005-0000-0000-0000E5150000}"/>
    <cellStyle name="Normal 4 4 5 4 2" xfId="3929" xr:uid="{00000000-0005-0000-0000-0000E6150000}"/>
    <cellStyle name="Normal 4 4 5 4 2 2" xfId="8151" xr:uid="{00000000-0005-0000-0000-0000E7150000}"/>
    <cellStyle name="Normal 4 4 5 4 3" xfId="6006" xr:uid="{00000000-0005-0000-0000-0000E8150000}"/>
    <cellStyle name="Normal 4 4 5 5" xfId="2113" xr:uid="{00000000-0005-0000-0000-0000E9150000}"/>
    <cellStyle name="Normal 4 4 5 5 2" xfId="4342" xr:uid="{00000000-0005-0000-0000-0000EA150000}"/>
    <cellStyle name="Normal 4 4 5 5 2 2" xfId="8564" xr:uid="{00000000-0005-0000-0000-0000EB150000}"/>
    <cellStyle name="Normal 4 4 5 5 3" xfId="6419" xr:uid="{00000000-0005-0000-0000-0000EC150000}"/>
    <cellStyle name="Normal 4 4 5 6" xfId="2549" xr:uid="{00000000-0005-0000-0000-0000ED150000}"/>
    <cellStyle name="Normal 4 4 5 6 2" xfId="6832" xr:uid="{00000000-0005-0000-0000-0000EE150000}"/>
    <cellStyle name="Normal 4 4 5 7" xfId="4767" xr:uid="{00000000-0005-0000-0000-0000EF150000}"/>
    <cellStyle name="Normal 4 4 6" xfId="853" xr:uid="{00000000-0005-0000-0000-0000F0150000}"/>
    <cellStyle name="Normal 4 4 6 2" xfId="3088" xr:uid="{00000000-0005-0000-0000-0000F1150000}"/>
    <cellStyle name="Normal 4 4 6 2 2" xfId="7310" xr:uid="{00000000-0005-0000-0000-0000F2150000}"/>
    <cellStyle name="Normal 4 4 6 3" xfId="5165" xr:uid="{00000000-0005-0000-0000-0000F3150000}"/>
    <cellStyle name="Normal 4 4 7" xfId="1271" xr:uid="{00000000-0005-0000-0000-0000F4150000}"/>
    <cellStyle name="Normal 4 4 7 2" xfId="3501" xr:uid="{00000000-0005-0000-0000-0000F5150000}"/>
    <cellStyle name="Normal 4 4 7 2 2" xfId="7723" xr:uid="{00000000-0005-0000-0000-0000F6150000}"/>
    <cellStyle name="Normal 4 4 7 3" xfId="5578" xr:uid="{00000000-0005-0000-0000-0000F7150000}"/>
    <cellStyle name="Normal 4 4 8" xfId="1684" xr:uid="{00000000-0005-0000-0000-0000F8150000}"/>
    <cellStyle name="Normal 4 4 8 2" xfId="3914" xr:uid="{00000000-0005-0000-0000-0000F9150000}"/>
    <cellStyle name="Normal 4 4 8 2 2" xfId="8136" xr:uid="{00000000-0005-0000-0000-0000FA150000}"/>
    <cellStyle name="Normal 4 4 8 3" xfId="5991" xr:uid="{00000000-0005-0000-0000-0000FB150000}"/>
    <cellStyle name="Normal 4 4 9" xfId="2098" xr:uid="{00000000-0005-0000-0000-0000FC150000}"/>
    <cellStyle name="Normal 4 4 9 2" xfId="4327" xr:uid="{00000000-0005-0000-0000-0000FD150000}"/>
    <cellStyle name="Normal 4 4 9 2 2" xfId="8549" xr:uid="{00000000-0005-0000-0000-0000FE150000}"/>
    <cellStyle name="Normal 4 4 9 3" xfId="6404" xr:uid="{00000000-0005-0000-0000-0000FF150000}"/>
    <cellStyle name="Normal 4 5" xfId="394" xr:uid="{00000000-0005-0000-0000-000000160000}"/>
    <cellStyle name="Normal 4 6" xfId="395" xr:uid="{00000000-0005-0000-0000-000001160000}"/>
    <cellStyle name="Normal 4 6 10" xfId="4768"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29" xr:uid="{00000000-0005-0000-0000-000008160000}"/>
    <cellStyle name="Normal 4 6 2 2 2 2 3" xfId="5184" xr:uid="{00000000-0005-0000-0000-000009160000}"/>
    <cellStyle name="Normal 4 6 2 2 2 3" xfId="1290" xr:uid="{00000000-0005-0000-0000-00000A160000}"/>
    <cellStyle name="Normal 4 6 2 2 2 3 2" xfId="3520" xr:uid="{00000000-0005-0000-0000-00000B160000}"/>
    <cellStyle name="Normal 4 6 2 2 2 3 2 2" xfId="7742" xr:uid="{00000000-0005-0000-0000-00000C160000}"/>
    <cellStyle name="Normal 4 6 2 2 2 3 3" xfId="5597" xr:uid="{00000000-0005-0000-0000-00000D160000}"/>
    <cellStyle name="Normal 4 6 2 2 2 4" xfId="1703" xr:uid="{00000000-0005-0000-0000-00000E160000}"/>
    <cellStyle name="Normal 4 6 2 2 2 4 2" xfId="3933" xr:uid="{00000000-0005-0000-0000-00000F160000}"/>
    <cellStyle name="Normal 4 6 2 2 2 4 2 2" xfId="8155" xr:uid="{00000000-0005-0000-0000-000010160000}"/>
    <cellStyle name="Normal 4 6 2 2 2 4 3" xfId="6010" xr:uid="{00000000-0005-0000-0000-000011160000}"/>
    <cellStyle name="Normal 4 6 2 2 2 5" xfId="2117" xr:uid="{00000000-0005-0000-0000-000012160000}"/>
    <cellStyle name="Normal 4 6 2 2 2 5 2" xfId="4346" xr:uid="{00000000-0005-0000-0000-000013160000}"/>
    <cellStyle name="Normal 4 6 2 2 2 5 2 2" xfId="8568" xr:uid="{00000000-0005-0000-0000-000014160000}"/>
    <cellStyle name="Normal 4 6 2 2 2 5 3" xfId="6423" xr:uid="{00000000-0005-0000-0000-000015160000}"/>
    <cellStyle name="Normal 4 6 2 2 2 6" xfId="2553" xr:uid="{00000000-0005-0000-0000-000016160000}"/>
    <cellStyle name="Normal 4 6 2 2 2 6 2" xfId="6836" xr:uid="{00000000-0005-0000-0000-000017160000}"/>
    <cellStyle name="Normal 4 6 2 2 2 7" xfId="4771" xr:uid="{00000000-0005-0000-0000-000018160000}"/>
    <cellStyle name="Normal 4 6 2 2 3" xfId="871" xr:uid="{00000000-0005-0000-0000-000019160000}"/>
    <cellStyle name="Normal 4 6 2 2 3 2" xfId="3106" xr:uid="{00000000-0005-0000-0000-00001A160000}"/>
    <cellStyle name="Normal 4 6 2 2 3 2 2" xfId="7328" xr:uid="{00000000-0005-0000-0000-00001B160000}"/>
    <cellStyle name="Normal 4 6 2 2 3 3" xfId="5183" xr:uid="{00000000-0005-0000-0000-00001C160000}"/>
    <cellStyle name="Normal 4 6 2 2 4" xfId="1289" xr:uid="{00000000-0005-0000-0000-00001D160000}"/>
    <cellStyle name="Normal 4 6 2 2 4 2" xfId="3519" xr:uid="{00000000-0005-0000-0000-00001E160000}"/>
    <cellStyle name="Normal 4 6 2 2 4 2 2" xfId="7741" xr:uid="{00000000-0005-0000-0000-00001F160000}"/>
    <cellStyle name="Normal 4 6 2 2 4 3" xfId="5596" xr:uid="{00000000-0005-0000-0000-000020160000}"/>
    <cellStyle name="Normal 4 6 2 2 5" xfId="1702" xr:uid="{00000000-0005-0000-0000-000021160000}"/>
    <cellStyle name="Normal 4 6 2 2 5 2" xfId="3932" xr:uid="{00000000-0005-0000-0000-000022160000}"/>
    <cellStyle name="Normal 4 6 2 2 5 2 2" xfId="8154" xr:uid="{00000000-0005-0000-0000-000023160000}"/>
    <cellStyle name="Normal 4 6 2 2 5 3" xfId="6009" xr:uid="{00000000-0005-0000-0000-000024160000}"/>
    <cellStyle name="Normal 4 6 2 2 6" xfId="2116" xr:uid="{00000000-0005-0000-0000-000025160000}"/>
    <cellStyle name="Normal 4 6 2 2 6 2" xfId="4345" xr:uid="{00000000-0005-0000-0000-000026160000}"/>
    <cellStyle name="Normal 4 6 2 2 6 2 2" xfId="8567" xr:uid="{00000000-0005-0000-0000-000027160000}"/>
    <cellStyle name="Normal 4 6 2 2 6 3" xfId="6422" xr:uid="{00000000-0005-0000-0000-000028160000}"/>
    <cellStyle name="Normal 4 6 2 2 7" xfId="2552" xr:uid="{00000000-0005-0000-0000-000029160000}"/>
    <cellStyle name="Normal 4 6 2 2 7 2" xfId="6835" xr:uid="{00000000-0005-0000-0000-00002A160000}"/>
    <cellStyle name="Normal 4 6 2 2 8" xfId="4770"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0" xr:uid="{00000000-0005-0000-0000-00002F160000}"/>
    <cellStyle name="Normal 4 6 2 3 2 3" xfId="5185" xr:uid="{00000000-0005-0000-0000-000030160000}"/>
    <cellStyle name="Normal 4 6 2 3 3" xfId="1291" xr:uid="{00000000-0005-0000-0000-000031160000}"/>
    <cellStyle name="Normal 4 6 2 3 3 2" xfId="3521" xr:uid="{00000000-0005-0000-0000-000032160000}"/>
    <cellStyle name="Normal 4 6 2 3 3 2 2" xfId="7743" xr:uid="{00000000-0005-0000-0000-000033160000}"/>
    <cellStyle name="Normal 4 6 2 3 3 3" xfId="5598" xr:uid="{00000000-0005-0000-0000-000034160000}"/>
    <cellStyle name="Normal 4 6 2 3 4" xfId="1704" xr:uid="{00000000-0005-0000-0000-000035160000}"/>
    <cellStyle name="Normal 4 6 2 3 4 2" xfId="3934" xr:uid="{00000000-0005-0000-0000-000036160000}"/>
    <cellStyle name="Normal 4 6 2 3 4 2 2" xfId="8156" xr:uid="{00000000-0005-0000-0000-000037160000}"/>
    <cellStyle name="Normal 4 6 2 3 4 3" xfId="6011" xr:uid="{00000000-0005-0000-0000-000038160000}"/>
    <cellStyle name="Normal 4 6 2 3 5" xfId="2118" xr:uid="{00000000-0005-0000-0000-000039160000}"/>
    <cellStyle name="Normal 4 6 2 3 5 2" xfId="4347" xr:uid="{00000000-0005-0000-0000-00003A160000}"/>
    <cellStyle name="Normal 4 6 2 3 5 2 2" xfId="8569" xr:uid="{00000000-0005-0000-0000-00003B160000}"/>
    <cellStyle name="Normal 4 6 2 3 5 3" xfId="6424" xr:uid="{00000000-0005-0000-0000-00003C160000}"/>
    <cellStyle name="Normal 4 6 2 3 6" xfId="2554" xr:uid="{00000000-0005-0000-0000-00003D160000}"/>
    <cellStyle name="Normal 4 6 2 3 6 2" xfId="6837" xr:uid="{00000000-0005-0000-0000-00003E160000}"/>
    <cellStyle name="Normal 4 6 2 3 7" xfId="4772" xr:uid="{00000000-0005-0000-0000-00003F160000}"/>
    <cellStyle name="Normal 4 6 2 4" xfId="870" xr:uid="{00000000-0005-0000-0000-000040160000}"/>
    <cellStyle name="Normal 4 6 2 4 2" xfId="3105" xr:uid="{00000000-0005-0000-0000-000041160000}"/>
    <cellStyle name="Normal 4 6 2 4 2 2" xfId="7327" xr:uid="{00000000-0005-0000-0000-000042160000}"/>
    <cellStyle name="Normal 4 6 2 4 3" xfId="5182" xr:uid="{00000000-0005-0000-0000-000043160000}"/>
    <cellStyle name="Normal 4 6 2 5" xfId="1288" xr:uid="{00000000-0005-0000-0000-000044160000}"/>
    <cellStyle name="Normal 4 6 2 5 2" xfId="3518" xr:uid="{00000000-0005-0000-0000-000045160000}"/>
    <cellStyle name="Normal 4 6 2 5 2 2" xfId="7740" xr:uid="{00000000-0005-0000-0000-000046160000}"/>
    <cellStyle name="Normal 4 6 2 5 3" xfId="5595" xr:uid="{00000000-0005-0000-0000-000047160000}"/>
    <cellStyle name="Normal 4 6 2 6" xfId="1701" xr:uid="{00000000-0005-0000-0000-000048160000}"/>
    <cellStyle name="Normal 4 6 2 6 2" xfId="3931" xr:uid="{00000000-0005-0000-0000-000049160000}"/>
    <cellStyle name="Normal 4 6 2 6 2 2" xfId="8153" xr:uid="{00000000-0005-0000-0000-00004A160000}"/>
    <cellStyle name="Normal 4 6 2 6 3" xfId="6008" xr:uid="{00000000-0005-0000-0000-00004B160000}"/>
    <cellStyle name="Normal 4 6 2 7" xfId="2115" xr:uid="{00000000-0005-0000-0000-00004C160000}"/>
    <cellStyle name="Normal 4 6 2 7 2" xfId="4344" xr:uid="{00000000-0005-0000-0000-00004D160000}"/>
    <cellStyle name="Normal 4 6 2 7 2 2" xfId="8566" xr:uid="{00000000-0005-0000-0000-00004E160000}"/>
    <cellStyle name="Normal 4 6 2 7 3" xfId="6421" xr:uid="{00000000-0005-0000-0000-00004F160000}"/>
    <cellStyle name="Normal 4 6 2 8" xfId="2551" xr:uid="{00000000-0005-0000-0000-000050160000}"/>
    <cellStyle name="Normal 4 6 2 8 2" xfId="6834" xr:uid="{00000000-0005-0000-0000-000051160000}"/>
    <cellStyle name="Normal 4 6 2 9" xfId="4769"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2" xr:uid="{00000000-0005-0000-0000-000057160000}"/>
    <cellStyle name="Normal 4 6 3 2 2 3" xfId="5187" xr:uid="{00000000-0005-0000-0000-000058160000}"/>
    <cellStyle name="Normal 4 6 3 2 3" xfId="1293" xr:uid="{00000000-0005-0000-0000-000059160000}"/>
    <cellStyle name="Normal 4 6 3 2 3 2" xfId="3523" xr:uid="{00000000-0005-0000-0000-00005A160000}"/>
    <cellStyle name="Normal 4 6 3 2 3 2 2" xfId="7745" xr:uid="{00000000-0005-0000-0000-00005B160000}"/>
    <cellStyle name="Normal 4 6 3 2 3 3" xfId="5600" xr:uid="{00000000-0005-0000-0000-00005C160000}"/>
    <cellStyle name="Normal 4 6 3 2 4" xfId="1706" xr:uid="{00000000-0005-0000-0000-00005D160000}"/>
    <cellStyle name="Normal 4 6 3 2 4 2" xfId="3936" xr:uid="{00000000-0005-0000-0000-00005E160000}"/>
    <cellStyle name="Normal 4 6 3 2 4 2 2" xfId="8158" xr:uid="{00000000-0005-0000-0000-00005F160000}"/>
    <cellStyle name="Normal 4 6 3 2 4 3" xfId="6013" xr:uid="{00000000-0005-0000-0000-000060160000}"/>
    <cellStyle name="Normal 4 6 3 2 5" xfId="2120" xr:uid="{00000000-0005-0000-0000-000061160000}"/>
    <cellStyle name="Normal 4 6 3 2 5 2" xfId="4349" xr:uid="{00000000-0005-0000-0000-000062160000}"/>
    <cellStyle name="Normal 4 6 3 2 5 2 2" xfId="8571" xr:uid="{00000000-0005-0000-0000-000063160000}"/>
    <cellStyle name="Normal 4 6 3 2 5 3" xfId="6426" xr:uid="{00000000-0005-0000-0000-000064160000}"/>
    <cellStyle name="Normal 4 6 3 2 6" xfId="2556" xr:uid="{00000000-0005-0000-0000-000065160000}"/>
    <cellStyle name="Normal 4 6 3 2 6 2" xfId="6839" xr:uid="{00000000-0005-0000-0000-000066160000}"/>
    <cellStyle name="Normal 4 6 3 2 7" xfId="4774" xr:uid="{00000000-0005-0000-0000-000067160000}"/>
    <cellStyle name="Normal 4 6 3 3" xfId="874" xr:uid="{00000000-0005-0000-0000-000068160000}"/>
    <cellStyle name="Normal 4 6 3 3 2" xfId="3109" xr:uid="{00000000-0005-0000-0000-000069160000}"/>
    <cellStyle name="Normal 4 6 3 3 2 2" xfId="7331" xr:uid="{00000000-0005-0000-0000-00006A160000}"/>
    <cellStyle name="Normal 4 6 3 3 3" xfId="5186" xr:uid="{00000000-0005-0000-0000-00006B160000}"/>
    <cellStyle name="Normal 4 6 3 4" xfId="1292" xr:uid="{00000000-0005-0000-0000-00006C160000}"/>
    <cellStyle name="Normal 4 6 3 4 2" xfId="3522" xr:uid="{00000000-0005-0000-0000-00006D160000}"/>
    <cellStyle name="Normal 4 6 3 4 2 2" xfId="7744" xr:uid="{00000000-0005-0000-0000-00006E160000}"/>
    <cellStyle name="Normal 4 6 3 4 3" xfId="5599" xr:uid="{00000000-0005-0000-0000-00006F160000}"/>
    <cellStyle name="Normal 4 6 3 5" xfId="1705" xr:uid="{00000000-0005-0000-0000-000070160000}"/>
    <cellStyle name="Normal 4 6 3 5 2" xfId="3935" xr:uid="{00000000-0005-0000-0000-000071160000}"/>
    <cellStyle name="Normal 4 6 3 5 2 2" xfId="8157" xr:uid="{00000000-0005-0000-0000-000072160000}"/>
    <cellStyle name="Normal 4 6 3 5 3" xfId="6012" xr:uid="{00000000-0005-0000-0000-000073160000}"/>
    <cellStyle name="Normal 4 6 3 6" xfId="2119" xr:uid="{00000000-0005-0000-0000-000074160000}"/>
    <cellStyle name="Normal 4 6 3 6 2" xfId="4348" xr:uid="{00000000-0005-0000-0000-000075160000}"/>
    <cellStyle name="Normal 4 6 3 6 2 2" xfId="8570" xr:uid="{00000000-0005-0000-0000-000076160000}"/>
    <cellStyle name="Normal 4 6 3 6 3" xfId="6425" xr:uid="{00000000-0005-0000-0000-000077160000}"/>
    <cellStyle name="Normal 4 6 3 7" xfId="2555" xr:uid="{00000000-0005-0000-0000-000078160000}"/>
    <cellStyle name="Normal 4 6 3 7 2" xfId="6838" xr:uid="{00000000-0005-0000-0000-000079160000}"/>
    <cellStyle name="Normal 4 6 3 8" xfId="4773"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3" xr:uid="{00000000-0005-0000-0000-00007E160000}"/>
    <cellStyle name="Normal 4 6 4 2 3" xfId="5188" xr:uid="{00000000-0005-0000-0000-00007F160000}"/>
    <cellStyle name="Normal 4 6 4 3" xfId="1294" xr:uid="{00000000-0005-0000-0000-000080160000}"/>
    <cellStyle name="Normal 4 6 4 3 2" xfId="3524" xr:uid="{00000000-0005-0000-0000-000081160000}"/>
    <cellStyle name="Normal 4 6 4 3 2 2" xfId="7746" xr:uid="{00000000-0005-0000-0000-000082160000}"/>
    <cellStyle name="Normal 4 6 4 3 3" xfId="5601" xr:uid="{00000000-0005-0000-0000-000083160000}"/>
    <cellStyle name="Normal 4 6 4 4" xfId="1707" xr:uid="{00000000-0005-0000-0000-000084160000}"/>
    <cellStyle name="Normal 4 6 4 4 2" xfId="3937" xr:uid="{00000000-0005-0000-0000-000085160000}"/>
    <cellStyle name="Normal 4 6 4 4 2 2" xfId="8159" xr:uid="{00000000-0005-0000-0000-000086160000}"/>
    <cellStyle name="Normal 4 6 4 4 3" xfId="6014" xr:uid="{00000000-0005-0000-0000-000087160000}"/>
    <cellStyle name="Normal 4 6 4 5" xfId="2121" xr:uid="{00000000-0005-0000-0000-000088160000}"/>
    <cellStyle name="Normal 4 6 4 5 2" xfId="4350" xr:uid="{00000000-0005-0000-0000-000089160000}"/>
    <cellStyle name="Normal 4 6 4 5 2 2" xfId="8572" xr:uid="{00000000-0005-0000-0000-00008A160000}"/>
    <cellStyle name="Normal 4 6 4 5 3" xfId="6427" xr:uid="{00000000-0005-0000-0000-00008B160000}"/>
    <cellStyle name="Normal 4 6 4 6" xfId="2557" xr:uid="{00000000-0005-0000-0000-00008C160000}"/>
    <cellStyle name="Normal 4 6 4 6 2" xfId="6840" xr:uid="{00000000-0005-0000-0000-00008D160000}"/>
    <cellStyle name="Normal 4 6 4 7" xfId="4775" xr:uid="{00000000-0005-0000-0000-00008E160000}"/>
    <cellStyle name="Normal 4 6 5" xfId="869" xr:uid="{00000000-0005-0000-0000-00008F160000}"/>
    <cellStyle name="Normal 4 6 5 2" xfId="3104" xr:uid="{00000000-0005-0000-0000-000090160000}"/>
    <cellStyle name="Normal 4 6 5 2 2" xfId="7326" xr:uid="{00000000-0005-0000-0000-000091160000}"/>
    <cellStyle name="Normal 4 6 5 3" xfId="5181" xr:uid="{00000000-0005-0000-0000-000092160000}"/>
    <cellStyle name="Normal 4 6 6" xfId="1287" xr:uid="{00000000-0005-0000-0000-000093160000}"/>
    <cellStyle name="Normal 4 6 6 2" xfId="3517" xr:uid="{00000000-0005-0000-0000-000094160000}"/>
    <cellStyle name="Normal 4 6 6 2 2" xfId="7739" xr:uid="{00000000-0005-0000-0000-000095160000}"/>
    <cellStyle name="Normal 4 6 6 3" xfId="5594" xr:uid="{00000000-0005-0000-0000-000096160000}"/>
    <cellStyle name="Normal 4 6 7" xfId="1700" xr:uid="{00000000-0005-0000-0000-000097160000}"/>
    <cellStyle name="Normal 4 6 7 2" xfId="3930" xr:uid="{00000000-0005-0000-0000-000098160000}"/>
    <cellStyle name="Normal 4 6 7 2 2" xfId="8152" xr:uid="{00000000-0005-0000-0000-000099160000}"/>
    <cellStyle name="Normal 4 6 7 3" xfId="6007" xr:uid="{00000000-0005-0000-0000-00009A160000}"/>
    <cellStyle name="Normal 4 6 8" xfId="2114" xr:uid="{00000000-0005-0000-0000-00009B160000}"/>
    <cellStyle name="Normal 4 6 8 2" xfId="4343" xr:uid="{00000000-0005-0000-0000-00009C160000}"/>
    <cellStyle name="Normal 4 6 8 2 2" xfId="8565" xr:uid="{00000000-0005-0000-0000-00009D160000}"/>
    <cellStyle name="Normal 4 6 8 3" xfId="6420" xr:uid="{00000000-0005-0000-0000-00009E160000}"/>
    <cellStyle name="Normal 4 6 9" xfId="2550" xr:uid="{00000000-0005-0000-0000-00009F160000}"/>
    <cellStyle name="Normal 4 6 9 2" xfId="6833"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5" xr:uid="{00000000-0005-0000-0000-0000A5160000}"/>
    <cellStyle name="Normal 4 7 2 2 3" xfId="5190" xr:uid="{00000000-0005-0000-0000-0000A6160000}"/>
    <cellStyle name="Normal 4 7 2 3" xfId="1296" xr:uid="{00000000-0005-0000-0000-0000A7160000}"/>
    <cellStyle name="Normal 4 7 2 3 2" xfId="3526" xr:uid="{00000000-0005-0000-0000-0000A8160000}"/>
    <cellStyle name="Normal 4 7 2 3 2 2" xfId="7748" xr:uid="{00000000-0005-0000-0000-0000A9160000}"/>
    <cellStyle name="Normal 4 7 2 3 3" xfId="5603" xr:uid="{00000000-0005-0000-0000-0000AA160000}"/>
    <cellStyle name="Normal 4 7 2 4" xfId="1709" xr:uid="{00000000-0005-0000-0000-0000AB160000}"/>
    <cellStyle name="Normal 4 7 2 4 2" xfId="3939" xr:uid="{00000000-0005-0000-0000-0000AC160000}"/>
    <cellStyle name="Normal 4 7 2 4 2 2" xfId="8161" xr:uid="{00000000-0005-0000-0000-0000AD160000}"/>
    <cellStyle name="Normal 4 7 2 4 3" xfId="6016" xr:uid="{00000000-0005-0000-0000-0000AE160000}"/>
    <cellStyle name="Normal 4 7 2 5" xfId="2123" xr:uid="{00000000-0005-0000-0000-0000AF160000}"/>
    <cellStyle name="Normal 4 7 2 5 2" xfId="4352" xr:uid="{00000000-0005-0000-0000-0000B0160000}"/>
    <cellStyle name="Normal 4 7 2 5 2 2" xfId="8574" xr:uid="{00000000-0005-0000-0000-0000B1160000}"/>
    <cellStyle name="Normal 4 7 2 5 3" xfId="6429" xr:uid="{00000000-0005-0000-0000-0000B2160000}"/>
    <cellStyle name="Normal 4 7 2 6" xfId="2559" xr:uid="{00000000-0005-0000-0000-0000B3160000}"/>
    <cellStyle name="Normal 4 7 2 6 2" xfId="6842" xr:uid="{00000000-0005-0000-0000-0000B4160000}"/>
    <cellStyle name="Normal 4 7 2 7" xfId="4777" xr:uid="{00000000-0005-0000-0000-0000B5160000}"/>
    <cellStyle name="Normal 4 7 3" xfId="877" xr:uid="{00000000-0005-0000-0000-0000B6160000}"/>
    <cellStyle name="Normal 4 7 3 2" xfId="3112" xr:uid="{00000000-0005-0000-0000-0000B7160000}"/>
    <cellStyle name="Normal 4 7 3 2 2" xfId="7334" xr:uid="{00000000-0005-0000-0000-0000B8160000}"/>
    <cellStyle name="Normal 4 7 3 3" xfId="5189" xr:uid="{00000000-0005-0000-0000-0000B9160000}"/>
    <cellStyle name="Normal 4 7 4" xfId="1295" xr:uid="{00000000-0005-0000-0000-0000BA160000}"/>
    <cellStyle name="Normal 4 7 4 2" xfId="3525" xr:uid="{00000000-0005-0000-0000-0000BB160000}"/>
    <cellStyle name="Normal 4 7 4 2 2" xfId="7747" xr:uid="{00000000-0005-0000-0000-0000BC160000}"/>
    <cellStyle name="Normal 4 7 4 3" xfId="5602" xr:uid="{00000000-0005-0000-0000-0000BD160000}"/>
    <cellStyle name="Normal 4 7 5" xfId="1708" xr:uid="{00000000-0005-0000-0000-0000BE160000}"/>
    <cellStyle name="Normal 4 7 5 2" xfId="3938" xr:uid="{00000000-0005-0000-0000-0000BF160000}"/>
    <cellStyle name="Normal 4 7 5 2 2" xfId="8160" xr:uid="{00000000-0005-0000-0000-0000C0160000}"/>
    <cellStyle name="Normal 4 7 5 3" xfId="6015" xr:uid="{00000000-0005-0000-0000-0000C1160000}"/>
    <cellStyle name="Normal 4 7 6" xfId="2122" xr:uid="{00000000-0005-0000-0000-0000C2160000}"/>
    <cellStyle name="Normal 4 7 6 2" xfId="4351" xr:uid="{00000000-0005-0000-0000-0000C3160000}"/>
    <cellStyle name="Normal 4 7 6 2 2" xfId="8573" xr:uid="{00000000-0005-0000-0000-0000C4160000}"/>
    <cellStyle name="Normal 4 7 6 3" xfId="6428" xr:uid="{00000000-0005-0000-0000-0000C5160000}"/>
    <cellStyle name="Normal 4 7 7" xfId="2558" xr:uid="{00000000-0005-0000-0000-0000C6160000}"/>
    <cellStyle name="Normal 4 7 7 2" xfId="6841" xr:uid="{00000000-0005-0000-0000-0000C7160000}"/>
    <cellStyle name="Normal 4 7 8" xfId="4776"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6" xr:uid="{00000000-0005-0000-0000-0000CC160000}"/>
    <cellStyle name="Normal 4 8 2 3" xfId="5191" xr:uid="{00000000-0005-0000-0000-0000CD160000}"/>
    <cellStyle name="Normal 4 8 3" xfId="1297" xr:uid="{00000000-0005-0000-0000-0000CE160000}"/>
    <cellStyle name="Normal 4 8 3 2" xfId="3527" xr:uid="{00000000-0005-0000-0000-0000CF160000}"/>
    <cellStyle name="Normal 4 8 3 2 2" xfId="7749" xr:uid="{00000000-0005-0000-0000-0000D0160000}"/>
    <cellStyle name="Normal 4 8 3 3" xfId="5604" xr:uid="{00000000-0005-0000-0000-0000D1160000}"/>
    <cellStyle name="Normal 4 8 4" xfId="1710" xr:uid="{00000000-0005-0000-0000-0000D2160000}"/>
    <cellStyle name="Normal 4 8 4 2" xfId="3940" xr:uid="{00000000-0005-0000-0000-0000D3160000}"/>
    <cellStyle name="Normal 4 8 4 2 2" xfId="8162" xr:uid="{00000000-0005-0000-0000-0000D4160000}"/>
    <cellStyle name="Normal 4 8 4 3" xfId="6017" xr:uid="{00000000-0005-0000-0000-0000D5160000}"/>
    <cellStyle name="Normal 4 8 5" xfId="2124" xr:uid="{00000000-0005-0000-0000-0000D6160000}"/>
    <cellStyle name="Normal 4 8 5 2" xfId="4353" xr:uid="{00000000-0005-0000-0000-0000D7160000}"/>
    <cellStyle name="Normal 4 8 5 2 2" xfId="8575" xr:uid="{00000000-0005-0000-0000-0000D8160000}"/>
    <cellStyle name="Normal 4 8 5 3" xfId="6430" xr:uid="{00000000-0005-0000-0000-0000D9160000}"/>
    <cellStyle name="Normal 4 8 6" xfId="2560" xr:uid="{00000000-0005-0000-0000-0000DA160000}"/>
    <cellStyle name="Normal 4 8 6 2" xfId="6843" xr:uid="{00000000-0005-0000-0000-0000DB160000}"/>
    <cellStyle name="Normal 4 8 7" xfId="4778" xr:uid="{00000000-0005-0000-0000-0000DC160000}"/>
    <cellStyle name="Normal 4 9" xfId="4715"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3" xr:uid="{00000000-0005-0000-0000-0000E1160000}"/>
    <cellStyle name="Normal 5 10 3" xfId="6018" xr:uid="{00000000-0005-0000-0000-0000E2160000}"/>
    <cellStyle name="Normal 5 11" xfId="2125" xr:uid="{00000000-0005-0000-0000-0000E3160000}"/>
    <cellStyle name="Normal 5 11 2" xfId="4354" xr:uid="{00000000-0005-0000-0000-0000E4160000}"/>
    <cellStyle name="Normal 5 11 2 2" xfId="8576" xr:uid="{00000000-0005-0000-0000-0000E5160000}"/>
    <cellStyle name="Normal 5 11 3" xfId="6431" xr:uid="{00000000-0005-0000-0000-0000E6160000}"/>
    <cellStyle name="Normal 5 12" xfId="2561" xr:uid="{00000000-0005-0000-0000-0000E7160000}"/>
    <cellStyle name="Normal 5 12 2" xfId="6844" xr:uid="{00000000-0005-0000-0000-0000E8160000}"/>
    <cellStyle name="Normal 5 13" xfId="4779"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7" xr:uid="{00000000-0005-0000-0000-0000ED160000}"/>
    <cellStyle name="Normal 5 2 10 3" xfId="6432" xr:uid="{00000000-0005-0000-0000-0000EE160000}"/>
    <cellStyle name="Normal 5 2 11" xfId="2562" xr:uid="{00000000-0005-0000-0000-0000EF160000}"/>
    <cellStyle name="Normal 5 2 11 2" xfId="6845" xr:uid="{00000000-0005-0000-0000-0000F0160000}"/>
    <cellStyle name="Normal 5 2 12" xfId="4780" xr:uid="{00000000-0005-0000-0000-0000F1160000}"/>
    <cellStyle name="Normal 5 2 2" xfId="408" xr:uid="{00000000-0005-0000-0000-0000F2160000}"/>
    <cellStyle name="Normal 5 2 2 10" xfId="2563" xr:uid="{00000000-0005-0000-0000-0000F3160000}"/>
    <cellStyle name="Normal 5 2 2 10 2" xfId="6846" xr:uid="{00000000-0005-0000-0000-0000F4160000}"/>
    <cellStyle name="Normal 5 2 2 11" xfId="4781" xr:uid="{00000000-0005-0000-0000-0000F5160000}"/>
    <cellStyle name="Normal 5 2 2 2" xfId="409" xr:uid="{00000000-0005-0000-0000-0000F6160000}"/>
    <cellStyle name="Normal 5 2 2 2 10" xfId="4782"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3" xr:uid="{00000000-0005-0000-0000-0000FD160000}"/>
    <cellStyle name="Normal 5 2 2 2 2 2 2 2 3" xfId="5198" xr:uid="{00000000-0005-0000-0000-0000FE160000}"/>
    <cellStyle name="Normal 5 2 2 2 2 2 2 3" xfId="1304" xr:uid="{00000000-0005-0000-0000-0000FF160000}"/>
    <cellStyle name="Normal 5 2 2 2 2 2 2 3 2" xfId="3534" xr:uid="{00000000-0005-0000-0000-000000170000}"/>
    <cellStyle name="Normal 5 2 2 2 2 2 2 3 2 2" xfId="7756" xr:uid="{00000000-0005-0000-0000-000001170000}"/>
    <cellStyle name="Normal 5 2 2 2 2 2 2 3 3" xfId="5611" xr:uid="{00000000-0005-0000-0000-000002170000}"/>
    <cellStyle name="Normal 5 2 2 2 2 2 2 4" xfId="1717" xr:uid="{00000000-0005-0000-0000-000003170000}"/>
    <cellStyle name="Normal 5 2 2 2 2 2 2 4 2" xfId="3947" xr:uid="{00000000-0005-0000-0000-000004170000}"/>
    <cellStyle name="Normal 5 2 2 2 2 2 2 4 2 2" xfId="8169" xr:uid="{00000000-0005-0000-0000-000005170000}"/>
    <cellStyle name="Normal 5 2 2 2 2 2 2 4 3" xfId="6024" xr:uid="{00000000-0005-0000-0000-000006170000}"/>
    <cellStyle name="Normal 5 2 2 2 2 2 2 5" xfId="2131" xr:uid="{00000000-0005-0000-0000-000007170000}"/>
    <cellStyle name="Normal 5 2 2 2 2 2 2 5 2" xfId="4360" xr:uid="{00000000-0005-0000-0000-000008170000}"/>
    <cellStyle name="Normal 5 2 2 2 2 2 2 5 2 2" xfId="8582" xr:uid="{00000000-0005-0000-0000-000009170000}"/>
    <cellStyle name="Normal 5 2 2 2 2 2 2 5 3" xfId="6437" xr:uid="{00000000-0005-0000-0000-00000A170000}"/>
    <cellStyle name="Normal 5 2 2 2 2 2 2 6" xfId="2567" xr:uid="{00000000-0005-0000-0000-00000B170000}"/>
    <cellStyle name="Normal 5 2 2 2 2 2 2 6 2" xfId="6850" xr:uid="{00000000-0005-0000-0000-00000C170000}"/>
    <cellStyle name="Normal 5 2 2 2 2 2 2 7" xfId="4785" xr:uid="{00000000-0005-0000-0000-00000D170000}"/>
    <cellStyle name="Normal 5 2 2 2 2 2 3" xfId="885" xr:uid="{00000000-0005-0000-0000-00000E170000}"/>
    <cellStyle name="Normal 5 2 2 2 2 2 3 2" xfId="3120" xr:uid="{00000000-0005-0000-0000-00000F170000}"/>
    <cellStyle name="Normal 5 2 2 2 2 2 3 2 2" xfId="7342" xr:uid="{00000000-0005-0000-0000-000010170000}"/>
    <cellStyle name="Normal 5 2 2 2 2 2 3 3" xfId="5197" xr:uid="{00000000-0005-0000-0000-000011170000}"/>
    <cellStyle name="Normal 5 2 2 2 2 2 4" xfId="1303" xr:uid="{00000000-0005-0000-0000-000012170000}"/>
    <cellStyle name="Normal 5 2 2 2 2 2 4 2" xfId="3533" xr:uid="{00000000-0005-0000-0000-000013170000}"/>
    <cellStyle name="Normal 5 2 2 2 2 2 4 2 2" xfId="7755" xr:uid="{00000000-0005-0000-0000-000014170000}"/>
    <cellStyle name="Normal 5 2 2 2 2 2 4 3" xfId="5610" xr:uid="{00000000-0005-0000-0000-000015170000}"/>
    <cellStyle name="Normal 5 2 2 2 2 2 5" xfId="1716" xr:uid="{00000000-0005-0000-0000-000016170000}"/>
    <cellStyle name="Normal 5 2 2 2 2 2 5 2" xfId="3946" xr:uid="{00000000-0005-0000-0000-000017170000}"/>
    <cellStyle name="Normal 5 2 2 2 2 2 5 2 2" xfId="8168" xr:uid="{00000000-0005-0000-0000-000018170000}"/>
    <cellStyle name="Normal 5 2 2 2 2 2 5 3" xfId="6023" xr:uid="{00000000-0005-0000-0000-000019170000}"/>
    <cellStyle name="Normal 5 2 2 2 2 2 6" xfId="2130" xr:uid="{00000000-0005-0000-0000-00001A170000}"/>
    <cellStyle name="Normal 5 2 2 2 2 2 6 2" xfId="4359" xr:uid="{00000000-0005-0000-0000-00001B170000}"/>
    <cellStyle name="Normal 5 2 2 2 2 2 6 2 2" xfId="8581" xr:uid="{00000000-0005-0000-0000-00001C170000}"/>
    <cellStyle name="Normal 5 2 2 2 2 2 6 3" xfId="6436" xr:uid="{00000000-0005-0000-0000-00001D170000}"/>
    <cellStyle name="Normal 5 2 2 2 2 2 7" xfId="2566" xr:uid="{00000000-0005-0000-0000-00001E170000}"/>
    <cellStyle name="Normal 5 2 2 2 2 2 7 2" xfId="6849" xr:uid="{00000000-0005-0000-0000-00001F170000}"/>
    <cellStyle name="Normal 5 2 2 2 2 2 8" xfId="4784"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4" xr:uid="{00000000-0005-0000-0000-000024170000}"/>
    <cellStyle name="Normal 5 2 2 2 2 3 2 3" xfId="5199" xr:uid="{00000000-0005-0000-0000-000025170000}"/>
    <cellStyle name="Normal 5 2 2 2 2 3 3" xfId="1305" xr:uid="{00000000-0005-0000-0000-000026170000}"/>
    <cellStyle name="Normal 5 2 2 2 2 3 3 2" xfId="3535" xr:uid="{00000000-0005-0000-0000-000027170000}"/>
    <cellStyle name="Normal 5 2 2 2 2 3 3 2 2" xfId="7757" xr:uid="{00000000-0005-0000-0000-000028170000}"/>
    <cellStyle name="Normal 5 2 2 2 2 3 3 3" xfId="5612" xr:uid="{00000000-0005-0000-0000-000029170000}"/>
    <cellStyle name="Normal 5 2 2 2 2 3 4" xfId="1718" xr:uid="{00000000-0005-0000-0000-00002A170000}"/>
    <cellStyle name="Normal 5 2 2 2 2 3 4 2" xfId="3948" xr:uid="{00000000-0005-0000-0000-00002B170000}"/>
    <cellStyle name="Normal 5 2 2 2 2 3 4 2 2" xfId="8170" xr:uid="{00000000-0005-0000-0000-00002C170000}"/>
    <cellStyle name="Normal 5 2 2 2 2 3 4 3" xfId="6025" xr:uid="{00000000-0005-0000-0000-00002D170000}"/>
    <cellStyle name="Normal 5 2 2 2 2 3 5" xfId="2132" xr:uid="{00000000-0005-0000-0000-00002E170000}"/>
    <cellStyle name="Normal 5 2 2 2 2 3 5 2" xfId="4361" xr:uid="{00000000-0005-0000-0000-00002F170000}"/>
    <cellStyle name="Normal 5 2 2 2 2 3 5 2 2" xfId="8583" xr:uid="{00000000-0005-0000-0000-000030170000}"/>
    <cellStyle name="Normal 5 2 2 2 2 3 5 3" xfId="6438" xr:uid="{00000000-0005-0000-0000-000031170000}"/>
    <cellStyle name="Normal 5 2 2 2 2 3 6" xfId="2568" xr:uid="{00000000-0005-0000-0000-000032170000}"/>
    <cellStyle name="Normal 5 2 2 2 2 3 6 2" xfId="6851" xr:uid="{00000000-0005-0000-0000-000033170000}"/>
    <cellStyle name="Normal 5 2 2 2 2 3 7" xfId="4786" xr:uid="{00000000-0005-0000-0000-000034170000}"/>
    <cellStyle name="Normal 5 2 2 2 2 4" xfId="884" xr:uid="{00000000-0005-0000-0000-000035170000}"/>
    <cellStyle name="Normal 5 2 2 2 2 4 2" xfId="3119" xr:uid="{00000000-0005-0000-0000-000036170000}"/>
    <cellStyle name="Normal 5 2 2 2 2 4 2 2" xfId="7341" xr:uid="{00000000-0005-0000-0000-000037170000}"/>
    <cellStyle name="Normal 5 2 2 2 2 4 3" xfId="5196" xr:uid="{00000000-0005-0000-0000-000038170000}"/>
    <cellStyle name="Normal 5 2 2 2 2 5" xfId="1302" xr:uid="{00000000-0005-0000-0000-000039170000}"/>
    <cellStyle name="Normal 5 2 2 2 2 5 2" xfId="3532" xr:uid="{00000000-0005-0000-0000-00003A170000}"/>
    <cellStyle name="Normal 5 2 2 2 2 5 2 2" xfId="7754" xr:uid="{00000000-0005-0000-0000-00003B170000}"/>
    <cellStyle name="Normal 5 2 2 2 2 5 3" xfId="5609" xr:uid="{00000000-0005-0000-0000-00003C170000}"/>
    <cellStyle name="Normal 5 2 2 2 2 6" xfId="1715" xr:uid="{00000000-0005-0000-0000-00003D170000}"/>
    <cellStyle name="Normal 5 2 2 2 2 6 2" xfId="3945" xr:uid="{00000000-0005-0000-0000-00003E170000}"/>
    <cellStyle name="Normal 5 2 2 2 2 6 2 2" xfId="8167" xr:uid="{00000000-0005-0000-0000-00003F170000}"/>
    <cellStyle name="Normal 5 2 2 2 2 6 3" xfId="6022" xr:uid="{00000000-0005-0000-0000-000040170000}"/>
    <cellStyle name="Normal 5 2 2 2 2 7" xfId="2129" xr:uid="{00000000-0005-0000-0000-000041170000}"/>
    <cellStyle name="Normal 5 2 2 2 2 7 2" xfId="4358" xr:uid="{00000000-0005-0000-0000-000042170000}"/>
    <cellStyle name="Normal 5 2 2 2 2 7 2 2" xfId="8580" xr:uid="{00000000-0005-0000-0000-000043170000}"/>
    <cellStyle name="Normal 5 2 2 2 2 7 3" xfId="6435" xr:uid="{00000000-0005-0000-0000-000044170000}"/>
    <cellStyle name="Normal 5 2 2 2 2 8" xfId="2565" xr:uid="{00000000-0005-0000-0000-000045170000}"/>
    <cellStyle name="Normal 5 2 2 2 2 8 2" xfId="6848" xr:uid="{00000000-0005-0000-0000-000046170000}"/>
    <cellStyle name="Normal 5 2 2 2 2 9" xfId="4783"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6" xr:uid="{00000000-0005-0000-0000-00004C170000}"/>
    <cellStyle name="Normal 5 2 2 2 3 2 2 3" xfId="5201" xr:uid="{00000000-0005-0000-0000-00004D170000}"/>
    <cellStyle name="Normal 5 2 2 2 3 2 3" xfId="1307" xr:uid="{00000000-0005-0000-0000-00004E170000}"/>
    <cellStyle name="Normal 5 2 2 2 3 2 3 2" xfId="3537" xr:uid="{00000000-0005-0000-0000-00004F170000}"/>
    <cellStyle name="Normal 5 2 2 2 3 2 3 2 2" xfId="7759" xr:uid="{00000000-0005-0000-0000-000050170000}"/>
    <cellStyle name="Normal 5 2 2 2 3 2 3 3" xfId="5614" xr:uid="{00000000-0005-0000-0000-000051170000}"/>
    <cellStyle name="Normal 5 2 2 2 3 2 4" xfId="1720" xr:uid="{00000000-0005-0000-0000-000052170000}"/>
    <cellStyle name="Normal 5 2 2 2 3 2 4 2" xfId="3950" xr:uid="{00000000-0005-0000-0000-000053170000}"/>
    <cellStyle name="Normal 5 2 2 2 3 2 4 2 2" xfId="8172" xr:uid="{00000000-0005-0000-0000-000054170000}"/>
    <cellStyle name="Normal 5 2 2 2 3 2 4 3" xfId="6027" xr:uid="{00000000-0005-0000-0000-000055170000}"/>
    <cellStyle name="Normal 5 2 2 2 3 2 5" xfId="2134" xr:uid="{00000000-0005-0000-0000-000056170000}"/>
    <cellStyle name="Normal 5 2 2 2 3 2 5 2" xfId="4363" xr:uid="{00000000-0005-0000-0000-000057170000}"/>
    <cellStyle name="Normal 5 2 2 2 3 2 5 2 2" xfId="8585" xr:uid="{00000000-0005-0000-0000-000058170000}"/>
    <cellStyle name="Normal 5 2 2 2 3 2 5 3" xfId="6440" xr:uid="{00000000-0005-0000-0000-000059170000}"/>
    <cellStyle name="Normal 5 2 2 2 3 2 6" xfId="2570" xr:uid="{00000000-0005-0000-0000-00005A170000}"/>
    <cellStyle name="Normal 5 2 2 2 3 2 6 2" xfId="6853" xr:uid="{00000000-0005-0000-0000-00005B170000}"/>
    <cellStyle name="Normal 5 2 2 2 3 2 7" xfId="4788" xr:uid="{00000000-0005-0000-0000-00005C170000}"/>
    <cellStyle name="Normal 5 2 2 2 3 3" xfId="888" xr:uid="{00000000-0005-0000-0000-00005D170000}"/>
    <cellStyle name="Normal 5 2 2 2 3 3 2" xfId="3123" xr:uid="{00000000-0005-0000-0000-00005E170000}"/>
    <cellStyle name="Normal 5 2 2 2 3 3 2 2" xfId="7345" xr:uid="{00000000-0005-0000-0000-00005F170000}"/>
    <cellStyle name="Normal 5 2 2 2 3 3 3" xfId="5200" xr:uid="{00000000-0005-0000-0000-000060170000}"/>
    <cellStyle name="Normal 5 2 2 2 3 4" xfId="1306" xr:uid="{00000000-0005-0000-0000-000061170000}"/>
    <cellStyle name="Normal 5 2 2 2 3 4 2" xfId="3536" xr:uid="{00000000-0005-0000-0000-000062170000}"/>
    <cellStyle name="Normal 5 2 2 2 3 4 2 2" xfId="7758" xr:uid="{00000000-0005-0000-0000-000063170000}"/>
    <cellStyle name="Normal 5 2 2 2 3 4 3" xfId="5613" xr:uid="{00000000-0005-0000-0000-000064170000}"/>
    <cellStyle name="Normal 5 2 2 2 3 5" xfId="1719" xr:uid="{00000000-0005-0000-0000-000065170000}"/>
    <cellStyle name="Normal 5 2 2 2 3 5 2" xfId="3949" xr:uid="{00000000-0005-0000-0000-000066170000}"/>
    <cellStyle name="Normal 5 2 2 2 3 5 2 2" xfId="8171" xr:uid="{00000000-0005-0000-0000-000067170000}"/>
    <cellStyle name="Normal 5 2 2 2 3 5 3" xfId="6026" xr:uid="{00000000-0005-0000-0000-000068170000}"/>
    <cellStyle name="Normal 5 2 2 2 3 6" xfId="2133" xr:uid="{00000000-0005-0000-0000-000069170000}"/>
    <cellStyle name="Normal 5 2 2 2 3 6 2" xfId="4362" xr:uid="{00000000-0005-0000-0000-00006A170000}"/>
    <cellStyle name="Normal 5 2 2 2 3 6 2 2" xfId="8584" xr:uid="{00000000-0005-0000-0000-00006B170000}"/>
    <cellStyle name="Normal 5 2 2 2 3 6 3" xfId="6439" xr:uid="{00000000-0005-0000-0000-00006C170000}"/>
    <cellStyle name="Normal 5 2 2 2 3 7" xfId="2569" xr:uid="{00000000-0005-0000-0000-00006D170000}"/>
    <cellStyle name="Normal 5 2 2 2 3 7 2" xfId="6852" xr:uid="{00000000-0005-0000-0000-00006E170000}"/>
    <cellStyle name="Normal 5 2 2 2 3 8" xfId="4787"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7" xr:uid="{00000000-0005-0000-0000-000073170000}"/>
    <cellStyle name="Normal 5 2 2 2 4 2 3" xfId="5202" xr:uid="{00000000-0005-0000-0000-000074170000}"/>
    <cellStyle name="Normal 5 2 2 2 4 3" xfId="1308" xr:uid="{00000000-0005-0000-0000-000075170000}"/>
    <cellStyle name="Normal 5 2 2 2 4 3 2" xfId="3538" xr:uid="{00000000-0005-0000-0000-000076170000}"/>
    <cellStyle name="Normal 5 2 2 2 4 3 2 2" xfId="7760" xr:uid="{00000000-0005-0000-0000-000077170000}"/>
    <cellStyle name="Normal 5 2 2 2 4 3 3" xfId="5615" xr:uid="{00000000-0005-0000-0000-000078170000}"/>
    <cellStyle name="Normal 5 2 2 2 4 4" xfId="1721" xr:uid="{00000000-0005-0000-0000-000079170000}"/>
    <cellStyle name="Normal 5 2 2 2 4 4 2" xfId="3951" xr:uid="{00000000-0005-0000-0000-00007A170000}"/>
    <cellStyle name="Normal 5 2 2 2 4 4 2 2" xfId="8173" xr:uid="{00000000-0005-0000-0000-00007B170000}"/>
    <cellStyle name="Normal 5 2 2 2 4 4 3" xfId="6028" xr:uid="{00000000-0005-0000-0000-00007C170000}"/>
    <cellStyle name="Normal 5 2 2 2 4 5" xfId="2135" xr:uid="{00000000-0005-0000-0000-00007D170000}"/>
    <cellStyle name="Normal 5 2 2 2 4 5 2" xfId="4364" xr:uid="{00000000-0005-0000-0000-00007E170000}"/>
    <cellStyle name="Normal 5 2 2 2 4 5 2 2" xfId="8586" xr:uid="{00000000-0005-0000-0000-00007F170000}"/>
    <cellStyle name="Normal 5 2 2 2 4 5 3" xfId="6441" xr:uid="{00000000-0005-0000-0000-000080170000}"/>
    <cellStyle name="Normal 5 2 2 2 4 6" xfId="2571" xr:uid="{00000000-0005-0000-0000-000081170000}"/>
    <cellStyle name="Normal 5 2 2 2 4 6 2" xfId="6854" xr:uid="{00000000-0005-0000-0000-000082170000}"/>
    <cellStyle name="Normal 5 2 2 2 4 7" xfId="4789" xr:uid="{00000000-0005-0000-0000-000083170000}"/>
    <cellStyle name="Normal 5 2 2 2 5" xfId="883" xr:uid="{00000000-0005-0000-0000-000084170000}"/>
    <cellStyle name="Normal 5 2 2 2 5 2" xfId="3118" xr:uid="{00000000-0005-0000-0000-000085170000}"/>
    <cellStyle name="Normal 5 2 2 2 5 2 2" xfId="7340" xr:uid="{00000000-0005-0000-0000-000086170000}"/>
    <cellStyle name="Normal 5 2 2 2 5 3" xfId="5195" xr:uid="{00000000-0005-0000-0000-000087170000}"/>
    <cellStyle name="Normal 5 2 2 2 6" xfId="1301" xr:uid="{00000000-0005-0000-0000-000088170000}"/>
    <cellStyle name="Normal 5 2 2 2 6 2" xfId="3531" xr:uid="{00000000-0005-0000-0000-000089170000}"/>
    <cellStyle name="Normal 5 2 2 2 6 2 2" xfId="7753" xr:uid="{00000000-0005-0000-0000-00008A170000}"/>
    <cellStyle name="Normal 5 2 2 2 6 3" xfId="5608" xr:uid="{00000000-0005-0000-0000-00008B170000}"/>
    <cellStyle name="Normal 5 2 2 2 7" xfId="1714" xr:uid="{00000000-0005-0000-0000-00008C170000}"/>
    <cellStyle name="Normal 5 2 2 2 7 2" xfId="3944" xr:uid="{00000000-0005-0000-0000-00008D170000}"/>
    <cellStyle name="Normal 5 2 2 2 7 2 2" xfId="8166" xr:uid="{00000000-0005-0000-0000-00008E170000}"/>
    <cellStyle name="Normal 5 2 2 2 7 3" xfId="6021" xr:uid="{00000000-0005-0000-0000-00008F170000}"/>
    <cellStyle name="Normal 5 2 2 2 8" xfId="2128" xr:uid="{00000000-0005-0000-0000-000090170000}"/>
    <cellStyle name="Normal 5 2 2 2 8 2" xfId="4357" xr:uid="{00000000-0005-0000-0000-000091170000}"/>
    <cellStyle name="Normal 5 2 2 2 8 2 2" xfId="8579" xr:uid="{00000000-0005-0000-0000-000092170000}"/>
    <cellStyle name="Normal 5 2 2 2 8 3" xfId="6434" xr:uid="{00000000-0005-0000-0000-000093170000}"/>
    <cellStyle name="Normal 5 2 2 2 9" xfId="2564" xr:uid="{00000000-0005-0000-0000-000094170000}"/>
    <cellStyle name="Normal 5 2 2 2 9 2" xfId="6847"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0" xr:uid="{00000000-0005-0000-0000-00009B170000}"/>
    <cellStyle name="Normal 5 2 2 3 2 2 2 3" xfId="5205" xr:uid="{00000000-0005-0000-0000-00009C170000}"/>
    <cellStyle name="Normal 5 2 2 3 2 2 3" xfId="1311" xr:uid="{00000000-0005-0000-0000-00009D170000}"/>
    <cellStyle name="Normal 5 2 2 3 2 2 3 2" xfId="3541" xr:uid="{00000000-0005-0000-0000-00009E170000}"/>
    <cellStyle name="Normal 5 2 2 3 2 2 3 2 2" xfId="7763" xr:uid="{00000000-0005-0000-0000-00009F170000}"/>
    <cellStyle name="Normal 5 2 2 3 2 2 3 3" xfId="5618" xr:uid="{00000000-0005-0000-0000-0000A0170000}"/>
    <cellStyle name="Normal 5 2 2 3 2 2 4" xfId="1724" xr:uid="{00000000-0005-0000-0000-0000A1170000}"/>
    <cellStyle name="Normal 5 2 2 3 2 2 4 2" xfId="3954" xr:uid="{00000000-0005-0000-0000-0000A2170000}"/>
    <cellStyle name="Normal 5 2 2 3 2 2 4 2 2" xfId="8176" xr:uid="{00000000-0005-0000-0000-0000A3170000}"/>
    <cellStyle name="Normal 5 2 2 3 2 2 4 3" xfId="6031" xr:uid="{00000000-0005-0000-0000-0000A4170000}"/>
    <cellStyle name="Normal 5 2 2 3 2 2 5" xfId="2138" xr:uid="{00000000-0005-0000-0000-0000A5170000}"/>
    <cellStyle name="Normal 5 2 2 3 2 2 5 2" xfId="4367" xr:uid="{00000000-0005-0000-0000-0000A6170000}"/>
    <cellStyle name="Normal 5 2 2 3 2 2 5 2 2" xfId="8589" xr:uid="{00000000-0005-0000-0000-0000A7170000}"/>
    <cellStyle name="Normal 5 2 2 3 2 2 5 3" xfId="6444" xr:uid="{00000000-0005-0000-0000-0000A8170000}"/>
    <cellStyle name="Normal 5 2 2 3 2 2 6" xfId="2574" xr:uid="{00000000-0005-0000-0000-0000A9170000}"/>
    <cellStyle name="Normal 5 2 2 3 2 2 6 2" xfId="6857" xr:uid="{00000000-0005-0000-0000-0000AA170000}"/>
    <cellStyle name="Normal 5 2 2 3 2 2 7" xfId="4792" xr:uid="{00000000-0005-0000-0000-0000AB170000}"/>
    <cellStyle name="Normal 5 2 2 3 2 3" xfId="892" xr:uid="{00000000-0005-0000-0000-0000AC170000}"/>
    <cellStyle name="Normal 5 2 2 3 2 3 2" xfId="3127" xr:uid="{00000000-0005-0000-0000-0000AD170000}"/>
    <cellStyle name="Normal 5 2 2 3 2 3 2 2" xfId="7349" xr:uid="{00000000-0005-0000-0000-0000AE170000}"/>
    <cellStyle name="Normal 5 2 2 3 2 3 3" xfId="5204" xr:uid="{00000000-0005-0000-0000-0000AF170000}"/>
    <cellStyle name="Normal 5 2 2 3 2 4" xfId="1310" xr:uid="{00000000-0005-0000-0000-0000B0170000}"/>
    <cellStyle name="Normal 5 2 2 3 2 4 2" xfId="3540" xr:uid="{00000000-0005-0000-0000-0000B1170000}"/>
    <cellStyle name="Normal 5 2 2 3 2 4 2 2" xfId="7762" xr:uid="{00000000-0005-0000-0000-0000B2170000}"/>
    <cellStyle name="Normal 5 2 2 3 2 4 3" xfId="5617" xr:uid="{00000000-0005-0000-0000-0000B3170000}"/>
    <cellStyle name="Normal 5 2 2 3 2 5" xfId="1723" xr:uid="{00000000-0005-0000-0000-0000B4170000}"/>
    <cellStyle name="Normal 5 2 2 3 2 5 2" xfId="3953" xr:uid="{00000000-0005-0000-0000-0000B5170000}"/>
    <cellStyle name="Normal 5 2 2 3 2 5 2 2" xfId="8175" xr:uid="{00000000-0005-0000-0000-0000B6170000}"/>
    <cellStyle name="Normal 5 2 2 3 2 5 3" xfId="6030" xr:uid="{00000000-0005-0000-0000-0000B7170000}"/>
    <cellStyle name="Normal 5 2 2 3 2 6" xfId="2137" xr:uid="{00000000-0005-0000-0000-0000B8170000}"/>
    <cellStyle name="Normal 5 2 2 3 2 6 2" xfId="4366" xr:uid="{00000000-0005-0000-0000-0000B9170000}"/>
    <cellStyle name="Normal 5 2 2 3 2 6 2 2" xfId="8588" xr:uid="{00000000-0005-0000-0000-0000BA170000}"/>
    <cellStyle name="Normal 5 2 2 3 2 6 3" xfId="6443" xr:uid="{00000000-0005-0000-0000-0000BB170000}"/>
    <cellStyle name="Normal 5 2 2 3 2 7" xfId="2573" xr:uid="{00000000-0005-0000-0000-0000BC170000}"/>
    <cellStyle name="Normal 5 2 2 3 2 7 2" xfId="6856" xr:uid="{00000000-0005-0000-0000-0000BD170000}"/>
    <cellStyle name="Normal 5 2 2 3 2 8" xfId="4791"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1" xr:uid="{00000000-0005-0000-0000-0000C2170000}"/>
    <cellStyle name="Normal 5 2 2 3 3 2 3" xfId="5206" xr:uid="{00000000-0005-0000-0000-0000C3170000}"/>
    <cellStyle name="Normal 5 2 2 3 3 3" xfId="1312" xr:uid="{00000000-0005-0000-0000-0000C4170000}"/>
    <cellStyle name="Normal 5 2 2 3 3 3 2" xfId="3542" xr:uid="{00000000-0005-0000-0000-0000C5170000}"/>
    <cellStyle name="Normal 5 2 2 3 3 3 2 2" xfId="7764" xr:uid="{00000000-0005-0000-0000-0000C6170000}"/>
    <cellStyle name="Normal 5 2 2 3 3 3 3" xfId="5619" xr:uid="{00000000-0005-0000-0000-0000C7170000}"/>
    <cellStyle name="Normal 5 2 2 3 3 4" xfId="1725" xr:uid="{00000000-0005-0000-0000-0000C8170000}"/>
    <cellStyle name="Normal 5 2 2 3 3 4 2" xfId="3955" xr:uid="{00000000-0005-0000-0000-0000C9170000}"/>
    <cellStyle name="Normal 5 2 2 3 3 4 2 2" xfId="8177" xr:uid="{00000000-0005-0000-0000-0000CA170000}"/>
    <cellStyle name="Normal 5 2 2 3 3 4 3" xfId="6032" xr:uid="{00000000-0005-0000-0000-0000CB170000}"/>
    <cellStyle name="Normal 5 2 2 3 3 5" xfId="2139" xr:uid="{00000000-0005-0000-0000-0000CC170000}"/>
    <cellStyle name="Normal 5 2 2 3 3 5 2" xfId="4368" xr:uid="{00000000-0005-0000-0000-0000CD170000}"/>
    <cellStyle name="Normal 5 2 2 3 3 5 2 2" xfId="8590" xr:uid="{00000000-0005-0000-0000-0000CE170000}"/>
    <cellStyle name="Normal 5 2 2 3 3 5 3" xfId="6445" xr:uid="{00000000-0005-0000-0000-0000CF170000}"/>
    <cellStyle name="Normal 5 2 2 3 3 6" xfId="2575" xr:uid="{00000000-0005-0000-0000-0000D0170000}"/>
    <cellStyle name="Normal 5 2 2 3 3 6 2" xfId="6858" xr:uid="{00000000-0005-0000-0000-0000D1170000}"/>
    <cellStyle name="Normal 5 2 2 3 3 7" xfId="4793" xr:uid="{00000000-0005-0000-0000-0000D2170000}"/>
    <cellStyle name="Normal 5 2 2 3 4" xfId="891" xr:uid="{00000000-0005-0000-0000-0000D3170000}"/>
    <cellStyle name="Normal 5 2 2 3 4 2" xfId="3126" xr:uid="{00000000-0005-0000-0000-0000D4170000}"/>
    <cellStyle name="Normal 5 2 2 3 4 2 2" xfId="7348" xr:uid="{00000000-0005-0000-0000-0000D5170000}"/>
    <cellStyle name="Normal 5 2 2 3 4 3" xfId="5203" xr:uid="{00000000-0005-0000-0000-0000D6170000}"/>
    <cellStyle name="Normal 5 2 2 3 5" xfId="1309" xr:uid="{00000000-0005-0000-0000-0000D7170000}"/>
    <cellStyle name="Normal 5 2 2 3 5 2" xfId="3539" xr:uid="{00000000-0005-0000-0000-0000D8170000}"/>
    <cellStyle name="Normal 5 2 2 3 5 2 2" xfId="7761" xr:uid="{00000000-0005-0000-0000-0000D9170000}"/>
    <cellStyle name="Normal 5 2 2 3 5 3" xfId="5616" xr:uid="{00000000-0005-0000-0000-0000DA170000}"/>
    <cellStyle name="Normal 5 2 2 3 6" xfId="1722" xr:uid="{00000000-0005-0000-0000-0000DB170000}"/>
    <cellStyle name="Normal 5 2 2 3 6 2" xfId="3952" xr:uid="{00000000-0005-0000-0000-0000DC170000}"/>
    <cellStyle name="Normal 5 2 2 3 6 2 2" xfId="8174" xr:uid="{00000000-0005-0000-0000-0000DD170000}"/>
    <cellStyle name="Normal 5 2 2 3 6 3" xfId="6029" xr:uid="{00000000-0005-0000-0000-0000DE170000}"/>
    <cellStyle name="Normal 5 2 2 3 7" xfId="2136" xr:uid="{00000000-0005-0000-0000-0000DF170000}"/>
    <cellStyle name="Normal 5 2 2 3 7 2" xfId="4365" xr:uid="{00000000-0005-0000-0000-0000E0170000}"/>
    <cellStyle name="Normal 5 2 2 3 7 2 2" xfId="8587" xr:uid="{00000000-0005-0000-0000-0000E1170000}"/>
    <cellStyle name="Normal 5 2 2 3 7 3" xfId="6442" xr:uid="{00000000-0005-0000-0000-0000E2170000}"/>
    <cellStyle name="Normal 5 2 2 3 8" xfId="2572" xr:uid="{00000000-0005-0000-0000-0000E3170000}"/>
    <cellStyle name="Normal 5 2 2 3 8 2" xfId="6855" xr:uid="{00000000-0005-0000-0000-0000E4170000}"/>
    <cellStyle name="Normal 5 2 2 3 9" xfId="4790"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3" xr:uid="{00000000-0005-0000-0000-0000EA170000}"/>
    <cellStyle name="Normal 5 2 2 4 2 2 3" xfId="5208" xr:uid="{00000000-0005-0000-0000-0000EB170000}"/>
    <cellStyle name="Normal 5 2 2 4 2 3" xfId="1314" xr:uid="{00000000-0005-0000-0000-0000EC170000}"/>
    <cellStyle name="Normal 5 2 2 4 2 3 2" xfId="3544" xr:uid="{00000000-0005-0000-0000-0000ED170000}"/>
    <cellStyle name="Normal 5 2 2 4 2 3 2 2" xfId="7766" xr:uid="{00000000-0005-0000-0000-0000EE170000}"/>
    <cellStyle name="Normal 5 2 2 4 2 3 3" xfId="5621" xr:uid="{00000000-0005-0000-0000-0000EF170000}"/>
    <cellStyle name="Normal 5 2 2 4 2 4" xfId="1727" xr:uid="{00000000-0005-0000-0000-0000F0170000}"/>
    <cellStyle name="Normal 5 2 2 4 2 4 2" xfId="3957" xr:uid="{00000000-0005-0000-0000-0000F1170000}"/>
    <cellStyle name="Normal 5 2 2 4 2 4 2 2" xfId="8179" xr:uid="{00000000-0005-0000-0000-0000F2170000}"/>
    <cellStyle name="Normal 5 2 2 4 2 4 3" xfId="6034" xr:uid="{00000000-0005-0000-0000-0000F3170000}"/>
    <cellStyle name="Normal 5 2 2 4 2 5" xfId="2141" xr:uid="{00000000-0005-0000-0000-0000F4170000}"/>
    <cellStyle name="Normal 5 2 2 4 2 5 2" xfId="4370" xr:uid="{00000000-0005-0000-0000-0000F5170000}"/>
    <cellStyle name="Normal 5 2 2 4 2 5 2 2" xfId="8592" xr:uid="{00000000-0005-0000-0000-0000F6170000}"/>
    <cellStyle name="Normal 5 2 2 4 2 5 3" xfId="6447" xr:uid="{00000000-0005-0000-0000-0000F7170000}"/>
    <cellStyle name="Normal 5 2 2 4 2 6" xfId="2577" xr:uid="{00000000-0005-0000-0000-0000F8170000}"/>
    <cellStyle name="Normal 5 2 2 4 2 6 2" xfId="6860" xr:uid="{00000000-0005-0000-0000-0000F9170000}"/>
    <cellStyle name="Normal 5 2 2 4 2 7" xfId="4795" xr:uid="{00000000-0005-0000-0000-0000FA170000}"/>
    <cellStyle name="Normal 5 2 2 4 3" xfId="895" xr:uid="{00000000-0005-0000-0000-0000FB170000}"/>
    <cellStyle name="Normal 5 2 2 4 3 2" xfId="3130" xr:uid="{00000000-0005-0000-0000-0000FC170000}"/>
    <cellStyle name="Normal 5 2 2 4 3 2 2" xfId="7352" xr:uid="{00000000-0005-0000-0000-0000FD170000}"/>
    <cellStyle name="Normal 5 2 2 4 3 3" xfId="5207" xr:uid="{00000000-0005-0000-0000-0000FE170000}"/>
    <cellStyle name="Normal 5 2 2 4 4" xfId="1313" xr:uid="{00000000-0005-0000-0000-0000FF170000}"/>
    <cellStyle name="Normal 5 2 2 4 4 2" xfId="3543" xr:uid="{00000000-0005-0000-0000-000000180000}"/>
    <cellStyle name="Normal 5 2 2 4 4 2 2" xfId="7765" xr:uid="{00000000-0005-0000-0000-000001180000}"/>
    <cellStyle name="Normal 5 2 2 4 4 3" xfId="5620" xr:uid="{00000000-0005-0000-0000-000002180000}"/>
    <cellStyle name="Normal 5 2 2 4 5" xfId="1726" xr:uid="{00000000-0005-0000-0000-000003180000}"/>
    <cellStyle name="Normal 5 2 2 4 5 2" xfId="3956" xr:uid="{00000000-0005-0000-0000-000004180000}"/>
    <cellStyle name="Normal 5 2 2 4 5 2 2" xfId="8178" xr:uid="{00000000-0005-0000-0000-000005180000}"/>
    <cellStyle name="Normal 5 2 2 4 5 3" xfId="6033" xr:uid="{00000000-0005-0000-0000-000006180000}"/>
    <cellStyle name="Normal 5 2 2 4 6" xfId="2140" xr:uid="{00000000-0005-0000-0000-000007180000}"/>
    <cellStyle name="Normal 5 2 2 4 6 2" xfId="4369" xr:uid="{00000000-0005-0000-0000-000008180000}"/>
    <cellStyle name="Normal 5 2 2 4 6 2 2" xfId="8591" xr:uid="{00000000-0005-0000-0000-000009180000}"/>
    <cellStyle name="Normal 5 2 2 4 6 3" xfId="6446" xr:uid="{00000000-0005-0000-0000-00000A180000}"/>
    <cellStyle name="Normal 5 2 2 4 7" xfId="2576" xr:uid="{00000000-0005-0000-0000-00000B180000}"/>
    <cellStyle name="Normal 5 2 2 4 7 2" xfId="6859" xr:uid="{00000000-0005-0000-0000-00000C180000}"/>
    <cellStyle name="Normal 5 2 2 4 8" xfId="4794"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4" xr:uid="{00000000-0005-0000-0000-000011180000}"/>
    <cellStyle name="Normal 5 2 2 5 2 3" xfId="5209" xr:uid="{00000000-0005-0000-0000-000012180000}"/>
    <cellStyle name="Normal 5 2 2 5 3" xfId="1315" xr:uid="{00000000-0005-0000-0000-000013180000}"/>
    <cellStyle name="Normal 5 2 2 5 3 2" xfId="3545" xr:uid="{00000000-0005-0000-0000-000014180000}"/>
    <cellStyle name="Normal 5 2 2 5 3 2 2" xfId="7767" xr:uid="{00000000-0005-0000-0000-000015180000}"/>
    <cellStyle name="Normal 5 2 2 5 3 3" xfId="5622" xr:uid="{00000000-0005-0000-0000-000016180000}"/>
    <cellStyle name="Normal 5 2 2 5 4" xfId="1728" xr:uid="{00000000-0005-0000-0000-000017180000}"/>
    <cellStyle name="Normal 5 2 2 5 4 2" xfId="3958" xr:uid="{00000000-0005-0000-0000-000018180000}"/>
    <cellStyle name="Normal 5 2 2 5 4 2 2" xfId="8180" xr:uid="{00000000-0005-0000-0000-000019180000}"/>
    <cellStyle name="Normal 5 2 2 5 4 3" xfId="6035" xr:uid="{00000000-0005-0000-0000-00001A180000}"/>
    <cellStyle name="Normal 5 2 2 5 5" xfId="2142" xr:uid="{00000000-0005-0000-0000-00001B180000}"/>
    <cellStyle name="Normal 5 2 2 5 5 2" xfId="4371" xr:uid="{00000000-0005-0000-0000-00001C180000}"/>
    <cellStyle name="Normal 5 2 2 5 5 2 2" xfId="8593" xr:uid="{00000000-0005-0000-0000-00001D180000}"/>
    <cellStyle name="Normal 5 2 2 5 5 3" xfId="6448" xr:uid="{00000000-0005-0000-0000-00001E180000}"/>
    <cellStyle name="Normal 5 2 2 5 6" xfId="2578" xr:uid="{00000000-0005-0000-0000-00001F180000}"/>
    <cellStyle name="Normal 5 2 2 5 6 2" xfId="6861" xr:uid="{00000000-0005-0000-0000-000020180000}"/>
    <cellStyle name="Normal 5 2 2 5 7" xfId="4796" xr:uid="{00000000-0005-0000-0000-000021180000}"/>
    <cellStyle name="Normal 5 2 2 6" xfId="882" xr:uid="{00000000-0005-0000-0000-000022180000}"/>
    <cellStyle name="Normal 5 2 2 6 2" xfId="3117" xr:uid="{00000000-0005-0000-0000-000023180000}"/>
    <cellStyle name="Normal 5 2 2 6 2 2" xfId="7339" xr:uid="{00000000-0005-0000-0000-000024180000}"/>
    <cellStyle name="Normal 5 2 2 6 3" xfId="5194" xr:uid="{00000000-0005-0000-0000-000025180000}"/>
    <cellStyle name="Normal 5 2 2 7" xfId="1300" xr:uid="{00000000-0005-0000-0000-000026180000}"/>
    <cellStyle name="Normal 5 2 2 7 2" xfId="3530" xr:uid="{00000000-0005-0000-0000-000027180000}"/>
    <cellStyle name="Normal 5 2 2 7 2 2" xfId="7752" xr:uid="{00000000-0005-0000-0000-000028180000}"/>
    <cellStyle name="Normal 5 2 2 7 3" xfId="5607" xr:uid="{00000000-0005-0000-0000-000029180000}"/>
    <cellStyle name="Normal 5 2 2 8" xfId="1713" xr:uid="{00000000-0005-0000-0000-00002A180000}"/>
    <cellStyle name="Normal 5 2 2 8 2" xfId="3943" xr:uid="{00000000-0005-0000-0000-00002B180000}"/>
    <cellStyle name="Normal 5 2 2 8 2 2" xfId="8165" xr:uid="{00000000-0005-0000-0000-00002C180000}"/>
    <cellStyle name="Normal 5 2 2 8 3" xfId="6020" xr:uid="{00000000-0005-0000-0000-00002D180000}"/>
    <cellStyle name="Normal 5 2 2 9" xfId="2127" xr:uid="{00000000-0005-0000-0000-00002E180000}"/>
    <cellStyle name="Normal 5 2 2 9 2" xfId="4356" xr:uid="{00000000-0005-0000-0000-00002F180000}"/>
    <cellStyle name="Normal 5 2 2 9 2 2" xfId="8578" xr:uid="{00000000-0005-0000-0000-000030180000}"/>
    <cellStyle name="Normal 5 2 2 9 3" xfId="6433" xr:uid="{00000000-0005-0000-0000-000031180000}"/>
    <cellStyle name="Normal 5 2 3" xfId="424" xr:uid="{00000000-0005-0000-0000-000032180000}"/>
    <cellStyle name="Normal 5 2 3 10" xfId="4797"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8" xr:uid="{00000000-0005-0000-0000-000039180000}"/>
    <cellStyle name="Normal 5 2 3 2 2 2 2 3" xfId="5213" xr:uid="{00000000-0005-0000-0000-00003A180000}"/>
    <cellStyle name="Normal 5 2 3 2 2 2 3" xfId="1319" xr:uid="{00000000-0005-0000-0000-00003B180000}"/>
    <cellStyle name="Normal 5 2 3 2 2 2 3 2" xfId="3549" xr:uid="{00000000-0005-0000-0000-00003C180000}"/>
    <cellStyle name="Normal 5 2 3 2 2 2 3 2 2" xfId="7771" xr:uid="{00000000-0005-0000-0000-00003D180000}"/>
    <cellStyle name="Normal 5 2 3 2 2 2 3 3" xfId="5626" xr:uid="{00000000-0005-0000-0000-00003E180000}"/>
    <cellStyle name="Normal 5 2 3 2 2 2 4" xfId="1732" xr:uid="{00000000-0005-0000-0000-00003F180000}"/>
    <cellStyle name="Normal 5 2 3 2 2 2 4 2" xfId="3962" xr:uid="{00000000-0005-0000-0000-000040180000}"/>
    <cellStyle name="Normal 5 2 3 2 2 2 4 2 2" xfId="8184" xr:uid="{00000000-0005-0000-0000-000041180000}"/>
    <cellStyle name="Normal 5 2 3 2 2 2 4 3" xfId="6039" xr:uid="{00000000-0005-0000-0000-000042180000}"/>
    <cellStyle name="Normal 5 2 3 2 2 2 5" xfId="2146" xr:uid="{00000000-0005-0000-0000-000043180000}"/>
    <cellStyle name="Normal 5 2 3 2 2 2 5 2" xfId="4375" xr:uid="{00000000-0005-0000-0000-000044180000}"/>
    <cellStyle name="Normal 5 2 3 2 2 2 5 2 2" xfId="8597" xr:uid="{00000000-0005-0000-0000-000045180000}"/>
    <cellStyle name="Normal 5 2 3 2 2 2 5 3" xfId="6452" xr:uid="{00000000-0005-0000-0000-000046180000}"/>
    <cellStyle name="Normal 5 2 3 2 2 2 6" xfId="2582" xr:uid="{00000000-0005-0000-0000-000047180000}"/>
    <cellStyle name="Normal 5 2 3 2 2 2 6 2" xfId="6865" xr:uid="{00000000-0005-0000-0000-000048180000}"/>
    <cellStyle name="Normal 5 2 3 2 2 2 7" xfId="4800" xr:uid="{00000000-0005-0000-0000-000049180000}"/>
    <cellStyle name="Normal 5 2 3 2 2 3" xfId="900" xr:uid="{00000000-0005-0000-0000-00004A180000}"/>
    <cellStyle name="Normal 5 2 3 2 2 3 2" xfId="3135" xr:uid="{00000000-0005-0000-0000-00004B180000}"/>
    <cellStyle name="Normal 5 2 3 2 2 3 2 2" xfId="7357" xr:uid="{00000000-0005-0000-0000-00004C180000}"/>
    <cellStyle name="Normal 5 2 3 2 2 3 3" xfId="5212" xr:uid="{00000000-0005-0000-0000-00004D180000}"/>
    <cellStyle name="Normal 5 2 3 2 2 4" xfId="1318" xr:uid="{00000000-0005-0000-0000-00004E180000}"/>
    <cellStyle name="Normal 5 2 3 2 2 4 2" xfId="3548" xr:uid="{00000000-0005-0000-0000-00004F180000}"/>
    <cellStyle name="Normal 5 2 3 2 2 4 2 2" xfId="7770" xr:uid="{00000000-0005-0000-0000-000050180000}"/>
    <cellStyle name="Normal 5 2 3 2 2 4 3" xfId="5625" xr:uid="{00000000-0005-0000-0000-000051180000}"/>
    <cellStyle name="Normal 5 2 3 2 2 5" xfId="1731" xr:uid="{00000000-0005-0000-0000-000052180000}"/>
    <cellStyle name="Normal 5 2 3 2 2 5 2" xfId="3961" xr:uid="{00000000-0005-0000-0000-000053180000}"/>
    <cellStyle name="Normal 5 2 3 2 2 5 2 2" xfId="8183" xr:uid="{00000000-0005-0000-0000-000054180000}"/>
    <cellStyle name="Normal 5 2 3 2 2 5 3" xfId="6038" xr:uid="{00000000-0005-0000-0000-000055180000}"/>
    <cellStyle name="Normal 5 2 3 2 2 6" xfId="2145" xr:uid="{00000000-0005-0000-0000-000056180000}"/>
    <cellStyle name="Normal 5 2 3 2 2 6 2" xfId="4374" xr:uid="{00000000-0005-0000-0000-000057180000}"/>
    <cellStyle name="Normal 5 2 3 2 2 6 2 2" xfId="8596" xr:uid="{00000000-0005-0000-0000-000058180000}"/>
    <cellStyle name="Normal 5 2 3 2 2 6 3" xfId="6451" xr:uid="{00000000-0005-0000-0000-000059180000}"/>
    <cellStyle name="Normal 5 2 3 2 2 7" xfId="2581" xr:uid="{00000000-0005-0000-0000-00005A180000}"/>
    <cellStyle name="Normal 5 2 3 2 2 7 2" xfId="6864" xr:uid="{00000000-0005-0000-0000-00005B180000}"/>
    <cellStyle name="Normal 5 2 3 2 2 8" xfId="4799"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59" xr:uid="{00000000-0005-0000-0000-000060180000}"/>
    <cellStyle name="Normal 5 2 3 2 3 2 3" xfId="5214" xr:uid="{00000000-0005-0000-0000-000061180000}"/>
    <cellStyle name="Normal 5 2 3 2 3 3" xfId="1320" xr:uid="{00000000-0005-0000-0000-000062180000}"/>
    <cellStyle name="Normal 5 2 3 2 3 3 2" xfId="3550" xr:uid="{00000000-0005-0000-0000-000063180000}"/>
    <cellStyle name="Normal 5 2 3 2 3 3 2 2" xfId="7772" xr:uid="{00000000-0005-0000-0000-000064180000}"/>
    <cellStyle name="Normal 5 2 3 2 3 3 3" xfId="5627" xr:uid="{00000000-0005-0000-0000-000065180000}"/>
    <cellStyle name="Normal 5 2 3 2 3 4" xfId="1733" xr:uid="{00000000-0005-0000-0000-000066180000}"/>
    <cellStyle name="Normal 5 2 3 2 3 4 2" xfId="3963" xr:uid="{00000000-0005-0000-0000-000067180000}"/>
    <cellStyle name="Normal 5 2 3 2 3 4 2 2" xfId="8185" xr:uid="{00000000-0005-0000-0000-000068180000}"/>
    <cellStyle name="Normal 5 2 3 2 3 4 3" xfId="6040" xr:uid="{00000000-0005-0000-0000-000069180000}"/>
    <cellStyle name="Normal 5 2 3 2 3 5" xfId="2147" xr:uid="{00000000-0005-0000-0000-00006A180000}"/>
    <cellStyle name="Normal 5 2 3 2 3 5 2" xfId="4376" xr:uid="{00000000-0005-0000-0000-00006B180000}"/>
    <cellStyle name="Normal 5 2 3 2 3 5 2 2" xfId="8598" xr:uid="{00000000-0005-0000-0000-00006C180000}"/>
    <cellStyle name="Normal 5 2 3 2 3 5 3" xfId="6453" xr:uid="{00000000-0005-0000-0000-00006D180000}"/>
    <cellStyle name="Normal 5 2 3 2 3 6" xfId="2583" xr:uid="{00000000-0005-0000-0000-00006E180000}"/>
    <cellStyle name="Normal 5 2 3 2 3 6 2" xfId="6866" xr:uid="{00000000-0005-0000-0000-00006F180000}"/>
    <cellStyle name="Normal 5 2 3 2 3 7" xfId="4801" xr:uid="{00000000-0005-0000-0000-000070180000}"/>
    <cellStyle name="Normal 5 2 3 2 4" xfId="899" xr:uid="{00000000-0005-0000-0000-000071180000}"/>
    <cellStyle name="Normal 5 2 3 2 4 2" xfId="3134" xr:uid="{00000000-0005-0000-0000-000072180000}"/>
    <cellStyle name="Normal 5 2 3 2 4 2 2" xfId="7356" xr:uid="{00000000-0005-0000-0000-000073180000}"/>
    <cellStyle name="Normal 5 2 3 2 4 3" xfId="5211" xr:uid="{00000000-0005-0000-0000-000074180000}"/>
    <cellStyle name="Normal 5 2 3 2 5" xfId="1317" xr:uid="{00000000-0005-0000-0000-000075180000}"/>
    <cellStyle name="Normal 5 2 3 2 5 2" xfId="3547" xr:uid="{00000000-0005-0000-0000-000076180000}"/>
    <cellStyle name="Normal 5 2 3 2 5 2 2" xfId="7769" xr:uid="{00000000-0005-0000-0000-000077180000}"/>
    <cellStyle name="Normal 5 2 3 2 5 3" xfId="5624" xr:uid="{00000000-0005-0000-0000-000078180000}"/>
    <cellStyle name="Normal 5 2 3 2 6" xfId="1730" xr:uid="{00000000-0005-0000-0000-000079180000}"/>
    <cellStyle name="Normal 5 2 3 2 6 2" xfId="3960" xr:uid="{00000000-0005-0000-0000-00007A180000}"/>
    <cellStyle name="Normal 5 2 3 2 6 2 2" xfId="8182" xr:uid="{00000000-0005-0000-0000-00007B180000}"/>
    <cellStyle name="Normal 5 2 3 2 6 3" xfId="6037" xr:uid="{00000000-0005-0000-0000-00007C180000}"/>
    <cellStyle name="Normal 5 2 3 2 7" xfId="2144" xr:uid="{00000000-0005-0000-0000-00007D180000}"/>
    <cellStyle name="Normal 5 2 3 2 7 2" xfId="4373" xr:uid="{00000000-0005-0000-0000-00007E180000}"/>
    <cellStyle name="Normal 5 2 3 2 7 2 2" xfId="8595" xr:uid="{00000000-0005-0000-0000-00007F180000}"/>
    <cellStyle name="Normal 5 2 3 2 7 3" xfId="6450" xr:uid="{00000000-0005-0000-0000-000080180000}"/>
    <cellStyle name="Normal 5 2 3 2 8" xfId="2580" xr:uid="{00000000-0005-0000-0000-000081180000}"/>
    <cellStyle name="Normal 5 2 3 2 8 2" xfId="6863" xr:uid="{00000000-0005-0000-0000-000082180000}"/>
    <cellStyle name="Normal 5 2 3 2 9" xfId="4798"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1" xr:uid="{00000000-0005-0000-0000-000088180000}"/>
    <cellStyle name="Normal 5 2 3 3 2 2 3" xfId="5216" xr:uid="{00000000-0005-0000-0000-000089180000}"/>
    <cellStyle name="Normal 5 2 3 3 2 3" xfId="1322" xr:uid="{00000000-0005-0000-0000-00008A180000}"/>
    <cellStyle name="Normal 5 2 3 3 2 3 2" xfId="3552" xr:uid="{00000000-0005-0000-0000-00008B180000}"/>
    <cellStyle name="Normal 5 2 3 3 2 3 2 2" xfId="7774" xr:uid="{00000000-0005-0000-0000-00008C180000}"/>
    <cellStyle name="Normal 5 2 3 3 2 3 3" xfId="5629" xr:uid="{00000000-0005-0000-0000-00008D180000}"/>
    <cellStyle name="Normal 5 2 3 3 2 4" xfId="1735" xr:uid="{00000000-0005-0000-0000-00008E180000}"/>
    <cellStyle name="Normal 5 2 3 3 2 4 2" xfId="3965" xr:uid="{00000000-0005-0000-0000-00008F180000}"/>
    <cellStyle name="Normal 5 2 3 3 2 4 2 2" xfId="8187" xr:uid="{00000000-0005-0000-0000-000090180000}"/>
    <cellStyle name="Normal 5 2 3 3 2 4 3" xfId="6042" xr:uid="{00000000-0005-0000-0000-000091180000}"/>
    <cellStyle name="Normal 5 2 3 3 2 5" xfId="2149" xr:uid="{00000000-0005-0000-0000-000092180000}"/>
    <cellStyle name="Normal 5 2 3 3 2 5 2" xfId="4378" xr:uid="{00000000-0005-0000-0000-000093180000}"/>
    <cellStyle name="Normal 5 2 3 3 2 5 2 2" xfId="8600" xr:uid="{00000000-0005-0000-0000-000094180000}"/>
    <cellStyle name="Normal 5 2 3 3 2 5 3" xfId="6455" xr:uid="{00000000-0005-0000-0000-000095180000}"/>
    <cellStyle name="Normal 5 2 3 3 2 6" xfId="2585" xr:uid="{00000000-0005-0000-0000-000096180000}"/>
    <cellStyle name="Normal 5 2 3 3 2 6 2" xfId="6868" xr:uid="{00000000-0005-0000-0000-000097180000}"/>
    <cellStyle name="Normal 5 2 3 3 2 7" xfId="4803" xr:uid="{00000000-0005-0000-0000-000098180000}"/>
    <cellStyle name="Normal 5 2 3 3 3" xfId="903" xr:uid="{00000000-0005-0000-0000-000099180000}"/>
    <cellStyle name="Normal 5 2 3 3 3 2" xfId="3138" xr:uid="{00000000-0005-0000-0000-00009A180000}"/>
    <cellStyle name="Normal 5 2 3 3 3 2 2" xfId="7360" xr:uid="{00000000-0005-0000-0000-00009B180000}"/>
    <cellStyle name="Normal 5 2 3 3 3 3" xfId="5215" xr:uid="{00000000-0005-0000-0000-00009C180000}"/>
    <cellStyle name="Normal 5 2 3 3 4" xfId="1321" xr:uid="{00000000-0005-0000-0000-00009D180000}"/>
    <cellStyle name="Normal 5 2 3 3 4 2" xfId="3551" xr:uid="{00000000-0005-0000-0000-00009E180000}"/>
    <cellStyle name="Normal 5 2 3 3 4 2 2" xfId="7773" xr:uid="{00000000-0005-0000-0000-00009F180000}"/>
    <cellStyle name="Normal 5 2 3 3 4 3" xfId="5628" xr:uid="{00000000-0005-0000-0000-0000A0180000}"/>
    <cellStyle name="Normal 5 2 3 3 5" xfId="1734" xr:uid="{00000000-0005-0000-0000-0000A1180000}"/>
    <cellStyle name="Normal 5 2 3 3 5 2" xfId="3964" xr:uid="{00000000-0005-0000-0000-0000A2180000}"/>
    <cellStyle name="Normal 5 2 3 3 5 2 2" xfId="8186" xr:uid="{00000000-0005-0000-0000-0000A3180000}"/>
    <cellStyle name="Normal 5 2 3 3 5 3" xfId="6041" xr:uid="{00000000-0005-0000-0000-0000A4180000}"/>
    <cellStyle name="Normal 5 2 3 3 6" xfId="2148" xr:uid="{00000000-0005-0000-0000-0000A5180000}"/>
    <cellStyle name="Normal 5 2 3 3 6 2" xfId="4377" xr:uid="{00000000-0005-0000-0000-0000A6180000}"/>
    <cellStyle name="Normal 5 2 3 3 6 2 2" xfId="8599" xr:uid="{00000000-0005-0000-0000-0000A7180000}"/>
    <cellStyle name="Normal 5 2 3 3 6 3" xfId="6454" xr:uid="{00000000-0005-0000-0000-0000A8180000}"/>
    <cellStyle name="Normal 5 2 3 3 7" xfId="2584" xr:uid="{00000000-0005-0000-0000-0000A9180000}"/>
    <cellStyle name="Normal 5 2 3 3 7 2" xfId="6867" xr:uid="{00000000-0005-0000-0000-0000AA180000}"/>
    <cellStyle name="Normal 5 2 3 3 8" xfId="4802"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2" xr:uid="{00000000-0005-0000-0000-0000AF180000}"/>
    <cellStyle name="Normal 5 2 3 4 2 3" xfId="5217" xr:uid="{00000000-0005-0000-0000-0000B0180000}"/>
    <cellStyle name="Normal 5 2 3 4 3" xfId="1323" xr:uid="{00000000-0005-0000-0000-0000B1180000}"/>
    <cellStyle name="Normal 5 2 3 4 3 2" xfId="3553" xr:uid="{00000000-0005-0000-0000-0000B2180000}"/>
    <cellStyle name="Normal 5 2 3 4 3 2 2" xfId="7775" xr:uid="{00000000-0005-0000-0000-0000B3180000}"/>
    <cellStyle name="Normal 5 2 3 4 3 3" xfId="5630" xr:uid="{00000000-0005-0000-0000-0000B4180000}"/>
    <cellStyle name="Normal 5 2 3 4 4" xfId="1736" xr:uid="{00000000-0005-0000-0000-0000B5180000}"/>
    <cellStyle name="Normal 5 2 3 4 4 2" xfId="3966" xr:uid="{00000000-0005-0000-0000-0000B6180000}"/>
    <cellStyle name="Normal 5 2 3 4 4 2 2" xfId="8188" xr:uid="{00000000-0005-0000-0000-0000B7180000}"/>
    <cellStyle name="Normal 5 2 3 4 4 3" xfId="6043" xr:uid="{00000000-0005-0000-0000-0000B8180000}"/>
    <cellStyle name="Normal 5 2 3 4 5" xfId="2150" xr:uid="{00000000-0005-0000-0000-0000B9180000}"/>
    <cellStyle name="Normal 5 2 3 4 5 2" xfId="4379" xr:uid="{00000000-0005-0000-0000-0000BA180000}"/>
    <cellStyle name="Normal 5 2 3 4 5 2 2" xfId="8601" xr:uid="{00000000-0005-0000-0000-0000BB180000}"/>
    <cellStyle name="Normal 5 2 3 4 5 3" xfId="6456" xr:uid="{00000000-0005-0000-0000-0000BC180000}"/>
    <cellStyle name="Normal 5 2 3 4 6" xfId="2586" xr:uid="{00000000-0005-0000-0000-0000BD180000}"/>
    <cellStyle name="Normal 5 2 3 4 6 2" xfId="6869" xr:uid="{00000000-0005-0000-0000-0000BE180000}"/>
    <cellStyle name="Normal 5 2 3 4 7" xfId="4804" xr:uid="{00000000-0005-0000-0000-0000BF180000}"/>
    <cellStyle name="Normal 5 2 3 5" xfId="898" xr:uid="{00000000-0005-0000-0000-0000C0180000}"/>
    <cellStyle name="Normal 5 2 3 5 2" xfId="3133" xr:uid="{00000000-0005-0000-0000-0000C1180000}"/>
    <cellStyle name="Normal 5 2 3 5 2 2" xfId="7355" xr:uid="{00000000-0005-0000-0000-0000C2180000}"/>
    <cellStyle name="Normal 5 2 3 5 3" xfId="5210" xr:uid="{00000000-0005-0000-0000-0000C3180000}"/>
    <cellStyle name="Normal 5 2 3 6" xfId="1316" xr:uid="{00000000-0005-0000-0000-0000C4180000}"/>
    <cellStyle name="Normal 5 2 3 6 2" xfId="3546" xr:uid="{00000000-0005-0000-0000-0000C5180000}"/>
    <cellStyle name="Normal 5 2 3 6 2 2" xfId="7768" xr:uid="{00000000-0005-0000-0000-0000C6180000}"/>
    <cellStyle name="Normal 5 2 3 6 3" xfId="5623" xr:uid="{00000000-0005-0000-0000-0000C7180000}"/>
    <cellStyle name="Normal 5 2 3 7" xfId="1729" xr:uid="{00000000-0005-0000-0000-0000C8180000}"/>
    <cellStyle name="Normal 5 2 3 7 2" xfId="3959" xr:uid="{00000000-0005-0000-0000-0000C9180000}"/>
    <cellStyle name="Normal 5 2 3 7 2 2" xfId="8181" xr:uid="{00000000-0005-0000-0000-0000CA180000}"/>
    <cellStyle name="Normal 5 2 3 7 3" xfId="6036" xr:uid="{00000000-0005-0000-0000-0000CB180000}"/>
    <cellStyle name="Normal 5 2 3 8" xfId="2143" xr:uid="{00000000-0005-0000-0000-0000CC180000}"/>
    <cellStyle name="Normal 5 2 3 8 2" xfId="4372" xr:uid="{00000000-0005-0000-0000-0000CD180000}"/>
    <cellStyle name="Normal 5 2 3 8 2 2" xfId="8594" xr:uid="{00000000-0005-0000-0000-0000CE180000}"/>
    <cellStyle name="Normal 5 2 3 8 3" xfId="6449" xr:uid="{00000000-0005-0000-0000-0000CF180000}"/>
    <cellStyle name="Normal 5 2 3 9" xfId="2579" xr:uid="{00000000-0005-0000-0000-0000D0180000}"/>
    <cellStyle name="Normal 5 2 3 9 2" xfId="6862"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5" xr:uid="{00000000-0005-0000-0000-0000D7180000}"/>
    <cellStyle name="Normal 5 2 4 2 2 2 3" xfId="5220" xr:uid="{00000000-0005-0000-0000-0000D8180000}"/>
    <cellStyle name="Normal 5 2 4 2 2 3" xfId="1326" xr:uid="{00000000-0005-0000-0000-0000D9180000}"/>
    <cellStyle name="Normal 5 2 4 2 2 3 2" xfId="3556" xr:uid="{00000000-0005-0000-0000-0000DA180000}"/>
    <cellStyle name="Normal 5 2 4 2 2 3 2 2" xfId="7778" xr:uid="{00000000-0005-0000-0000-0000DB180000}"/>
    <cellStyle name="Normal 5 2 4 2 2 3 3" xfId="5633" xr:uid="{00000000-0005-0000-0000-0000DC180000}"/>
    <cellStyle name="Normal 5 2 4 2 2 4" xfId="1739" xr:uid="{00000000-0005-0000-0000-0000DD180000}"/>
    <cellStyle name="Normal 5 2 4 2 2 4 2" xfId="3969" xr:uid="{00000000-0005-0000-0000-0000DE180000}"/>
    <cellStyle name="Normal 5 2 4 2 2 4 2 2" xfId="8191" xr:uid="{00000000-0005-0000-0000-0000DF180000}"/>
    <cellStyle name="Normal 5 2 4 2 2 4 3" xfId="6046" xr:uid="{00000000-0005-0000-0000-0000E0180000}"/>
    <cellStyle name="Normal 5 2 4 2 2 5" xfId="2153" xr:uid="{00000000-0005-0000-0000-0000E1180000}"/>
    <cellStyle name="Normal 5 2 4 2 2 5 2" xfId="4382" xr:uid="{00000000-0005-0000-0000-0000E2180000}"/>
    <cellStyle name="Normal 5 2 4 2 2 5 2 2" xfId="8604" xr:uid="{00000000-0005-0000-0000-0000E3180000}"/>
    <cellStyle name="Normal 5 2 4 2 2 5 3" xfId="6459" xr:uid="{00000000-0005-0000-0000-0000E4180000}"/>
    <cellStyle name="Normal 5 2 4 2 2 6" xfId="2589" xr:uid="{00000000-0005-0000-0000-0000E5180000}"/>
    <cellStyle name="Normal 5 2 4 2 2 6 2" xfId="6872" xr:uid="{00000000-0005-0000-0000-0000E6180000}"/>
    <cellStyle name="Normal 5 2 4 2 2 7" xfId="4807" xr:uid="{00000000-0005-0000-0000-0000E7180000}"/>
    <cellStyle name="Normal 5 2 4 2 3" xfId="907" xr:uid="{00000000-0005-0000-0000-0000E8180000}"/>
    <cellStyle name="Normal 5 2 4 2 3 2" xfId="3142" xr:uid="{00000000-0005-0000-0000-0000E9180000}"/>
    <cellStyle name="Normal 5 2 4 2 3 2 2" xfId="7364" xr:uid="{00000000-0005-0000-0000-0000EA180000}"/>
    <cellStyle name="Normal 5 2 4 2 3 3" xfId="5219" xr:uid="{00000000-0005-0000-0000-0000EB180000}"/>
    <cellStyle name="Normal 5 2 4 2 4" xfId="1325" xr:uid="{00000000-0005-0000-0000-0000EC180000}"/>
    <cellStyle name="Normal 5 2 4 2 4 2" xfId="3555" xr:uid="{00000000-0005-0000-0000-0000ED180000}"/>
    <cellStyle name="Normal 5 2 4 2 4 2 2" xfId="7777" xr:uid="{00000000-0005-0000-0000-0000EE180000}"/>
    <cellStyle name="Normal 5 2 4 2 4 3" xfId="5632" xr:uid="{00000000-0005-0000-0000-0000EF180000}"/>
    <cellStyle name="Normal 5 2 4 2 5" xfId="1738" xr:uid="{00000000-0005-0000-0000-0000F0180000}"/>
    <cellStyle name="Normal 5 2 4 2 5 2" xfId="3968" xr:uid="{00000000-0005-0000-0000-0000F1180000}"/>
    <cellStyle name="Normal 5 2 4 2 5 2 2" xfId="8190" xr:uid="{00000000-0005-0000-0000-0000F2180000}"/>
    <cellStyle name="Normal 5 2 4 2 5 3" xfId="6045" xr:uid="{00000000-0005-0000-0000-0000F3180000}"/>
    <cellStyle name="Normal 5 2 4 2 6" xfId="2152" xr:uid="{00000000-0005-0000-0000-0000F4180000}"/>
    <cellStyle name="Normal 5 2 4 2 6 2" xfId="4381" xr:uid="{00000000-0005-0000-0000-0000F5180000}"/>
    <cellStyle name="Normal 5 2 4 2 6 2 2" xfId="8603" xr:uid="{00000000-0005-0000-0000-0000F6180000}"/>
    <cellStyle name="Normal 5 2 4 2 6 3" xfId="6458" xr:uid="{00000000-0005-0000-0000-0000F7180000}"/>
    <cellStyle name="Normal 5 2 4 2 7" xfId="2588" xr:uid="{00000000-0005-0000-0000-0000F8180000}"/>
    <cellStyle name="Normal 5 2 4 2 7 2" xfId="6871" xr:uid="{00000000-0005-0000-0000-0000F9180000}"/>
    <cellStyle name="Normal 5 2 4 2 8" xfId="4806"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6" xr:uid="{00000000-0005-0000-0000-0000FE180000}"/>
    <cellStyle name="Normal 5 2 4 3 2 3" xfId="5221" xr:uid="{00000000-0005-0000-0000-0000FF180000}"/>
    <cellStyle name="Normal 5 2 4 3 3" xfId="1327" xr:uid="{00000000-0005-0000-0000-000000190000}"/>
    <cellStyle name="Normal 5 2 4 3 3 2" xfId="3557" xr:uid="{00000000-0005-0000-0000-000001190000}"/>
    <cellStyle name="Normal 5 2 4 3 3 2 2" xfId="7779" xr:uid="{00000000-0005-0000-0000-000002190000}"/>
    <cellStyle name="Normal 5 2 4 3 3 3" xfId="5634" xr:uid="{00000000-0005-0000-0000-000003190000}"/>
    <cellStyle name="Normal 5 2 4 3 4" xfId="1740" xr:uid="{00000000-0005-0000-0000-000004190000}"/>
    <cellStyle name="Normal 5 2 4 3 4 2" xfId="3970" xr:uid="{00000000-0005-0000-0000-000005190000}"/>
    <cellStyle name="Normal 5 2 4 3 4 2 2" xfId="8192" xr:uid="{00000000-0005-0000-0000-000006190000}"/>
    <cellStyle name="Normal 5 2 4 3 4 3" xfId="6047" xr:uid="{00000000-0005-0000-0000-000007190000}"/>
    <cellStyle name="Normal 5 2 4 3 5" xfId="2154" xr:uid="{00000000-0005-0000-0000-000008190000}"/>
    <cellStyle name="Normal 5 2 4 3 5 2" xfId="4383" xr:uid="{00000000-0005-0000-0000-000009190000}"/>
    <cellStyle name="Normal 5 2 4 3 5 2 2" xfId="8605" xr:uid="{00000000-0005-0000-0000-00000A190000}"/>
    <cellStyle name="Normal 5 2 4 3 5 3" xfId="6460" xr:uid="{00000000-0005-0000-0000-00000B190000}"/>
    <cellStyle name="Normal 5 2 4 3 6" xfId="2590" xr:uid="{00000000-0005-0000-0000-00000C190000}"/>
    <cellStyle name="Normal 5 2 4 3 6 2" xfId="6873" xr:uid="{00000000-0005-0000-0000-00000D190000}"/>
    <cellStyle name="Normal 5 2 4 3 7" xfId="4808" xr:uid="{00000000-0005-0000-0000-00000E190000}"/>
    <cellStyle name="Normal 5 2 4 4" xfId="906" xr:uid="{00000000-0005-0000-0000-00000F190000}"/>
    <cellStyle name="Normal 5 2 4 4 2" xfId="3141" xr:uid="{00000000-0005-0000-0000-000010190000}"/>
    <cellStyle name="Normal 5 2 4 4 2 2" xfId="7363" xr:uid="{00000000-0005-0000-0000-000011190000}"/>
    <cellStyle name="Normal 5 2 4 4 3" xfId="5218" xr:uid="{00000000-0005-0000-0000-000012190000}"/>
    <cellStyle name="Normal 5 2 4 5" xfId="1324" xr:uid="{00000000-0005-0000-0000-000013190000}"/>
    <cellStyle name="Normal 5 2 4 5 2" xfId="3554" xr:uid="{00000000-0005-0000-0000-000014190000}"/>
    <cellStyle name="Normal 5 2 4 5 2 2" xfId="7776" xr:uid="{00000000-0005-0000-0000-000015190000}"/>
    <cellStyle name="Normal 5 2 4 5 3" xfId="5631" xr:uid="{00000000-0005-0000-0000-000016190000}"/>
    <cellStyle name="Normal 5 2 4 6" xfId="1737" xr:uid="{00000000-0005-0000-0000-000017190000}"/>
    <cellStyle name="Normal 5 2 4 6 2" xfId="3967" xr:uid="{00000000-0005-0000-0000-000018190000}"/>
    <cellStyle name="Normal 5 2 4 6 2 2" xfId="8189" xr:uid="{00000000-0005-0000-0000-000019190000}"/>
    <cellStyle name="Normal 5 2 4 6 3" xfId="6044" xr:uid="{00000000-0005-0000-0000-00001A190000}"/>
    <cellStyle name="Normal 5 2 4 7" xfId="2151" xr:uid="{00000000-0005-0000-0000-00001B190000}"/>
    <cellStyle name="Normal 5 2 4 7 2" xfId="4380" xr:uid="{00000000-0005-0000-0000-00001C190000}"/>
    <cellStyle name="Normal 5 2 4 7 2 2" xfId="8602" xr:uid="{00000000-0005-0000-0000-00001D190000}"/>
    <cellStyle name="Normal 5 2 4 7 3" xfId="6457" xr:uid="{00000000-0005-0000-0000-00001E190000}"/>
    <cellStyle name="Normal 5 2 4 8" xfId="2587" xr:uid="{00000000-0005-0000-0000-00001F190000}"/>
    <cellStyle name="Normal 5 2 4 8 2" xfId="6870" xr:uid="{00000000-0005-0000-0000-000020190000}"/>
    <cellStyle name="Normal 5 2 4 9" xfId="4805"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8" xr:uid="{00000000-0005-0000-0000-000026190000}"/>
    <cellStyle name="Normal 5 2 5 2 2 3" xfId="5223" xr:uid="{00000000-0005-0000-0000-000027190000}"/>
    <cellStyle name="Normal 5 2 5 2 3" xfId="1329" xr:uid="{00000000-0005-0000-0000-000028190000}"/>
    <cellStyle name="Normal 5 2 5 2 3 2" xfId="3559" xr:uid="{00000000-0005-0000-0000-000029190000}"/>
    <cellStyle name="Normal 5 2 5 2 3 2 2" xfId="7781" xr:uid="{00000000-0005-0000-0000-00002A190000}"/>
    <cellStyle name="Normal 5 2 5 2 3 3" xfId="5636" xr:uid="{00000000-0005-0000-0000-00002B190000}"/>
    <cellStyle name="Normal 5 2 5 2 4" xfId="1742" xr:uid="{00000000-0005-0000-0000-00002C190000}"/>
    <cellStyle name="Normal 5 2 5 2 4 2" xfId="3972" xr:uid="{00000000-0005-0000-0000-00002D190000}"/>
    <cellStyle name="Normal 5 2 5 2 4 2 2" xfId="8194" xr:uid="{00000000-0005-0000-0000-00002E190000}"/>
    <cellStyle name="Normal 5 2 5 2 4 3" xfId="6049" xr:uid="{00000000-0005-0000-0000-00002F190000}"/>
    <cellStyle name="Normal 5 2 5 2 5" xfId="2156" xr:uid="{00000000-0005-0000-0000-000030190000}"/>
    <cellStyle name="Normal 5 2 5 2 5 2" xfId="4385" xr:uid="{00000000-0005-0000-0000-000031190000}"/>
    <cellStyle name="Normal 5 2 5 2 5 2 2" xfId="8607" xr:uid="{00000000-0005-0000-0000-000032190000}"/>
    <cellStyle name="Normal 5 2 5 2 5 3" xfId="6462" xr:uid="{00000000-0005-0000-0000-000033190000}"/>
    <cellStyle name="Normal 5 2 5 2 6" xfId="2592" xr:uid="{00000000-0005-0000-0000-000034190000}"/>
    <cellStyle name="Normal 5 2 5 2 6 2" xfId="6875" xr:uid="{00000000-0005-0000-0000-000035190000}"/>
    <cellStyle name="Normal 5 2 5 2 7" xfId="4810" xr:uid="{00000000-0005-0000-0000-000036190000}"/>
    <cellStyle name="Normal 5 2 5 3" xfId="910" xr:uid="{00000000-0005-0000-0000-000037190000}"/>
    <cellStyle name="Normal 5 2 5 3 2" xfId="3145" xr:uid="{00000000-0005-0000-0000-000038190000}"/>
    <cellStyle name="Normal 5 2 5 3 2 2" xfId="7367" xr:uid="{00000000-0005-0000-0000-000039190000}"/>
    <cellStyle name="Normal 5 2 5 3 3" xfId="5222" xr:uid="{00000000-0005-0000-0000-00003A190000}"/>
    <cellStyle name="Normal 5 2 5 4" xfId="1328" xr:uid="{00000000-0005-0000-0000-00003B190000}"/>
    <cellStyle name="Normal 5 2 5 4 2" xfId="3558" xr:uid="{00000000-0005-0000-0000-00003C190000}"/>
    <cellStyle name="Normal 5 2 5 4 2 2" xfId="7780" xr:uid="{00000000-0005-0000-0000-00003D190000}"/>
    <cellStyle name="Normal 5 2 5 4 3" xfId="5635" xr:uid="{00000000-0005-0000-0000-00003E190000}"/>
    <cellStyle name="Normal 5 2 5 5" xfId="1741" xr:uid="{00000000-0005-0000-0000-00003F190000}"/>
    <cellStyle name="Normal 5 2 5 5 2" xfId="3971" xr:uid="{00000000-0005-0000-0000-000040190000}"/>
    <cellStyle name="Normal 5 2 5 5 2 2" xfId="8193" xr:uid="{00000000-0005-0000-0000-000041190000}"/>
    <cellStyle name="Normal 5 2 5 5 3" xfId="6048" xr:uid="{00000000-0005-0000-0000-000042190000}"/>
    <cellStyle name="Normal 5 2 5 6" xfId="2155" xr:uid="{00000000-0005-0000-0000-000043190000}"/>
    <cellStyle name="Normal 5 2 5 6 2" xfId="4384" xr:uid="{00000000-0005-0000-0000-000044190000}"/>
    <cellStyle name="Normal 5 2 5 6 2 2" xfId="8606" xr:uid="{00000000-0005-0000-0000-000045190000}"/>
    <cellStyle name="Normal 5 2 5 6 3" xfId="6461" xr:uid="{00000000-0005-0000-0000-000046190000}"/>
    <cellStyle name="Normal 5 2 5 7" xfId="2591" xr:uid="{00000000-0005-0000-0000-000047190000}"/>
    <cellStyle name="Normal 5 2 5 7 2" xfId="6874" xr:uid="{00000000-0005-0000-0000-000048190000}"/>
    <cellStyle name="Normal 5 2 5 8" xfId="4809"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69" xr:uid="{00000000-0005-0000-0000-00004D190000}"/>
    <cellStyle name="Normal 5 2 6 2 3" xfId="5224" xr:uid="{00000000-0005-0000-0000-00004E190000}"/>
    <cellStyle name="Normal 5 2 6 3" xfId="1330" xr:uid="{00000000-0005-0000-0000-00004F190000}"/>
    <cellStyle name="Normal 5 2 6 3 2" xfId="3560" xr:uid="{00000000-0005-0000-0000-000050190000}"/>
    <cellStyle name="Normal 5 2 6 3 2 2" xfId="7782" xr:uid="{00000000-0005-0000-0000-000051190000}"/>
    <cellStyle name="Normal 5 2 6 3 3" xfId="5637" xr:uid="{00000000-0005-0000-0000-000052190000}"/>
    <cellStyle name="Normal 5 2 6 4" xfId="1743" xr:uid="{00000000-0005-0000-0000-000053190000}"/>
    <cellStyle name="Normal 5 2 6 4 2" xfId="3973" xr:uid="{00000000-0005-0000-0000-000054190000}"/>
    <cellStyle name="Normal 5 2 6 4 2 2" xfId="8195" xr:uid="{00000000-0005-0000-0000-000055190000}"/>
    <cellStyle name="Normal 5 2 6 4 3" xfId="6050" xr:uid="{00000000-0005-0000-0000-000056190000}"/>
    <cellStyle name="Normal 5 2 6 5" xfId="2157" xr:uid="{00000000-0005-0000-0000-000057190000}"/>
    <cellStyle name="Normal 5 2 6 5 2" xfId="4386" xr:uid="{00000000-0005-0000-0000-000058190000}"/>
    <cellStyle name="Normal 5 2 6 5 2 2" xfId="8608" xr:uid="{00000000-0005-0000-0000-000059190000}"/>
    <cellStyle name="Normal 5 2 6 5 3" xfId="6463" xr:uid="{00000000-0005-0000-0000-00005A190000}"/>
    <cellStyle name="Normal 5 2 6 6" xfId="2593" xr:uid="{00000000-0005-0000-0000-00005B190000}"/>
    <cellStyle name="Normal 5 2 6 6 2" xfId="6876" xr:uid="{00000000-0005-0000-0000-00005C190000}"/>
    <cellStyle name="Normal 5 2 6 7" xfId="4811" xr:uid="{00000000-0005-0000-0000-00005D190000}"/>
    <cellStyle name="Normal 5 2 7" xfId="881" xr:uid="{00000000-0005-0000-0000-00005E190000}"/>
    <cellStyle name="Normal 5 2 7 2" xfId="3116" xr:uid="{00000000-0005-0000-0000-00005F190000}"/>
    <cellStyle name="Normal 5 2 7 2 2" xfId="7338" xr:uid="{00000000-0005-0000-0000-000060190000}"/>
    <cellStyle name="Normal 5 2 7 3" xfId="5193" xr:uid="{00000000-0005-0000-0000-000061190000}"/>
    <cellStyle name="Normal 5 2 8" xfId="1299" xr:uid="{00000000-0005-0000-0000-000062190000}"/>
    <cellStyle name="Normal 5 2 8 2" xfId="3529" xr:uid="{00000000-0005-0000-0000-000063190000}"/>
    <cellStyle name="Normal 5 2 8 2 2" xfId="7751" xr:uid="{00000000-0005-0000-0000-000064190000}"/>
    <cellStyle name="Normal 5 2 8 3" xfId="5606" xr:uid="{00000000-0005-0000-0000-000065190000}"/>
    <cellStyle name="Normal 5 2 9" xfId="1712" xr:uid="{00000000-0005-0000-0000-000066190000}"/>
    <cellStyle name="Normal 5 2 9 2" xfId="3942" xr:uid="{00000000-0005-0000-0000-000067190000}"/>
    <cellStyle name="Normal 5 2 9 2 2" xfId="8164" xr:uid="{00000000-0005-0000-0000-000068190000}"/>
    <cellStyle name="Normal 5 2 9 3" xfId="6019"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09" xr:uid="{00000000-0005-0000-0000-00006D190000}"/>
    <cellStyle name="Normal 5 3 10 3" xfId="6464" xr:uid="{00000000-0005-0000-0000-00006E190000}"/>
    <cellStyle name="Normal 5 3 11" xfId="2594" xr:uid="{00000000-0005-0000-0000-00006F190000}"/>
    <cellStyle name="Normal 5 3 11 2" xfId="6877" xr:uid="{00000000-0005-0000-0000-000070190000}"/>
    <cellStyle name="Normal 5 3 12" xfId="4812"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3"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4" xr:uid="{00000000-0005-0000-0000-00007B190000}"/>
    <cellStyle name="Normal 5 3 3 2 2 2 2 3" xfId="5229" xr:uid="{00000000-0005-0000-0000-00007C190000}"/>
    <cellStyle name="Normal 5 3 3 2 2 2 3" xfId="1335" xr:uid="{00000000-0005-0000-0000-00007D190000}"/>
    <cellStyle name="Normal 5 3 3 2 2 2 3 2" xfId="3565" xr:uid="{00000000-0005-0000-0000-00007E190000}"/>
    <cellStyle name="Normal 5 3 3 2 2 2 3 2 2" xfId="7787" xr:uid="{00000000-0005-0000-0000-00007F190000}"/>
    <cellStyle name="Normal 5 3 3 2 2 2 3 3" xfId="5642" xr:uid="{00000000-0005-0000-0000-000080190000}"/>
    <cellStyle name="Normal 5 3 3 2 2 2 4" xfId="1748" xr:uid="{00000000-0005-0000-0000-000081190000}"/>
    <cellStyle name="Normal 5 3 3 2 2 2 4 2" xfId="3978" xr:uid="{00000000-0005-0000-0000-000082190000}"/>
    <cellStyle name="Normal 5 3 3 2 2 2 4 2 2" xfId="8200" xr:uid="{00000000-0005-0000-0000-000083190000}"/>
    <cellStyle name="Normal 5 3 3 2 2 2 4 3" xfId="6055" xr:uid="{00000000-0005-0000-0000-000084190000}"/>
    <cellStyle name="Normal 5 3 3 2 2 2 5" xfId="2162" xr:uid="{00000000-0005-0000-0000-000085190000}"/>
    <cellStyle name="Normal 5 3 3 2 2 2 5 2" xfId="4391" xr:uid="{00000000-0005-0000-0000-000086190000}"/>
    <cellStyle name="Normal 5 3 3 2 2 2 5 2 2" xfId="8613" xr:uid="{00000000-0005-0000-0000-000087190000}"/>
    <cellStyle name="Normal 5 3 3 2 2 2 5 3" xfId="6468" xr:uid="{00000000-0005-0000-0000-000088190000}"/>
    <cellStyle name="Normal 5 3 3 2 2 2 6" xfId="2598" xr:uid="{00000000-0005-0000-0000-000089190000}"/>
    <cellStyle name="Normal 5 3 3 2 2 2 6 2" xfId="6881" xr:uid="{00000000-0005-0000-0000-00008A190000}"/>
    <cellStyle name="Normal 5 3 3 2 2 2 7" xfId="4816" xr:uid="{00000000-0005-0000-0000-00008B190000}"/>
    <cellStyle name="Normal 5 3 3 2 2 3" xfId="917" xr:uid="{00000000-0005-0000-0000-00008C190000}"/>
    <cellStyle name="Normal 5 3 3 2 2 3 2" xfId="3151" xr:uid="{00000000-0005-0000-0000-00008D190000}"/>
    <cellStyle name="Normal 5 3 3 2 2 3 2 2" xfId="7373" xr:uid="{00000000-0005-0000-0000-00008E190000}"/>
    <cellStyle name="Normal 5 3 3 2 2 3 3" xfId="5228" xr:uid="{00000000-0005-0000-0000-00008F190000}"/>
    <cellStyle name="Normal 5 3 3 2 2 4" xfId="1334" xr:uid="{00000000-0005-0000-0000-000090190000}"/>
    <cellStyle name="Normal 5 3 3 2 2 4 2" xfId="3564" xr:uid="{00000000-0005-0000-0000-000091190000}"/>
    <cellStyle name="Normal 5 3 3 2 2 4 2 2" xfId="7786" xr:uid="{00000000-0005-0000-0000-000092190000}"/>
    <cellStyle name="Normal 5 3 3 2 2 4 3" xfId="5641" xr:uid="{00000000-0005-0000-0000-000093190000}"/>
    <cellStyle name="Normal 5 3 3 2 2 5" xfId="1747" xr:uid="{00000000-0005-0000-0000-000094190000}"/>
    <cellStyle name="Normal 5 3 3 2 2 5 2" xfId="3977" xr:uid="{00000000-0005-0000-0000-000095190000}"/>
    <cellStyle name="Normal 5 3 3 2 2 5 2 2" xfId="8199" xr:uid="{00000000-0005-0000-0000-000096190000}"/>
    <cellStyle name="Normal 5 3 3 2 2 5 3" xfId="6054" xr:uid="{00000000-0005-0000-0000-000097190000}"/>
    <cellStyle name="Normal 5 3 3 2 2 6" xfId="2161" xr:uid="{00000000-0005-0000-0000-000098190000}"/>
    <cellStyle name="Normal 5 3 3 2 2 6 2" xfId="4390" xr:uid="{00000000-0005-0000-0000-000099190000}"/>
    <cellStyle name="Normal 5 3 3 2 2 6 2 2" xfId="8612" xr:uid="{00000000-0005-0000-0000-00009A190000}"/>
    <cellStyle name="Normal 5 3 3 2 2 6 3" xfId="6467" xr:uid="{00000000-0005-0000-0000-00009B190000}"/>
    <cellStyle name="Normal 5 3 3 2 2 7" xfId="2597" xr:uid="{00000000-0005-0000-0000-00009C190000}"/>
    <cellStyle name="Normal 5 3 3 2 2 7 2" xfId="6880" xr:uid="{00000000-0005-0000-0000-00009D190000}"/>
    <cellStyle name="Normal 5 3 3 2 2 8" xfId="4815"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5" xr:uid="{00000000-0005-0000-0000-0000A2190000}"/>
    <cellStyle name="Normal 5 3 3 2 3 2 3" xfId="5230" xr:uid="{00000000-0005-0000-0000-0000A3190000}"/>
    <cellStyle name="Normal 5 3 3 2 3 3" xfId="1336" xr:uid="{00000000-0005-0000-0000-0000A4190000}"/>
    <cellStyle name="Normal 5 3 3 2 3 3 2" xfId="3566" xr:uid="{00000000-0005-0000-0000-0000A5190000}"/>
    <cellStyle name="Normal 5 3 3 2 3 3 2 2" xfId="7788" xr:uid="{00000000-0005-0000-0000-0000A6190000}"/>
    <cellStyle name="Normal 5 3 3 2 3 3 3" xfId="5643" xr:uid="{00000000-0005-0000-0000-0000A7190000}"/>
    <cellStyle name="Normal 5 3 3 2 3 4" xfId="1749" xr:uid="{00000000-0005-0000-0000-0000A8190000}"/>
    <cellStyle name="Normal 5 3 3 2 3 4 2" xfId="3979" xr:uid="{00000000-0005-0000-0000-0000A9190000}"/>
    <cellStyle name="Normal 5 3 3 2 3 4 2 2" xfId="8201" xr:uid="{00000000-0005-0000-0000-0000AA190000}"/>
    <cellStyle name="Normal 5 3 3 2 3 4 3" xfId="6056" xr:uid="{00000000-0005-0000-0000-0000AB190000}"/>
    <cellStyle name="Normal 5 3 3 2 3 5" xfId="2163" xr:uid="{00000000-0005-0000-0000-0000AC190000}"/>
    <cellStyle name="Normal 5 3 3 2 3 5 2" xfId="4392" xr:uid="{00000000-0005-0000-0000-0000AD190000}"/>
    <cellStyle name="Normal 5 3 3 2 3 5 2 2" xfId="8614" xr:uid="{00000000-0005-0000-0000-0000AE190000}"/>
    <cellStyle name="Normal 5 3 3 2 3 5 3" xfId="6469" xr:uid="{00000000-0005-0000-0000-0000AF190000}"/>
    <cellStyle name="Normal 5 3 3 2 3 6" xfId="2599" xr:uid="{00000000-0005-0000-0000-0000B0190000}"/>
    <cellStyle name="Normal 5 3 3 2 3 6 2" xfId="6882" xr:uid="{00000000-0005-0000-0000-0000B1190000}"/>
    <cellStyle name="Normal 5 3 3 2 3 7" xfId="4817" xr:uid="{00000000-0005-0000-0000-0000B2190000}"/>
    <cellStyle name="Normal 5 3 3 2 4" xfId="916" xr:uid="{00000000-0005-0000-0000-0000B3190000}"/>
    <cellStyle name="Normal 5 3 3 2 4 2" xfId="3150" xr:uid="{00000000-0005-0000-0000-0000B4190000}"/>
    <cellStyle name="Normal 5 3 3 2 4 2 2" xfId="7372" xr:uid="{00000000-0005-0000-0000-0000B5190000}"/>
    <cellStyle name="Normal 5 3 3 2 4 3" xfId="5227" xr:uid="{00000000-0005-0000-0000-0000B6190000}"/>
    <cellStyle name="Normal 5 3 3 2 5" xfId="1333" xr:uid="{00000000-0005-0000-0000-0000B7190000}"/>
    <cellStyle name="Normal 5 3 3 2 5 2" xfId="3563" xr:uid="{00000000-0005-0000-0000-0000B8190000}"/>
    <cellStyle name="Normal 5 3 3 2 5 2 2" xfId="7785" xr:uid="{00000000-0005-0000-0000-0000B9190000}"/>
    <cellStyle name="Normal 5 3 3 2 5 3" xfId="5640" xr:uid="{00000000-0005-0000-0000-0000BA190000}"/>
    <cellStyle name="Normal 5 3 3 2 6" xfId="1746" xr:uid="{00000000-0005-0000-0000-0000BB190000}"/>
    <cellStyle name="Normal 5 3 3 2 6 2" xfId="3976" xr:uid="{00000000-0005-0000-0000-0000BC190000}"/>
    <cellStyle name="Normal 5 3 3 2 6 2 2" xfId="8198" xr:uid="{00000000-0005-0000-0000-0000BD190000}"/>
    <cellStyle name="Normal 5 3 3 2 6 3" xfId="6053" xr:uid="{00000000-0005-0000-0000-0000BE190000}"/>
    <cellStyle name="Normal 5 3 3 2 7" xfId="2160" xr:uid="{00000000-0005-0000-0000-0000BF190000}"/>
    <cellStyle name="Normal 5 3 3 2 7 2" xfId="4389" xr:uid="{00000000-0005-0000-0000-0000C0190000}"/>
    <cellStyle name="Normal 5 3 3 2 7 2 2" xfId="8611" xr:uid="{00000000-0005-0000-0000-0000C1190000}"/>
    <cellStyle name="Normal 5 3 3 2 7 3" xfId="6466" xr:uid="{00000000-0005-0000-0000-0000C2190000}"/>
    <cellStyle name="Normal 5 3 3 2 8" xfId="2596" xr:uid="{00000000-0005-0000-0000-0000C3190000}"/>
    <cellStyle name="Normal 5 3 3 2 8 2" xfId="6879" xr:uid="{00000000-0005-0000-0000-0000C4190000}"/>
    <cellStyle name="Normal 5 3 3 2 9" xfId="4814"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7" xr:uid="{00000000-0005-0000-0000-0000CA190000}"/>
    <cellStyle name="Normal 5 3 3 3 2 2 3" xfId="5232" xr:uid="{00000000-0005-0000-0000-0000CB190000}"/>
    <cellStyle name="Normal 5 3 3 3 2 3" xfId="1338" xr:uid="{00000000-0005-0000-0000-0000CC190000}"/>
    <cellStyle name="Normal 5 3 3 3 2 3 2" xfId="3568" xr:uid="{00000000-0005-0000-0000-0000CD190000}"/>
    <cellStyle name="Normal 5 3 3 3 2 3 2 2" xfId="7790" xr:uid="{00000000-0005-0000-0000-0000CE190000}"/>
    <cellStyle name="Normal 5 3 3 3 2 3 3" xfId="5645" xr:uid="{00000000-0005-0000-0000-0000CF190000}"/>
    <cellStyle name="Normal 5 3 3 3 2 4" xfId="1751" xr:uid="{00000000-0005-0000-0000-0000D0190000}"/>
    <cellStyle name="Normal 5 3 3 3 2 4 2" xfId="3981" xr:uid="{00000000-0005-0000-0000-0000D1190000}"/>
    <cellStyle name="Normal 5 3 3 3 2 4 2 2" xfId="8203" xr:uid="{00000000-0005-0000-0000-0000D2190000}"/>
    <cellStyle name="Normal 5 3 3 3 2 4 3" xfId="6058" xr:uid="{00000000-0005-0000-0000-0000D3190000}"/>
    <cellStyle name="Normal 5 3 3 3 2 5" xfId="2165" xr:uid="{00000000-0005-0000-0000-0000D4190000}"/>
    <cellStyle name="Normal 5 3 3 3 2 5 2" xfId="4394" xr:uid="{00000000-0005-0000-0000-0000D5190000}"/>
    <cellStyle name="Normal 5 3 3 3 2 5 2 2" xfId="8616" xr:uid="{00000000-0005-0000-0000-0000D6190000}"/>
    <cellStyle name="Normal 5 3 3 3 2 5 3" xfId="6471" xr:uid="{00000000-0005-0000-0000-0000D7190000}"/>
    <cellStyle name="Normal 5 3 3 3 2 6" xfId="2601" xr:uid="{00000000-0005-0000-0000-0000D8190000}"/>
    <cellStyle name="Normal 5 3 3 3 2 6 2" xfId="6884" xr:uid="{00000000-0005-0000-0000-0000D9190000}"/>
    <cellStyle name="Normal 5 3 3 3 2 7" xfId="4819" xr:uid="{00000000-0005-0000-0000-0000DA190000}"/>
    <cellStyle name="Normal 5 3 3 3 3" xfId="920" xr:uid="{00000000-0005-0000-0000-0000DB190000}"/>
    <cellStyle name="Normal 5 3 3 3 3 2" xfId="3154" xr:uid="{00000000-0005-0000-0000-0000DC190000}"/>
    <cellStyle name="Normal 5 3 3 3 3 2 2" xfId="7376" xr:uid="{00000000-0005-0000-0000-0000DD190000}"/>
    <cellStyle name="Normal 5 3 3 3 3 3" xfId="5231" xr:uid="{00000000-0005-0000-0000-0000DE190000}"/>
    <cellStyle name="Normal 5 3 3 3 4" xfId="1337" xr:uid="{00000000-0005-0000-0000-0000DF190000}"/>
    <cellStyle name="Normal 5 3 3 3 4 2" xfId="3567" xr:uid="{00000000-0005-0000-0000-0000E0190000}"/>
    <cellStyle name="Normal 5 3 3 3 4 2 2" xfId="7789" xr:uid="{00000000-0005-0000-0000-0000E1190000}"/>
    <cellStyle name="Normal 5 3 3 3 4 3" xfId="5644" xr:uid="{00000000-0005-0000-0000-0000E2190000}"/>
    <cellStyle name="Normal 5 3 3 3 5" xfId="1750" xr:uid="{00000000-0005-0000-0000-0000E3190000}"/>
    <cellStyle name="Normal 5 3 3 3 5 2" xfId="3980" xr:uid="{00000000-0005-0000-0000-0000E4190000}"/>
    <cellStyle name="Normal 5 3 3 3 5 2 2" xfId="8202" xr:uid="{00000000-0005-0000-0000-0000E5190000}"/>
    <cellStyle name="Normal 5 3 3 3 5 3" xfId="6057" xr:uid="{00000000-0005-0000-0000-0000E6190000}"/>
    <cellStyle name="Normal 5 3 3 3 6" xfId="2164" xr:uid="{00000000-0005-0000-0000-0000E7190000}"/>
    <cellStyle name="Normal 5 3 3 3 6 2" xfId="4393" xr:uid="{00000000-0005-0000-0000-0000E8190000}"/>
    <cellStyle name="Normal 5 3 3 3 6 2 2" xfId="8615" xr:uid="{00000000-0005-0000-0000-0000E9190000}"/>
    <cellStyle name="Normal 5 3 3 3 6 3" xfId="6470" xr:uid="{00000000-0005-0000-0000-0000EA190000}"/>
    <cellStyle name="Normal 5 3 3 3 7" xfId="2600" xr:uid="{00000000-0005-0000-0000-0000EB190000}"/>
    <cellStyle name="Normal 5 3 3 3 7 2" xfId="6883" xr:uid="{00000000-0005-0000-0000-0000EC190000}"/>
    <cellStyle name="Normal 5 3 3 3 8" xfId="4818"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8" xr:uid="{00000000-0005-0000-0000-0000F1190000}"/>
    <cellStyle name="Normal 5 3 3 4 2 3" xfId="5233" xr:uid="{00000000-0005-0000-0000-0000F2190000}"/>
    <cellStyle name="Normal 5 3 3 4 3" xfId="1339" xr:uid="{00000000-0005-0000-0000-0000F3190000}"/>
    <cellStyle name="Normal 5 3 3 4 3 2" xfId="3569" xr:uid="{00000000-0005-0000-0000-0000F4190000}"/>
    <cellStyle name="Normal 5 3 3 4 3 2 2" xfId="7791" xr:uid="{00000000-0005-0000-0000-0000F5190000}"/>
    <cellStyle name="Normal 5 3 3 4 3 3" xfId="5646" xr:uid="{00000000-0005-0000-0000-0000F6190000}"/>
    <cellStyle name="Normal 5 3 3 4 4" xfId="1752" xr:uid="{00000000-0005-0000-0000-0000F7190000}"/>
    <cellStyle name="Normal 5 3 3 4 4 2" xfId="3982" xr:uid="{00000000-0005-0000-0000-0000F8190000}"/>
    <cellStyle name="Normal 5 3 3 4 4 2 2" xfId="8204" xr:uid="{00000000-0005-0000-0000-0000F9190000}"/>
    <cellStyle name="Normal 5 3 3 4 4 3" xfId="6059" xr:uid="{00000000-0005-0000-0000-0000FA190000}"/>
    <cellStyle name="Normal 5 3 3 4 5" xfId="2166" xr:uid="{00000000-0005-0000-0000-0000FB190000}"/>
    <cellStyle name="Normal 5 3 3 4 5 2" xfId="4395" xr:uid="{00000000-0005-0000-0000-0000FC190000}"/>
    <cellStyle name="Normal 5 3 3 4 5 2 2" xfId="8617" xr:uid="{00000000-0005-0000-0000-0000FD190000}"/>
    <cellStyle name="Normal 5 3 3 4 5 3" xfId="6472" xr:uid="{00000000-0005-0000-0000-0000FE190000}"/>
    <cellStyle name="Normal 5 3 3 4 6" xfId="2602" xr:uid="{00000000-0005-0000-0000-0000FF190000}"/>
    <cellStyle name="Normal 5 3 3 4 6 2" xfId="6885" xr:uid="{00000000-0005-0000-0000-0000001A0000}"/>
    <cellStyle name="Normal 5 3 3 4 7" xfId="4820" xr:uid="{00000000-0005-0000-0000-0000011A0000}"/>
    <cellStyle name="Normal 5 3 3 5" xfId="915" xr:uid="{00000000-0005-0000-0000-0000021A0000}"/>
    <cellStyle name="Normal 5 3 3 5 2" xfId="3149" xr:uid="{00000000-0005-0000-0000-0000031A0000}"/>
    <cellStyle name="Normal 5 3 3 5 2 2" xfId="7371" xr:uid="{00000000-0005-0000-0000-0000041A0000}"/>
    <cellStyle name="Normal 5 3 3 5 3" xfId="5226" xr:uid="{00000000-0005-0000-0000-0000051A0000}"/>
    <cellStyle name="Normal 5 3 3 6" xfId="1332" xr:uid="{00000000-0005-0000-0000-0000061A0000}"/>
    <cellStyle name="Normal 5 3 3 6 2" xfId="3562" xr:uid="{00000000-0005-0000-0000-0000071A0000}"/>
    <cellStyle name="Normal 5 3 3 6 2 2" xfId="7784" xr:uid="{00000000-0005-0000-0000-0000081A0000}"/>
    <cellStyle name="Normal 5 3 3 6 3" xfId="5639" xr:uid="{00000000-0005-0000-0000-0000091A0000}"/>
    <cellStyle name="Normal 5 3 3 7" xfId="1745" xr:uid="{00000000-0005-0000-0000-00000A1A0000}"/>
    <cellStyle name="Normal 5 3 3 7 2" xfId="3975" xr:uid="{00000000-0005-0000-0000-00000B1A0000}"/>
    <cellStyle name="Normal 5 3 3 7 2 2" xfId="8197" xr:uid="{00000000-0005-0000-0000-00000C1A0000}"/>
    <cellStyle name="Normal 5 3 3 7 3" xfId="6052" xr:uid="{00000000-0005-0000-0000-00000D1A0000}"/>
    <cellStyle name="Normal 5 3 3 8" xfId="2159" xr:uid="{00000000-0005-0000-0000-00000E1A0000}"/>
    <cellStyle name="Normal 5 3 3 8 2" xfId="4388" xr:uid="{00000000-0005-0000-0000-00000F1A0000}"/>
    <cellStyle name="Normal 5 3 3 8 2 2" xfId="8610" xr:uid="{00000000-0005-0000-0000-0000101A0000}"/>
    <cellStyle name="Normal 5 3 3 8 3" xfId="6465" xr:uid="{00000000-0005-0000-0000-0000111A0000}"/>
    <cellStyle name="Normal 5 3 3 9" xfId="2595" xr:uid="{00000000-0005-0000-0000-0000121A0000}"/>
    <cellStyle name="Normal 5 3 3 9 2" xfId="6878"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1" xr:uid="{00000000-0005-0000-0000-0000191A0000}"/>
    <cellStyle name="Normal 5 3 4 2 2 2 3" xfId="5236" xr:uid="{00000000-0005-0000-0000-00001A1A0000}"/>
    <cellStyle name="Normal 5 3 4 2 2 3" xfId="1342" xr:uid="{00000000-0005-0000-0000-00001B1A0000}"/>
    <cellStyle name="Normal 5 3 4 2 2 3 2" xfId="3572" xr:uid="{00000000-0005-0000-0000-00001C1A0000}"/>
    <cellStyle name="Normal 5 3 4 2 2 3 2 2" xfId="7794" xr:uid="{00000000-0005-0000-0000-00001D1A0000}"/>
    <cellStyle name="Normal 5 3 4 2 2 3 3" xfId="5649" xr:uid="{00000000-0005-0000-0000-00001E1A0000}"/>
    <cellStyle name="Normal 5 3 4 2 2 4" xfId="1755" xr:uid="{00000000-0005-0000-0000-00001F1A0000}"/>
    <cellStyle name="Normal 5 3 4 2 2 4 2" xfId="3985" xr:uid="{00000000-0005-0000-0000-0000201A0000}"/>
    <cellStyle name="Normal 5 3 4 2 2 4 2 2" xfId="8207" xr:uid="{00000000-0005-0000-0000-0000211A0000}"/>
    <cellStyle name="Normal 5 3 4 2 2 4 3" xfId="6062" xr:uid="{00000000-0005-0000-0000-0000221A0000}"/>
    <cellStyle name="Normal 5 3 4 2 2 5" xfId="2169" xr:uid="{00000000-0005-0000-0000-0000231A0000}"/>
    <cellStyle name="Normal 5 3 4 2 2 5 2" xfId="4398" xr:uid="{00000000-0005-0000-0000-0000241A0000}"/>
    <cellStyle name="Normal 5 3 4 2 2 5 2 2" xfId="8620" xr:uid="{00000000-0005-0000-0000-0000251A0000}"/>
    <cellStyle name="Normal 5 3 4 2 2 5 3" xfId="6475" xr:uid="{00000000-0005-0000-0000-0000261A0000}"/>
    <cellStyle name="Normal 5 3 4 2 2 6" xfId="2605" xr:uid="{00000000-0005-0000-0000-0000271A0000}"/>
    <cellStyle name="Normal 5 3 4 2 2 6 2" xfId="6888" xr:uid="{00000000-0005-0000-0000-0000281A0000}"/>
    <cellStyle name="Normal 5 3 4 2 2 7" xfId="4823" xr:uid="{00000000-0005-0000-0000-0000291A0000}"/>
    <cellStyle name="Normal 5 3 4 2 3" xfId="924" xr:uid="{00000000-0005-0000-0000-00002A1A0000}"/>
    <cellStyle name="Normal 5 3 4 2 3 2" xfId="3158" xr:uid="{00000000-0005-0000-0000-00002B1A0000}"/>
    <cellStyle name="Normal 5 3 4 2 3 2 2" xfId="7380" xr:uid="{00000000-0005-0000-0000-00002C1A0000}"/>
    <cellStyle name="Normal 5 3 4 2 3 3" xfId="5235" xr:uid="{00000000-0005-0000-0000-00002D1A0000}"/>
    <cellStyle name="Normal 5 3 4 2 4" xfId="1341" xr:uid="{00000000-0005-0000-0000-00002E1A0000}"/>
    <cellStyle name="Normal 5 3 4 2 4 2" xfId="3571" xr:uid="{00000000-0005-0000-0000-00002F1A0000}"/>
    <cellStyle name="Normal 5 3 4 2 4 2 2" xfId="7793" xr:uid="{00000000-0005-0000-0000-0000301A0000}"/>
    <cellStyle name="Normal 5 3 4 2 4 3" xfId="5648" xr:uid="{00000000-0005-0000-0000-0000311A0000}"/>
    <cellStyle name="Normal 5 3 4 2 5" xfId="1754" xr:uid="{00000000-0005-0000-0000-0000321A0000}"/>
    <cellStyle name="Normal 5 3 4 2 5 2" xfId="3984" xr:uid="{00000000-0005-0000-0000-0000331A0000}"/>
    <cellStyle name="Normal 5 3 4 2 5 2 2" xfId="8206" xr:uid="{00000000-0005-0000-0000-0000341A0000}"/>
    <cellStyle name="Normal 5 3 4 2 5 3" xfId="6061" xr:uid="{00000000-0005-0000-0000-0000351A0000}"/>
    <cellStyle name="Normal 5 3 4 2 6" xfId="2168" xr:uid="{00000000-0005-0000-0000-0000361A0000}"/>
    <cellStyle name="Normal 5 3 4 2 6 2" xfId="4397" xr:uid="{00000000-0005-0000-0000-0000371A0000}"/>
    <cellStyle name="Normal 5 3 4 2 6 2 2" xfId="8619" xr:uid="{00000000-0005-0000-0000-0000381A0000}"/>
    <cellStyle name="Normal 5 3 4 2 6 3" xfId="6474" xr:uid="{00000000-0005-0000-0000-0000391A0000}"/>
    <cellStyle name="Normal 5 3 4 2 7" xfId="2604" xr:uid="{00000000-0005-0000-0000-00003A1A0000}"/>
    <cellStyle name="Normal 5 3 4 2 7 2" xfId="6887" xr:uid="{00000000-0005-0000-0000-00003B1A0000}"/>
    <cellStyle name="Normal 5 3 4 2 8" xfId="4822"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2" xr:uid="{00000000-0005-0000-0000-0000401A0000}"/>
    <cellStyle name="Normal 5 3 4 3 2 3" xfId="5237" xr:uid="{00000000-0005-0000-0000-0000411A0000}"/>
    <cellStyle name="Normal 5 3 4 3 3" xfId="1343" xr:uid="{00000000-0005-0000-0000-0000421A0000}"/>
    <cellStyle name="Normal 5 3 4 3 3 2" xfId="3573" xr:uid="{00000000-0005-0000-0000-0000431A0000}"/>
    <cellStyle name="Normal 5 3 4 3 3 2 2" xfId="7795" xr:uid="{00000000-0005-0000-0000-0000441A0000}"/>
    <cellStyle name="Normal 5 3 4 3 3 3" xfId="5650" xr:uid="{00000000-0005-0000-0000-0000451A0000}"/>
    <cellStyle name="Normal 5 3 4 3 4" xfId="1756" xr:uid="{00000000-0005-0000-0000-0000461A0000}"/>
    <cellStyle name="Normal 5 3 4 3 4 2" xfId="3986" xr:uid="{00000000-0005-0000-0000-0000471A0000}"/>
    <cellStyle name="Normal 5 3 4 3 4 2 2" xfId="8208" xr:uid="{00000000-0005-0000-0000-0000481A0000}"/>
    <cellStyle name="Normal 5 3 4 3 4 3" xfId="6063" xr:uid="{00000000-0005-0000-0000-0000491A0000}"/>
    <cellStyle name="Normal 5 3 4 3 5" xfId="2170" xr:uid="{00000000-0005-0000-0000-00004A1A0000}"/>
    <cellStyle name="Normal 5 3 4 3 5 2" xfId="4399" xr:uid="{00000000-0005-0000-0000-00004B1A0000}"/>
    <cellStyle name="Normal 5 3 4 3 5 2 2" xfId="8621" xr:uid="{00000000-0005-0000-0000-00004C1A0000}"/>
    <cellStyle name="Normal 5 3 4 3 5 3" xfId="6476" xr:uid="{00000000-0005-0000-0000-00004D1A0000}"/>
    <cellStyle name="Normal 5 3 4 3 6" xfId="2606" xr:uid="{00000000-0005-0000-0000-00004E1A0000}"/>
    <cellStyle name="Normal 5 3 4 3 6 2" xfId="6889" xr:uid="{00000000-0005-0000-0000-00004F1A0000}"/>
    <cellStyle name="Normal 5 3 4 3 7" xfId="4824" xr:uid="{00000000-0005-0000-0000-0000501A0000}"/>
    <cellStyle name="Normal 5 3 4 4" xfId="923" xr:uid="{00000000-0005-0000-0000-0000511A0000}"/>
    <cellStyle name="Normal 5 3 4 4 2" xfId="3157" xr:uid="{00000000-0005-0000-0000-0000521A0000}"/>
    <cellStyle name="Normal 5 3 4 4 2 2" xfId="7379" xr:uid="{00000000-0005-0000-0000-0000531A0000}"/>
    <cellStyle name="Normal 5 3 4 4 3" xfId="5234" xr:uid="{00000000-0005-0000-0000-0000541A0000}"/>
    <cellStyle name="Normal 5 3 4 5" xfId="1340" xr:uid="{00000000-0005-0000-0000-0000551A0000}"/>
    <cellStyle name="Normal 5 3 4 5 2" xfId="3570" xr:uid="{00000000-0005-0000-0000-0000561A0000}"/>
    <cellStyle name="Normal 5 3 4 5 2 2" xfId="7792" xr:uid="{00000000-0005-0000-0000-0000571A0000}"/>
    <cellStyle name="Normal 5 3 4 5 3" xfId="5647" xr:uid="{00000000-0005-0000-0000-0000581A0000}"/>
    <cellStyle name="Normal 5 3 4 6" xfId="1753" xr:uid="{00000000-0005-0000-0000-0000591A0000}"/>
    <cellStyle name="Normal 5 3 4 6 2" xfId="3983" xr:uid="{00000000-0005-0000-0000-00005A1A0000}"/>
    <cellStyle name="Normal 5 3 4 6 2 2" xfId="8205" xr:uid="{00000000-0005-0000-0000-00005B1A0000}"/>
    <cellStyle name="Normal 5 3 4 6 3" xfId="6060" xr:uid="{00000000-0005-0000-0000-00005C1A0000}"/>
    <cellStyle name="Normal 5 3 4 7" xfId="2167" xr:uid="{00000000-0005-0000-0000-00005D1A0000}"/>
    <cellStyle name="Normal 5 3 4 7 2" xfId="4396" xr:uid="{00000000-0005-0000-0000-00005E1A0000}"/>
    <cellStyle name="Normal 5 3 4 7 2 2" xfId="8618" xr:uid="{00000000-0005-0000-0000-00005F1A0000}"/>
    <cellStyle name="Normal 5 3 4 7 3" xfId="6473" xr:uid="{00000000-0005-0000-0000-0000601A0000}"/>
    <cellStyle name="Normal 5 3 4 8" xfId="2603" xr:uid="{00000000-0005-0000-0000-0000611A0000}"/>
    <cellStyle name="Normal 5 3 4 8 2" xfId="6886" xr:uid="{00000000-0005-0000-0000-0000621A0000}"/>
    <cellStyle name="Normal 5 3 4 9" xfId="4821"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4" xr:uid="{00000000-0005-0000-0000-0000681A0000}"/>
    <cellStyle name="Normal 5 3 5 2 2 3" xfId="5239" xr:uid="{00000000-0005-0000-0000-0000691A0000}"/>
    <cellStyle name="Normal 5 3 5 2 3" xfId="1345" xr:uid="{00000000-0005-0000-0000-00006A1A0000}"/>
    <cellStyle name="Normal 5 3 5 2 3 2" xfId="3575" xr:uid="{00000000-0005-0000-0000-00006B1A0000}"/>
    <cellStyle name="Normal 5 3 5 2 3 2 2" xfId="7797" xr:uid="{00000000-0005-0000-0000-00006C1A0000}"/>
    <cellStyle name="Normal 5 3 5 2 3 3" xfId="5652" xr:uid="{00000000-0005-0000-0000-00006D1A0000}"/>
    <cellStyle name="Normal 5 3 5 2 4" xfId="1758" xr:uid="{00000000-0005-0000-0000-00006E1A0000}"/>
    <cellStyle name="Normal 5 3 5 2 4 2" xfId="3988" xr:uid="{00000000-0005-0000-0000-00006F1A0000}"/>
    <cellStyle name="Normal 5 3 5 2 4 2 2" xfId="8210" xr:uid="{00000000-0005-0000-0000-0000701A0000}"/>
    <cellStyle name="Normal 5 3 5 2 4 3" xfId="6065" xr:uid="{00000000-0005-0000-0000-0000711A0000}"/>
    <cellStyle name="Normal 5 3 5 2 5" xfId="2172" xr:uid="{00000000-0005-0000-0000-0000721A0000}"/>
    <cellStyle name="Normal 5 3 5 2 5 2" xfId="4401" xr:uid="{00000000-0005-0000-0000-0000731A0000}"/>
    <cellStyle name="Normal 5 3 5 2 5 2 2" xfId="8623" xr:uid="{00000000-0005-0000-0000-0000741A0000}"/>
    <cellStyle name="Normal 5 3 5 2 5 3" xfId="6478" xr:uid="{00000000-0005-0000-0000-0000751A0000}"/>
    <cellStyle name="Normal 5 3 5 2 6" xfId="2608" xr:uid="{00000000-0005-0000-0000-0000761A0000}"/>
    <cellStyle name="Normal 5 3 5 2 6 2" xfId="6891" xr:uid="{00000000-0005-0000-0000-0000771A0000}"/>
    <cellStyle name="Normal 5 3 5 2 7" xfId="4826" xr:uid="{00000000-0005-0000-0000-0000781A0000}"/>
    <cellStyle name="Normal 5 3 5 3" xfId="927" xr:uid="{00000000-0005-0000-0000-0000791A0000}"/>
    <cellStyle name="Normal 5 3 5 3 2" xfId="3161" xr:uid="{00000000-0005-0000-0000-00007A1A0000}"/>
    <cellStyle name="Normal 5 3 5 3 2 2" xfId="7383" xr:uid="{00000000-0005-0000-0000-00007B1A0000}"/>
    <cellStyle name="Normal 5 3 5 3 3" xfId="5238" xr:uid="{00000000-0005-0000-0000-00007C1A0000}"/>
    <cellStyle name="Normal 5 3 5 4" xfId="1344" xr:uid="{00000000-0005-0000-0000-00007D1A0000}"/>
    <cellStyle name="Normal 5 3 5 4 2" xfId="3574" xr:uid="{00000000-0005-0000-0000-00007E1A0000}"/>
    <cellStyle name="Normal 5 3 5 4 2 2" xfId="7796" xr:uid="{00000000-0005-0000-0000-00007F1A0000}"/>
    <cellStyle name="Normal 5 3 5 4 3" xfId="5651" xr:uid="{00000000-0005-0000-0000-0000801A0000}"/>
    <cellStyle name="Normal 5 3 5 5" xfId="1757" xr:uid="{00000000-0005-0000-0000-0000811A0000}"/>
    <cellStyle name="Normal 5 3 5 5 2" xfId="3987" xr:uid="{00000000-0005-0000-0000-0000821A0000}"/>
    <cellStyle name="Normal 5 3 5 5 2 2" xfId="8209" xr:uid="{00000000-0005-0000-0000-0000831A0000}"/>
    <cellStyle name="Normal 5 3 5 5 3" xfId="6064" xr:uid="{00000000-0005-0000-0000-0000841A0000}"/>
    <cellStyle name="Normal 5 3 5 6" xfId="2171" xr:uid="{00000000-0005-0000-0000-0000851A0000}"/>
    <cellStyle name="Normal 5 3 5 6 2" xfId="4400" xr:uid="{00000000-0005-0000-0000-0000861A0000}"/>
    <cellStyle name="Normal 5 3 5 6 2 2" xfId="8622" xr:uid="{00000000-0005-0000-0000-0000871A0000}"/>
    <cellStyle name="Normal 5 3 5 6 3" xfId="6477" xr:uid="{00000000-0005-0000-0000-0000881A0000}"/>
    <cellStyle name="Normal 5 3 5 7" xfId="2607" xr:uid="{00000000-0005-0000-0000-0000891A0000}"/>
    <cellStyle name="Normal 5 3 5 7 2" xfId="6890" xr:uid="{00000000-0005-0000-0000-00008A1A0000}"/>
    <cellStyle name="Normal 5 3 5 8" xfId="4825"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5" xr:uid="{00000000-0005-0000-0000-00008F1A0000}"/>
    <cellStyle name="Normal 5 3 6 2 3" xfId="5240" xr:uid="{00000000-0005-0000-0000-0000901A0000}"/>
    <cellStyle name="Normal 5 3 6 3" xfId="1346" xr:uid="{00000000-0005-0000-0000-0000911A0000}"/>
    <cellStyle name="Normal 5 3 6 3 2" xfId="3576" xr:uid="{00000000-0005-0000-0000-0000921A0000}"/>
    <cellStyle name="Normal 5 3 6 3 2 2" xfId="7798" xr:uid="{00000000-0005-0000-0000-0000931A0000}"/>
    <cellStyle name="Normal 5 3 6 3 3" xfId="5653" xr:uid="{00000000-0005-0000-0000-0000941A0000}"/>
    <cellStyle name="Normal 5 3 6 4" xfId="1759" xr:uid="{00000000-0005-0000-0000-0000951A0000}"/>
    <cellStyle name="Normal 5 3 6 4 2" xfId="3989" xr:uid="{00000000-0005-0000-0000-0000961A0000}"/>
    <cellStyle name="Normal 5 3 6 4 2 2" xfId="8211" xr:uid="{00000000-0005-0000-0000-0000971A0000}"/>
    <cellStyle name="Normal 5 3 6 4 3" xfId="6066" xr:uid="{00000000-0005-0000-0000-0000981A0000}"/>
    <cellStyle name="Normal 5 3 6 5" xfId="2173" xr:uid="{00000000-0005-0000-0000-0000991A0000}"/>
    <cellStyle name="Normal 5 3 6 5 2" xfId="4402" xr:uid="{00000000-0005-0000-0000-00009A1A0000}"/>
    <cellStyle name="Normal 5 3 6 5 2 2" xfId="8624" xr:uid="{00000000-0005-0000-0000-00009B1A0000}"/>
    <cellStyle name="Normal 5 3 6 5 3" xfId="6479" xr:uid="{00000000-0005-0000-0000-00009C1A0000}"/>
    <cellStyle name="Normal 5 3 6 6" xfId="2609" xr:uid="{00000000-0005-0000-0000-00009D1A0000}"/>
    <cellStyle name="Normal 5 3 6 6 2" xfId="6892" xr:uid="{00000000-0005-0000-0000-00009E1A0000}"/>
    <cellStyle name="Normal 5 3 6 7" xfId="4827" xr:uid="{00000000-0005-0000-0000-00009F1A0000}"/>
    <cellStyle name="Normal 5 3 7" xfId="913" xr:uid="{00000000-0005-0000-0000-0000A01A0000}"/>
    <cellStyle name="Normal 5 3 7 2" xfId="3148" xr:uid="{00000000-0005-0000-0000-0000A11A0000}"/>
    <cellStyle name="Normal 5 3 7 2 2" xfId="7370" xr:uid="{00000000-0005-0000-0000-0000A21A0000}"/>
    <cellStyle name="Normal 5 3 7 3" xfId="5225" xr:uid="{00000000-0005-0000-0000-0000A31A0000}"/>
    <cellStyle name="Normal 5 3 8" xfId="1331" xr:uid="{00000000-0005-0000-0000-0000A41A0000}"/>
    <cellStyle name="Normal 5 3 8 2" xfId="3561" xr:uid="{00000000-0005-0000-0000-0000A51A0000}"/>
    <cellStyle name="Normal 5 3 8 2 2" xfId="7783" xr:uid="{00000000-0005-0000-0000-0000A61A0000}"/>
    <cellStyle name="Normal 5 3 8 3" xfId="5638" xr:uid="{00000000-0005-0000-0000-0000A71A0000}"/>
    <cellStyle name="Normal 5 3 9" xfId="1744" xr:uid="{00000000-0005-0000-0000-0000A81A0000}"/>
    <cellStyle name="Normal 5 3 9 2" xfId="3974" xr:uid="{00000000-0005-0000-0000-0000A91A0000}"/>
    <cellStyle name="Normal 5 3 9 2 2" xfId="8196" xr:uid="{00000000-0005-0000-0000-0000AA1A0000}"/>
    <cellStyle name="Normal 5 3 9 3" xfId="6051" xr:uid="{00000000-0005-0000-0000-0000AB1A0000}"/>
    <cellStyle name="Normal 5 4" xfId="456" xr:uid="{00000000-0005-0000-0000-0000AC1A0000}"/>
    <cellStyle name="Normal 5 4 10" xfId="4828"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89" xr:uid="{00000000-0005-0000-0000-0000B31A0000}"/>
    <cellStyle name="Normal 5 4 2 2 2 2 3" xfId="5244" xr:uid="{00000000-0005-0000-0000-0000B41A0000}"/>
    <cellStyle name="Normal 5 4 2 2 2 3" xfId="1350" xr:uid="{00000000-0005-0000-0000-0000B51A0000}"/>
    <cellStyle name="Normal 5 4 2 2 2 3 2" xfId="3580" xr:uid="{00000000-0005-0000-0000-0000B61A0000}"/>
    <cellStyle name="Normal 5 4 2 2 2 3 2 2" xfId="7802" xr:uid="{00000000-0005-0000-0000-0000B71A0000}"/>
    <cellStyle name="Normal 5 4 2 2 2 3 3" xfId="5657" xr:uid="{00000000-0005-0000-0000-0000B81A0000}"/>
    <cellStyle name="Normal 5 4 2 2 2 4" xfId="1763" xr:uid="{00000000-0005-0000-0000-0000B91A0000}"/>
    <cellStyle name="Normal 5 4 2 2 2 4 2" xfId="3993" xr:uid="{00000000-0005-0000-0000-0000BA1A0000}"/>
    <cellStyle name="Normal 5 4 2 2 2 4 2 2" xfId="8215" xr:uid="{00000000-0005-0000-0000-0000BB1A0000}"/>
    <cellStyle name="Normal 5 4 2 2 2 4 3" xfId="6070" xr:uid="{00000000-0005-0000-0000-0000BC1A0000}"/>
    <cellStyle name="Normal 5 4 2 2 2 5" xfId="2177" xr:uid="{00000000-0005-0000-0000-0000BD1A0000}"/>
    <cellStyle name="Normal 5 4 2 2 2 5 2" xfId="4406" xr:uid="{00000000-0005-0000-0000-0000BE1A0000}"/>
    <cellStyle name="Normal 5 4 2 2 2 5 2 2" xfId="8628" xr:uid="{00000000-0005-0000-0000-0000BF1A0000}"/>
    <cellStyle name="Normal 5 4 2 2 2 5 3" xfId="6483" xr:uid="{00000000-0005-0000-0000-0000C01A0000}"/>
    <cellStyle name="Normal 5 4 2 2 2 6" xfId="2613" xr:uid="{00000000-0005-0000-0000-0000C11A0000}"/>
    <cellStyle name="Normal 5 4 2 2 2 6 2" xfId="6896" xr:uid="{00000000-0005-0000-0000-0000C21A0000}"/>
    <cellStyle name="Normal 5 4 2 2 2 7" xfId="4831" xr:uid="{00000000-0005-0000-0000-0000C31A0000}"/>
    <cellStyle name="Normal 5 4 2 2 3" xfId="932" xr:uid="{00000000-0005-0000-0000-0000C41A0000}"/>
    <cellStyle name="Normal 5 4 2 2 3 2" xfId="3166" xr:uid="{00000000-0005-0000-0000-0000C51A0000}"/>
    <cellStyle name="Normal 5 4 2 2 3 2 2" xfId="7388" xr:uid="{00000000-0005-0000-0000-0000C61A0000}"/>
    <cellStyle name="Normal 5 4 2 2 3 3" xfId="5243" xr:uid="{00000000-0005-0000-0000-0000C71A0000}"/>
    <cellStyle name="Normal 5 4 2 2 4" xfId="1349" xr:uid="{00000000-0005-0000-0000-0000C81A0000}"/>
    <cellStyle name="Normal 5 4 2 2 4 2" xfId="3579" xr:uid="{00000000-0005-0000-0000-0000C91A0000}"/>
    <cellStyle name="Normal 5 4 2 2 4 2 2" xfId="7801" xr:uid="{00000000-0005-0000-0000-0000CA1A0000}"/>
    <cellStyle name="Normal 5 4 2 2 4 3" xfId="5656" xr:uid="{00000000-0005-0000-0000-0000CB1A0000}"/>
    <cellStyle name="Normal 5 4 2 2 5" xfId="1762" xr:uid="{00000000-0005-0000-0000-0000CC1A0000}"/>
    <cellStyle name="Normal 5 4 2 2 5 2" xfId="3992" xr:uid="{00000000-0005-0000-0000-0000CD1A0000}"/>
    <cellStyle name="Normal 5 4 2 2 5 2 2" xfId="8214" xr:uid="{00000000-0005-0000-0000-0000CE1A0000}"/>
    <cellStyle name="Normal 5 4 2 2 5 3" xfId="6069" xr:uid="{00000000-0005-0000-0000-0000CF1A0000}"/>
    <cellStyle name="Normal 5 4 2 2 6" xfId="2176" xr:uid="{00000000-0005-0000-0000-0000D01A0000}"/>
    <cellStyle name="Normal 5 4 2 2 6 2" xfId="4405" xr:uid="{00000000-0005-0000-0000-0000D11A0000}"/>
    <cellStyle name="Normal 5 4 2 2 6 2 2" xfId="8627" xr:uid="{00000000-0005-0000-0000-0000D21A0000}"/>
    <cellStyle name="Normal 5 4 2 2 6 3" xfId="6482" xr:uid="{00000000-0005-0000-0000-0000D31A0000}"/>
    <cellStyle name="Normal 5 4 2 2 7" xfId="2612" xr:uid="{00000000-0005-0000-0000-0000D41A0000}"/>
    <cellStyle name="Normal 5 4 2 2 7 2" xfId="6895" xr:uid="{00000000-0005-0000-0000-0000D51A0000}"/>
    <cellStyle name="Normal 5 4 2 2 8" xfId="4830"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0" xr:uid="{00000000-0005-0000-0000-0000DA1A0000}"/>
    <cellStyle name="Normal 5 4 2 3 2 3" xfId="5245" xr:uid="{00000000-0005-0000-0000-0000DB1A0000}"/>
    <cellStyle name="Normal 5 4 2 3 3" xfId="1351" xr:uid="{00000000-0005-0000-0000-0000DC1A0000}"/>
    <cellStyle name="Normal 5 4 2 3 3 2" xfId="3581" xr:uid="{00000000-0005-0000-0000-0000DD1A0000}"/>
    <cellStyle name="Normal 5 4 2 3 3 2 2" xfId="7803" xr:uid="{00000000-0005-0000-0000-0000DE1A0000}"/>
    <cellStyle name="Normal 5 4 2 3 3 3" xfId="5658" xr:uid="{00000000-0005-0000-0000-0000DF1A0000}"/>
    <cellStyle name="Normal 5 4 2 3 4" xfId="1764" xr:uid="{00000000-0005-0000-0000-0000E01A0000}"/>
    <cellStyle name="Normal 5 4 2 3 4 2" xfId="3994" xr:uid="{00000000-0005-0000-0000-0000E11A0000}"/>
    <cellStyle name="Normal 5 4 2 3 4 2 2" xfId="8216" xr:uid="{00000000-0005-0000-0000-0000E21A0000}"/>
    <cellStyle name="Normal 5 4 2 3 4 3" xfId="6071" xr:uid="{00000000-0005-0000-0000-0000E31A0000}"/>
    <cellStyle name="Normal 5 4 2 3 5" xfId="2178" xr:uid="{00000000-0005-0000-0000-0000E41A0000}"/>
    <cellStyle name="Normal 5 4 2 3 5 2" xfId="4407" xr:uid="{00000000-0005-0000-0000-0000E51A0000}"/>
    <cellStyle name="Normal 5 4 2 3 5 2 2" xfId="8629" xr:uid="{00000000-0005-0000-0000-0000E61A0000}"/>
    <cellStyle name="Normal 5 4 2 3 5 3" xfId="6484" xr:uid="{00000000-0005-0000-0000-0000E71A0000}"/>
    <cellStyle name="Normal 5 4 2 3 6" xfId="2614" xr:uid="{00000000-0005-0000-0000-0000E81A0000}"/>
    <cellStyle name="Normal 5 4 2 3 6 2" xfId="6897" xr:uid="{00000000-0005-0000-0000-0000E91A0000}"/>
    <cellStyle name="Normal 5 4 2 3 7" xfId="4832" xr:uid="{00000000-0005-0000-0000-0000EA1A0000}"/>
    <cellStyle name="Normal 5 4 2 4" xfId="931" xr:uid="{00000000-0005-0000-0000-0000EB1A0000}"/>
    <cellStyle name="Normal 5 4 2 4 2" xfId="3165" xr:uid="{00000000-0005-0000-0000-0000EC1A0000}"/>
    <cellStyle name="Normal 5 4 2 4 2 2" xfId="7387" xr:uid="{00000000-0005-0000-0000-0000ED1A0000}"/>
    <cellStyle name="Normal 5 4 2 4 3" xfId="5242" xr:uid="{00000000-0005-0000-0000-0000EE1A0000}"/>
    <cellStyle name="Normal 5 4 2 5" xfId="1348" xr:uid="{00000000-0005-0000-0000-0000EF1A0000}"/>
    <cellStyle name="Normal 5 4 2 5 2" xfId="3578" xr:uid="{00000000-0005-0000-0000-0000F01A0000}"/>
    <cellStyle name="Normal 5 4 2 5 2 2" xfId="7800" xr:uid="{00000000-0005-0000-0000-0000F11A0000}"/>
    <cellStyle name="Normal 5 4 2 5 3" xfId="5655" xr:uid="{00000000-0005-0000-0000-0000F21A0000}"/>
    <cellStyle name="Normal 5 4 2 6" xfId="1761" xr:uid="{00000000-0005-0000-0000-0000F31A0000}"/>
    <cellStyle name="Normal 5 4 2 6 2" xfId="3991" xr:uid="{00000000-0005-0000-0000-0000F41A0000}"/>
    <cellStyle name="Normal 5 4 2 6 2 2" xfId="8213" xr:uid="{00000000-0005-0000-0000-0000F51A0000}"/>
    <cellStyle name="Normal 5 4 2 6 3" xfId="6068" xr:uid="{00000000-0005-0000-0000-0000F61A0000}"/>
    <cellStyle name="Normal 5 4 2 7" xfId="2175" xr:uid="{00000000-0005-0000-0000-0000F71A0000}"/>
    <cellStyle name="Normal 5 4 2 7 2" xfId="4404" xr:uid="{00000000-0005-0000-0000-0000F81A0000}"/>
    <cellStyle name="Normal 5 4 2 7 2 2" xfId="8626" xr:uid="{00000000-0005-0000-0000-0000F91A0000}"/>
    <cellStyle name="Normal 5 4 2 7 3" xfId="6481" xr:uid="{00000000-0005-0000-0000-0000FA1A0000}"/>
    <cellStyle name="Normal 5 4 2 8" xfId="2611" xr:uid="{00000000-0005-0000-0000-0000FB1A0000}"/>
    <cellStyle name="Normal 5 4 2 8 2" xfId="6894" xr:uid="{00000000-0005-0000-0000-0000FC1A0000}"/>
    <cellStyle name="Normal 5 4 2 9" xfId="4829"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2" xr:uid="{00000000-0005-0000-0000-0000021B0000}"/>
    <cellStyle name="Normal 5 4 3 2 2 3" xfId="5247" xr:uid="{00000000-0005-0000-0000-0000031B0000}"/>
    <cellStyle name="Normal 5 4 3 2 3" xfId="1353" xr:uid="{00000000-0005-0000-0000-0000041B0000}"/>
    <cellStyle name="Normal 5 4 3 2 3 2" xfId="3583" xr:uid="{00000000-0005-0000-0000-0000051B0000}"/>
    <cellStyle name="Normal 5 4 3 2 3 2 2" xfId="7805" xr:uid="{00000000-0005-0000-0000-0000061B0000}"/>
    <cellStyle name="Normal 5 4 3 2 3 3" xfId="5660" xr:uid="{00000000-0005-0000-0000-0000071B0000}"/>
    <cellStyle name="Normal 5 4 3 2 4" xfId="1766" xr:uid="{00000000-0005-0000-0000-0000081B0000}"/>
    <cellStyle name="Normal 5 4 3 2 4 2" xfId="3996" xr:uid="{00000000-0005-0000-0000-0000091B0000}"/>
    <cellStyle name="Normal 5 4 3 2 4 2 2" xfId="8218" xr:uid="{00000000-0005-0000-0000-00000A1B0000}"/>
    <cellStyle name="Normal 5 4 3 2 4 3" xfId="6073" xr:uid="{00000000-0005-0000-0000-00000B1B0000}"/>
    <cellStyle name="Normal 5 4 3 2 5" xfId="2180" xr:uid="{00000000-0005-0000-0000-00000C1B0000}"/>
    <cellStyle name="Normal 5 4 3 2 5 2" xfId="4409" xr:uid="{00000000-0005-0000-0000-00000D1B0000}"/>
    <cellStyle name="Normal 5 4 3 2 5 2 2" xfId="8631" xr:uid="{00000000-0005-0000-0000-00000E1B0000}"/>
    <cellStyle name="Normal 5 4 3 2 5 3" xfId="6486" xr:uid="{00000000-0005-0000-0000-00000F1B0000}"/>
    <cellStyle name="Normal 5 4 3 2 6" xfId="2616" xr:uid="{00000000-0005-0000-0000-0000101B0000}"/>
    <cellStyle name="Normal 5 4 3 2 6 2" xfId="6899" xr:uid="{00000000-0005-0000-0000-0000111B0000}"/>
    <cellStyle name="Normal 5 4 3 2 7" xfId="4834" xr:uid="{00000000-0005-0000-0000-0000121B0000}"/>
    <cellStyle name="Normal 5 4 3 3" xfId="935" xr:uid="{00000000-0005-0000-0000-0000131B0000}"/>
    <cellStyle name="Normal 5 4 3 3 2" xfId="3169" xr:uid="{00000000-0005-0000-0000-0000141B0000}"/>
    <cellStyle name="Normal 5 4 3 3 2 2" xfId="7391" xr:uid="{00000000-0005-0000-0000-0000151B0000}"/>
    <cellStyle name="Normal 5 4 3 3 3" xfId="5246" xr:uid="{00000000-0005-0000-0000-0000161B0000}"/>
    <cellStyle name="Normal 5 4 3 4" xfId="1352" xr:uid="{00000000-0005-0000-0000-0000171B0000}"/>
    <cellStyle name="Normal 5 4 3 4 2" xfId="3582" xr:uid="{00000000-0005-0000-0000-0000181B0000}"/>
    <cellStyle name="Normal 5 4 3 4 2 2" xfId="7804" xr:uid="{00000000-0005-0000-0000-0000191B0000}"/>
    <cellStyle name="Normal 5 4 3 4 3" xfId="5659" xr:uid="{00000000-0005-0000-0000-00001A1B0000}"/>
    <cellStyle name="Normal 5 4 3 5" xfId="1765" xr:uid="{00000000-0005-0000-0000-00001B1B0000}"/>
    <cellStyle name="Normal 5 4 3 5 2" xfId="3995" xr:uid="{00000000-0005-0000-0000-00001C1B0000}"/>
    <cellStyle name="Normal 5 4 3 5 2 2" xfId="8217" xr:uid="{00000000-0005-0000-0000-00001D1B0000}"/>
    <cellStyle name="Normal 5 4 3 5 3" xfId="6072" xr:uid="{00000000-0005-0000-0000-00001E1B0000}"/>
    <cellStyle name="Normal 5 4 3 6" xfId="2179" xr:uid="{00000000-0005-0000-0000-00001F1B0000}"/>
    <cellStyle name="Normal 5 4 3 6 2" xfId="4408" xr:uid="{00000000-0005-0000-0000-0000201B0000}"/>
    <cellStyle name="Normal 5 4 3 6 2 2" xfId="8630" xr:uid="{00000000-0005-0000-0000-0000211B0000}"/>
    <cellStyle name="Normal 5 4 3 6 3" xfId="6485" xr:uid="{00000000-0005-0000-0000-0000221B0000}"/>
    <cellStyle name="Normal 5 4 3 7" xfId="2615" xr:uid="{00000000-0005-0000-0000-0000231B0000}"/>
    <cellStyle name="Normal 5 4 3 7 2" xfId="6898" xr:uid="{00000000-0005-0000-0000-0000241B0000}"/>
    <cellStyle name="Normal 5 4 3 8" xfId="4833"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3" xr:uid="{00000000-0005-0000-0000-0000291B0000}"/>
    <cellStyle name="Normal 5 4 4 2 3" xfId="5248" xr:uid="{00000000-0005-0000-0000-00002A1B0000}"/>
    <cellStyle name="Normal 5 4 4 3" xfId="1354" xr:uid="{00000000-0005-0000-0000-00002B1B0000}"/>
    <cellStyle name="Normal 5 4 4 3 2" xfId="3584" xr:uid="{00000000-0005-0000-0000-00002C1B0000}"/>
    <cellStyle name="Normal 5 4 4 3 2 2" xfId="7806" xr:uid="{00000000-0005-0000-0000-00002D1B0000}"/>
    <cellStyle name="Normal 5 4 4 3 3" xfId="5661" xr:uid="{00000000-0005-0000-0000-00002E1B0000}"/>
    <cellStyle name="Normal 5 4 4 4" xfId="1767" xr:uid="{00000000-0005-0000-0000-00002F1B0000}"/>
    <cellStyle name="Normal 5 4 4 4 2" xfId="3997" xr:uid="{00000000-0005-0000-0000-0000301B0000}"/>
    <cellStyle name="Normal 5 4 4 4 2 2" xfId="8219" xr:uid="{00000000-0005-0000-0000-0000311B0000}"/>
    <cellStyle name="Normal 5 4 4 4 3" xfId="6074" xr:uid="{00000000-0005-0000-0000-0000321B0000}"/>
    <cellStyle name="Normal 5 4 4 5" xfId="2181" xr:uid="{00000000-0005-0000-0000-0000331B0000}"/>
    <cellStyle name="Normal 5 4 4 5 2" xfId="4410" xr:uid="{00000000-0005-0000-0000-0000341B0000}"/>
    <cellStyle name="Normal 5 4 4 5 2 2" xfId="8632" xr:uid="{00000000-0005-0000-0000-0000351B0000}"/>
    <cellStyle name="Normal 5 4 4 5 3" xfId="6487" xr:uid="{00000000-0005-0000-0000-0000361B0000}"/>
    <cellStyle name="Normal 5 4 4 6" xfId="2617" xr:uid="{00000000-0005-0000-0000-0000371B0000}"/>
    <cellStyle name="Normal 5 4 4 6 2" xfId="6900" xr:uid="{00000000-0005-0000-0000-0000381B0000}"/>
    <cellStyle name="Normal 5 4 4 7" xfId="4835" xr:uid="{00000000-0005-0000-0000-0000391B0000}"/>
    <cellStyle name="Normal 5 4 5" xfId="930" xr:uid="{00000000-0005-0000-0000-00003A1B0000}"/>
    <cellStyle name="Normal 5 4 5 2" xfId="3164" xr:uid="{00000000-0005-0000-0000-00003B1B0000}"/>
    <cellStyle name="Normal 5 4 5 2 2" xfId="7386" xr:uid="{00000000-0005-0000-0000-00003C1B0000}"/>
    <cellStyle name="Normal 5 4 5 3" xfId="5241" xr:uid="{00000000-0005-0000-0000-00003D1B0000}"/>
    <cellStyle name="Normal 5 4 6" xfId="1347" xr:uid="{00000000-0005-0000-0000-00003E1B0000}"/>
    <cellStyle name="Normal 5 4 6 2" xfId="3577" xr:uid="{00000000-0005-0000-0000-00003F1B0000}"/>
    <cellStyle name="Normal 5 4 6 2 2" xfId="7799" xr:uid="{00000000-0005-0000-0000-0000401B0000}"/>
    <cellStyle name="Normal 5 4 6 3" xfId="5654" xr:uid="{00000000-0005-0000-0000-0000411B0000}"/>
    <cellStyle name="Normal 5 4 7" xfId="1760" xr:uid="{00000000-0005-0000-0000-0000421B0000}"/>
    <cellStyle name="Normal 5 4 7 2" xfId="3990" xr:uid="{00000000-0005-0000-0000-0000431B0000}"/>
    <cellStyle name="Normal 5 4 7 2 2" xfId="8212" xr:uid="{00000000-0005-0000-0000-0000441B0000}"/>
    <cellStyle name="Normal 5 4 7 3" xfId="6067" xr:uid="{00000000-0005-0000-0000-0000451B0000}"/>
    <cellStyle name="Normal 5 4 8" xfId="2174" xr:uid="{00000000-0005-0000-0000-0000461B0000}"/>
    <cellStyle name="Normal 5 4 8 2" xfId="4403" xr:uid="{00000000-0005-0000-0000-0000471B0000}"/>
    <cellStyle name="Normal 5 4 8 2 2" xfId="8625" xr:uid="{00000000-0005-0000-0000-0000481B0000}"/>
    <cellStyle name="Normal 5 4 8 3" xfId="6480" xr:uid="{00000000-0005-0000-0000-0000491B0000}"/>
    <cellStyle name="Normal 5 4 9" xfId="2610" xr:uid="{00000000-0005-0000-0000-00004A1B0000}"/>
    <cellStyle name="Normal 5 4 9 2" xfId="6893"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6" xr:uid="{00000000-0005-0000-0000-0000511B0000}"/>
    <cellStyle name="Normal 5 5 2 2 2 3" xfId="5251" xr:uid="{00000000-0005-0000-0000-0000521B0000}"/>
    <cellStyle name="Normal 5 5 2 2 3" xfId="1357" xr:uid="{00000000-0005-0000-0000-0000531B0000}"/>
    <cellStyle name="Normal 5 5 2 2 3 2" xfId="3587" xr:uid="{00000000-0005-0000-0000-0000541B0000}"/>
    <cellStyle name="Normal 5 5 2 2 3 2 2" xfId="7809" xr:uid="{00000000-0005-0000-0000-0000551B0000}"/>
    <cellStyle name="Normal 5 5 2 2 3 3" xfId="5664" xr:uid="{00000000-0005-0000-0000-0000561B0000}"/>
    <cellStyle name="Normal 5 5 2 2 4" xfId="1770" xr:uid="{00000000-0005-0000-0000-0000571B0000}"/>
    <cellStyle name="Normal 5 5 2 2 4 2" xfId="4000" xr:uid="{00000000-0005-0000-0000-0000581B0000}"/>
    <cellStyle name="Normal 5 5 2 2 4 2 2" xfId="8222" xr:uid="{00000000-0005-0000-0000-0000591B0000}"/>
    <cellStyle name="Normal 5 5 2 2 4 3" xfId="6077" xr:uid="{00000000-0005-0000-0000-00005A1B0000}"/>
    <cellStyle name="Normal 5 5 2 2 5" xfId="2184" xr:uid="{00000000-0005-0000-0000-00005B1B0000}"/>
    <cellStyle name="Normal 5 5 2 2 5 2" xfId="4413" xr:uid="{00000000-0005-0000-0000-00005C1B0000}"/>
    <cellStyle name="Normal 5 5 2 2 5 2 2" xfId="8635" xr:uid="{00000000-0005-0000-0000-00005D1B0000}"/>
    <cellStyle name="Normal 5 5 2 2 5 3" xfId="6490" xr:uid="{00000000-0005-0000-0000-00005E1B0000}"/>
    <cellStyle name="Normal 5 5 2 2 6" xfId="2620" xr:uid="{00000000-0005-0000-0000-00005F1B0000}"/>
    <cellStyle name="Normal 5 5 2 2 6 2" xfId="6903" xr:uid="{00000000-0005-0000-0000-0000601B0000}"/>
    <cellStyle name="Normal 5 5 2 2 7" xfId="4838" xr:uid="{00000000-0005-0000-0000-0000611B0000}"/>
    <cellStyle name="Normal 5 5 2 3" xfId="939" xr:uid="{00000000-0005-0000-0000-0000621B0000}"/>
    <cellStyle name="Normal 5 5 2 3 2" xfId="3173" xr:uid="{00000000-0005-0000-0000-0000631B0000}"/>
    <cellStyle name="Normal 5 5 2 3 2 2" xfId="7395" xr:uid="{00000000-0005-0000-0000-0000641B0000}"/>
    <cellStyle name="Normal 5 5 2 3 3" xfId="5250" xr:uid="{00000000-0005-0000-0000-0000651B0000}"/>
    <cellStyle name="Normal 5 5 2 4" xfId="1356" xr:uid="{00000000-0005-0000-0000-0000661B0000}"/>
    <cellStyle name="Normal 5 5 2 4 2" xfId="3586" xr:uid="{00000000-0005-0000-0000-0000671B0000}"/>
    <cellStyle name="Normal 5 5 2 4 2 2" xfId="7808" xr:uid="{00000000-0005-0000-0000-0000681B0000}"/>
    <cellStyle name="Normal 5 5 2 4 3" xfId="5663" xr:uid="{00000000-0005-0000-0000-0000691B0000}"/>
    <cellStyle name="Normal 5 5 2 5" xfId="1769" xr:uid="{00000000-0005-0000-0000-00006A1B0000}"/>
    <cellStyle name="Normal 5 5 2 5 2" xfId="3999" xr:uid="{00000000-0005-0000-0000-00006B1B0000}"/>
    <cellStyle name="Normal 5 5 2 5 2 2" xfId="8221" xr:uid="{00000000-0005-0000-0000-00006C1B0000}"/>
    <cellStyle name="Normal 5 5 2 5 3" xfId="6076" xr:uid="{00000000-0005-0000-0000-00006D1B0000}"/>
    <cellStyle name="Normal 5 5 2 6" xfId="2183" xr:uid="{00000000-0005-0000-0000-00006E1B0000}"/>
    <cellStyle name="Normal 5 5 2 6 2" xfId="4412" xr:uid="{00000000-0005-0000-0000-00006F1B0000}"/>
    <cellStyle name="Normal 5 5 2 6 2 2" xfId="8634" xr:uid="{00000000-0005-0000-0000-0000701B0000}"/>
    <cellStyle name="Normal 5 5 2 6 3" xfId="6489" xr:uid="{00000000-0005-0000-0000-0000711B0000}"/>
    <cellStyle name="Normal 5 5 2 7" xfId="2619" xr:uid="{00000000-0005-0000-0000-0000721B0000}"/>
    <cellStyle name="Normal 5 5 2 7 2" xfId="6902" xr:uid="{00000000-0005-0000-0000-0000731B0000}"/>
    <cellStyle name="Normal 5 5 2 8" xfId="4837"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7" xr:uid="{00000000-0005-0000-0000-0000781B0000}"/>
    <cellStyle name="Normal 5 5 3 2 3" xfId="5252" xr:uid="{00000000-0005-0000-0000-0000791B0000}"/>
    <cellStyle name="Normal 5 5 3 3" xfId="1358" xr:uid="{00000000-0005-0000-0000-00007A1B0000}"/>
    <cellStyle name="Normal 5 5 3 3 2" xfId="3588" xr:uid="{00000000-0005-0000-0000-00007B1B0000}"/>
    <cellStyle name="Normal 5 5 3 3 2 2" xfId="7810" xr:uid="{00000000-0005-0000-0000-00007C1B0000}"/>
    <cellStyle name="Normal 5 5 3 3 3" xfId="5665" xr:uid="{00000000-0005-0000-0000-00007D1B0000}"/>
    <cellStyle name="Normal 5 5 3 4" xfId="1771" xr:uid="{00000000-0005-0000-0000-00007E1B0000}"/>
    <cellStyle name="Normal 5 5 3 4 2" xfId="4001" xr:uid="{00000000-0005-0000-0000-00007F1B0000}"/>
    <cellStyle name="Normal 5 5 3 4 2 2" xfId="8223" xr:uid="{00000000-0005-0000-0000-0000801B0000}"/>
    <cellStyle name="Normal 5 5 3 4 3" xfId="6078" xr:uid="{00000000-0005-0000-0000-0000811B0000}"/>
    <cellStyle name="Normal 5 5 3 5" xfId="2185" xr:uid="{00000000-0005-0000-0000-0000821B0000}"/>
    <cellStyle name="Normal 5 5 3 5 2" xfId="4414" xr:uid="{00000000-0005-0000-0000-0000831B0000}"/>
    <cellStyle name="Normal 5 5 3 5 2 2" xfId="8636" xr:uid="{00000000-0005-0000-0000-0000841B0000}"/>
    <cellStyle name="Normal 5 5 3 5 3" xfId="6491" xr:uid="{00000000-0005-0000-0000-0000851B0000}"/>
    <cellStyle name="Normal 5 5 3 6" xfId="2621" xr:uid="{00000000-0005-0000-0000-0000861B0000}"/>
    <cellStyle name="Normal 5 5 3 6 2" xfId="6904" xr:uid="{00000000-0005-0000-0000-0000871B0000}"/>
    <cellStyle name="Normal 5 5 3 7" xfId="4839" xr:uid="{00000000-0005-0000-0000-0000881B0000}"/>
    <cellStyle name="Normal 5 5 4" xfId="938" xr:uid="{00000000-0005-0000-0000-0000891B0000}"/>
    <cellStyle name="Normal 5 5 4 2" xfId="3172" xr:uid="{00000000-0005-0000-0000-00008A1B0000}"/>
    <cellStyle name="Normal 5 5 4 2 2" xfId="7394" xr:uid="{00000000-0005-0000-0000-00008B1B0000}"/>
    <cellStyle name="Normal 5 5 4 3" xfId="5249" xr:uid="{00000000-0005-0000-0000-00008C1B0000}"/>
    <cellStyle name="Normal 5 5 5" xfId="1355" xr:uid="{00000000-0005-0000-0000-00008D1B0000}"/>
    <cellStyle name="Normal 5 5 5 2" xfId="3585" xr:uid="{00000000-0005-0000-0000-00008E1B0000}"/>
    <cellStyle name="Normal 5 5 5 2 2" xfId="7807" xr:uid="{00000000-0005-0000-0000-00008F1B0000}"/>
    <cellStyle name="Normal 5 5 5 3" xfId="5662" xr:uid="{00000000-0005-0000-0000-0000901B0000}"/>
    <cellStyle name="Normal 5 5 6" xfId="1768" xr:uid="{00000000-0005-0000-0000-0000911B0000}"/>
    <cellStyle name="Normal 5 5 6 2" xfId="3998" xr:uid="{00000000-0005-0000-0000-0000921B0000}"/>
    <cellStyle name="Normal 5 5 6 2 2" xfId="8220" xr:uid="{00000000-0005-0000-0000-0000931B0000}"/>
    <cellStyle name="Normal 5 5 6 3" xfId="6075" xr:uid="{00000000-0005-0000-0000-0000941B0000}"/>
    <cellStyle name="Normal 5 5 7" xfId="2182" xr:uid="{00000000-0005-0000-0000-0000951B0000}"/>
    <cellStyle name="Normal 5 5 7 2" xfId="4411" xr:uid="{00000000-0005-0000-0000-0000961B0000}"/>
    <cellStyle name="Normal 5 5 7 2 2" xfId="8633" xr:uid="{00000000-0005-0000-0000-0000971B0000}"/>
    <cellStyle name="Normal 5 5 7 3" xfId="6488" xr:uid="{00000000-0005-0000-0000-0000981B0000}"/>
    <cellStyle name="Normal 5 5 8" xfId="2618" xr:uid="{00000000-0005-0000-0000-0000991B0000}"/>
    <cellStyle name="Normal 5 5 8 2" xfId="6901" xr:uid="{00000000-0005-0000-0000-00009A1B0000}"/>
    <cellStyle name="Normal 5 5 9" xfId="4836"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399" xr:uid="{00000000-0005-0000-0000-0000A01B0000}"/>
    <cellStyle name="Normal 5 6 2 2 3" xfId="5254" xr:uid="{00000000-0005-0000-0000-0000A11B0000}"/>
    <cellStyle name="Normal 5 6 2 3" xfId="1360" xr:uid="{00000000-0005-0000-0000-0000A21B0000}"/>
    <cellStyle name="Normal 5 6 2 3 2" xfId="3590" xr:uid="{00000000-0005-0000-0000-0000A31B0000}"/>
    <cellStyle name="Normal 5 6 2 3 2 2" xfId="7812" xr:uid="{00000000-0005-0000-0000-0000A41B0000}"/>
    <cellStyle name="Normal 5 6 2 3 3" xfId="5667" xr:uid="{00000000-0005-0000-0000-0000A51B0000}"/>
    <cellStyle name="Normal 5 6 2 4" xfId="1773" xr:uid="{00000000-0005-0000-0000-0000A61B0000}"/>
    <cellStyle name="Normal 5 6 2 4 2" xfId="4003" xr:uid="{00000000-0005-0000-0000-0000A71B0000}"/>
    <cellStyle name="Normal 5 6 2 4 2 2" xfId="8225" xr:uid="{00000000-0005-0000-0000-0000A81B0000}"/>
    <cellStyle name="Normal 5 6 2 4 3" xfId="6080" xr:uid="{00000000-0005-0000-0000-0000A91B0000}"/>
    <cellStyle name="Normal 5 6 2 5" xfId="2187" xr:uid="{00000000-0005-0000-0000-0000AA1B0000}"/>
    <cellStyle name="Normal 5 6 2 5 2" xfId="4416" xr:uid="{00000000-0005-0000-0000-0000AB1B0000}"/>
    <cellStyle name="Normal 5 6 2 5 2 2" xfId="8638" xr:uid="{00000000-0005-0000-0000-0000AC1B0000}"/>
    <cellStyle name="Normal 5 6 2 5 3" xfId="6493" xr:uid="{00000000-0005-0000-0000-0000AD1B0000}"/>
    <cellStyle name="Normal 5 6 2 6" xfId="2623" xr:uid="{00000000-0005-0000-0000-0000AE1B0000}"/>
    <cellStyle name="Normal 5 6 2 6 2" xfId="6906" xr:uid="{00000000-0005-0000-0000-0000AF1B0000}"/>
    <cellStyle name="Normal 5 6 2 7" xfId="4841" xr:uid="{00000000-0005-0000-0000-0000B01B0000}"/>
    <cellStyle name="Normal 5 6 3" xfId="942" xr:uid="{00000000-0005-0000-0000-0000B11B0000}"/>
    <cellStyle name="Normal 5 6 3 2" xfId="3176" xr:uid="{00000000-0005-0000-0000-0000B21B0000}"/>
    <cellStyle name="Normal 5 6 3 2 2" xfId="7398" xr:uid="{00000000-0005-0000-0000-0000B31B0000}"/>
    <cellStyle name="Normal 5 6 3 3" xfId="5253" xr:uid="{00000000-0005-0000-0000-0000B41B0000}"/>
    <cellStyle name="Normal 5 6 4" xfId="1359" xr:uid="{00000000-0005-0000-0000-0000B51B0000}"/>
    <cellStyle name="Normal 5 6 4 2" xfId="3589" xr:uid="{00000000-0005-0000-0000-0000B61B0000}"/>
    <cellStyle name="Normal 5 6 4 2 2" xfId="7811" xr:uid="{00000000-0005-0000-0000-0000B71B0000}"/>
    <cellStyle name="Normal 5 6 4 3" xfId="5666" xr:uid="{00000000-0005-0000-0000-0000B81B0000}"/>
    <cellStyle name="Normal 5 6 5" xfId="1772" xr:uid="{00000000-0005-0000-0000-0000B91B0000}"/>
    <cellStyle name="Normal 5 6 5 2" xfId="4002" xr:uid="{00000000-0005-0000-0000-0000BA1B0000}"/>
    <cellStyle name="Normal 5 6 5 2 2" xfId="8224" xr:uid="{00000000-0005-0000-0000-0000BB1B0000}"/>
    <cellStyle name="Normal 5 6 5 3" xfId="6079" xr:uid="{00000000-0005-0000-0000-0000BC1B0000}"/>
    <cellStyle name="Normal 5 6 6" xfId="2186" xr:uid="{00000000-0005-0000-0000-0000BD1B0000}"/>
    <cellStyle name="Normal 5 6 6 2" xfId="4415" xr:uid="{00000000-0005-0000-0000-0000BE1B0000}"/>
    <cellStyle name="Normal 5 6 6 2 2" xfId="8637" xr:uid="{00000000-0005-0000-0000-0000BF1B0000}"/>
    <cellStyle name="Normal 5 6 6 3" xfId="6492" xr:uid="{00000000-0005-0000-0000-0000C01B0000}"/>
    <cellStyle name="Normal 5 6 7" xfId="2622" xr:uid="{00000000-0005-0000-0000-0000C11B0000}"/>
    <cellStyle name="Normal 5 6 7 2" xfId="6905" xr:uid="{00000000-0005-0000-0000-0000C21B0000}"/>
    <cellStyle name="Normal 5 6 8" xfId="4840"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0" xr:uid="{00000000-0005-0000-0000-0000C71B0000}"/>
    <cellStyle name="Normal 5 7 2 3" xfId="5255" xr:uid="{00000000-0005-0000-0000-0000C81B0000}"/>
    <cellStyle name="Normal 5 7 3" xfId="1361" xr:uid="{00000000-0005-0000-0000-0000C91B0000}"/>
    <cellStyle name="Normal 5 7 3 2" xfId="3591" xr:uid="{00000000-0005-0000-0000-0000CA1B0000}"/>
    <cellStyle name="Normal 5 7 3 2 2" xfId="7813" xr:uid="{00000000-0005-0000-0000-0000CB1B0000}"/>
    <cellStyle name="Normal 5 7 3 3" xfId="5668" xr:uid="{00000000-0005-0000-0000-0000CC1B0000}"/>
    <cellStyle name="Normal 5 7 4" xfId="1774" xr:uid="{00000000-0005-0000-0000-0000CD1B0000}"/>
    <cellStyle name="Normal 5 7 4 2" xfId="4004" xr:uid="{00000000-0005-0000-0000-0000CE1B0000}"/>
    <cellStyle name="Normal 5 7 4 2 2" xfId="8226" xr:uid="{00000000-0005-0000-0000-0000CF1B0000}"/>
    <cellStyle name="Normal 5 7 4 3" xfId="6081" xr:uid="{00000000-0005-0000-0000-0000D01B0000}"/>
    <cellStyle name="Normal 5 7 5" xfId="2188" xr:uid="{00000000-0005-0000-0000-0000D11B0000}"/>
    <cellStyle name="Normal 5 7 5 2" xfId="4417" xr:uid="{00000000-0005-0000-0000-0000D21B0000}"/>
    <cellStyle name="Normal 5 7 5 2 2" xfId="8639" xr:uid="{00000000-0005-0000-0000-0000D31B0000}"/>
    <cellStyle name="Normal 5 7 5 3" xfId="6494" xr:uid="{00000000-0005-0000-0000-0000D41B0000}"/>
    <cellStyle name="Normal 5 7 6" xfId="2624" xr:uid="{00000000-0005-0000-0000-0000D51B0000}"/>
    <cellStyle name="Normal 5 7 6 2" xfId="6907" xr:uid="{00000000-0005-0000-0000-0000D61B0000}"/>
    <cellStyle name="Normal 5 7 7" xfId="4842" xr:uid="{00000000-0005-0000-0000-0000D71B0000}"/>
    <cellStyle name="Normal 5 8" xfId="880" xr:uid="{00000000-0005-0000-0000-0000D81B0000}"/>
    <cellStyle name="Normal 5 8 2" xfId="3115" xr:uid="{00000000-0005-0000-0000-0000D91B0000}"/>
    <cellStyle name="Normal 5 8 2 2" xfId="7337" xr:uid="{00000000-0005-0000-0000-0000DA1B0000}"/>
    <cellStyle name="Normal 5 8 3" xfId="5192" xr:uid="{00000000-0005-0000-0000-0000DB1B0000}"/>
    <cellStyle name="Normal 5 9" xfId="1298" xr:uid="{00000000-0005-0000-0000-0000DC1B0000}"/>
    <cellStyle name="Normal 5 9 2" xfId="3528" xr:uid="{00000000-0005-0000-0000-0000DD1B0000}"/>
    <cellStyle name="Normal 5 9 2 2" xfId="7750" xr:uid="{00000000-0005-0000-0000-0000DE1B0000}"/>
    <cellStyle name="Normal 5 9 3" xfId="5605"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0" xr:uid="{00000000-0005-0000-0000-0000EA1B0000}"/>
    <cellStyle name="Normal 8 10 3" xfId="6495" xr:uid="{00000000-0005-0000-0000-0000EB1B0000}"/>
    <cellStyle name="Normal 8 11" xfId="2625" xr:uid="{00000000-0005-0000-0000-0000EC1B0000}"/>
    <cellStyle name="Normal 8 11 2" xfId="6908" xr:uid="{00000000-0005-0000-0000-0000ED1B0000}"/>
    <cellStyle name="Normal 8 12" xfId="4843" xr:uid="{00000000-0005-0000-0000-0000EE1B0000}"/>
    <cellStyle name="Normal 8 2" xfId="479" xr:uid="{00000000-0005-0000-0000-0000EF1B0000}"/>
    <cellStyle name="Normal 8 2 10" xfId="2626" xr:uid="{00000000-0005-0000-0000-0000F01B0000}"/>
    <cellStyle name="Normal 8 2 10 2" xfId="6909" xr:uid="{00000000-0005-0000-0000-0000F11B0000}"/>
    <cellStyle name="Normal 8 2 11" xfId="4844" xr:uid="{00000000-0005-0000-0000-0000F21B0000}"/>
    <cellStyle name="Normal 8 2 2" xfId="480" xr:uid="{00000000-0005-0000-0000-0000F31B0000}"/>
    <cellStyle name="Normal 8 2 2 10" xfId="4845"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6" xr:uid="{00000000-0005-0000-0000-0000FA1B0000}"/>
    <cellStyle name="Normal 8 2 2 2 2 2 2 3" xfId="5261" xr:uid="{00000000-0005-0000-0000-0000FB1B0000}"/>
    <cellStyle name="Normal 8 2 2 2 2 2 3" xfId="1367" xr:uid="{00000000-0005-0000-0000-0000FC1B0000}"/>
    <cellStyle name="Normal 8 2 2 2 2 2 3 2" xfId="3597" xr:uid="{00000000-0005-0000-0000-0000FD1B0000}"/>
    <cellStyle name="Normal 8 2 2 2 2 2 3 2 2" xfId="7819" xr:uid="{00000000-0005-0000-0000-0000FE1B0000}"/>
    <cellStyle name="Normal 8 2 2 2 2 2 3 3" xfId="5674" xr:uid="{00000000-0005-0000-0000-0000FF1B0000}"/>
    <cellStyle name="Normal 8 2 2 2 2 2 4" xfId="1780" xr:uid="{00000000-0005-0000-0000-0000001C0000}"/>
    <cellStyle name="Normal 8 2 2 2 2 2 4 2" xfId="4010" xr:uid="{00000000-0005-0000-0000-0000011C0000}"/>
    <cellStyle name="Normal 8 2 2 2 2 2 4 2 2" xfId="8232" xr:uid="{00000000-0005-0000-0000-0000021C0000}"/>
    <cellStyle name="Normal 8 2 2 2 2 2 4 3" xfId="6087" xr:uid="{00000000-0005-0000-0000-0000031C0000}"/>
    <cellStyle name="Normal 8 2 2 2 2 2 5" xfId="2194" xr:uid="{00000000-0005-0000-0000-0000041C0000}"/>
    <cellStyle name="Normal 8 2 2 2 2 2 5 2" xfId="4423" xr:uid="{00000000-0005-0000-0000-0000051C0000}"/>
    <cellStyle name="Normal 8 2 2 2 2 2 5 2 2" xfId="8645" xr:uid="{00000000-0005-0000-0000-0000061C0000}"/>
    <cellStyle name="Normal 8 2 2 2 2 2 5 3" xfId="6500" xr:uid="{00000000-0005-0000-0000-0000071C0000}"/>
    <cellStyle name="Normal 8 2 2 2 2 2 6" xfId="2630" xr:uid="{00000000-0005-0000-0000-0000081C0000}"/>
    <cellStyle name="Normal 8 2 2 2 2 2 6 2" xfId="6913" xr:uid="{00000000-0005-0000-0000-0000091C0000}"/>
    <cellStyle name="Normal 8 2 2 2 2 2 7" xfId="4848" xr:uid="{00000000-0005-0000-0000-00000A1C0000}"/>
    <cellStyle name="Normal 8 2 2 2 2 3" xfId="949" xr:uid="{00000000-0005-0000-0000-00000B1C0000}"/>
    <cellStyle name="Normal 8 2 2 2 2 3 2" xfId="3183" xr:uid="{00000000-0005-0000-0000-00000C1C0000}"/>
    <cellStyle name="Normal 8 2 2 2 2 3 2 2" xfId="7405" xr:uid="{00000000-0005-0000-0000-00000D1C0000}"/>
    <cellStyle name="Normal 8 2 2 2 2 3 3" xfId="5260" xr:uid="{00000000-0005-0000-0000-00000E1C0000}"/>
    <cellStyle name="Normal 8 2 2 2 2 4" xfId="1366" xr:uid="{00000000-0005-0000-0000-00000F1C0000}"/>
    <cellStyle name="Normal 8 2 2 2 2 4 2" xfId="3596" xr:uid="{00000000-0005-0000-0000-0000101C0000}"/>
    <cellStyle name="Normal 8 2 2 2 2 4 2 2" xfId="7818" xr:uid="{00000000-0005-0000-0000-0000111C0000}"/>
    <cellStyle name="Normal 8 2 2 2 2 4 3" xfId="5673" xr:uid="{00000000-0005-0000-0000-0000121C0000}"/>
    <cellStyle name="Normal 8 2 2 2 2 5" xfId="1779" xr:uid="{00000000-0005-0000-0000-0000131C0000}"/>
    <cellStyle name="Normal 8 2 2 2 2 5 2" xfId="4009" xr:uid="{00000000-0005-0000-0000-0000141C0000}"/>
    <cellStyle name="Normal 8 2 2 2 2 5 2 2" xfId="8231" xr:uid="{00000000-0005-0000-0000-0000151C0000}"/>
    <cellStyle name="Normal 8 2 2 2 2 5 3" xfId="6086" xr:uid="{00000000-0005-0000-0000-0000161C0000}"/>
    <cellStyle name="Normal 8 2 2 2 2 6" xfId="2193" xr:uid="{00000000-0005-0000-0000-0000171C0000}"/>
    <cellStyle name="Normal 8 2 2 2 2 6 2" xfId="4422" xr:uid="{00000000-0005-0000-0000-0000181C0000}"/>
    <cellStyle name="Normal 8 2 2 2 2 6 2 2" xfId="8644" xr:uid="{00000000-0005-0000-0000-0000191C0000}"/>
    <cellStyle name="Normal 8 2 2 2 2 6 3" xfId="6499" xr:uid="{00000000-0005-0000-0000-00001A1C0000}"/>
    <cellStyle name="Normal 8 2 2 2 2 7" xfId="2629" xr:uid="{00000000-0005-0000-0000-00001B1C0000}"/>
    <cellStyle name="Normal 8 2 2 2 2 7 2" xfId="6912" xr:uid="{00000000-0005-0000-0000-00001C1C0000}"/>
    <cellStyle name="Normal 8 2 2 2 2 8" xfId="4847"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7" xr:uid="{00000000-0005-0000-0000-0000211C0000}"/>
    <cellStyle name="Normal 8 2 2 2 3 2 3" xfId="5262" xr:uid="{00000000-0005-0000-0000-0000221C0000}"/>
    <cellStyle name="Normal 8 2 2 2 3 3" xfId="1368" xr:uid="{00000000-0005-0000-0000-0000231C0000}"/>
    <cellStyle name="Normal 8 2 2 2 3 3 2" xfId="3598" xr:uid="{00000000-0005-0000-0000-0000241C0000}"/>
    <cellStyle name="Normal 8 2 2 2 3 3 2 2" xfId="7820" xr:uid="{00000000-0005-0000-0000-0000251C0000}"/>
    <cellStyle name="Normal 8 2 2 2 3 3 3" xfId="5675" xr:uid="{00000000-0005-0000-0000-0000261C0000}"/>
    <cellStyle name="Normal 8 2 2 2 3 4" xfId="1781" xr:uid="{00000000-0005-0000-0000-0000271C0000}"/>
    <cellStyle name="Normal 8 2 2 2 3 4 2" xfId="4011" xr:uid="{00000000-0005-0000-0000-0000281C0000}"/>
    <cellStyle name="Normal 8 2 2 2 3 4 2 2" xfId="8233" xr:uid="{00000000-0005-0000-0000-0000291C0000}"/>
    <cellStyle name="Normal 8 2 2 2 3 4 3" xfId="6088" xr:uid="{00000000-0005-0000-0000-00002A1C0000}"/>
    <cellStyle name="Normal 8 2 2 2 3 5" xfId="2195" xr:uid="{00000000-0005-0000-0000-00002B1C0000}"/>
    <cellStyle name="Normal 8 2 2 2 3 5 2" xfId="4424" xr:uid="{00000000-0005-0000-0000-00002C1C0000}"/>
    <cellStyle name="Normal 8 2 2 2 3 5 2 2" xfId="8646" xr:uid="{00000000-0005-0000-0000-00002D1C0000}"/>
    <cellStyle name="Normal 8 2 2 2 3 5 3" xfId="6501" xr:uid="{00000000-0005-0000-0000-00002E1C0000}"/>
    <cellStyle name="Normal 8 2 2 2 3 6" xfId="2631" xr:uid="{00000000-0005-0000-0000-00002F1C0000}"/>
    <cellStyle name="Normal 8 2 2 2 3 6 2" xfId="6914" xr:uid="{00000000-0005-0000-0000-0000301C0000}"/>
    <cellStyle name="Normal 8 2 2 2 3 7" xfId="4849" xr:uid="{00000000-0005-0000-0000-0000311C0000}"/>
    <cellStyle name="Normal 8 2 2 2 4" xfId="948" xr:uid="{00000000-0005-0000-0000-0000321C0000}"/>
    <cellStyle name="Normal 8 2 2 2 4 2" xfId="3182" xr:uid="{00000000-0005-0000-0000-0000331C0000}"/>
    <cellStyle name="Normal 8 2 2 2 4 2 2" xfId="7404" xr:uid="{00000000-0005-0000-0000-0000341C0000}"/>
    <cellStyle name="Normal 8 2 2 2 4 3" xfId="5259" xr:uid="{00000000-0005-0000-0000-0000351C0000}"/>
    <cellStyle name="Normal 8 2 2 2 5" xfId="1365" xr:uid="{00000000-0005-0000-0000-0000361C0000}"/>
    <cellStyle name="Normal 8 2 2 2 5 2" xfId="3595" xr:uid="{00000000-0005-0000-0000-0000371C0000}"/>
    <cellStyle name="Normal 8 2 2 2 5 2 2" xfId="7817" xr:uid="{00000000-0005-0000-0000-0000381C0000}"/>
    <cellStyle name="Normal 8 2 2 2 5 3" xfId="5672" xr:uid="{00000000-0005-0000-0000-0000391C0000}"/>
    <cellStyle name="Normal 8 2 2 2 6" xfId="1778" xr:uid="{00000000-0005-0000-0000-00003A1C0000}"/>
    <cellStyle name="Normal 8 2 2 2 6 2" xfId="4008" xr:uid="{00000000-0005-0000-0000-00003B1C0000}"/>
    <cellStyle name="Normal 8 2 2 2 6 2 2" xfId="8230" xr:uid="{00000000-0005-0000-0000-00003C1C0000}"/>
    <cellStyle name="Normal 8 2 2 2 6 3" xfId="6085" xr:uid="{00000000-0005-0000-0000-00003D1C0000}"/>
    <cellStyle name="Normal 8 2 2 2 7" xfId="2192" xr:uid="{00000000-0005-0000-0000-00003E1C0000}"/>
    <cellStyle name="Normal 8 2 2 2 7 2" xfId="4421" xr:uid="{00000000-0005-0000-0000-00003F1C0000}"/>
    <cellStyle name="Normal 8 2 2 2 7 2 2" xfId="8643" xr:uid="{00000000-0005-0000-0000-0000401C0000}"/>
    <cellStyle name="Normal 8 2 2 2 7 3" xfId="6498" xr:uid="{00000000-0005-0000-0000-0000411C0000}"/>
    <cellStyle name="Normal 8 2 2 2 8" xfId="2628" xr:uid="{00000000-0005-0000-0000-0000421C0000}"/>
    <cellStyle name="Normal 8 2 2 2 8 2" xfId="6911" xr:uid="{00000000-0005-0000-0000-0000431C0000}"/>
    <cellStyle name="Normal 8 2 2 2 9" xfId="4846"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09" xr:uid="{00000000-0005-0000-0000-0000491C0000}"/>
    <cellStyle name="Normal 8 2 2 3 2 2 3" xfId="5264" xr:uid="{00000000-0005-0000-0000-00004A1C0000}"/>
    <cellStyle name="Normal 8 2 2 3 2 3" xfId="1370" xr:uid="{00000000-0005-0000-0000-00004B1C0000}"/>
    <cellStyle name="Normal 8 2 2 3 2 3 2" xfId="3600" xr:uid="{00000000-0005-0000-0000-00004C1C0000}"/>
    <cellStyle name="Normal 8 2 2 3 2 3 2 2" xfId="7822" xr:uid="{00000000-0005-0000-0000-00004D1C0000}"/>
    <cellStyle name="Normal 8 2 2 3 2 3 3" xfId="5677" xr:uid="{00000000-0005-0000-0000-00004E1C0000}"/>
    <cellStyle name="Normal 8 2 2 3 2 4" xfId="1783" xr:uid="{00000000-0005-0000-0000-00004F1C0000}"/>
    <cellStyle name="Normal 8 2 2 3 2 4 2" xfId="4013" xr:uid="{00000000-0005-0000-0000-0000501C0000}"/>
    <cellStyle name="Normal 8 2 2 3 2 4 2 2" xfId="8235" xr:uid="{00000000-0005-0000-0000-0000511C0000}"/>
    <cellStyle name="Normal 8 2 2 3 2 4 3" xfId="6090" xr:uid="{00000000-0005-0000-0000-0000521C0000}"/>
    <cellStyle name="Normal 8 2 2 3 2 5" xfId="2197" xr:uid="{00000000-0005-0000-0000-0000531C0000}"/>
    <cellStyle name="Normal 8 2 2 3 2 5 2" xfId="4426" xr:uid="{00000000-0005-0000-0000-0000541C0000}"/>
    <cellStyle name="Normal 8 2 2 3 2 5 2 2" xfId="8648" xr:uid="{00000000-0005-0000-0000-0000551C0000}"/>
    <cellStyle name="Normal 8 2 2 3 2 5 3" xfId="6503" xr:uid="{00000000-0005-0000-0000-0000561C0000}"/>
    <cellStyle name="Normal 8 2 2 3 2 6" xfId="2633" xr:uid="{00000000-0005-0000-0000-0000571C0000}"/>
    <cellStyle name="Normal 8 2 2 3 2 6 2" xfId="6916" xr:uid="{00000000-0005-0000-0000-0000581C0000}"/>
    <cellStyle name="Normal 8 2 2 3 2 7" xfId="4851" xr:uid="{00000000-0005-0000-0000-0000591C0000}"/>
    <cellStyle name="Normal 8 2 2 3 3" xfId="952" xr:uid="{00000000-0005-0000-0000-00005A1C0000}"/>
    <cellStyle name="Normal 8 2 2 3 3 2" xfId="3186" xr:uid="{00000000-0005-0000-0000-00005B1C0000}"/>
    <cellStyle name="Normal 8 2 2 3 3 2 2" xfId="7408" xr:uid="{00000000-0005-0000-0000-00005C1C0000}"/>
    <cellStyle name="Normal 8 2 2 3 3 3" xfId="5263" xr:uid="{00000000-0005-0000-0000-00005D1C0000}"/>
    <cellStyle name="Normal 8 2 2 3 4" xfId="1369" xr:uid="{00000000-0005-0000-0000-00005E1C0000}"/>
    <cellStyle name="Normal 8 2 2 3 4 2" xfId="3599" xr:uid="{00000000-0005-0000-0000-00005F1C0000}"/>
    <cellStyle name="Normal 8 2 2 3 4 2 2" xfId="7821" xr:uid="{00000000-0005-0000-0000-0000601C0000}"/>
    <cellStyle name="Normal 8 2 2 3 4 3" xfId="5676" xr:uid="{00000000-0005-0000-0000-0000611C0000}"/>
    <cellStyle name="Normal 8 2 2 3 5" xfId="1782" xr:uid="{00000000-0005-0000-0000-0000621C0000}"/>
    <cellStyle name="Normal 8 2 2 3 5 2" xfId="4012" xr:uid="{00000000-0005-0000-0000-0000631C0000}"/>
    <cellStyle name="Normal 8 2 2 3 5 2 2" xfId="8234" xr:uid="{00000000-0005-0000-0000-0000641C0000}"/>
    <cellStyle name="Normal 8 2 2 3 5 3" xfId="6089" xr:uid="{00000000-0005-0000-0000-0000651C0000}"/>
    <cellStyle name="Normal 8 2 2 3 6" xfId="2196" xr:uid="{00000000-0005-0000-0000-0000661C0000}"/>
    <cellStyle name="Normal 8 2 2 3 6 2" xfId="4425" xr:uid="{00000000-0005-0000-0000-0000671C0000}"/>
    <cellStyle name="Normal 8 2 2 3 6 2 2" xfId="8647" xr:uid="{00000000-0005-0000-0000-0000681C0000}"/>
    <cellStyle name="Normal 8 2 2 3 6 3" xfId="6502" xr:uid="{00000000-0005-0000-0000-0000691C0000}"/>
    <cellStyle name="Normal 8 2 2 3 7" xfId="2632" xr:uid="{00000000-0005-0000-0000-00006A1C0000}"/>
    <cellStyle name="Normal 8 2 2 3 7 2" xfId="6915" xr:uid="{00000000-0005-0000-0000-00006B1C0000}"/>
    <cellStyle name="Normal 8 2 2 3 8" xfId="4850"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0" xr:uid="{00000000-0005-0000-0000-0000701C0000}"/>
    <cellStyle name="Normal 8 2 2 4 2 3" xfId="5265" xr:uid="{00000000-0005-0000-0000-0000711C0000}"/>
    <cellStyle name="Normal 8 2 2 4 3" xfId="1371" xr:uid="{00000000-0005-0000-0000-0000721C0000}"/>
    <cellStyle name="Normal 8 2 2 4 3 2" xfId="3601" xr:uid="{00000000-0005-0000-0000-0000731C0000}"/>
    <cellStyle name="Normal 8 2 2 4 3 2 2" xfId="7823" xr:uid="{00000000-0005-0000-0000-0000741C0000}"/>
    <cellStyle name="Normal 8 2 2 4 3 3" xfId="5678" xr:uid="{00000000-0005-0000-0000-0000751C0000}"/>
    <cellStyle name="Normal 8 2 2 4 4" xfId="1784" xr:uid="{00000000-0005-0000-0000-0000761C0000}"/>
    <cellStyle name="Normal 8 2 2 4 4 2" xfId="4014" xr:uid="{00000000-0005-0000-0000-0000771C0000}"/>
    <cellStyle name="Normal 8 2 2 4 4 2 2" xfId="8236" xr:uid="{00000000-0005-0000-0000-0000781C0000}"/>
    <cellStyle name="Normal 8 2 2 4 4 3" xfId="6091" xr:uid="{00000000-0005-0000-0000-0000791C0000}"/>
    <cellStyle name="Normal 8 2 2 4 5" xfId="2198" xr:uid="{00000000-0005-0000-0000-00007A1C0000}"/>
    <cellStyle name="Normal 8 2 2 4 5 2" xfId="4427" xr:uid="{00000000-0005-0000-0000-00007B1C0000}"/>
    <cellStyle name="Normal 8 2 2 4 5 2 2" xfId="8649" xr:uid="{00000000-0005-0000-0000-00007C1C0000}"/>
    <cellStyle name="Normal 8 2 2 4 5 3" xfId="6504" xr:uid="{00000000-0005-0000-0000-00007D1C0000}"/>
    <cellStyle name="Normal 8 2 2 4 6" xfId="2634" xr:uid="{00000000-0005-0000-0000-00007E1C0000}"/>
    <cellStyle name="Normal 8 2 2 4 6 2" xfId="6917" xr:uid="{00000000-0005-0000-0000-00007F1C0000}"/>
    <cellStyle name="Normal 8 2 2 4 7" xfId="4852" xr:uid="{00000000-0005-0000-0000-0000801C0000}"/>
    <cellStyle name="Normal 8 2 2 5" xfId="947" xr:uid="{00000000-0005-0000-0000-0000811C0000}"/>
    <cellStyle name="Normal 8 2 2 5 2" xfId="3181" xr:uid="{00000000-0005-0000-0000-0000821C0000}"/>
    <cellStyle name="Normal 8 2 2 5 2 2" xfId="7403" xr:uid="{00000000-0005-0000-0000-0000831C0000}"/>
    <cellStyle name="Normal 8 2 2 5 3" xfId="5258" xr:uid="{00000000-0005-0000-0000-0000841C0000}"/>
    <cellStyle name="Normal 8 2 2 6" xfId="1364" xr:uid="{00000000-0005-0000-0000-0000851C0000}"/>
    <cellStyle name="Normal 8 2 2 6 2" xfId="3594" xr:uid="{00000000-0005-0000-0000-0000861C0000}"/>
    <cellStyle name="Normal 8 2 2 6 2 2" xfId="7816" xr:uid="{00000000-0005-0000-0000-0000871C0000}"/>
    <cellStyle name="Normal 8 2 2 6 3" xfId="5671" xr:uid="{00000000-0005-0000-0000-0000881C0000}"/>
    <cellStyle name="Normal 8 2 2 7" xfId="1777" xr:uid="{00000000-0005-0000-0000-0000891C0000}"/>
    <cellStyle name="Normal 8 2 2 7 2" xfId="4007" xr:uid="{00000000-0005-0000-0000-00008A1C0000}"/>
    <cellStyle name="Normal 8 2 2 7 2 2" xfId="8229" xr:uid="{00000000-0005-0000-0000-00008B1C0000}"/>
    <cellStyle name="Normal 8 2 2 7 3" xfId="6084" xr:uid="{00000000-0005-0000-0000-00008C1C0000}"/>
    <cellStyle name="Normal 8 2 2 8" xfId="2191" xr:uid="{00000000-0005-0000-0000-00008D1C0000}"/>
    <cellStyle name="Normal 8 2 2 8 2" xfId="4420" xr:uid="{00000000-0005-0000-0000-00008E1C0000}"/>
    <cellStyle name="Normal 8 2 2 8 2 2" xfId="8642" xr:uid="{00000000-0005-0000-0000-00008F1C0000}"/>
    <cellStyle name="Normal 8 2 2 8 3" xfId="6497" xr:uid="{00000000-0005-0000-0000-0000901C0000}"/>
    <cellStyle name="Normal 8 2 2 9" xfId="2627" xr:uid="{00000000-0005-0000-0000-0000911C0000}"/>
    <cellStyle name="Normal 8 2 2 9 2" xfId="6910"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3" xr:uid="{00000000-0005-0000-0000-0000981C0000}"/>
    <cellStyle name="Normal 8 2 3 2 2 2 3" xfId="5268" xr:uid="{00000000-0005-0000-0000-0000991C0000}"/>
    <cellStyle name="Normal 8 2 3 2 2 3" xfId="1374" xr:uid="{00000000-0005-0000-0000-00009A1C0000}"/>
    <cellStyle name="Normal 8 2 3 2 2 3 2" xfId="3604" xr:uid="{00000000-0005-0000-0000-00009B1C0000}"/>
    <cellStyle name="Normal 8 2 3 2 2 3 2 2" xfId="7826" xr:uid="{00000000-0005-0000-0000-00009C1C0000}"/>
    <cellStyle name="Normal 8 2 3 2 2 3 3" xfId="5681" xr:uid="{00000000-0005-0000-0000-00009D1C0000}"/>
    <cellStyle name="Normal 8 2 3 2 2 4" xfId="1787" xr:uid="{00000000-0005-0000-0000-00009E1C0000}"/>
    <cellStyle name="Normal 8 2 3 2 2 4 2" xfId="4017" xr:uid="{00000000-0005-0000-0000-00009F1C0000}"/>
    <cellStyle name="Normal 8 2 3 2 2 4 2 2" xfId="8239" xr:uid="{00000000-0005-0000-0000-0000A01C0000}"/>
    <cellStyle name="Normal 8 2 3 2 2 4 3" xfId="6094" xr:uid="{00000000-0005-0000-0000-0000A11C0000}"/>
    <cellStyle name="Normal 8 2 3 2 2 5" xfId="2201" xr:uid="{00000000-0005-0000-0000-0000A21C0000}"/>
    <cellStyle name="Normal 8 2 3 2 2 5 2" xfId="4430" xr:uid="{00000000-0005-0000-0000-0000A31C0000}"/>
    <cellStyle name="Normal 8 2 3 2 2 5 2 2" xfId="8652" xr:uid="{00000000-0005-0000-0000-0000A41C0000}"/>
    <cellStyle name="Normal 8 2 3 2 2 5 3" xfId="6507" xr:uid="{00000000-0005-0000-0000-0000A51C0000}"/>
    <cellStyle name="Normal 8 2 3 2 2 6" xfId="2637" xr:uid="{00000000-0005-0000-0000-0000A61C0000}"/>
    <cellStyle name="Normal 8 2 3 2 2 6 2" xfId="6920" xr:uid="{00000000-0005-0000-0000-0000A71C0000}"/>
    <cellStyle name="Normal 8 2 3 2 2 7" xfId="4855" xr:uid="{00000000-0005-0000-0000-0000A81C0000}"/>
    <cellStyle name="Normal 8 2 3 2 3" xfId="956" xr:uid="{00000000-0005-0000-0000-0000A91C0000}"/>
    <cellStyle name="Normal 8 2 3 2 3 2" xfId="3190" xr:uid="{00000000-0005-0000-0000-0000AA1C0000}"/>
    <cellStyle name="Normal 8 2 3 2 3 2 2" xfId="7412" xr:uid="{00000000-0005-0000-0000-0000AB1C0000}"/>
    <cellStyle name="Normal 8 2 3 2 3 3" xfId="5267" xr:uid="{00000000-0005-0000-0000-0000AC1C0000}"/>
    <cellStyle name="Normal 8 2 3 2 4" xfId="1373" xr:uid="{00000000-0005-0000-0000-0000AD1C0000}"/>
    <cellStyle name="Normal 8 2 3 2 4 2" xfId="3603" xr:uid="{00000000-0005-0000-0000-0000AE1C0000}"/>
    <cellStyle name="Normal 8 2 3 2 4 2 2" xfId="7825" xr:uid="{00000000-0005-0000-0000-0000AF1C0000}"/>
    <cellStyle name="Normal 8 2 3 2 4 3" xfId="5680" xr:uid="{00000000-0005-0000-0000-0000B01C0000}"/>
    <cellStyle name="Normal 8 2 3 2 5" xfId="1786" xr:uid="{00000000-0005-0000-0000-0000B11C0000}"/>
    <cellStyle name="Normal 8 2 3 2 5 2" xfId="4016" xr:uid="{00000000-0005-0000-0000-0000B21C0000}"/>
    <cellStyle name="Normal 8 2 3 2 5 2 2" xfId="8238" xr:uid="{00000000-0005-0000-0000-0000B31C0000}"/>
    <cellStyle name="Normal 8 2 3 2 5 3" xfId="6093" xr:uid="{00000000-0005-0000-0000-0000B41C0000}"/>
    <cellStyle name="Normal 8 2 3 2 6" xfId="2200" xr:uid="{00000000-0005-0000-0000-0000B51C0000}"/>
    <cellStyle name="Normal 8 2 3 2 6 2" xfId="4429" xr:uid="{00000000-0005-0000-0000-0000B61C0000}"/>
    <cellStyle name="Normal 8 2 3 2 6 2 2" xfId="8651" xr:uid="{00000000-0005-0000-0000-0000B71C0000}"/>
    <cellStyle name="Normal 8 2 3 2 6 3" xfId="6506" xr:uid="{00000000-0005-0000-0000-0000B81C0000}"/>
    <cellStyle name="Normal 8 2 3 2 7" xfId="2636" xr:uid="{00000000-0005-0000-0000-0000B91C0000}"/>
    <cellStyle name="Normal 8 2 3 2 7 2" xfId="6919" xr:uid="{00000000-0005-0000-0000-0000BA1C0000}"/>
    <cellStyle name="Normal 8 2 3 2 8" xfId="4854"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4" xr:uid="{00000000-0005-0000-0000-0000BF1C0000}"/>
    <cellStyle name="Normal 8 2 3 3 2 3" xfId="5269" xr:uid="{00000000-0005-0000-0000-0000C01C0000}"/>
    <cellStyle name="Normal 8 2 3 3 3" xfId="1375" xr:uid="{00000000-0005-0000-0000-0000C11C0000}"/>
    <cellStyle name="Normal 8 2 3 3 3 2" xfId="3605" xr:uid="{00000000-0005-0000-0000-0000C21C0000}"/>
    <cellStyle name="Normal 8 2 3 3 3 2 2" xfId="7827" xr:uid="{00000000-0005-0000-0000-0000C31C0000}"/>
    <cellStyle name="Normal 8 2 3 3 3 3" xfId="5682" xr:uid="{00000000-0005-0000-0000-0000C41C0000}"/>
    <cellStyle name="Normal 8 2 3 3 4" xfId="1788" xr:uid="{00000000-0005-0000-0000-0000C51C0000}"/>
    <cellStyle name="Normal 8 2 3 3 4 2" xfId="4018" xr:uid="{00000000-0005-0000-0000-0000C61C0000}"/>
    <cellStyle name="Normal 8 2 3 3 4 2 2" xfId="8240" xr:uid="{00000000-0005-0000-0000-0000C71C0000}"/>
    <cellStyle name="Normal 8 2 3 3 4 3" xfId="6095" xr:uid="{00000000-0005-0000-0000-0000C81C0000}"/>
    <cellStyle name="Normal 8 2 3 3 5" xfId="2202" xr:uid="{00000000-0005-0000-0000-0000C91C0000}"/>
    <cellStyle name="Normal 8 2 3 3 5 2" xfId="4431" xr:uid="{00000000-0005-0000-0000-0000CA1C0000}"/>
    <cellStyle name="Normal 8 2 3 3 5 2 2" xfId="8653" xr:uid="{00000000-0005-0000-0000-0000CB1C0000}"/>
    <cellStyle name="Normal 8 2 3 3 5 3" xfId="6508" xr:uid="{00000000-0005-0000-0000-0000CC1C0000}"/>
    <cellStyle name="Normal 8 2 3 3 6" xfId="2638" xr:uid="{00000000-0005-0000-0000-0000CD1C0000}"/>
    <cellStyle name="Normal 8 2 3 3 6 2" xfId="6921" xr:uid="{00000000-0005-0000-0000-0000CE1C0000}"/>
    <cellStyle name="Normal 8 2 3 3 7" xfId="4856" xr:uid="{00000000-0005-0000-0000-0000CF1C0000}"/>
    <cellStyle name="Normal 8 2 3 4" xfId="955" xr:uid="{00000000-0005-0000-0000-0000D01C0000}"/>
    <cellStyle name="Normal 8 2 3 4 2" xfId="3189" xr:uid="{00000000-0005-0000-0000-0000D11C0000}"/>
    <cellStyle name="Normal 8 2 3 4 2 2" xfId="7411" xr:uid="{00000000-0005-0000-0000-0000D21C0000}"/>
    <cellStyle name="Normal 8 2 3 4 3" xfId="5266" xr:uid="{00000000-0005-0000-0000-0000D31C0000}"/>
    <cellStyle name="Normal 8 2 3 5" xfId="1372" xr:uid="{00000000-0005-0000-0000-0000D41C0000}"/>
    <cellStyle name="Normal 8 2 3 5 2" xfId="3602" xr:uid="{00000000-0005-0000-0000-0000D51C0000}"/>
    <cellStyle name="Normal 8 2 3 5 2 2" xfId="7824" xr:uid="{00000000-0005-0000-0000-0000D61C0000}"/>
    <cellStyle name="Normal 8 2 3 5 3" xfId="5679" xr:uid="{00000000-0005-0000-0000-0000D71C0000}"/>
    <cellStyle name="Normal 8 2 3 6" xfId="1785" xr:uid="{00000000-0005-0000-0000-0000D81C0000}"/>
    <cellStyle name="Normal 8 2 3 6 2" xfId="4015" xr:uid="{00000000-0005-0000-0000-0000D91C0000}"/>
    <cellStyle name="Normal 8 2 3 6 2 2" xfId="8237" xr:uid="{00000000-0005-0000-0000-0000DA1C0000}"/>
    <cellStyle name="Normal 8 2 3 6 3" xfId="6092" xr:uid="{00000000-0005-0000-0000-0000DB1C0000}"/>
    <cellStyle name="Normal 8 2 3 7" xfId="2199" xr:uid="{00000000-0005-0000-0000-0000DC1C0000}"/>
    <cellStyle name="Normal 8 2 3 7 2" xfId="4428" xr:uid="{00000000-0005-0000-0000-0000DD1C0000}"/>
    <cellStyle name="Normal 8 2 3 7 2 2" xfId="8650" xr:uid="{00000000-0005-0000-0000-0000DE1C0000}"/>
    <cellStyle name="Normal 8 2 3 7 3" xfId="6505" xr:uid="{00000000-0005-0000-0000-0000DF1C0000}"/>
    <cellStyle name="Normal 8 2 3 8" xfId="2635" xr:uid="{00000000-0005-0000-0000-0000E01C0000}"/>
    <cellStyle name="Normal 8 2 3 8 2" xfId="6918" xr:uid="{00000000-0005-0000-0000-0000E11C0000}"/>
    <cellStyle name="Normal 8 2 3 9" xfId="4853"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6" xr:uid="{00000000-0005-0000-0000-0000E71C0000}"/>
    <cellStyle name="Normal 8 2 4 2 2 3" xfId="5271" xr:uid="{00000000-0005-0000-0000-0000E81C0000}"/>
    <cellStyle name="Normal 8 2 4 2 3" xfId="1377" xr:uid="{00000000-0005-0000-0000-0000E91C0000}"/>
    <cellStyle name="Normal 8 2 4 2 3 2" xfId="3607" xr:uid="{00000000-0005-0000-0000-0000EA1C0000}"/>
    <cellStyle name="Normal 8 2 4 2 3 2 2" xfId="7829" xr:uid="{00000000-0005-0000-0000-0000EB1C0000}"/>
    <cellStyle name="Normal 8 2 4 2 3 3" xfId="5684" xr:uid="{00000000-0005-0000-0000-0000EC1C0000}"/>
    <cellStyle name="Normal 8 2 4 2 4" xfId="1790" xr:uid="{00000000-0005-0000-0000-0000ED1C0000}"/>
    <cellStyle name="Normal 8 2 4 2 4 2" xfId="4020" xr:uid="{00000000-0005-0000-0000-0000EE1C0000}"/>
    <cellStyle name="Normal 8 2 4 2 4 2 2" xfId="8242" xr:uid="{00000000-0005-0000-0000-0000EF1C0000}"/>
    <cellStyle name="Normal 8 2 4 2 4 3" xfId="6097" xr:uid="{00000000-0005-0000-0000-0000F01C0000}"/>
    <cellStyle name="Normal 8 2 4 2 5" xfId="2204" xr:uid="{00000000-0005-0000-0000-0000F11C0000}"/>
    <cellStyle name="Normal 8 2 4 2 5 2" xfId="4433" xr:uid="{00000000-0005-0000-0000-0000F21C0000}"/>
    <cellStyle name="Normal 8 2 4 2 5 2 2" xfId="8655" xr:uid="{00000000-0005-0000-0000-0000F31C0000}"/>
    <cellStyle name="Normal 8 2 4 2 5 3" xfId="6510" xr:uid="{00000000-0005-0000-0000-0000F41C0000}"/>
    <cellStyle name="Normal 8 2 4 2 6" xfId="2640" xr:uid="{00000000-0005-0000-0000-0000F51C0000}"/>
    <cellStyle name="Normal 8 2 4 2 6 2" xfId="6923" xr:uid="{00000000-0005-0000-0000-0000F61C0000}"/>
    <cellStyle name="Normal 8 2 4 2 7" xfId="4858" xr:uid="{00000000-0005-0000-0000-0000F71C0000}"/>
    <cellStyle name="Normal 8 2 4 3" xfId="959" xr:uid="{00000000-0005-0000-0000-0000F81C0000}"/>
    <cellStyle name="Normal 8 2 4 3 2" xfId="3193" xr:uid="{00000000-0005-0000-0000-0000F91C0000}"/>
    <cellStyle name="Normal 8 2 4 3 2 2" xfId="7415" xr:uid="{00000000-0005-0000-0000-0000FA1C0000}"/>
    <cellStyle name="Normal 8 2 4 3 3" xfId="5270" xr:uid="{00000000-0005-0000-0000-0000FB1C0000}"/>
    <cellStyle name="Normal 8 2 4 4" xfId="1376" xr:uid="{00000000-0005-0000-0000-0000FC1C0000}"/>
    <cellStyle name="Normal 8 2 4 4 2" xfId="3606" xr:uid="{00000000-0005-0000-0000-0000FD1C0000}"/>
    <cellStyle name="Normal 8 2 4 4 2 2" xfId="7828" xr:uid="{00000000-0005-0000-0000-0000FE1C0000}"/>
    <cellStyle name="Normal 8 2 4 4 3" xfId="5683" xr:uid="{00000000-0005-0000-0000-0000FF1C0000}"/>
    <cellStyle name="Normal 8 2 4 5" xfId="1789" xr:uid="{00000000-0005-0000-0000-0000001D0000}"/>
    <cellStyle name="Normal 8 2 4 5 2" xfId="4019" xr:uid="{00000000-0005-0000-0000-0000011D0000}"/>
    <cellStyle name="Normal 8 2 4 5 2 2" xfId="8241" xr:uid="{00000000-0005-0000-0000-0000021D0000}"/>
    <cellStyle name="Normal 8 2 4 5 3" xfId="6096" xr:uid="{00000000-0005-0000-0000-0000031D0000}"/>
    <cellStyle name="Normal 8 2 4 6" xfId="2203" xr:uid="{00000000-0005-0000-0000-0000041D0000}"/>
    <cellStyle name="Normal 8 2 4 6 2" xfId="4432" xr:uid="{00000000-0005-0000-0000-0000051D0000}"/>
    <cellStyle name="Normal 8 2 4 6 2 2" xfId="8654" xr:uid="{00000000-0005-0000-0000-0000061D0000}"/>
    <cellStyle name="Normal 8 2 4 6 3" xfId="6509" xr:uid="{00000000-0005-0000-0000-0000071D0000}"/>
    <cellStyle name="Normal 8 2 4 7" xfId="2639" xr:uid="{00000000-0005-0000-0000-0000081D0000}"/>
    <cellStyle name="Normal 8 2 4 7 2" xfId="6922" xr:uid="{00000000-0005-0000-0000-0000091D0000}"/>
    <cellStyle name="Normal 8 2 4 8" xfId="4857"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7" xr:uid="{00000000-0005-0000-0000-00000E1D0000}"/>
    <cellStyle name="Normal 8 2 5 2 3" xfId="5272" xr:uid="{00000000-0005-0000-0000-00000F1D0000}"/>
    <cellStyle name="Normal 8 2 5 3" xfId="1378" xr:uid="{00000000-0005-0000-0000-0000101D0000}"/>
    <cellStyle name="Normal 8 2 5 3 2" xfId="3608" xr:uid="{00000000-0005-0000-0000-0000111D0000}"/>
    <cellStyle name="Normal 8 2 5 3 2 2" xfId="7830" xr:uid="{00000000-0005-0000-0000-0000121D0000}"/>
    <cellStyle name="Normal 8 2 5 3 3" xfId="5685" xr:uid="{00000000-0005-0000-0000-0000131D0000}"/>
    <cellStyle name="Normal 8 2 5 4" xfId="1791" xr:uid="{00000000-0005-0000-0000-0000141D0000}"/>
    <cellStyle name="Normal 8 2 5 4 2" xfId="4021" xr:uid="{00000000-0005-0000-0000-0000151D0000}"/>
    <cellStyle name="Normal 8 2 5 4 2 2" xfId="8243" xr:uid="{00000000-0005-0000-0000-0000161D0000}"/>
    <cellStyle name="Normal 8 2 5 4 3" xfId="6098" xr:uid="{00000000-0005-0000-0000-0000171D0000}"/>
    <cellStyle name="Normal 8 2 5 5" xfId="2205" xr:uid="{00000000-0005-0000-0000-0000181D0000}"/>
    <cellStyle name="Normal 8 2 5 5 2" xfId="4434" xr:uid="{00000000-0005-0000-0000-0000191D0000}"/>
    <cellStyle name="Normal 8 2 5 5 2 2" xfId="8656" xr:uid="{00000000-0005-0000-0000-00001A1D0000}"/>
    <cellStyle name="Normal 8 2 5 5 3" xfId="6511" xr:uid="{00000000-0005-0000-0000-00001B1D0000}"/>
    <cellStyle name="Normal 8 2 5 6" xfId="2641" xr:uid="{00000000-0005-0000-0000-00001C1D0000}"/>
    <cellStyle name="Normal 8 2 5 6 2" xfId="6924" xr:uid="{00000000-0005-0000-0000-00001D1D0000}"/>
    <cellStyle name="Normal 8 2 5 7" xfId="4859" xr:uid="{00000000-0005-0000-0000-00001E1D0000}"/>
    <cellStyle name="Normal 8 2 6" xfId="946" xr:uid="{00000000-0005-0000-0000-00001F1D0000}"/>
    <cellStyle name="Normal 8 2 6 2" xfId="3180" xr:uid="{00000000-0005-0000-0000-0000201D0000}"/>
    <cellStyle name="Normal 8 2 6 2 2" xfId="7402" xr:uid="{00000000-0005-0000-0000-0000211D0000}"/>
    <cellStyle name="Normal 8 2 6 3" xfId="5257" xr:uid="{00000000-0005-0000-0000-0000221D0000}"/>
    <cellStyle name="Normal 8 2 7" xfId="1363" xr:uid="{00000000-0005-0000-0000-0000231D0000}"/>
    <cellStyle name="Normal 8 2 7 2" xfId="3593" xr:uid="{00000000-0005-0000-0000-0000241D0000}"/>
    <cellStyle name="Normal 8 2 7 2 2" xfId="7815" xr:uid="{00000000-0005-0000-0000-0000251D0000}"/>
    <cellStyle name="Normal 8 2 7 3" xfId="5670" xr:uid="{00000000-0005-0000-0000-0000261D0000}"/>
    <cellStyle name="Normal 8 2 8" xfId="1776" xr:uid="{00000000-0005-0000-0000-0000271D0000}"/>
    <cellStyle name="Normal 8 2 8 2" xfId="4006" xr:uid="{00000000-0005-0000-0000-0000281D0000}"/>
    <cellStyle name="Normal 8 2 8 2 2" xfId="8228" xr:uid="{00000000-0005-0000-0000-0000291D0000}"/>
    <cellStyle name="Normal 8 2 8 3" xfId="6083" xr:uid="{00000000-0005-0000-0000-00002A1D0000}"/>
    <cellStyle name="Normal 8 2 9" xfId="2190" xr:uid="{00000000-0005-0000-0000-00002B1D0000}"/>
    <cellStyle name="Normal 8 2 9 2" xfId="4419" xr:uid="{00000000-0005-0000-0000-00002C1D0000}"/>
    <cellStyle name="Normal 8 2 9 2 2" xfId="8641" xr:uid="{00000000-0005-0000-0000-00002D1D0000}"/>
    <cellStyle name="Normal 8 2 9 3" xfId="6496" xr:uid="{00000000-0005-0000-0000-00002E1D0000}"/>
    <cellStyle name="Normal 8 3" xfId="495" xr:uid="{00000000-0005-0000-0000-00002F1D0000}"/>
    <cellStyle name="Normal 8 3 10" xfId="4860"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1" xr:uid="{00000000-0005-0000-0000-0000361D0000}"/>
    <cellStyle name="Normal 8 3 2 2 2 2 3" xfId="5276" xr:uid="{00000000-0005-0000-0000-0000371D0000}"/>
    <cellStyle name="Normal 8 3 2 2 2 3" xfId="1382" xr:uid="{00000000-0005-0000-0000-0000381D0000}"/>
    <cellStyle name="Normal 8 3 2 2 2 3 2" xfId="3612" xr:uid="{00000000-0005-0000-0000-0000391D0000}"/>
    <cellStyle name="Normal 8 3 2 2 2 3 2 2" xfId="7834" xr:uid="{00000000-0005-0000-0000-00003A1D0000}"/>
    <cellStyle name="Normal 8 3 2 2 2 3 3" xfId="5689" xr:uid="{00000000-0005-0000-0000-00003B1D0000}"/>
    <cellStyle name="Normal 8 3 2 2 2 4" xfId="1795" xr:uid="{00000000-0005-0000-0000-00003C1D0000}"/>
    <cellStyle name="Normal 8 3 2 2 2 4 2" xfId="4025" xr:uid="{00000000-0005-0000-0000-00003D1D0000}"/>
    <cellStyle name="Normal 8 3 2 2 2 4 2 2" xfId="8247" xr:uid="{00000000-0005-0000-0000-00003E1D0000}"/>
    <cellStyle name="Normal 8 3 2 2 2 4 3" xfId="6102" xr:uid="{00000000-0005-0000-0000-00003F1D0000}"/>
    <cellStyle name="Normal 8 3 2 2 2 5" xfId="2209" xr:uid="{00000000-0005-0000-0000-0000401D0000}"/>
    <cellStyle name="Normal 8 3 2 2 2 5 2" xfId="4438" xr:uid="{00000000-0005-0000-0000-0000411D0000}"/>
    <cellStyle name="Normal 8 3 2 2 2 5 2 2" xfId="8660" xr:uid="{00000000-0005-0000-0000-0000421D0000}"/>
    <cellStyle name="Normal 8 3 2 2 2 5 3" xfId="6515" xr:uid="{00000000-0005-0000-0000-0000431D0000}"/>
    <cellStyle name="Normal 8 3 2 2 2 6" xfId="2645" xr:uid="{00000000-0005-0000-0000-0000441D0000}"/>
    <cellStyle name="Normal 8 3 2 2 2 6 2" xfId="6928" xr:uid="{00000000-0005-0000-0000-0000451D0000}"/>
    <cellStyle name="Normal 8 3 2 2 2 7" xfId="4863" xr:uid="{00000000-0005-0000-0000-0000461D0000}"/>
    <cellStyle name="Normal 8 3 2 2 3" xfId="964" xr:uid="{00000000-0005-0000-0000-0000471D0000}"/>
    <cellStyle name="Normal 8 3 2 2 3 2" xfId="3198" xr:uid="{00000000-0005-0000-0000-0000481D0000}"/>
    <cellStyle name="Normal 8 3 2 2 3 2 2" xfId="7420" xr:uid="{00000000-0005-0000-0000-0000491D0000}"/>
    <cellStyle name="Normal 8 3 2 2 3 3" xfId="5275" xr:uid="{00000000-0005-0000-0000-00004A1D0000}"/>
    <cellStyle name="Normal 8 3 2 2 4" xfId="1381" xr:uid="{00000000-0005-0000-0000-00004B1D0000}"/>
    <cellStyle name="Normal 8 3 2 2 4 2" xfId="3611" xr:uid="{00000000-0005-0000-0000-00004C1D0000}"/>
    <cellStyle name="Normal 8 3 2 2 4 2 2" xfId="7833" xr:uid="{00000000-0005-0000-0000-00004D1D0000}"/>
    <cellStyle name="Normal 8 3 2 2 4 3" xfId="5688" xr:uid="{00000000-0005-0000-0000-00004E1D0000}"/>
    <cellStyle name="Normal 8 3 2 2 5" xfId="1794" xr:uid="{00000000-0005-0000-0000-00004F1D0000}"/>
    <cellStyle name="Normal 8 3 2 2 5 2" xfId="4024" xr:uid="{00000000-0005-0000-0000-0000501D0000}"/>
    <cellStyle name="Normal 8 3 2 2 5 2 2" xfId="8246" xr:uid="{00000000-0005-0000-0000-0000511D0000}"/>
    <cellStyle name="Normal 8 3 2 2 5 3" xfId="6101" xr:uid="{00000000-0005-0000-0000-0000521D0000}"/>
    <cellStyle name="Normal 8 3 2 2 6" xfId="2208" xr:uid="{00000000-0005-0000-0000-0000531D0000}"/>
    <cellStyle name="Normal 8 3 2 2 6 2" xfId="4437" xr:uid="{00000000-0005-0000-0000-0000541D0000}"/>
    <cellStyle name="Normal 8 3 2 2 6 2 2" xfId="8659" xr:uid="{00000000-0005-0000-0000-0000551D0000}"/>
    <cellStyle name="Normal 8 3 2 2 6 3" xfId="6514" xr:uid="{00000000-0005-0000-0000-0000561D0000}"/>
    <cellStyle name="Normal 8 3 2 2 7" xfId="2644" xr:uid="{00000000-0005-0000-0000-0000571D0000}"/>
    <cellStyle name="Normal 8 3 2 2 7 2" xfId="6927" xr:uid="{00000000-0005-0000-0000-0000581D0000}"/>
    <cellStyle name="Normal 8 3 2 2 8" xfId="4862"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2" xr:uid="{00000000-0005-0000-0000-00005D1D0000}"/>
    <cellStyle name="Normal 8 3 2 3 2 3" xfId="5277" xr:uid="{00000000-0005-0000-0000-00005E1D0000}"/>
    <cellStyle name="Normal 8 3 2 3 3" xfId="1383" xr:uid="{00000000-0005-0000-0000-00005F1D0000}"/>
    <cellStyle name="Normal 8 3 2 3 3 2" xfId="3613" xr:uid="{00000000-0005-0000-0000-0000601D0000}"/>
    <cellStyle name="Normal 8 3 2 3 3 2 2" xfId="7835" xr:uid="{00000000-0005-0000-0000-0000611D0000}"/>
    <cellStyle name="Normal 8 3 2 3 3 3" xfId="5690" xr:uid="{00000000-0005-0000-0000-0000621D0000}"/>
    <cellStyle name="Normal 8 3 2 3 4" xfId="1796" xr:uid="{00000000-0005-0000-0000-0000631D0000}"/>
    <cellStyle name="Normal 8 3 2 3 4 2" xfId="4026" xr:uid="{00000000-0005-0000-0000-0000641D0000}"/>
    <cellStyle name="Normal 8 3 2 3 4 2 2" xfId="8248" xr:uid="{00000000-0005-0000-0000-0000651D0000}"/>
    <cellStyle name="Normal 8 3 2 3 4 3" xfId="6103" xr:uid="{00000000-0005-0000-0000-0000661D0000}"/>
    <cellStyle name="Normal 8 3 2 3 5" xfId="2210" xr:uid="{00000000-0005-0000-0000-0000671D0000}"/>
    <cellStyle name="Normal 8 3 2 3 5 2" xfId="4439" xr:uid="{00000000-0005-0000-0000-0000681D0000}"/>
    <cellStyle name="Normal 8 3 2 3 5 2 2" xfId="8661" xr:uid="{00000000-0005-0000-0000-0000691D0000}"/>
    <cellStyle name="Normal 8 3 2 3 5 3" xfId="6516" xr:uid="{00000000-0005-0000-0000-00006A1D0000}"/>
    <cellStyle name="Normal 8 3 2 3 6" xfId="2646" xr:uid="{00000000-0005-0000-0000-00006B1D0000}"/>
    <cellStyle name="Normal 8 3 2 3 6 2" xfId="6929" xr:uid="{00000000-0005-0000-0000-00006C1D0000}"/>
    <cellStyle name="Normal 8 3 2 3 7" xfId="4864" xr:uid="{00000000-0005-0000-0000-00006D1D0000}"/>
    <cellStyle name="Normal 8 3 2 4" xfId="963" xr:uid="{00000000-0005-0000-0000-00006E1D0000}"/>
    <cellStyle name="Normal 8 3 2 4 2" xfId="3197" xr:uid="{00000000-0005-0000-0000-00006F1D0000}"/>
    <cellStyle name="Normal 8 3 2 4 2 2" xfId="7419" xr:uid="{00000000-0005-0000-0000-0000701D0000}"/>
    <cellStyle name="Normal 8 3 2 4 3" xfId="5274" xr:uid="{00000000-0005-0000-0000-0000711D0000}"/>
    <cellStyle name="Normal 8 3 2 5" xfId="1380" xr:uid="{00000000-0005-0000-0000-0000721D0000}"/>
    <cellStyle name="Normal 8 3 2 5 2" xfId="3610" xr:uid="{00000000-0005-0000-0000-0000731D0000}"/>
    <cellStyle name="Normal 8 3 2 5 2 2" xfId="7832" xr:uid="{00000000-0005-0000-0000-0000741D0000}"/>
    <cellStyle name="Normal 8 3 2 5 3" xfId="5687" xr:uid="{00000000-0005-0000-0000-0000751D0000}"/>
    <cellStyle name="Normal 8 3 2 6" xfId="1793" xr:uid="{00000000-0005-0000-0000-0000761D0000}"/>
    <cellStyle name="Normal 8 3 2 6 2" xfId="4023" xr:uid="{00000000-0005-0000-0000-0000771D0000}"/>
    <cellStyle name="Normal 8 3 2 6 2 2" xfId="8245" xr:uid="{00000000-0005-0000-0000-0000781D0000}"/>
    <cellStyle name="Normal 8 3 2 6 3" xfId="6100" xr:uid="{00000000-0005-0000-0000-0000791D0000}"/>
    <cellStyle name="Normal 8 3 2 7" xfId="2207" xr:uid="{00000000-0005-0000-0000-00007A1D0000}"/>
    <cellStyle name="Normal 8 3 2 7 2" xfId="4436" xr:uid="{00000000-0005-0000-0000-00007B1D0000}"/>
    <cellStyle name="Normal 8 3 2 7 2 2" xfId="8658" xr:uid="{00000000-0005-0000-0000-00007C1D0000}"/>
    <cellStyle name="Normal 8 3 2 7 3" xfId="6513" xr:uid="{00000000-0005-0000-0000-00007D1D0000}"/>
    <cellStyle name="Normal 8 3 2 8" xfId="2643" xr:uid="{00000000-0005-0000-0000-00007E1D0000}"/>
    <cellStyle name="Normal 8 3 2 8 2" xfId="6926" xr:uid="{00000000-0005-0000-0000-00007F1D0000}"/>
    <cellStyle name="Normal 8 3 2 9" xfId="4861"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4" xr:uid="{00000000-0005-0000-0000-0000851D0000}"/>
    <cellStyle name="Normal 8 3 3 2 2 3" xfId="5279" xr:uid="{00000000-0005-0000-0000-0000861D0000}"/>
    <cellStyle name="Normal 8 3 3 2 3" xfId="1385" xr:uid="{00000000-0005-0000-0000-0000871D0000}"/>
    <cellStyle name="Normal 8 3 3 2 3 2" xfId="3615" xr:uid="{00000000-0005-0000-0000-0000881D0000}"/>
    <cellStyle name="Normal 8 3 3 2 3 2 2" xfId="7837" xr:uid="{00000000-0005-0000-0000-0000891D0000}"/>
    <cellStyle name="Normal 8 3 3 2 3 3" xfId="5692" xr:uid="{00000000-0005-0000-0000-00008A1D0000}"/>
    <cellStyle name="Normal 8 3 3 2 4" xfId="1798" xr:uid="{00000000-0005-0000-0000-00008B1D0000}"/>
    <cellStyle name="Normal 8 3 3 2 4 2" xfId="4028" xr:uid="{00000000-0005-0000-0000-00008C1D0000}"/>
    <cellStyle name="Normal 8 3 3 2 4 2 2" xfId="8250" xr:uid="{00000000-0005-0000-0000-00008D1D0000}"/>
    <cellStyle name="Normal 8 3 3 2 4 3" xfId="6105" xr:uid="{00000000-0005-0000-0000-00008E1D0000}"/>
    <cellStyle name="Normal 8 3 3 2 5" xfId="2212" xr:uid="{00000000-0005-0000-0000-00008F1D0000}"/>
    <cellStyle name="Normal 8 3 3 2 5 2" xfId="4441" xr:uid="{00000000-0005-0000-0000-0000901D0000}"/>
    <cellStyle name="Normal 8 3 3 2 5 2 2" xfId="8663" xr:uid="{00000000-0005-0000-0000-0000911D0000}"/>
    <cellStyle name="Normal 8 3 3 2 5 3" xfId="6518" xr:uid="{00000000-0005-0000-0000-0000921D0000}"/>
    <cellStyle name="Normal 8 3 3 2 6" xfId="2648" xr:uid="{00000000-0005-0000-0000-0000931D0000}"/>
    <cellStyle name="Normal 8 3 3 2 6 2" xfId="6931" xr:uid="{00000000-0005-0000-0000-0000941D0000}"/>
    <cellStyle name="Normal 8 3 3 2 7" xfId="4866" xr:uid="{00000000-0005-0000-0000-0000951D0000}"/>
    <cellStyle name="Normal 8 3 3 3" xfId="967" xr:uid="{00000000-0005-0000-0000-0000961D0000}"/>
    <cellStyle name="Normal 8 3 3 3 2" xfId="3201" xr:uid="{00000000-0005-0000-0000-0000971D0000}"/>
    <cellStyle name="Normal 8 3 3 3 2 2" xfId="7423" xr:uid="{00000000-0005-0000-0000-0000981D0000}"/>
    <cellStyle name="Normal 8 3 3 3 3" xfId="5278" xr:uid="{00000000-0005-0000-0000-0000991D0000}"/>
    <cellStyle name="Normal 8 3 3 4" xfId="1384" xr:uid="{00000000-0005-0000-0000-00009A1D0000}"/>
    <cellStyle name="Normal 8 3 3 4 2" xfId="3614" xr:uid="{00000000-0005-0000-0000-00009B1D0000}"/>
    <cellStyle name="Normal 8 3 3 4 2 2" xfId="7836" xr:uid="{00000000-0005-0000-0000-00009C1D0000}"/>
    <cellStyle name="Normal 8 3 3 4 3" xfId="5691" xr:uid="{00000000-0005-0000-0000-00009D1D0000}"/>
    <cellStyle name="Normal 8 3 3 5" xfId="1797" xr:uid="{00000000-0005-0000-0000-00009E1D0000}"/>
    <cellStyle name="Normal 8 3 3 5 2" xfId="4027" xr:uid="{00000000-0005-0000-0000-00009F1D0000}"/>
    <cellStyle name="Normal 8 3 3 5 2 2" xfId="8249" xr:uid="{00000000-0005-0000-0000-0000A01D0000}"/>
    <cellStyle name="Normal 8 3 3 5 3" xfId="6104" xr:uid="{00000000-0005-0000-0000-0000A11D0000}"/>
    <cellStyle name="Normal 8 3 3 6" xfId="2211" xr:uid="{00000000-0005-0000-0000-0000A21D0000}"/>
    <cellStyle name="Normal 8 3 3 6 2" xfId="4440" xr:uid="{00000000-0005-0000-0000-0000A31D0000}"/>
    <cellStyle name="Normal 8 3 3 6 2 2" xfId="8662" xr:uid="{00000000-0005-0000-0000-0000A41D0000}"/>
    <cellStyle name="Normal 8 3 3 6 3" xfId="6517" xr:uid="{00000000-0005-0000-0000-0000A51D0000}"/>
    <cellStyle name="Normal 8 3 3 7" xfId="2647" xr:uid="{00000000-0005-0000-0000-0000A61D0000}"/>
    <cellStyle name="Normal 8 3 3 7 2" xfId="6930" xr:uid="{00000000-0005-0000-0000-0000A71D0000}"/>
    <cellStyle name="Normal 8 3 3 8" xfId="4865"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5" xr:uid="{00000000-0005-0000-0000-0000AC1D0000}"/>
    <cellStyle name="Normal 8 3 4 2 3" xfId="5280" xr:uid="{00000000-0005-0000-0000-0000AD1D0000}"/>
    <cellStyle name="Normal 8 3 4 3" xfId="1386" xr:uid="{00000000-0005-0000-0000-0000AE1D0000}"/>
    <cellStyle name="Normal 8 3 4 3 2" xfId="3616" xr:uid="{00000000-0005-0000-0000-0000AF1D0000}"/>
    <cellStyle name="Normal 8 3 4 3 2 2" xfId="7838" xr:uid="{00000000-0005-0000-0000-0000B01D0000}"/>
    <cellStyle name="Normal 8 3 4 3 3" xfId="5693" xr:uid="{00000000-0005-0000-0000-0000B11D0000}"/>
    <cellStyle name="Normal 8 3 4 4" xfId="1799" xr:uid="{00000000-0005-0000-0000-0000B21D0000}"/>
    <cellStyle name="Normal 8 3 4 4 2" xfId="4029" xr:uid="{00000000-0005-0000-0000-0000B31D0000}"/>
    <cellStyle name="Normal 8 3 4 4 2 2" xfId="8251" xr:uid="{00000000-0005-0000-0000-0000B41D0000}"/>
    <cellStyle name="Normal 8 3 4 4 3" xfId="6106" xr:uid="{00000000-0005-0000-0000-0000B51D0000}"/>
    <cellStyle name="Normal 8 3 4 5" xfId="2213" xr:uid="{00000000-0005-0000-0000-0000B61D0000}"/>
    <cellStyle name="Normal 8 3 4 5 2" xfId="4442" xr:uid="{00000000-0005-0000-0000-0000B71D0000}"/>
    <cellStyle name="Normal 8 3 4 5 2 2" xfId="8664" xr:uid="{00000000-0005-0000-0000-0000B81D0000}"/>
    <cellStyle name="Normal 8 3 4 5 3" xfId="6519" xr:uid="{00000000-0005-0000-0000-0000B91D0000}"/>
    <cellStyle name="Normal 8 3 4 6" xfId="2649" xr:uid="{00000000-0005-0000-0000-0000BA1D0000}"/>
    <cellStyle name="Normal 8 3 4 6 2" xfId="6932" xr:uid="{00000000-0005-0000-0000-0000BB1D0000}"/>
    <cellStyle name="Normal 8 3 4 7" xfId="4867" xr:uid="{00000000-0005-0000-0000-0000BC1D0000}"/>
    <cellStyle name="Normal 8 3 5" xfId="962" xr:uid="{00000000-0005-0000-0000-0000BD1D0000}"/>
    <cellStyle name="Normal 8 3 5 2" xfId="3196" xr:uid="{00000000-0005-0000-0000-0000BE1D0000}"/>
    <cellStyle name="Normal 8 3 5 2 2" xfId="7418" xr:uid="{00000000-0005-0000-0000-0000BF1D0000}"/>
    <cellStyle name="Normal 8 3 5 3" xfId="5273" xr:uid="{00000000-0005-0000-0000-0000C01D0000}"/>
    <cellStyle name="Normal 8 3 6" xfId="1379" xr:uid="{00000000-0005-0000-0000-0000C11D0000}"/>
    <cellStyle name="Normal 8 3 6 2" xfId="3609" xr:uid="{00000000-0005-0000-0000-0000C21D0000}"/>
    <cellStyle name="Normal 8 3 6 2 2" xfId="7831" xr:uid="{00000000-0005-0000-0000-0000C31D0000}"/>
    <cellStyle name="Normal 8 3 6 3" xfId="5686" xr:uid="{00000000-0005-0000-0000-0000C41D0000}"/>
    <cellStyle name="Normal 8 3 7" xfId="1792" xr:uid="{00000000-0005-0000-0000-0000C51D0000}"/>
    <cellStyle name="Normal 8 3 7 2" xfId="4022" xr:uid="{00000000-0005-0000-0000-0000C61D0000}"/>
    <cellStyle name="Normal 8 3 7 2 2" xfId="8244" xr:uid="{00000000-0005-0000-0000-0000C71D0000}"/>
    <cellStyle name="Normal 8 3 7 3" xfId="6099" xr:uid="{00000000-0005-0000-0000-0000C81D0000}"/>
    <cellStyle name="Normal 8 3 8" xfId="2206" xr:uid="{00000000-0005-0000-0000-0000C91D0000}"/>
    <cellStyle name="Normal 8 3 8 2" xfId="4435" xr:uid="{00000000-0005-0000-0000-0000CA1D0000}"/>
    <cellStyle name="Normal 8 3 8 2 2" xfId="8657" xr:uid="{00000000-0005-0000-0000-0000CB1D0000}"/>
    <cellStyle name="Normal 8 3 8 3" xfId="6512" xr:uid="{00000000-0005-0000-0000-0000CC1D0000}"/>
    <cellStyle name="Normal 8 3 9" xfId="2642" xr:uid="{00000000-0005-0000-0000-0000CD1D0000}"/>
    <cellStyle name="Normal 8 3 9 2" xfId="6925"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8" xr:uid="{00000000-0005-0000-0000-0000D41D0000}"/>
    <cellStyle name="Normal 8 4 2 2 2 3" xfId="5283" xr:uid="{00000000-0005-0000-0000-0000D51D0000}"/>
    <cellStyle name="Normal 8 4 2 2 3" xfId="1389" xr:uid="{00000000-0005-0000-0000-0000D61D0000}"/>
    <cellStyle name="Normal 8 4 2 2 3 2" xfId="3619" xr:uid="{00000000-0005-0000-0000-0000D71D0000}"/>
    <cellStyle name="Normal 8 4 2 2 3 2 2" xfId="7841" xr:uid="{00000000-0005-0000-0000-0000D81D0000}"/>
    <cellStyle name="Normal 8 4 2 2 3 3" xfId="5696" xr:uid="{00000000-0005-0000-0000-0000D91D0000}"/>
    <cellStyle name="Normal 8 4 2 2 4" xfId="1802" xr:uid="{00000000-0005-0000-0000-0000DA1D0000}"/>
    <cellStyle name="Normal 8 4 2 2 4 2" xfId="4032" xr:uid="{00000000-0005-0000-0000-0000DB1D0000}"/>
    <cellStyle name="Normal 8 4 2 2 4 2 2" xfId="8254" xr:uid="{00000000-0005-0000-0000-0000DC1D0000}"/>
    <cellStyle name="Normal 8 4 2 2 4 3" xfId="6109" xr:uid="{00000000-0005-0000-0000-0000DD1D0000}"/>
    <cellStyle name="Normal 8 4 2 2 5" xfId="2216" xr:uid="{00000000-0005-0000-0000-0000DE1D0000}"/>
    <cellStyle name="Normal 8 4 2 2 5 2" xfId="4445" xr:uid="{00000000-0005-0000-0000-0000DF1D0000}"/>
    <cellStyle name="Normal 8 4 2 2 5 2 2" xfId="8667" xr:uid="{00000000-0005-0000-0000-0000E01D0000}"/>
    <cellStyle name="Normal 8 4 2 2 5 3" xfId="6522" xr:uid="{00000000-0005-0000-0000-0000E11D0000}"/>
    <cellStyle name="Normal 8 4 2 2 6" xfId="2652" xr:uid="{00000000-0005-0000-0000-0000E21D0000}"/>
    <cellStyle name="Normal 8 4 2 2 6 2" xfId="6935" xr:uid="{00000000-0005-0000-0000-0000E31D0000}"/>
    <cellStyle name="Normal 8 4 2 2 7" xfId="4870" xr:uid="{00000000-0005-0000-0000-0000E41D0000}"/>
    <cellStyle name="Normal 8 4 2 3" xfId="971" xr:uid="{00000000-0005-0000-0000-0000E51D0000}"/>
    <cellStyle name="Normal 8 4 2 3 2" xfId="3205" xr:uid="{00000000-0005-0000-0000-0000E61D0000}"/>
    <cellStyle name="Normal 8 4 2 3 2 2" xfId="7427" xr:uid="{00000000-0005-0000-0000-0000E71D0000}"/>
    <cellStyle name="Normal 8 4 2 3 3" xfId="5282" xr:uid="{00000000-0005-0000-0000-0000E81D0000}"/>
    <cellStyle name="Normal 8 4 2 4" xfId="1388" xr:uid="{00000000-0005-0000-0000-0000E91D0000}"/>
    <cellStyle name="Normal 8 4 2 4 2" xfId="3618" xr:uid="{00000000-0005-0000-0000-0000EA1D0000}"/>
    <cellStyle name="Normal 8 4 2 4 2 2" xfId="7840" xr:uid="{00000000-0005-0000-0000-0000EB1D0000}"/>
    <cellStyle name="Normal 8 4 2 4 3" xfId="5695" xr:uid="{00000000-0005-0000-0000-0000EC1D0000}"/>
    <cellStyle name="Normal 8 4 2 5" xfId="1801" xr:uid="{00000000-0005-0000-0000-0000ED1D0000}"/>
    <cellStyle name="Normal 8 4 2 5 2" xfId="4031" xr:uid="{00000000-0005-0000-0000-0000EE1D0000}"/>
    <cellStyle name="Normal 8 4 2 5 2 2" xfId="8253" xr:uid="{00000000-0005-0000-0000-0000EF1D0000}"/>
    <cellStyle name="Normal 8 4 2 5 3" xfId="6108" xr:uid="{00000000-0005-0000-0000-0000F01D0000}"/>
    <cellStyle name="Normal 8 4 2 6" xfId="2215" xr:uid="{00000000-0005-0000-0000-0000F11D0000}"/>
    <cellStyle name="Normal 8 4 2 6 2" xfId="4444" xr:uid="{00000000-0005-0000-0000-0000F21D0000}"/>
    <cellStyle name="Normal 8 4 2 6 2 2" xfId="8666" xr:uid="{00000000-0005-0000-0000-0000F31D0000}"/>
    <cellStyle name="Normal 8 4 2 6 3" xfId="6521" xr:uid="{00000000-0005-0000-0000-0000F41D0000}"/>
    <cellStyle name="Normal 8 4 2 7" xfId="2651" xr:uid="{00000000-0005-0000-0000-0000F51D0000}"/>
    <cellStyle name="Normal 8 4 2 7 2" xfId="6934" xr:uid="{00000000-0005-0000-0000-0000F61D0000}"/>
    <cellStyle name="Normal 8 4 2 8" xfId="4869"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29" xr:uid="{00000000-0005-0000-0000-0000FB1D0000}"/>
    <cellStyle name="Normal 8 4 3 2 3" xfId="5284" xr:uid="{00000000-0005-0000-0000-0000FC1D0000}"/>
    <cellStyle name="Normal 8 4 3 3" xfId="1390" xr:uid="{00000000-0005-0000-0000-0000FD1D0000}"/>
    <cellStyle name="Normal 8 4 3 3 2" xfId="3620" xr:uid="{00000000-0005-0000-0000-0000FE1D0000}"/>
    <cellStyle name="Normal 8 4 3 3 2 2" xfId="7842" xr:uid="{00000000-0005-0000-0000-0000FF1D0000}"/>
    <cellStyle name="Normal 8 4 3 3 3" xfId="5697" xr:uid="{00000000-0005-0000-0000-0000001E0000}"/>
    <cellStyle name="Normal 8 4 3 4" xfId="1803" xr:uid="{00000000-0005-0000-0000-0000011E0000}"/>
    <cellStyle name="Normal 8 4 3 4 2" xfId="4033" xr:uid="{00000000-0005-0000-0000-0000021E0000}"/>
    <cellStyle name="Normal 8 4 3 4 2 2" xfId="8255" xr:uid="{00000000-0005-0000-0000-0000031E0000}"/>
    <cellStyle name="Normal 8 4 3 4 3" xfId="6110" xr:uid="{00000000-0005-0000-0000-0000041E0000}"/>
    <cellStyle name="Normal 8 4 3 5" xfId="2217" xr:uid="{00000000-0005-0000-0000-0000051E0000}"/>
    <cellStyle name="Normal 8 4 3 5 2" xfId="4446" xr:uid="{00000000-0005-0000-0000-0000061E0000}"/>
    <cellStyle name="Normal 8 4 3 5 2 2" xfId="8668" xr:uid="{00000000-0005-0000-0000-0000071E0000}"/>
    <cellStyle name="Normal 8 4 3 5 3" xfId="6523" xr:uid="{00000000-0005-0000-0000-0000081E0000}"/>
    <cellStyle name="Normal 8 4 3 6" xfId="2653" xr:uid="{00000000-0005-0000-0000-0000091E0000}"/>
    <cellStyle name="Normal 8 4 3 6 2" xfId="6936" xr:uid="{00000000-0005-0000-0000-00000A1E0000}"/>
    <cellStyle name="Normal 8 4 3 7" xfId="4871" xr:uid="{00000000-0005-0000-0000-00000B1E0000}"/>
    <cellStyle name="Normal 8 4 4" xfId="970" xr:uid="{00000000-0005-0000-0000-00000C1E0000}"/>
    <cellStyle name="Normal 8 4 4 2" xfId="3204" xr:uid="{00000000-0005-0000-0000-00000D1E0000}"/>
    <cellStyle name="Normal 8 4 4 2 2" xfId="7426" xr:uid="{00000000-0005-0000-0000-00000E1E0000}"/>
    <cellStyle name="Normal 8 4 4 3" xfId="5281" xr:uid="{00000000-0005-0000-0000-00000F1E0000}"/>
    <cellStyle name="Normal 8 4 5" xfId="1387" xr:uid="{00000000-0005-0000-0000-0000101E0000}"/>
    <cellStyle name="Normal 8 4 5 2" xfId="3617" xr:uid="{00000000-0005-0000-0000-0000111E0000}"/>
    <cellStyle name="Normal 8 4 5 2 2" xfId="7839" xr:uid="{00000000-0005-0000-0000-0000121E0000}"/>
    <cellStyle name="Normal 8 4 5 3" xfId="5694" xr:uid="{00000000-0005-0000-0000-0000131E0000}"/>
    <cellStyle name="Normal 8 4 6" xfId="1800" xr:uid="{00000000-0005-0000-0000-0000141E0000}"/>
    <cellStyle name="Normal 8 4 6 2" xfId="4030" xr:uid="{00000000-0005-0000-0000-0000151E0000}"/>
    <cellStyle name="Normal 8 4 6 2 2" xfId="8252" xr:uid="{00000000-0005-0000-0000-0000161E0000}"/>
    <cellStyle name="Normal 8 4 6 3" xfId="6107" xr:uid="{00000000-0005-0000-0000-0000171E0000}"/>
    <cellStyle name="Normal 8 4 7" xfId="2214" xr:uid="{00000000-0005-0000-0000-0000181E0000}"/>
    <cellStyle name="Normal 8 4 7 2" xfId="4443" xr:uid="{00000000-0005-0000-0000-0000191E0000}"/>
    <cellStyle name="Normal 8 4 7 2 2" xfId="8665" xr:uid="{00000000-0005-0000-0000-00001A1E0000}"/>
    <cellStyle name="Normal 8 4 7 3" xfId="6520" xr:uid="{00000000-0005-0000-0000-00001B1E0000}"/>
    <cellStyle name="Normal 8 4 8" xfId="2650" xr:uid="{00000000-0005-0000-0000-00001C1E0000}"/>
    <cellStyle name="Normal 8 4 8 2" xfId="6933" xr:uid="{00000000-0005-0000-0000-00001D1E0000}"/>
    <cellStyle name="Normal 8 4 9" xfId="4868"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1" xr:uid="{00000000-0005-0000-0000-0000231E0000}"/>
    <cellStyle name="Normal 8 5 2 2 3" xfId="5286" xr:uid="{00000000-0005-0000-0000-0000241E0000}"/>
    <cellStyle name="Normal 8 5 2 3" xfId="1392" xr:uid="{00000000-0005-0000-0000-0000251E0000}"/>
    <cellStyle name="Normal 8 5 2 3 2" xfId="3622" xr:uid="{00000000-0005-0000-0000-0000261E0000}"/>
    <cellStyle name="Normal 8 5 2 3 2 2" xfId="7844" xr:uid="{00000000-0005-0000-0000-0000271E0000}"/>
    <cellStyle name="Normal 8 5 2 3 3" xfId="5699" xr:uid="{00000000-0005-0000-0000-0000281E0000}"/>
    <cellStyle name="Normal 8 5 2 4" xfId="1805" xr:uid="{00000000-0005-0000-0000-0000291E0000}"/>
    <cellStyle name="Normal 8 5 2 4 2" xfId="4035" xr:uid="{00000000-0005-0000-0000-00002A1E0000}"/>
    <cellStyle name="Normal 8 5 2 4 2 2" xfId="8257" xr:uid="{00000000-0005-0000-0000-00002B1E0000}"/>
    <cellStyle name="Normal 8 5 2 4 3" xfId="6112" xr:uid="{00000000-0005-0000-0000-00002C1E0000}"/>
    <cellStyle name="Normal 8 5 2 5" xfId="2219" xr:uid="{00000000-0005-0000-0000-00002D1E0000}"/>
    <cellStyle name="Normal 8 5 2 5 2" xfId="4448" xr:uid="{00000000-0005-0000-0000-00002E1E0000}"/>
    <cellStyle name="Normal 8 5 2 5 2 2" xfId="8670" xr:uid="{00000000-0005-0000-0000-00002F1E0000}"/>
    <cellStyle name="Normal 8 5 2 5 3" xfId="6525" xr:uid="{00000000-0005-0000-0000-0000301E0000}"/>
    <cellStyle name="Normal 8 5 2 6" xfId="2655" xr:uid="{00000000-0005-0000-0000-0000311E0000}"/>
    <cellStyle name="Normal 8 5 2 6 2" xfId="6938" xr:uid="{00000000-0005-0000-0000-0000321E0000}"/>
    <cellStyle name="Normal 8 5 2 7" xfId="4873" xr:uid="{00000000-0005-0000-0000-0000331E0000}"/>
    <cellStyle name="Normal 8 5 3" xfId="974" xr:uid="{00000000-0005-0000-0000-0000341E0000}"/>
    <cellStyle name="Normal 8 5 3 2" xfId="3208" xr:uid="{00000000-0005-0000-0000-0000351E0000}"/>
    <cellStyle name="Normal 8 5 3 2 2" xfId="7430" xr:uid="{00000000-0005-0000-0000-0000361E0000}"/>
    <cellStyle name="Normal 8 5 3 3" xfId="5285" xr:uid="{00000000-0005-0000-0000-0000371E0000}"/>
    <cellStyle name="Normal 8 5 4" xfId="1391" xr:uid="{00000000-0005-0000-0000-0000381E0000}"/>
    <cellStyle name="Normal 8 5 4 2" xfId="3621" xr:uid="{00000000-0005-0000-0000-0000391E0000}"/>
    <cellStyle name="Normal 8 5 4 2 2" xfId="7843" xr:uid="{00000000-0005-0000-0000-00003A1E0000}"/>
    <cellStyle name="Normal 8 5 4 3" xfId="5698" xr:uid="{00000000-0005-0000-0000-00003B1E0000}"/>
    <cellStyle name="Normal 8 5 5" xfId="1804" xr:uid="{00000000-0005-0000-0000-00003C1E0000}"/>
    <cellStyle name="Normal 8 5 5 2" xfId="4034" xr:uid="{00000000-0005-0000-0000-00003D1E0000}"/>
    <cellStyle name="Normal 8 5 5 2 2" xfId="8256" xr:uid="{00000000-0005-0000-0000-00003E1E0000}"/>
    <cellStyle name="Normal 8 5 5 3" xfId="6111" xr:uid="{00000000-0005-0000-0000-00003F1E0000}"/>
    <cellStyle name="Normal 8 5 6" xfId="2218" xr:uid="{00000000-0005-0000-0000-0000401E0000}"/>
    <cellStyle name="Normal 8 5 6 2" xfId="4447" xr:uid="{00000000-0005-0000-0000-0000411E0000}"/>
    <cellStyle name="Normal 8 5 6 2 2" xfId="8669" xr:uid="{00000000-0005-0000-0000-0000421E0000}"/>
    <cellStyle name="Normal 8 5 6 3" xfId="6524" xr:uid="{00000000-0005-0000-0000-0000431E0000}"/>
    <cellStyle name="Normal 8 5 7" xfId="2654" xr:uid="{00000000-0005-0000-0000-0000441E0000}"/>
    <cellStyle name="Normal 8 5 7 2" xfId="6937" xr:uid="{00000000-0005-0000-0000-0000451E0000}"/>
    <cellStyle name="Normal 8 5 8" xfId="4872"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2" xr:uid="{00000000-0005-0000-0000-00004A1E0000}"/>
    <cellStyle name="Normal 8 6 2 3" xfId="5287" xr:uid="{00000000-0005-0000-0000-00004B1E0000}"/>
    <cellStyle name="Normal 8 6 3" xfId="1393" xr:uid="{00000000-0005-0000-0000-00004C1E0000}"/>
    <cellStyle name="Normal 8 6 3 2" xfId="3623" xr:uid="{00000000-0005-0000-0000-00004D1E0000}"/>
    <cellStyle name="Normal 8 6 3 2 2" xfId="7845" xr:uid="{00000000-0005-0000-0000-00004E1E0000}"/>
    <cellStyle name="Normal 8 6 3 3" xfId="5700" xr:uid="{00000000-0005-0000-0000-00004F1E0000}"/>
    <cellStyle name="Normal 8 6 4" xfId="1806" xr:uid="{00000000-0005-0000-0000-0000501E0000}"/>
    <cellStyle name="Normal 8 6 4 2" xfId="4036" xr:uid="{00000000-0005-0000-0000-0000511E0000}"/>
    <cellStyle name="Normal 8 6 4 2 2" xfId="8258" xr:uid="{00000000-0005-0000-0000-0000521E0000}"/>
    <cellStyle name="Normal 8 6 4 3" xfId="6113" xr:uid="{00000000-0005-0000-0000-0000531E0000}"/>
    <cellStyle name="Normal 8 6 5" xfId="2220" xr:uid="{00000000-0005-0000-0000-0000541E0000}"/>
    <cellStyle name="Normal 8 6 5 2" xfId="4449" xr:uid="{00000000-0005-0000-0000-0000551E0000}"/>
    <cellStyle name="Normal 8 6 5 2 2" xfId="8671" xr:uid="{00000000-0005-0000-0000-0000561E0000}"/>
    <cellStyle name="Normal 8 6 5 3" xfId="6526" xr:uid="{00000000-0005-0000-0000-0000571E0000}"/>
    <cellStyle name="Normal 8 6 6" xfId="2656" xr:uid="{00000000-0005-0000-0000-0000581E0000}"/>
    <cellStyle name="Normal 8 6 6 2" xfId="6939" xr:uid="{00000000-0005-0000-0000-0000591E0000}"/>
    <cellStyle name="Normal 8 6 7" xfId="4874" xr:uid="{00000000-0005-0000-0000-00005A1E0000}"/>
    <cellStyle name="Normal 8 7" xfId="945" xr:uid="{00000000-0005-0000-0000-00005B1E0000}"/>
    <cellStyle name="Normal 8 7 2" xfId="3179" xr:uid="{00000000-0005-0000-0000-00005C1E0000}"/>
    <cellStyle name="Normal 8 7 2 2" xfId="7401" xr:uid="{00000000-0005-0000-0000-00005D1E0000}"/>
    <cellStyle name="Normal 8 7 3" xfId="5256" xr:uid="{00000000-0005-0000-0000-00005E1E0000}"/>
    <cellStyle name="Normal 8 8" xfId="1362" xr:uid="{00000000-0005-0000-0000-00005F1E0000}"/>
    <cellStyle name="Normal 8 8 2" xfId="3592" xr:uid="{00000000-0005-0000-0000-0000601E0000}"/>
    <cellStyle name="Normal 8 8 2 2" xfId="7814" xr:uid="{00000000-0005-0000-0000-0000611E0000}"/>
    <cellStyle name="Normal 8 8 3" xfId="5669" xr:uid="{00000000-0005-0000-0000-0000621E0000}"/>
    <cellStyle name="Normal 8 9" xfId="1775" xr:uid="{00000000-0005-0000-0000-0000631E0000}"/>
    <cellStyle name="Normal 8 9 2" xfId="4005" xr:uid="{00000000-0005-0000-0000-0000641E0000}"/>
    <cellStyle name="Normal 8 9 2 2" xfId="8227" xr:uid="{00000000-0005-0000-0000-0000651E0000}"/>
    <cellStyle name="Normal 8 9 3" xfId="6082"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0" xr:uid="{00000000-0005-0000-0000-00006A1E0000}"/>
    <cellStyle name="Normal 9 2 11" xfId="4875" xr:uid="{00000000-0005-0000-0000-00006B1E0000}"/>
    <cellStyle name="Normal 9 2 2" xfId="512" xr:uid="{00000000-0005-0000-0000-00006C1E0000}"/>
    <cellStyle name="Normal 9 2 2 10" xfId="4876"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7" xr:uid="{00000000-0005-0000-0000-0000731E0000}"/>
    <cellStyle name="Normal 9 2 2 2 2 2 2 3" xfId="5292" xr:uid="{00000000-0005-0000-0000-0000741E0000}"/>
    <cellStyle name="Normal 9 2 2 2 2 2 3" xfId="1398" xr:uid="{00000000-0005-0000-0000-0000751E0000}"/>
    <cellStyle name="Normal 9 2 2 2 2 2 3 2" xfId="3628" xr:uid="{00000000-0005-0000-0000-0000761E0000}"/>
    <cellStyle name="Normal 9 2 2 2 2 2 3 2 2" xfId="7850" xr:uid="{00000000-0005-0000-0000-0000771E0000}"/>
    <cellStyle name="Normal 9 2 2 2 2 2 3 3" xfId="5705" xr:uid="{00000000-0005-0000-0000-0000781E0000}"/>
    <cellStyle name="Normal 9 2 2 2 2 2 4" xfId="1811" xr:uid="{00000000-0005-0000-0000-0000791E0000}"/>
    <cellStyle name="Normal 9 2 2 2 2 2 4 2" xfId="4041" xr:uid="{00000000-0005-0000-0000-00007A1E0000}"/>
    <cellStyle name="Normal 9 2 2 2 2 2 4 2 2" xfId="8263" xr:uid="{00000000-0005-0000-0000-00007B1E0000}"/>
    <cellStyle name="Normal 9 2 2 2 2 2 4 3" xfId="6118" xr:uid="{00000000-0005-0000-0000-00007C1E0000}"/>
    <cellStyle name="Normal 9 2 2 2 2 2 5" xfId="2225" xr:uid="{00000000-0005-0000-0000-00007D1E0000}"/>
    <cellStyle name="Normal 9 2 2 2 2 2 5 2" xfId="4454" xr:uid="{00000000-0005-0000-0000-00007E1E0000}"/>
    <cellStyle name="Normal 9 2 2 2 2 2 5 2 2" xfId="8676" xr:uid="{00000000-0005-0000-0000-00007F1E0000}"/>
    <cellStyle name="Normal 9 2 2 2 2 2 5 3" xfId="6531" xr:uid="{00000000-0005-0000-0000-0000801E0000}"/>
    <cellStyle name="Normal 9 2 2 2 2 2 6" xfId="2661" xr:uid="{00000000-0005-0000-0000-0000811E0000}"/>
    <cellStyle name="Normal 9 2 2 2 2 2 6 2" xfId="6944" xr:uid="{00000000-0005-0000-0000-0000821E0000}"/>
    <cellStyle name="Normal 9 2 2 2 2 2 7" xfId="4879" xr:uid="{00000000-0005-0000-0000-0000831E0000}"/>
    <cellStyle name="Normal 9 2 2 2 2 3" xfId="981" xr:uid="{00000000-0005-0000-0000-0000841E0000}"/>
    <cellStyle name="Normal 9 2 2 2 2 3 2" xfId="3214" xr:uid="{00000000-0005-0000-0000-0000851E0000}"/>
    <cellStyle name="Normal 9 2 2 2 2 3 2 2" xfId="7436" xr:uid="{00000000-0005-0000-0000-0000861E0000}"/>
    <cellStyle name="Normal 9 2 2 2 2 3 3" xfId="5291" xr:uid="{00000000-0005-0000-0000-0000871E0000}"/>
    <cellStyle name="Normal 9 2 2 2 2 4" xfId="1397" xr:uid="{00000000-0005-0000-0000-0000881E0000}"/>
    <cellStyle name="Normal 9 2 2 2 2 4 2" xfId="3627" xr:uid="{00000000-0005-0000-0000-0000891E0000}"/>
    <cellStyle name="Normal 9 2 2 2 2 4 2 2" xfId="7849" xr:uid="{00000000-0005-0000-0000-00008A1E0000}"/>
    <cellStyle name="Normal 9 2 2 2 2 4 3" xfId="5704" xr:uid="{00000000-0005-0000-0000-00008B1E0000}"/>
    <cellStyle name="Normal 9 2 2 2 2 5" xfId="1810" xr:uid="{00000000-0005-0000-0000-00008C1E0000}"/>
    <cellStyle name="Normal 9 2 2 2 2 5 2" xfId="4040" xr:uid="{00000000-0005-0000-0000-00008D1E0000}"/>
    <cellStyle name="Normal 9 2 2 2 2 5 2 2" xfId="8262" xr:uid="{00000000-0005-0000-0000-00008E1E0000}"/>
    <cellStyle name="Normal 9 2 2 2 2 5 3" xfId="6117" xr:uid="{00000000-0005-0000-0000-00008F1E0000}"/>
    <cellStyle name="Normal 9 2 2 2 2 6" xfId="2224" xr:uid="{00000000-0005-0000-0000-0000901E0000}"/>
    <cellStyle name="Normal 9 2 2 2 2 6 2" xfId="4453" xr:uid="{00000000-0005-0000-0000-0000911E0000}"/>
    <cellStyle name="Normal 9 2 2 2 2 6 2 2" xfId="8675" xr:uid="{00000000-0005-0000-0000-0000921E0000}"/>
    <cellStyle name="Normal 9 2 2 2 2 6 3" xfId="6530" xr:uid="{00000000-0005-0000-0000-0000931E0000}"/>
    <cellStyle name="Normal 9 2 2 2 2 7" xfId="2660" xr:uid="{00000000-0005-0000-0000-0000941E0000}"/>
    <cellStyle name="Normal 9 2 2 2 2 7 2" xfId="6943" xr:uid="{00000000-0005-0000-0000-0000951E0000}"/>
    <cellStyle name="Normal 9 2 2 2 2 8" xfId="4878"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8" xr:uid="{00000000-0005-0000-0000-00009A1E0000}"/>
    <cellStyle name="Normal 9 2 2 2 3 2 3" xfId="5293" xr:uid="{00000000-0005-0000-0000-00009B1E0000}"/>
    <cellStyle name="Normal 9 2 2 2 3 3" xfId="1399" xr:uid="{00000000-0005-0000-0000-00009C1E0000}"/>
    <cellStyle name="Normal 9 2 2 2 3 3 2" xfId="3629" xr:uid="{00000000-0005-0000-0000-00009D1E0000}"/>
    <cellStyle name="Normal 9 2 2 2 3 3 2 2" xfId="7851" xr:uid="{00000000-0005-0000-0000-00009E1E0000}"/>
    <cellStyle name="Normal 9 2 2 2 3 3 3" xfId="5706" xr:uid="{00000000-0005-0000-0000-00009F1E0000}"/>
    <cellStyle name="Normal 9 2 2 2 3 4" xfId="1812" xr:uid="{00000000-0005-0000-0000-0000A01E0000}"/>
    <cellStyle name="Normal 9 2 2 2 3 4 2" xfId="4042" xr:uid="{00000000-0005-0000-0000-0000A11E0000}"/>
    <cellStyle name="Normal 9 2 2 2 3 4 2 2" xfId="8264" xr:uid="{00000000-0005-0000-0000-0000A21E0000}"/>
    <cellStyle name="Normal 9 2 2 2 3 4 3" xfId="6119" xr:uid="{00000000-0005-0000-0000-0000A31E0000}"/>
    <cellStyle name="Normal 9 2 2 2 3 5" xfId="2226" xr:uid="{00000000-0005-0000-0000-0000A41E0000}"/>
    <cellStyle name="Normal 9 2 2 2 3 5 2" xfId="4455" xr:uid="{00000000-0005-0000-0000-0000A51E0000}"/>
    <cellStyle name="Normal 9 2 2 2 3 5 2 2" xfId="8677" xr:uid="{00000000-0005-0000-0000-0000A61E0000}"/>
    <cellStyle name="Normal 9 2 2 2 3 5 3" xfId="6532" xr:uid="{00000000-0005-0000-0000-0000A71E0000}"/>
    <cellStyle name="Normal 9 2 2 2 3 6" xfId="2662" xr:uid="{00000000-0005-0000-0000-0000A81E0000}"/>
    <cellStyle name="Normal 9 2 2 2 3 6 2" xfId="6945" xr:uid="{00000000-0005-0000-0000-0000A91E0000}"/>
    <cellStyle name="Normal 9 2 2 2 3 7" xfId="4880" xr:uid="{00000000-0005-0000-0000-0000AA1E0000}"/>
    <cellStyle name="Normal 9 2 2 2 4" xfId="980" xr:uid="{00000000-0005-0000-0000-0000AB1E0000}"/>
    <cellStyle name="Normal 9 2 2 2 4 2" xfId="3213" xr:uid="{00000000-0005-0000-0000-0000AC1E0000}"/>
    <cellStyle name="Normal 9 2 2 2 4 2 2" xfId="7435" xr:uid="{00000000-0005-0000-0000-0000AD1E0000}"/>
    <cellStyle name="Normal 9 2 2 2 4 3" xfId="5290" xr:uid="{00000000-0005-0000-0000-0000AE1E0000}"/>
    <cellStyle name="Normal 9 2 2 2 5" xfId="1396" xr:uid="{00000000-0005-0000-0000-0000AF1E0000}"/>
    <cellStyle name="Normal 9 2 2 2 5 2" xfId="3626" xr:uid="{00000000-0005-0000-0000-0000B01E0000}"/>
    <cellStyle name="Normal 9 2 2 2 5 2 2" xfId="7848" xr:uid="{00000000-0005-0000-0000-0000B11E0000}"/>
    <cellStyle name="Normal 9 2 2 2 5 3" xfId="5703" xr:uid="{00000000-0005-0000-0000-0000B21E0000}"/>
    <cellStyle name="Normal 9 2 2 2 6" xfId="1809" xr:uid="{00000000-0005-0000-0000-0000B31E0000}"/>
    <cellStyle name="Normal 9 2 2 2 6 2" xfId="4039" xr:uid="{00000000-0005-0000-0000-0000B41E0000}"/>
    <cellStyle name="Normal 9 2 2 2 6 2 2" xfId="8261" xr:uid="{00000000-0005-0000-0000-0000B51E0000}"/>
    <cellStyle name="Normal 9 2 2 2 6 3" xfId="6116" xr:uid="{00000000-0005-0000-0000-0000B61E0000}"/>
    <cellStyle name="Normal 9 2 2 2 7" xfId="2223" xr:uid="{00000000-0005-0000-0000-0000B71E0000}"/>
    <cellStyle name="Normal 9 2 2 2 7 2" xfId="4452" xr:uid="{00000000-0005-0000-0000-0000B81E0000}"/>
    <cellStyle name="Normal 9 2 2 2 7 2 2" xfId="8674" xr:uid="{00000000-0005-0000-0000-0000B91E0000}"/>
    <cellStyle name="Normal 9 2 2 2 7 3" xfId="6529" xr:uid="{00000000-0005-0000-0000-0000BA1E0000}"/>
    <cellStyle name="Normal 9 2 2 2 8" xfId="2659" xr:uid="{00000000-0005-0000-0000-0000BB1E0000}"/>
    <cellStyle name="Normal 9 2 2 2 8 2" xfId="6942" xr:uid="{00000000-0005-0000-0000-0000BC1E0000}"/>
    <cellStyle name="Normal 9 2 2 2 9" xfId="4877"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0" xr:uid="{00000000-0005-0000-0000-0000C21E0000}"/>
    <cellStyle name="Normal 9 2 2 3 2 2 3" xfId="5295" xr:uid="{00000000-0005-0000-0000-0000C31E0000}"/>
    <cellStyle name="Normal 9 2 2 3 2 3" xfId="1401" xr:uid="{00000000-0005-0000-0000-0000C41E0000}"/>
    <cellStyle name="Normal 9 2 2 3 2 3 2" xfId="3631" xr:uid="{00000000-0005-0000-0000-0000C51E0000}"/>
    <cellStyle name="Normal 9 2 2 3 2 3 2 2" xfId="7853" xr:uid="{00000000-0005-0000-0000-0000C61E0000}"/>
    <cellStyle name="Normal 9 2 2 3 2 3 3" xfId="5708" xr:uid="{00000000-0005-0000-0000-0000C71E0000}"/>
    <cellStyle name="Normal 9 2 2 3 2 4" xfId="1814" xr:uid="{00000000-0005-0000-0000-0000C81E0000}"/>
    <cellStyle name="Normal 9 2 2 3 2 4 2" xfId="4044" xr:uid="{00000000-0005-0000-0000-0000C91E0000}"/>
    <cellStyle name="Normal 9 2 2 3 2 4 2 2" xfId="8266" xr:uid="{00000000-0005-0000-0000-0000CA1E0000}"/>
    <cellStyle name="Normal 9 2 2 3 2 4 3" xfId="6121" xr:uid="{00000000-0005-0000-0000-0000CB1E0000}"/>
    <cellStyle name="Normal 9 2 2 3 2 5" xfId="2228" xr:uid="{00000000-0005-0000-0000-0000CC1E0000}"/>
    <cellStyle name="Normal 9 2 2 3 2 5 2" xfId="4457" xr:uid="{00000000-0005-0000-0000-0000CD1E0000}"/>
    <cellStyle name="Normal 9 2 2 3 2 5 2 2" xfId="8679" xr:uid="{00000000-0005-0000-0000-0000CE1E0000}"/>
    <cellStyle name="Normal 9 2 2 3 2 5 3" xfId="6534" xr:uid="{00000000-0005-0000-0000-0000CF1E0000}"/>
    <cellStyle name="Normal 9 2 2 3 2 6" xfId="2664" xr:uid="{00000000-0005-0000-0000-0000D01E0000}"/>
    <cellStyle name="Normal 9 2 2 3 2 6 2" xfId="6947" xr:uid="{00000000-0005-0000-0000-0000D11E0000}"/>
    <cellStyle name="Normal 9 2 2 3 2 7" xfId="4882" xr:uid="{00000000-0005-0000-0000-0000D21E0000}"/>
    <cellStyle name="Normal 9 2 2 3 3" xfId="984" xr:uid="{00000000-0005-0000-0000-0000D31E0000}"/>
    <cellStyle name="Normal 9 2 2 3 3 2" xfId="3217" xr:uid="{00000000-0005-0000-0000-0000D41E0000}"/>
    <cellStyle name="Normal 9 2 2 3 3 2 2" xfId="7439" xr:uid="{00000000-0005-0000-0000-0000D51E0000}"/>
    <cellStyle name="Normal 9 2 2 3 3 3" xfId="5294" xr:uid="{00000000-0005-0000-0000-0000D61E0000}"/>
    <cellStyle name="Normal 9 2 2 3 4" xfId="1400" xr:uid="{00000000-0005-0000-0000-0000D71E0000}"/>
    <cellStyle name="Normal 9 2 2 3 4 2" xfId="3630" xr:uid="{00000000-0005-0000-0000-0000D81E0000}"/>
    <cellStyle name="Normal 9 2 2 3 4 2 2" xfId="7852" xr:uid="{00000000-0005-0000-0000-0000D91E0000}"/>
    <cellStyle name="Normal 9 2 2 3 4 3" xfId="5707" xr:uid="{00000000-0005-0000-0000-0000DA1E0000}"/>
    <cellStyle name="Normal 9 2 2 3 5" xfId="1813" xr:uid="{00000000-0005-0000-0000-0000DB1E0000}"/>
    <cellStyle name="Normal 9 2 2 3 5 2" xfId="4043" xr:uid="{00000000-0005-0000-0000-0000DC1E0000}"/>
    <cellStyle name="Normal 9 2 2 3 5 2 2" xfId="8265" xr:uid="{00000000-0005-0000-0000-0000DD1E0000}"/>
    <cellStyle name="Normal 9 2 2 3 5 3" xfId="6120" xr:uid="{00000000-0005-0000-0000-0000DE1E0000}"/>
    <cellStyle name="Normal 9 2 2 3 6" xfId="2227" xr:uid="{00000000-0005-0000-0000-0000DF1E0000}"/>
    <cellStyle name="Normal 9 2 2 3 6 2" xfId="4456" xr:uid="{00000000-0005-0000-0000-0000E01E0000}"/>
    <cellStyle name="Normal 9 2 2 3 6 2 2" xfId="8678" xr:uid="{00000000-0005-0000-0000-0000E11E0000}"/>
    <cellStyle name="Normal 9 2 2 3 6 3" xfId="6533" xr:uid="{00000000-0005-0000-0000-0000E21E0000}"/>
    <cellStyle name="Normal 9 2 2 3 7" xfId="2663" xr:uid="{00000000-0005-0000-0000-0000E31E0000}"/>
    <cellStyle name="Normal 9 2 2 3 7 2" xfId="6946" xr:uid="{00000000-0005-0000-0000-0000E41E0000}"/>
    <cellStyle name="Normal 9 2 2 3 8" xfId="4881"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1" xr:uid="{00000000-0005-0000-0000-0000E91E0000}"/>
    <cellStyle name="Normal 9 2 2 4 2 3" xfId="5296" xr:uid="{00000000-0005-0000-0000-0000EA1E0000}"/>
    <cellStyle name="Normal 9 2 2 4 3" xfId="1402" xr:uid="{00000000-0005-0000-0000-0000EB1E0000}"/>
    <cellStyle name="Normal 9 2 2 4 3 2" xfId="3632" xr:uid="{00000000-0005-0000-0000-0000EC1E0000}"/>
    <cellStyle name="Normal 9 2 2 4 3 2 2" xfId="7854" xr:uid="{00000000-0005-0000-0000-0000ED1E0000}"/>
    <cellStyle name="Normal 9 2 2 4 3 3" xfId="5709" xr:uid="{00000000-0005-0000-0000-0000EE1E0000}"/>
    <cellStyle name="Normal 9 2 2 4 4" xfId="1815" xr:uid="{00000000-0005-0000-0000-0000EF1E0000}"/>
    <cellStyle name="Normal 9 2 2 4 4 2" xfId="4045" xr:uid="{00000000-0005-0000-0000-0000F01E0000}"/>
    <cellStyle name="Normal 9 2 2 4 4 2 2" xfId="8267" xr:uid="{00000000-0005-0000-0000-0000F11E0000}"/>
    <cellStyle name="Normal 9 2 2 4 4 3" xfId="6122" xr:uid="{00000000-0005-0000-0000-0000F21E0000}"/>
    <cellStyle name="Normal 9 2 2 4 5" xfId="2229" xr:uid="{00000000-0005-0000-0000-0000F31E0000}"/>
    <cellStyle name="Normal 9 2 2 4 5 2" xfId="4458" xr:uid="{00000000-0005-0000-0000-0000F41E0000}"/>
    <cellStyle name="Normal 9 2 2 4 5 2 2" xfId="8680" xr:uid="{00000000-0005-0000-0000-0000F51E0000}"/>
    <cellStyle name="Normal 9 2 2 4 5 3" xfId="6535" xr:uid="{00000000-0005-0000-0000-0000F61E0000}"/>
    <cellStyle name="Normal 9 2 2 4 6" xfId="2665" xr:uid="{00000000-0005-0000-0000-0000F71E0000}"/>
    <cellStyle name="Normal 9 2 2 4 6 2" xfId="6948" xr:uid="{00000000-0005-0000-0000-0000F81E0000}"/>
    <cellStyle name="Normal 9 2 2 4 7" xfId="4883" xr:uid="{00000000-0005-0000-0000-0000F91E0000}"/>
    <cellStyle name="Normal 9 2 2 5" xfId="979" xr:uid="{00000000-0005-0000-0000-0000FA1E0000}"/>
    <cellStyle name="Normal 9 2 2 5 2" xfId="3212" xr:uid="{00000000-0005-0000-0000-0000FB1E0000}"/>
    <cellStyle name="Normal 9 2 2 5 2 2" xfId="7434" xr:uid="{00000000-0005-0000-0000-0000FC1E0000}"/>
    <cellStyle name="Normal 9 2 2 5 3" xfId="5289" xr:uid="{00000000-0005-0000-0000-0000FD1E0000}"/>
    <cellStyle name="Normal 9 2 2 6" xfId="1395" xr:uid="{00000000-0005-0000-0000-0000FE1E0000}"/>
    <cellStyle name="Normal 9 2 2 6 2" xfId="3625" xr:uid="{00000000-0005-0000-0000-0000FF1E0000}"/>
    <cellStyle name="Normal 9 2 2 6 2 2" xfId="7847" xr:uid="{00000000-0005-0000-0000-0000001F0000}"/>
    <cellStyle name="Normal 9 2 2 6 3" xfId="5702" xr:uid="{00000000-0005-0000-0000-0000011F0000}"/>
    <cellStyle name="Normal 9 2 2 7" xfId="1808" xr:uid="{00000000-0005-0000-0000-0000021F0000}"/>
    <cellStyle name="Normal 9 2 2 7 2" xfId="4038" xr:uid="{00000000-0005-0000-0000-0000031F0000}"/>
    <cellStyle name="Normal 9 2 2 7 2 2" xfId="8260" xr:uid="{00000000-0005-0000-0000-0000041F0000}"/>
    <cellStyle name="Normal 9 2 2 7 3" xfId="6115" xr:uid="{00000000-0005-0000-0000-0000051F0000}"/>
    <cellStyle name="Normal 9 2 2 8" xfId="2222" xr:uid="{00000000-0005-0000-0000-0000061F0000}"/>
    <cellStyle name="Normal 9 2 2 8 2" xfId="4451" xr:uid="{00000000-0005-0000-0000-0000071F0000}"/>
    <cellStyle name="Normal 9 2 2 8 2 2" xfId="8673" xr:uid="{00000000-0005-0000-0000-0000081F0000}"/>
    <cellStyle name="Normal 9 2 2 8 3" xfId="6528" xr:uid="{00000000-0005-0000-0000-0000091F0000}"/>
    <cellStyle name="Normal 9 2 2 9" xfId="2658" xr:uid="{00000000-0005-0000-0000-00000A1F0000}"/>
    <cellStyle name="Normal 9 2 2 9 2" xfId="6941"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4" xr:uid="{00000000-0005-0000-0000-0000111F0000}"/>
    <cellStyle name="Normal 9 2 3 2 2 2 3" xfId="5299" xr:uid="{00000000-0005-0000-0000-0000121F0000}"/>
    <cellStyle name="Normal 9 2 3 2 2 3" xfId="1405" xr:uid="{00000000-0005-0000-0000-0000131F0000}"/>
    <cellStyle name="Normal 9 2 3 2 2 3 2" xfId="3635" xr:uid="{00000000-0005-0000-0000-0000141F0000}"/>
    <cellStyle name="Normal 9 2 3 2 2 3 2 2" xfId="7857" xr:uid="{00000000-0005-0000-0000-0000151F0000}"/>
    <cellStyle name="Normal 9 2 3 2 2 3 3" xfId="5712" xr:uid="{00000000-0005-0000-0000-0000161F0000}"/>
    <cellStyle name="Normal 9 2 3 2 2 4" xfId="1818" xr:uid="{00000000-0005-0000-0000-0000171F0000}"/>
    <cellStyle name="Normal 9 2 3 2 2 4 2" xfId="4048" xr:uid="{00000000-0005-0000-0000-0000181F0000}"/>
    <cellStyle name="Normal 9 2 3 2 2 4 2 2" xfId="8270" xr:uid="{00000000-0005-0000-0000-0000191F0000}"/>
    <cellStyle name="Normal 9 2 3 2 2 4 3" xfId="6125" xr:uid="{00000000-0005-0000-0000-00001A1F0000}"/>
    <cellStyle name="Normal 9 2 3 2 2 5" xfId="2232" xr:uid="{00000000-0005-0000-0000-00001B1F0000}"/>
    <cellStyle name="Normal 9 2 3 2 2 5 2" xfId="4461" xr:uid="{00000000-0005-0000-0000-00001C1F0000}"/>
    <cellStyle name="Normal 9 2 3 2 2 5 2 2" xfId="8683" xr:uid="{00000000-0005-0000-0000-00001D1F0000}"/>
    <cellStyle name="Normal 9 2 3 2 2 5 3" xfId="6538" xr:uid="{00000000-0005-0000-0000-00001E1F0000}"/>
    <cellStyle name="Normal 9 2 3 2 2 6" xfId="2668" xr:uid="{00000000-0005-0000-0000-00001F1F0000}"/>
    <cellStyle name="Normal 9 2 3 2 2 6 2" xfId="6951" xr:uid="{00000000-0005-0000-0000-0000201F0000}"/>
    <cellStyle name="Normal 9 2 3 2 2 7" xfId="4886" xr:uid="{00000000-0005-0000-0000-0000211F0000}"/>
    <cellStyle name="Normal 9 2 3 2 3" xfId="988" xr:uid="{00000000-0005-0000-0000-0000221F0000}"/>
    <cellStyle name="Normal 9 2 3 2 3 2" xfId="3221" xr:uid="{00000000-0005-0000-0000-0000231F0000}"/>
    <cellStyle name="Normal 9 2 3 2 3 2 2" xfId="7443" xr:uid="{00000000-0005-0000-0000-0000241F0000}"/>
    <cellStyle name="Normal 9 2 3 2 3 3" xfId="5298" xr:uid="{00000000-0005-0000-0000-0000251F0000}"/>
    <cellStyle name="Normal 9 2 3 2 4" xfId="1404" xr:uid="{00000000-0005-0000-0000-0000261F0000}"/>
    <cellStyle name="Normal 9 2 3 2 4 2" xfId="3634" xr:uid="{00000000-0005-0000-0000-0000271F0000}"/>
    <cellStyle name="Normal 9 2 3 2 4 2 2" xfId="7856" xr:uid="{00000000-0005-0000-0000-0000281F0000}"/>
    <cellStyle name="Normal 9 2 3 2 4 3" xfId="5711" xr:uid="{00000000-0005-0000-0000-0000291F0000}"/>
    <cellStyle name="Normal 9 2 3 2 5" xfId="1817" xr:uid="{00000000-0005-0000-0000-00002A1F0000}"/>
    <cellStyle name="Normal 9 2 3 2 5 2" xfId="4047" xr:uid="{00000000-0005-0000-0000-00002B1F0000}"/>
    <cellStyle name="Normal 9 2 3 2 5 2 2" xfId="8269" xr:uid="{00000000-0005-0000-0000-00002C1F0000}"/>
    <cellStyle name="Normal 9 2 3 2 5 3" xfId="6124" xr:uid="{00000000-0005-0000-0000-00002D1F0000}"/>
    <cellStyle name="Normal 9 2 3 2 6" xfId="2231" xr:uid="{00000000-0005-0000-0000-00002E1F0000}"/>
    <cellStyle name="Normal 9 2 3 2 6 2" xfId="4460" xr:uid="{00000000-0005-0000-0000-00002F1F0000}"/>
    <cellStyle name="Normal 9 2 3 2 6 2 2" xfId="8682" xr:uid="{00000000-0005-0000-0000-0000301F0000}"/>
    <cellStyle name="Normal 9 2 3 2 6 3" xfId="6537" xr:uid="{00000000-0005-0000-0000-0000311F0000}"/>
    <cellStyle name="Normal 9 2 3 2 7" xfId="2667" xr:uid="{00000000-0005-0000-0000-0000321F0000}"/>
    <cellStyle name="Normal 9 2 3 2 7 2" xfId="6950" xr:uid="{00000000-0005-0000-0000-0000331F0000}"/>
    <cellStyle name="Normal 9 2 3 2 8" xfId="4885"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5" xr:uid="{00000000-0005-0000-0000-0000381F0000}"/>
    <cellStyle name="Normal 9 2 3 3 2 3" xfId="5300" xr:uid="{00000000-0005-0000-0000-0000391F0000}"/>
    <cellStyle name="Normal 9 2 3 3 3" xfId="1406" xr:uid="{00000000-0005-0000-0000-00003A1F0000}"/>
    <cellStyle name="Normal 9 2 3 3 3 2" xfId="3636" xr:uid="{00000000-0005-0000-0000-00003B1F0000}"/>
    <cellStyle name="Normal 9 2 3 3 3 2 2" xfId="7858" xr:uid="{00000000-0005-0000-0000-00003C1F0000}"/>
    <cellStyle name="Normal 9 2 3 3 3 3" xfId="5713" xr:uid="{00000000-0005-0000-0000-00003D1F0000}"/>
    <cellStyle name="Normal 9 2 3 3 4" xfId="1819" xr:uid="{00000000-0005-0000-0000-00003E1F0000}"/>
    <cellStyle name="Normal 9 2 3 3 4 2" xfId="4049" xr:uid="{00000000-0005-0000-0000-00003F1F0000}"/>
    <cellStyle name="Normal 9 2 3 3 4 2 2" xfId="8271" xr:uid="{00000000-0005-0000-0000-0000401F0000}"/>
    <cellStyle name="Normal 9 2 3 3 4 3" xfId="6126" xr:uid="{00000000-0005-0000-0000-0000411F0000}"/>
    <cellStyle name="Normal 9 2 3 3 5" xfId="2233" xr:uid="{00000000-0005-0000-0000-0000421F0000}"/>
    <cellStyle name="Normal 9 2 3 3 5 2" xfId="4462" xr:uid="{00000000-0005-0000-0000-0000431F0000}"/>
    <cellStyle name="Normal 9 2 3 3 5 2 2" xfId="8684" xr:uid="{00000000-0005-0000-0000-0000441F0000}"/>
    <cellStyle name="Normal 9 2 3 3 5 3" xfId="6539" xr:uid="{00000000-0005-0000-0000-0000451F0000}"/>
    <cellStyle name="Normal 9 2 3 3 6" xfId="2669" xr:uid="{00000000-0005-0000-0000-0000461F0000}"/>
    <cellStyle name="Normal 9 2 3 3 6 2" xfId="6952" xr:uid="{00000000-0005-0000-0000-0000471F0000}"/>
    <cellStyle name="Normal 9 2 3 3 7" xfId="4887" xr:uid="{00000000-0005-0000-0000-0000481F0000}"/>
    <cellStyle name="Normal 9 2 3 4" xfId="987" xr:uid="{00000000-0005-0000-0000-0000491F0000}"/>
    <cellStyle name="Normal 9 2 3 4 2" xfId="3220" xr:uid="{00000000-0005-0000-0000-00004A1F0000}"/>
    <cellStyle name="Normal 9 2 3 4 2 2" xfId="7442" xr:uid="{00000000-0005-0000-0000-00004B1F0000}"/>
    <cellStyle name="Normal 9 2 3 4 3" xfId="5297" xr:uid="{00000000-0005-0000-0000-00004C1F0000}"/>
    <cellStyle name="Normal 9 2 3 5" xfId="1403" xr:uid="{00000000-0005-0000-0000-00004D1F0000}"/>
    <cellStyle name="Normal 9 2 3 5 2" xfId="3633" xr:uid="{00000000-0005-0000-0000-00004E1F0000}"/>
    <cellStyle name="Normal 9 2 3 5 2 2" xfId="7855" xr:uid="{00000000-0005-0000-0000-00004F1F0000}"/>
    <cellStyle name="Normal 9 2 3 5 3" xfId="5710" xr:uid="{00000000-0005-0000-0000-0000501F0000}"/>
    <cellStyle name="Normal 9 2 3 6" xfId="1816" xr:uid="{00000000-0005-0000-0000-0000511F0000}"/>
    <cellStyle name="Normal 9 2 3 6 2" xfId="4046" xr:uid="{00000000-0005-0000-0000-0000521F0000}"/>
    <cellStyle name="Normal 9 2 3 6 2 2" xfId="8268" xr:uid="{00000000-0005-0000-0000-0000531F0000}"/>
    <cellStyle name="Normal 9 2 3 6 3" xfId="6123" xr:uid="{00000000-0005-0000-0000-0000541F0000}"/>
    <cellStyle name="Normal 9 2 3 7" xfId="2230" xr:uid="{00000000-0005-0000-0000-0000551F0000}"/>
    <cellStyle name="Normal 9 2 3 7 2" xfId="4459" xr:uid="{00000000-0005-0000-0000-0000561F0000}"/>
    <cellStyle name="Normal 9 2 3 7 2 2" xfId="8681" xr:uid="{00000000-0005-0000-0000-0000571F0000}"/>
    <cellStyle name="Normal 9 2 3 7 3" xfId="6536" xr:uid="{00000000-0005-0000-0000-0000581F0000}"/>
    <cellStyle name="Normal 9 2 3 8" xfId="2666" xr:uid="{00000000-0005-0000-0000-0000591F0000}"/>
    <cellStyle name="Normal 9 2 3 8 2" xfId="6949" xr:uid="{00000000-0005-0000-0000-00005A1F0000}"/>
    <cellStyle name="Normal 9 2 3 9" xfId="4884"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7" xr:uid="{00000000-0005-0000-0000-0000601F0000}"/>
    <cellStyle name="Normal 9 2 4 2 2 3" xfId="5302" xr:uid="{00000000-0005-0000-0000-0000611F0000}"/>
    <cellStyle name="Normal 9 2 4 2 3" xfId="1408" xr:uid="{00000000-0005-0000-0000-0000621F0000}"/>
    <cellStyle name="Normal 9 2 4 2 3 2" xfId="3638" xr:uid="{00000000-0005-0000-0000-0000631F0000}"/>
    <cellStyle name="Normal 9 2 4 2 3 2 2" xfId="7860" xr:uid="{00000000-0005-0000-0000-0000641F0000}"/>
    <cellStyle name="Normal 9 2 4 2 3 3" xfId="5715" xr:uid="{00000000-0005-0000-0000-0000651F0000}"/>
    <cellStyle name="Normal 9 2 4 2 4" xfId="1821" xr:uid="{00000000-0005-0000-0000-0000661F0000}"/>
    <cellStyle name="Normal 9 2 4 2 4 2" xfId="4051" xr:uid="{00000000-0005-0000-0000-0000671F0000}"/>
    <cellStyle name="Normal 9 2 4 2 4 2 2" xfId="8273" xr:uid="{00000000-0005-0000-0000-0000681F0000}"/>
    <cellStyle name="Normal 9 2 4 2 4 3" xfId="6128" xr:uid="{00000000-0005-0000-0000-0000691F0000}"/>
    <cellStyle name="Normal 9 2 4 2 5" xfId="2235" xr:uid="{00000000-0005-0000-0000-00006A1F0000}"/>
    <cellStyle name="Normal 9 2 4 2 5 2" xfId="4464" xr:uid="{00000000-0005-0000-0000-00006B1F0000}"/>
    <cellStyle name="Normal 9 2 4 2 5 2 2" xfId="8686" xr:uid="{00000000-0005-0000-0000-00006C1F0000}"/>
    <cellStyle name="Normal 9 2 4 2 5 3" xfId="6541" xr:uid="{00000000-0005-0000-0000-00006D1F0000}"/>
    <cellStyle name="Normal 9 2 4 2 6" xfId="2671" xr:uid="{00000000-0005-0000-0000-00006E1F0000}"/>
    <cellStyle name="Normal 9 2 4 2 6 2" xfId="6954" xr:uid="{00000000-0005-0000-0000-00006F1F0000}"/>
    <cellStyle name="Normal 9 2 4 2 7" xfId="4889" xr:uid="{00000000-0005-0000-0000-0000701F0000}"/>
    <cellStyle name="Normal 9 2 4 3" xfId="991" xr:uid="{00000000-0005-0000-0000-0000711F0000}"/>
    <cellStyle name="Normal 9 2 4 3 2" xfId="3224" xr:uid="{00000000-0005-0000-0000-0000721F0000}"/>
    <cellStyle name="Normal 9 2 4 3 2 2" xfId="7446" xr:uid="{00000000-0005-0000-0000-0000731F0000}"/>
    <cellStyle name="Normal 9 2 4 3 3" xfId="5301" xr:uid="{00000000-0005-0000-0000-0000741F0000}"/>
    <cellStyle name="Normal 9 2 4 4" xfId="1407" xr:uid="{00000000-0005-0000-0000-0000751F0000}"/>
    <cellStyle name="Normal 9 2 4 4 2" xfId="3637" xr:uid="{00000000-0005-0000-0000-0000761F0000}"/>
    <cellStyle name="Normal 9 2 4 4 2 2" xfId="7859" xr:uid="{00000000-0005-0000-0000-0000771F0000}"/>
    <cellStyle name="Normal 9 2 4 4 3" xfId="5714" xr:uid="{00000000-0005-0000-0000-0000781F0000}"/>
    <cellStyle name="Normal 9 2 4 5" xfId="1820" xr:uid="{00000000-0005-0000-0000-0000791F0000}"/>
    <cellStyle name="Normal 9 2 4 5 2" xfId="4050" xr:uid="{00000000-0005-0000-0000-00007A1F0000}"/>
    <cellStyle name="Normal 9 2 4 5 2 2" xfId="8272" xr:uid="{00000000-0005-0000-0000-00007B1F0000}"/>
    <cellStyle name="Normal 9 2 4 5 3" xfId="6127" xr:uid="{00000000-0005-0000-0000-00007C1F0000}"/>
    <cellStyle name="Normal 9 2 4 6" xfId="2234" xr:uid="{00000000-0005-0000-0000-00007D1F0000}"/>
    <cellStyle name="Normal 9 2 4 6 2" xfId="4463" xr:uid="{00000000-0005-0000-0000-00007E1F0000}"/>
    <cellStyle name="Normal 9 2 4 6 2 2" xfId="8685" xr:uid="{00000000-0005-0000-0000-00007F1F0000}"/>
    <cellStyle name="Normal 9 2 4 6 3" xfId="6540" xr:uid="{00000000-0005-0000-0000-0000801F0000}"/>
    <cellStyle name="Normal 9 2 4 7" xfId="2670" xr:uid="{00000000-0005-0000-0000-0000811F0000}"/>
    <cellStyle name="Normal 9 2 4 7 2" xfId="6953" xr:uid="{00000000-0005-0000-0000-0000821F0000}"/>
    <cellStyle name="Normal 9 2 4 8" xfId="4888"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8" xr:uid="{00000000-0005-0000-0000-0000871F0000}"/>
    <cellStyle name="Normal 9 2 5 2 3" xfId="5303" xr:uid="{00000000-0005-0000-0000-0000881F0000}"/>
    <cellStyle name="Normal 9 2 5 3" xfId="1409" xr:uid="{00000000-0005-0000-0000-0000891F0000}"/>
    <cellStyle name="Normal 9 2 5 3 2" xfId="3639" xr:uid="{00000000-0005-0000-0000-00008A1F0000}"/>
    <cellStyle name="Normal 9 2 5 3 2 2" xfId="7861" xr:uid="{00000000-0005-0000-0000-00008B1F0000}"/>
    <cellStyle name="Normal 9 2 5 3 3" xfId="5716" xr:uid="{00000000-0005-0000-0000-00008C1F0000}"/>
    <cellStyle name="Normal 9 2 5 4" xfId="1822" xr:uid="{00000000-0005-0000-0000-00008D1F0000}"/>
    <cellStyle name="Normal 9 2 5 4 2" xfId="4052" xr:uid="{00000000-0005-0000-0000-00008E1F0000}"/>
    <cellStyle name="Normal 9 2 5 4 2 2" xfId="8274" xr:uid="{00000000-0005-0000-0000-00008F1F0000}"/>
    <cellStyle name="Normal 9 2 5 4 3" xfId="6129" xr:uid="{00000000-0005-0000-0000-0000901F0000}"/>
    <cellStyle name="Normal 9 2 5 5" xfId="2236" xr:uid="{00000000-0005-0000-0000-0000911F0000}"/>
    <cellStyle name="Normal 9 2 5 5 2" xfId="4465" xr:uid="{00000000-0005-0000-0000-0000921F0000}"/>
    <cellStyle name="Normal 9 2 5 5 2 2" xfId="8687" xr:uid="{00000000-0005-0000-0000-0000931F0000}"/>
    <cellStyle name="Normal 9 2 5 5 3" xfId="6542" xr:uid="{00000000-0005-0000-0000-0000941F0000}"/>
    <cellStyle name="Normal 9 2 5 6" xfId="2672" xr:uid="{00000000-0005-0000-0000-0000951F0000}"/>
    <cellStyle name="Normal 9 2 5 6 2" xfId="6955" xr:uid="{00000000-0005-0000-0000-0000961F0000}"/>
    <cellStyle name="Normal 9 2 5 7" xfId="4890" xr:uid="{00000000-0005-0000-0000-0000971F0000}"/>
    <cellStyle name="Normal 9 2 6" xfId="978" xr:uid="{00000000-0005-0000-0000-0000981F0000}"/>
    <cellStyle name="Normal 9 2 6 2" xfId="3211" xr:uid="{00000000-0005-0000-0000-0000991F0000}"/>
    <cellStyle name="Normal 9 2 6 2 2" xfId="7433" xr:uid="{00000000-0005-0000-0000-00009A1F0000}"/>
    <cellStyle name="Normal 9 2 6 3" xfId="5288" xr:uid="{00000000-0005-0000-0000-00009B1F0000}"/>
    <cellStyle name="Normal 9 2 7" xfId="1394" xr:uid="{00000000-0005-0000-0000-00009C1F0000}"/>
    <cellStyle name="Normal 9 2 7 2" xfId="3624" xr:uid="{00000000-0005-0000-0000-00009D1F0000}"/>
    <cellStyle name="Normal 9 2 7 2 2" xfId="7846" xr:uid="{00000000-0005-0000-0000-00009E1F0000}"/>
    <cellStyle name="Normal 9 2 7 3" xfId="5701" xr:uid="{00000000-0005-0000-0000-00009F1F0000}"/>
    <cellStyle name="Normal 9 2 8" xfId="1807" xr:uid="{00000000-0005-0000-0000-0000A01F0000}"/>
    <cellStyle name="Normal 9 2 8 2" xfId="4037" xr:uid="{00000000-0005-0000-0000-0000A11F0000}"/>
    <cellStyle name="Normal 9 2 8 2 2" xfId="8259" xr:uid="{00000000-0005-0000-0000-0000A21F0000}"/>
    <cellStyle name="Normal 9 2 8 3" xfId="6114" xr:uid="{00000000-0005-0000-0000-0000A31F0000}"/>
    <cellStyle name="Normal 9 2 9" xfId="2221" xr:uid="{00000000-0005-0000-0000-0000A41F0000}"/>
    <cellStyle name="Normal 9 2 9 2" xfId="4450" xr:uid="{00000000-0005-0000-0000-0000A51F0000}"/>
    <cellStyle name="Normal 9 2 9 2 2" xfId="8672" xr:uid="{00000000-0005-0000-0000-0000A61F0000}"/>
    <cellStyle name="Normal 9 2 9 3" xfId="6527" xr:uid="{00000000-0005-0000-0000-0000A71F0000}"/>
    <cellStyle name="Normal 9 3" xfId="527" xr:uid="{00000000-0005-0000-0000-0000A81F0000}"/>
    <cellStyle name="Normal 9 3 10" xfId="4891"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2" xr:uid="{00000000-0005-0000-0000-0000AF1F0000}"/>
    <cellStyle name="Normal 9 3 2 2 2 2 3" xfId="5307" xr:uid="{00000000-0005-0000-0000-0000B01F0000}"/>
    <cellStyle name="Normal 9 3 2 2 2 3" xfId="1413" xr:uid="{00000000-0005-0000-0000-0000B11F0000}"/>
    <cellStyle name="Normal 9 3 2 2 2 3 2" xfId="3643" xr:uid="{00000000-0005-0000-0000-0000B21F0000}"/>
    <cellStyle name="Normal 9 3 2 2 2 3 2 2" xfId="7865" xr:uid="{00000000-0005-0000-0000-0000B31F0000}"/>
    <cellStyle name="Normal 9 3 2 2 2 3 3" xfId="5720" xr:uid="{00000000-0005-0000-0000-0000B41F0000}"/>
    <cellStyle name="Normal 9 3 2 2 2 4" xfId="1826" xr:uid="{00000000-0005-0000-0000-0000B51F0000}"/>
    <cellStyle name="Normal 9 3 2 2 2 4 2" xfId="4056" xr:uid="{00000000-0005-0000-0000-0000B61F0000}"/>
    <cellStyle name="Normal 9 3 2 2 2 4 2 2" xfId="8278" xr:uid="{00000000-0005-0000-0000-0000B71F0000}"/>
    <cellStyle name="Normal 9 3 2 2 2 4 3" xfId="6133" xr:uid="{00000000-0005-0000-0000-0000B81F0000}"/>
    <cellStyle name="Normal 9 3 2 2 2 5" xfId="2240" xr:uid="{00000000-0005-0000-0000-0000B91F0000}"/>
    <cellStyle name="Normal 9 3 2 2 2 5 2" xfId="4469" xr:uid="{00000000-0005-0000-0000-0000BA1F0000}"/>
    <cellStyle name="Normal 9 3 2 2 2 5 2 2" xfId="8691" xr:uid="{00000000-0005-0000-0000-0000BB1F0000}"/>
    <cellStyle name="Normal 9 3 2 2 2 5 3" xfId="6546" xr:uid="{00000000-0005-0000-0000-0000BC1F0000}"/>
    <cellStyle name="Normal 9 3 2 2 2 6" xfId="2676" xr:uid="{00000000-0005-0000-0000-0000BD1F0000}"/>
    <cellStyle name="Normal 9 3 2 2 2 6 2" xfId="6959" xr:uid="{00000000-0005-0000-0000-0000BE1F0000}"/>
    <cellStyle name="Normal 9 3 2 2 2 7" xfId="4894" xr:uid="{00000000-0005-0000-0000-0000BF1F0000}"/>
    <cellStyle name="Normal 9 3 2 2 3" xfId="996" xr:uid="{00000000-0005-0000-0000-0000C01F0000}"/>
    <cellStyle name="Normal 9 3 2 2 3 2" xfId="3229" xr:uid="{00000000-0005-0000-0000-0000C11F0000}"/>
    <cellStyle name="Normal 9 3 2 2 3 2 2" xfId="7451" xr:uid="{00000000-0005-0000-0000-0000C21F0000}"/>
    <cellStyle name="Normal 9 3 2 2 3 3" xfId="5306" xr:uid="{00000000-0005-0000-0000-0000C31F0000}"/>
    <cellStyle name="Normal 9 3 2 2 4" xfId="1412" xr:uid="{00000000-0005-0000-0000-0000C41F0000}"/>
    <cellStyle name="Normal 9 3 2 2 4 2" xfId="3642" xr:uid="{00000000-0005-0000-0000-0000C51F0000}"/>
    <cellStyle name="Normal 9 3 2 2 4 2 2" xfId="7864" xr:uid="{00000000-0005-0000-0000-0000C61F0000}"/>
    <cellStyle name="Normal 9 3 2 2 4 3" xfId="5719" xr:uid="{00000000-0005-0000-0000-0000C71F0000}"/>
    <cellStyle name="Normal 9 3 2 2 5" xfId="1825" xr:uid="{00000000-0005-0000-0000-0000C81F0000}"/>
    <cellStyle name="Normal 9 3 2 2 5 2" xfId="4055" xr:uid="{00000000-0005-0000-0000-0000C91F0000}"/>
    <cellStyle name="Normal 9 3 2 2 5 2 2" xfId="8277" xr:uid="{00000000-0005-0000-0000-0000CA1F0000}"/>
    <cellStyle name="Normal 9 3 2 2 5 3" xfId="6132" xr:uid="{00000000-0005-0000-0000-0000CB1F0000}"/>
    <cellStyle name="Normal 9 3 2 2 6" xfId="2239" xr:uid="{00000000-0005-0000-0000-0000CC1F0000}"/>
    <cellStyle name="Normal 9 3 2 2 6 2" xfId="4468" xr:uid="{00000000-0005-0000-0000-0000CD1F0000}"/>
    <cellStyle name="Normal 9 3 2 2 6 2 2" xfId="8690" xr:uid="{00000000-0005-0000-0000-0000CE1F0000}"/>
    <cellStyle name="Normal 9 3 2 2 6 3" xfId="6545" xr:uid="{00000000-0005-0000-0000-0000CF1F0000}"/>
    <cellStyle name="Normal 9 3 2 2 7" xfId="2675" xr:uid="{00000000-0005-0000-0000-0000D01F0000}"/>
    <cellStyle name="Normal 9 3 2 2 7 2" xfId="6958" xr:uid="{00000000-0005-0000-0000-0000D11F0000}"/>
    <cellStyle name="Normal 9 3 2 2 8" xfId="4893"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3" xr:uid="{00000000-0005-0000-0000-0000D61F0000}"/>
    <cellStyle name="Normal 9 3 2 3 2 3" xfId="5308" xr:uid="{00000000-0005-0000-0000-0000D71F0000}"/>
    <cellStyle name="Normal 9 3 2 3 3" xfId="1414" xr:uid="{00000000-0005-0000-0000-0000D81F0000}"/>
    <cellStyle name="Normal 9 3 2 3 3 2" xfId="3644" xr:uid="{00000000-0005-0000-0000-0000D91F0000}"/>
    <cellStyle name="Normal 9 3 2 3 3 2 2" xfId="7866" xr:uid="{00000000-0005-0000-0000-0000DA1F0000}"/>
    <cellStyle name="Normal 9 3 2 3 3 3" xfId="5721" xr:uid="{00000000-0005-0000-0000-0000DB1F0000}"/>
    <cellStyle name="Normal 9 3 2 3 4" xfId="1827" xr:uid="{00000000-0005-0000-0000-0000DC1F0000}"/>
    <cellStyle name="Normal 9 3 2 3 4 2" xfId="4057" xr:uid="{00000000-0005-0000-0000-0000DD1F0000}"/>
    <cellStyle name="Normal 9 3 2 3 4 2 2" xfId="8279" xr:uid="{00000000-0005-0000-0000-0000DE1F0000}"/>
    <cellStyle name="Normal 9 3 2 3 4 3" xfId="6134" xr:uid="{00000000-0005-0000-0000-0000DF1F0000}"/>
    <cellStyle name="Normal 9 3 2 3 5" xfId="2241" xr:uid="{00000000-0005-0000-0000-0000E01F0000}"/>
    <cellStyle name="Normal 9 3 2 3 5 2" xfId="4470" xr:uid="{00000000-0005-0000-0000-0000E11F0000}"/>
    <cellStyle name="Normal 9 3 2 3 5 2 2" xfId="8692" xr:uid="{00000000-0005-0000-0000-0000E21F0000}"/>
    <cellStyle name="Normal 9 3 2 3 5 3" xfId="6547" xr:uid="{00000000-0005-0000-0000-0000E31F0000}"/>
    <cellStyle name="Normal 9 3 2 3 6" xfId="2677" xr:uid="{00000000-0005-0000-0000-0000E41F0000}"/>
    <cellStyle name="Normal 9 3 2 3 6 2" xfId="6960" xr:uid="{00000000-0005-0000-0000-0000E51F0000}"/>
    <cellStyle name="Normal 9 3 2 3 7" xfId="4895" xr:uid="{00000000-0005-0000-0000-0000E61F0000}"/>
    <cellStyle name="Normal 9 3 2 4" xfId="995" xr:uid="{00000000-0005-0000-0000-0000E71F0000}"/>
    <cellStyle name="Normal 9 3 2 4 2" xfId="3228" xr:uid="{00000000-0005-0000-0000-0000E81F0000}"/>
    <cellStyle name="Normal 9 3 2 4 2 2" xfId="7450" xr:uid="{00000000-0005-0000-0000-0000E91F0000}"/>
    <cellStyle name="Normal 9 3 2 4 3" xfId="5305" xr:uid="{00000000-0005-0000-0000-0000EA1F0000}"/>
    <cellStyle name="Normal 9 3 2 5" xfId="1411" xr:uid="{00000000-0005-0000-0000-0000EB1F0000}"/>
    <cellStyle name="Normal 9 3 2 5 2" xfId="3641" xr:uid="{00000000-0005-0000-0000-0000EC1F0000}"/>
    <cellStyle name="Normal 9 3 2 5 2 2" xfId="7863" xr:uid="{00000000-0005-0000-0000-0000ED1F0000}"/>
    <cellStyle name="Normal 9 3 2 5 3" xfId="5718" xr:uid="{00000000-0005-0000-0000-0000EE1F0000}"/>
    <cellStyle name="Normal 9 3 2 6" xfId="1824" xr:uid="{00000000-0005-0000-0000-0000EF1F0000}"/>
    <cellStyle name="Normal 9 3 2 6 2" xfId="4054" xr:uid="{00000000-0005-0000-0000-0000F01F0000}"/>
    <cellStyle name="Normal 9 3 2 6 2 2" xfId="8276" xr:uid="{00000000-0005-0000-0000-0000F11F0000}"/>
    <cellStyle name="Normal 9 3 2 6 3" xfId="6131" xr:uid="{00000000-0005-0000-0000-0000F21F0000}"/>
    <cellStyle name="Normal 9 3 2 7" xfId="2238" xr:uid="{00000000-0005-0000-0000-0000F31F0000}"/>
    <cellStyle name="Normal 9 3 2 7 2" xfId="4467" xr:uid="{00000000-0005-0000-0000-0000F41F0000}"/>
    <cellStyle name="Normal 9 3 2 7 2 2" xfId="8689" xr:uid="{00000000-0005-0000-0000-0000F51F0000}"/>
    <cellStyle name="Normal 9 3 2 7 3" xfId="6544" xr:uid="{00000000-0005-0000-0000-0000F61F0000}"/>
    <cellStyle name="Normal 9 3 2 8" xfId="2674" xr:uid="{00000000-0005-0000-0000-0000F71F0000}"/>
    <cellStyle name="Normal 9 3 2 8 2" xfId="6957" xr:uid="{00000000-0005-0000-0000-0000F81F0000}"/>
    <cellStyle name="Normal 9 3 2 9" xfId="4892"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5" xr:uid="{00000000-0005-0000-0000-0000FE1F0000}"/>
    <cellStyle name="Normal 9 3 3 2 2 3" xfId="5310" xr:uid="{00000000-0005-0000-0000-0000FF1F0000}"/>
    <cellStyle name="Normal 9 3 3 2 3" xfId="1416" xr:uid="{00000000-0005-0000-0000-000000200000}"/>
    <cellStyle name="Normal 9 3 3 2 3 2" xfId="3646" xr:uid="{00000000-0005-0000-0000-000001200000}"/>
    <cellStyle name="Normal 9 3 3 2 3 2 2" xfId="7868" xr:uid="{00000000-0005-0000-0000-000002200000}"/>
    <cellStyle name="Normal 9 3 3 2 3 3" xfId="5723" xr:uid="{00000000-0005-0000-0000-000003200000}"/>
    <cellStyle name="Normal 9 3 3 2 4" xfId="1829" xr:uid="{00000000-0005-0000-0000-000004200000}"/>
    <cellStyle name="Normal 9 3 3 2 4 2" xfId="4059" xr:uid="{00000000-0005-0000-0000-000005200000}"/>
    <cellStyle name="Normal 9 3 3 2 4 2 2" xfId="8281" xr:uid="{00000000-0005-0000-0000-000006200000}"/>
    <cellStyle name="Normal 9 3 3 2 4 3" xfId="6136" xr:uid="{00000000-0005-0000-0000-000007200000}"/>
    <cellStyle name="Normal 9 3 3 2 5" xfId="2243" xr:uid="{00000000-0005-0000-0000-000008200000}"/>
    <cellStyle name="Normal 9 3 3 2 5 2" xfId="4472" xr:uid="{00000000-0005-0000-0000-000009200000}"/>
    <cellStyle name="Normal 9 3 3 2 5 2 2" xfId="8694" xr:uid="{00000000-0005-0000-0000-00000A200000}"/>
    <cellStyle name="Normal 9 3 3 2 5 3" xfId="6549" xr:uid="{00000000-0005-0000-0000-00000B200000}"/>
    <cellStyle name="Normal 9 3 3 2 6" xfId="2679" xr:uid="{00000000-0005-0000-0000-00000C200000}"/>
    <cellStyle name="Normal 9 3 3 2 6 2" xfId="6962" xr:uid="{00000000-0005-0000-0000-00000D200000}"/>
    <cellStyle name="Normal 9 3 3 2 7" xfId="4897" xr:uid="{00000000-0005-0000-0000-00000E200000}"/>
    <cellStyle name="Normal 9 3 3 3" xfId="999" xr:uid="{00000000-0005-0000-0000-00000F200000}"/>
    <cellStyle name="Normal 9 3 3 3 2" xfId="3232" xr:uid="{00000000-0005-0000-0000-000010200000}"/>
    <cellStyle name="Normal 9 3 3 3 2 2" xfId="7454" xr:uid="{00000000-0005-0000-0000-000011200000}"/>
    <cellStyle name="Normal 9 3 3 3 3" xfId="5309" xr:uid="{00000000-0005-0000-0000-000012200000}"/>
    <cellStyle name="Normal 9 3 3 4" xfId="1415" xr:uid="{00000000-0005-0000-0000-000013200000}"/>
    <cellStyle name="Normal 9 3 3 4 2" xfId="3645" xr:uid="{00000000-0005-0000-0000-000014200000}"/>
    <cellStyle name="Normal 9 3 3 4 2 2" xfId="7867" xr:uid="{00000000-0005-0000-0000-000015200000}"/>
    <cellStyle name="Normal 9 3 3 4 3" xfId="5722" xr:uid="{00000000-0005-0000-0000-000016200000}"/>
    <cellStyle name="Normal 9 3 3 5" xfId="1828" xr:uid="{00000000-0005-0000-0000-000017200000}"/>
    <cellStyle name="Normal 9 3 3 5 2" xfId="4058" xr:uid="{00000000-0005-0000-0000-000018200000}"/>
    <cellStyle name="Normal 9 3 3 5 2 2" xfId="8280" xr:uid="{00000000-0005-0000-0000-000019200000}"/>
    <cellStyle name="Normal 9 3 3 5 3" xfId="6135" xr:uid="{00000000-0005-0000-0000-00001A200000}"/>
    <cellStyle name="Normal 9 3 3 6" xfId="2242" xr:uid="{00000000-0005-0000-0000-00001B200000}"/>
    <cellStyle name="Normal 9 3 3 6 2" xfId="4471" xr:uid="{00000000-0005-0000-0000-00001C200000}"/>
    <cellStyle name="Normal 9 3 3 6 2 2" xfId="8693" xr:uid="{00000000-0005-0000-0000-00001D200000}"/>
    <cellStyle name="Normal 9 3 3 6 3" xfId="6548" xr:uid="{00000000-0005-0000-0000-00001E200000}"/>
    <cellStyle name="Normal 9 3 3 7" xfId="2678" xr:uid="{00000000-0005-0000-0000-00001F200000}"/>
    <cellStyle name="Normal 9 3 3 7 2" xfId="6961" xr:uid="{00000000-0005-0000-0000-000020200000}"/>
    <cellStyle name="Normal 9 3 3 8" xfId="4896"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6" xr:uid="{00000000-0005-0000-0000-000025200000}"/>
    <cellStyle name="Normal 9 3 4 2 3" xfId="5311" xr:uid="{00000000-0005-0000-0000-000026200000}"/>
    <cellStyle name="Normal 9 3 4 3" xfId="1417" xr:uid="{00000000-0005-0000-0000-000027200000}"/>
    <cellStyle name="Normal 9 3 4 3 2" xfId="3647" xr:uid="{00000000-0005-0000-0000-000028200000}"/>
    <cellStyle name="Normal 9 3 4 3 2 2" xfId="7869" xr:uid="{00000000-0005-0000-0000-000029200000}"/>
    <cellStyle name="Normal 9 3 4 3 3" xfId="5724" xr:uid="{00000000-0005-0000-0000-00002A200000}"/>
    <cellStyle name="Normal 9 3 4 4" xfId="1830" xr:uid="{00000000-0005-0000-0000-00002B200000}"/>
    <cellStyle name="Normal 9 3 4 4 2" xfId="4060" xr:uid="{00000000-0005-0000-0000-00002C200000}"/>
    <cellStyle name="Normal 9 3 4 4 2 2" xfId="8282" xr:uid="{00000000-0005-0000-0000-00002D200000}"/>
    <cellStyle name="Normal 9 3 4 4 3" xfId="6137" xr:uid="{00000000-0005-0000-0000-00002E200000}"/>
    <cellStyle name="Normal 9 3 4 5" xfId="2244" xr:uid="{00000000-0005-0000-0000-00002F200000}"/>
    <cellStyle name="Normal 9 3 4 5 2" xfId="4473" xr:uid="{00000000-0005-0000-0000-000030200000}"/>
    <cellStyle name="Normal 9 3 4 5 2 2" xfId="8695" xr:uid="{00000000-0005-0000-0000-000031200000}"/>
    <cellStyle name="Normal 9 3 4 5 3" xfId="6550" xr:uid="{00000000-0005-0000-0000-000032200000}"/>
    <cellStyle name="Normal 9 3 4 6" xfId="2680" xr:uid="{00000000-0005-0000-0000-000033200000}"/>
    <cellStyle name="Normal 9 3 4 6 2" xfId="6963" xr:uid="{00000000-0005-0000-0000-000034200000}"/>
    <cellStyle name="Normal 9 3 4 7" xfId="4898" xr:uid="{00000000-0005-0000-0000-000035200000}"/>
    <cellStyle name="Normal 9 3 5" xfId="994" xr:uid="{00000000-0005-0000-0000-000036200000}"/>
    <cellStyle name="Normal 9 3 5 2" xfId="3227" xr:uid="{00000000-0005-0000-0000-000037200000}"/>
    <cellStyle name="Normal 9 3 5 2 2" xfId="7449" xr:uid="{00000000-0005-0000-0000-000038200000}"/>
    <cellStyle name="Normal 9 3 5 3" xfId="5304" xr:uid="{00000000-0005-0000-0000-000039200000}"/>
    <cellStyle name="Normal 9 3 6" xfId="1410" xr:uid="{00000000-0005-0000-0000-00003A200000}"/>
    <cellStyle name="Normal 9 3 6 2" xfId="3640" xr:uid="{00000000-0005-0000-0000-00003B200000}"/>
    <cellStyle name="Normal 9 3 6 2 2" xfId="7862" xr:uid="{00000000-0005-0000-0000-00003C200000}"/>
    <cellStyle name="Normal 9 3 6 3" xfId="5717" xr:uid="{00000000-0005-0000-0000-00003D200000}"/>
    <cellStyle name="Normal 9 3 7" xfId="1823" xr:uid="{00000000-0005-0000-0000-00003E200000}"/>
    <cellStyle name="Normal 9 3 7 2" xfId="4053" xr:uid="{00000000-0005-0000-0000-00003F200000}"/>
    <cellStyle name="Normal 9 3 7 2 2" xfId="8275" xr:uid="{00000000-0005-0000-0000-000040200000}"/>
    <cellStyle name="Normal 9 3 7 3" xfId="6130" xr:uid="{00000000-0005-0000-0000-000041200000}"/>
    <cellStyle name="Normal 9 3 8" xfId="2237" xr:uid="{00000000-0005-0000-0000-000042200000}"/>
    <cellStyle name="Normal 9 3 8 2" xfId="4466" xr:uid="{00000000-0005-0000-0000-000043200000}"/>
    <cellStyle name="Normal 9 3 8 2 2" xfId="8688" xr:uid="{00000000-0005-0000-0000-000044200000}"/>
    <cellStyle name="Normal 9 3 8 3" xfId="6543" xr:uid="{00000000-0005-0000-0000-000045200000}"/>
    <cellStyle name="Normal 9 3 9" xfId="2673" xr:uid="{00000000-0005-0000-0000-000046200000}"/>
    <cellStyle name="Normal 9 3 9 2" xfId="6956"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8" xr:uid="{00000000-0005-0000-0000-00004E200000}"/>
    <cellStyle name="Normal 9 5 2 2 3" xfId="5313" xr:uid="{00000000-0005-0000-0000-00004F200000}"/>
    <cellStyle name="Normal 9 5 2 3" xfId="1419" xr:uid="{00000000-0005-0000-0000-000050200000}"/>
    <cellStyle name="Normal 9 5 2 3 2" xfId="3649" xr:uid="{00000000-0005-0000-0000-000051200000}"/>
    <cellStyle name="Normal 9 5 2 3 2 2" xfId="7871" xr:uid="{00000000-0005-0000-0000-000052200000}"/>
    <cellStyle name="Normal 9 5 2 3 3" xfId="5726" xr:uid="{00000000-0005-0000-0000-000053200000}"/>
    <cellStyle name="Normal 9 5 2 4" xfId="1832" xr:uid="{00000000-0005-0000-0000-000054200000}"/>
    <cellStyle name="Normal 9 5 2 4 2" xfId="4062" xr:uid="{00000000-0005-0000-0000-000055200000}"/>
    <cellStyle name="Normal 9 5 2 4 2 2" xfId="8284" xr:uid="{00000000-0005-0000-0000-000056200000}"/>
    <cellStyle name="Normal 9 5 2 4 3" xfId="6139" xr:uid="{00000000-0005-0000-0000-000057200000}"/>
    <cellStyle name="Normal 9 5 2 5" xfId="2246" xr:uid="{00000000-0005-0000-0000-000058200000}"/>
    <cellStyle name="Normal 9 5 2 5 2" xfId="4475" xr:uid="{00000000-0005-0000-0000-000059200000}"/>
    <cellStyle name="Normal 9 5 2 5 2 2" xfId="8697" xr:uid="{00000000-0005-0000-0000-00005A200000}"/>
    <cellStyle name="Normal 9 5 2 5 3" xfId="6552" xr:uid="{00000000-0005-0000-0000-00005B200000}"/>
    <cellStyle name="Normal 9 5 2 6" xfId="2682" xr:uid="{00000000-0005-0000-0000-00005C200000}"/>
    <cellStyle name="Normal 9 5 2 6 2" xfId="6965" xr:uid="{00000000-0005-0000-0000-00005D200000}"/>
    <cellStyle name="Normal 9 5 2 7" xfId="4900" xr:uid="{00000000-0005-0000-0000-00005E200000}"/>
    <cellStyle name="Normal 9 5 3" xfId="1003" xr:uid="{00000000-0005-0000-0000-00005F200000}"/>
    <cellStyle name="Normal 9 5 3 2" xfId="3235" xr:uid="{00000000-0005-0000-0000-000060200000}"/>
    <cellStyle name="Normal 9 5 3 2 2" xfId="7457" xr:uid="{00000000-0005-0000-0000-000061200000}"/>
    <cellStyle name="Normal 9 5 3 3" xfId="5312" xr:uid="{00000000-0005-0000-0000-000062200000}"/>
    <cellStyle name="Normal 9 5 4" xfId="1418" xr:uid="{00000000-0005-0000-0000-000063200000}"/>
    <cellStyle name="Normal 9 5 4 2" xfId="3648" xr:uid="{00000000-0005-0000-0000-000064200000}"/>
    <cellStyle name="Normal 9 5 4 2 2" xfId="7870" xr:uid="{00000000-0005-0000-0000-000065200000}"/>
    <cellStyle name="Normal 9 5 4 3" xfId="5725" xr:uid="{00000000-0005-0000-0000-000066200000}"/>
    <cellStyle name="Normal 9 5 5" xfId="1831" xr:uid="{00000000-0005-0000-0000-000067200000}"/>
    <cellStyle name="Normal 9 5 5 2" xfId="4061" xr:uid="{00000000-0005-0000-0000-000068200000}"/>
    <cellStyle name="Normal 9 5 5 2 2" xfId="8283" xr:uid="{00000000-0005-0000-0000-000069200000}"/>
    <cellStyle name="Normal 9 5 5 3" xfId="6138" xr:uid="{00000000-0005-0000-0000-00006A200000}"/>
    <cellStyle name="Normal 9 5 6" xfId="2245" xr:uid="{00000000-0005-0000-0000-00006B200000}"/>
    <cellStyle name="Normal 9 5 6 2" xfId="4474" xr:uid="{00000000-0005-0000-0000-00006C200000}"/>
    <cellStyle name="Normal 9 5 6 2 2" xfId="8696" xr:uid="{00000000-0005-0000-0000-00006D200000}"/>
    <cellStyle name="Normal 9 5 6 3" xfId="6551" xr:uid="{00000000-0005-0000-0000-00006E200000}"/>
    <cellStyle name="Normal 9 5 7" xfId="2681" xr:uid="{00000000-0005-0000-0000-00006F200000}"/>
    <cellStyle name="Normal 9 5 7 2" xfId="6964" xr:uid="{00000000-0005-0000-0000-000070200000}"/>
    <cellStyle name="Normal 9 5 8" xfId="4899"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59" xr:uid="{00000000-0005-0000-0000-000075200000}"/>
    <cellStyle name="Normal 9 6 2 3" xfId="5314" xr:uid="{00000000-0005-0000-0000-000076200000}"/>
    <cellStyle name="Normal 9 6 3" xfId="1420" xr:uid="{00000000-0005-0000-0000-000077200000}"/>
    <cellStyle name="Normal 9 6 3 2" xfId="3650" xr:uid="{00000000-0005-0000-0000-000078200000}"/>
    <cellStyle name="Normal 9 6 3 2 2" xfId="7872" xr:uid="{00000000-0005-0000-0000-000079200000}"/>
    <cellStyle name="Normal 9 6 3 3" xfId="5727" xr:uid="{00000000-0005-0000-0000-00007A200000}"/>
    <cellStyle name="Normal 9 6 4" xfId="1833" xr:uid="{00000000-0005-0000-0000-00007B200000}"/>
    <cellStyle name="Normal 9 6 4 2" xfId="4063" xr:uid="{00000000-0005-0000-0000-00007C200000}"/>
    <cellStyle name="Normal 9 6 4 2 2" xfId="8285" xr:uid="{00000000-0005-0000-0000-00007D200000}"/>
    <cellStyle name="Normal 9 6 4 3" xfId="6140" xr:uid="{00000000-0005-0000-0000-00007E200000}"/>
    <cellStyle name="Normal 9 6 5" xfId="2247" xr:uid="{00000000-0005-0000-0000-00007F200000}"/>
    <cellStyle name="Normal 9 6 5 2" xfId="4476" xr:uid="{00000000-0005-0000-0000-000080200000}"/>
    <cellStyle name="Normal 9 6 5 2 2" xfId="8698" xr:uid="{00000000-0005-0000-0000-000081200000}"/>
    <cellStyle name="Normal 9 6 5 3" xfId="6553" xr:uid="{00000000-0005-0000-0000-000082200000}"/>
    <cellStyle name="Normal 9 6 6" xfId="2683" xr:uid="{00000000-0005-0000-0000-000083200000}"/>
    <cellStyle name="Normal 9 6 6 2" xfId="6966" xr:uid="{00000000-0005-0000-0000-000084200000}"/>
    <cellStyle name="Normal 9 6 7" xfId="4901"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8730" xr:uid="{A5B343C8-9090-46F8-82A8-7207A5343ECC}"/>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7" xr:uid="{00000000-0005-0000-0000-000093200000}"/>
    <cellStyle name="Note 2 2 11" xfId="4902" xr:uid="{00000000-0005-0000-0000-000094200000}"/>
    <cellStyle name="Note 2 2 2" xfId="546" xr:uid="{00000000-0005-0000-0000-000095200000}"/>
    <cellStyle name="Note 2 2 2 10" xfId="4903"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2" xr:uid="{00000000-0005-0000-0000-00009A200000}"/>
    <cellStyle name="Note 2 2 2 2 2 3" xfId="5317" xr:uid="{00000000-0005-0000-0000-00009B200000}"/>
    <cellStyle name="Note 2 2 2 2 3" xfId="1423" xr:uid="{00000000-0005-0000-0000-00009C200000}"/>
    <cellStyle name="Note 2 2 2 2 3 2" xfId="3653" xr:uid="{00000000-0005-0000-0000-00009D200000}"/>
    <cellStyle name="Note 2 2 2 2 3 2 2" xfId="7875" xr:uid="{00000000-0005-0000-0000-00009E200000}"/>
    <cellStyle name="Note 2 2 2 2 3 3" xfId="5730" xr:uid="{00000000-0005-0000-0000-00009F200000}"/>
    <cellStyle name="Note 2 2 2 2 4" xfId="1837" xr:uid="{00000000-0005-0000-0000-0000A0200000}"/>
    <cellStyle name="Note 2 2 2 2 4 2" xfId="4066" xr:uid="{00000000-0005-0000-0000-0000A1200000}"/>
    <cellStyle name="Note 2 2 2 2 4 2 2" xfId="8288" xr:uid="{00000000-0005-0000-0000-0000A2200000}"/>
    <cellStyle name="Note 2 2 2 2 4 3" xfId="6143" xr:uid="{00000000-0005-0000-0000-0000A3200000}"/>
    <cellStyle name="Note 2 2 2 2 5" xfId="2250" xr:uid="{00000000-0005-0000-0000-0000A4200000}"/>
    <cellStyle name="Note 2 2 2 2 5 2" xfId="4479" xr:uid="{00000000-0005-0000-0000-0000A5200000}"/>
    <cellStyle name="Note 2 2 2 2 5 2 2" xfId="8701" xr:uid="{00000000-0005-0000-0000-0000A6200000}"/>
    <cellStyle name="Note 2 2 2 2 5 3" xfId="6556" xr:uid="{00000000-0005-0000-0000-0000A7200000}"/>
    <cellStyle name="Note 2 2 2 2 6" xfId="2686" xr:uid="{00000000-0005-0000-0000-0000A8200000}"/>
    <cellStyle name="Note 2 2 2 2 6 2" xfId="6969" xr:uid="{00000000-0005-0000-0000-0000A9200000}"/>
    <cellStyle name="Note 2 2 2 2 7" xfId="2745" xr:uid="{00000000-0005-0000-0000-0000AA200000}"/>
    <cellStyle name="Note 2 2 2 2 8" xfId="2826" xr:uid="{00000000-0005-0000-0000-0000AB200000}"/>
    <cellStyle name="Note 2 2 2 2 8 2" xfId="7049" xr:uid="{00000000-0005-0000-0000-0000AC200000}"/>
    <cellStyle name="Note 2 2 2 2 9" xfId="4904" xr:uid="{00000000-0005-0000-0000-0000AD200000}"/>
    <cellStyle name="Note 2 2 2 3" xfId="1007" xr:uid="{00000000-0005-0000-0000-0000AE200000}"/>
    <cellStyle name="Note 2 2 2 3 2" xfId="3239" xr:uid="{00000000-0005-0000-0000-0000AF200000}"/>
    <cellStyle name="Note 2 2 2 3 2 2" xfId="7461" xr:uid="{00000000-0005-0000-0000-0000B0200000}"/>
    <cellStyle name="Note 2 2 2 3 3" xfId="5316" xr:uid="{00000000-0005-0000-0000-0000B1200000}"/>
    <cellStyle name="Note 2 2 2 4" xfId="1422" xr:uid="{00000000-0005-0000-0000-0000B2200000}"/>
    <cellStyle name="Note 2 2 2 4 2" xfId="3652" xr:uid="{00000000-0005-0000-0000-0000B3200000}"/>
    <cellStyle name="Note 2 2 2 4 2 2" xfId="7874" xr:uid="{00000000-0005-0000-0000-0000B4200000}"/>
    <cellStyle name="Note 2 2 2 4 3" xfId="5729" xr:uid="{00000000-0005-0000-0000-0000B5200000}"/>
    <cellStyle name="Note 2 2 2 5" xfId="1836" xr:uid="{00000000-0005-0000-0000-0000B6200000}"/>
    <cellStyle name="Note 2 2 2 5 2" xfId="4065" xr:uid="{00000000-0005-0000-0000-0000B7200000}"/>
    <cellStyle name="Note 2 2 2 5 2 2" xfId="8287" xr:uid="{00000000-0005-0000-0000-0000B8200000}"/>
    <cellStyle name="Note 2 2 2 5 3" xfId="6142" xr:uid="{00000000-0005-0000-0000-0000B9200000}"/>
    <cellStyle name="Note 2 2 2 6" xfId="2249" xr:uid="{00000000-0005-0000-0000-0000BA200000}"/>
    <cellStyle name="Note 2 2 2 6 2" xfId="4478" xr:uid="{00000000-0005-0000-0000-0000BB200000}"/>
    <cellStyle name="Note 2 2 2 6 2 2" xfId="8700" xr:uid="{00000000-0005-0000-0000-0000BC200000}"/>
    <cellStyle name="Note 2 2 2 6 3" xfId="6555" xr:uid="{00000000-0005-0000-0000-0000BD200000}"/>
    <cellStyle name="Note 2 2 2 7" xfId="2685" xr:uid="{00000000-0005-0000-0000-0000BE200000}"/>
    <cellStyle name="Note 2 2 2 7 2" xfId="6968" xr:uid="{00000000-0005-0000-0000-0000BF200000}"/>
    <cellStyle name="Note 2 2 2 8" xfId="2744" xr:uid="{00000000-0005-0000-0000-0000C0200000}"/>
    <cellStyle name="Note 2 2 2 9" xfId="2825" xr:uid="{00000000-0005-0000-0000-0000C1200000}"/>
    <cellStyle name="Note 2 2 2 9 2" xfId="7048"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3" xr:uid="{00000000-0005-0000-0000-0000C6200000}"/>
    <cellStyle name="Note 2 2 3 2 3" xfId="5318" xr:uid="{00000000-0005-0000-0000-0000C7200000}"/>
    <cellStyle name="Note 2 2 3 3" xfId="1424" xr:uid="{00000000-0005-0000-0000-0000C8200000}"/>
    <cellStyle name="Note 2 2 3 3 2" xfId="3654" xr:uid="{00000000-0005-0000-0000-0000C9200000}"/>
    <cellStyle name="Note 2 2 3 3 2 2" xfId="7876" xr:uid="{00000000-0005-0000-0000-0000CA200000}"/>
    <cellStyle name="Note 2 2 3 3 3" xfId="5731" xr:uid="{00000000-0005-0000-0000-0000CB200000}"/>
    <cellStyle name="Note 2 2 3 4" xfId="1838" xr:uid="{00000000-0005-0000-0000-0000CC200000}"/>
    <cellStyle name="Note 2 2 3 4 2" xfId="4067" xr:uid="{00000000-0005-0000-0000-0000CD200000}"/>
    <cellStyle name="Note 2 2 3 4 2 2" xfId="8289" xr:uid="{00000000-0005-0000-0000-0000CE200000}"/>
    <cellStyle name="Note 2 2 3 4 3" xfId="6144" xr:uid="{00000000-0005-0000-0000-0000CF200000}"/>
    <cellStyle name="Note 2 2 3 5" xfId="2251" xr:uid="{00000000-0005-0000-0000-0000D0200000}"/>
    <cellStyle name="Note 2 2 3 5 2" xfId="4480" xr:uid="{00000000-0005-0000-0000-0000D1200000}"/>
    <cellStyle name="Note 2 2 3 5 2 2" xfId="8702" xr:uid="{00000000-0005-0000-0000-0000D2200000}"/>
    <cellStyle name="Note 2 2 3 5 3" xfId="6557" xr:uid="{00000000-0005-0000-0000-0000D3200000}"/>
    <cellStyle name="Note 2 2 3 6" xfId="2687" xr:uid="{00000000-0005-0000-0000-0000D4200000}"/>
    <cellStyle name="Note 2 2 3 6 2" xfId="6970" xr:uid="{00000000-0005-0000-0000-0000D5200000}"/>
    <cellStyle name="Note 2 2 3 7" xfId="2746" xr:uid="{00000000-0005-0000-0000-0000D6200000}"/>
    <cellStyle name="Note 2 2 3 8" xfId="2827" xr:uid="{00000000-0005-0000-0000-0000D7200000}"/>
    <cellStyle name="Note 2 2 3 8 2" xfId="7050" xr:uid="{00000000-0005-0000-0000-0000D8200000}"/>
    <cellStyle name="Note 2 2 3 9" xfId="4905" xr:uid="{00000000-0005-0000-0000-0000D9200000}"/>
    <cellStyle name="Note 2 2 4" xfId="1006" xr:uid="{00000000-0005-0000-0000-0000DA200000}"/>
    <cellStyle name="Note 2 2 4 2" xfId="3238" xr:uid="{00000000-0005-0000-0000-0000DB200000}"/>
    <cellStyle name="Note 2 2 4 2 2" xfId="7460" xr:uid="{00000000-0005-0000-0000-0000DC200000}"/>
    <cellStyle name="Note 2 2 4 3" xfId="5315" xr:uid="{00000000-0005-0000-0000-0000DD200000}"/>
    <cellStyle name="Note 2 2 5" xfId="1421" xr:uid="{00000000-0005-0000-0000-0000DE200000}"/>
    <cellStyle name="Note 2 2 5 2" xfId="3651" xr:uid="{00000000-0005-0000-0000-0000DF200000}"/>
    <cellStyle name="Note 2 2 5 2 2" xfId="7873" xr:uid="{00000000-0005-0000-0000-0000E0200000}"/>
    <cellStyle name="Note 2 2 5 3" xfId="5728" xr:uid="{00000000-0005-0000-0000-0000E1200000}"/>
    <cellStyle name="Note 2 2 6" xfId="1835" xr:uid="{00000000-0005-0000-0000-0000E2200000}"/>
    <cellStyle name="Note 2 2 6 2" xfId="4064" xr:uid="{00000000-0005-0000-0000-0000E3200000}"/>
    <cellStyle name="Note 2 2 6 2 2" xfId="8286" xr:uid="{00000000-0005-0000-0000-0000E4200000}"/>
    <cellStyle name="Note 2 2 6 3" xfId="6141" xr:uid="{00000000-0005-0000-0000-0000E5200000}"/>
    <cellStyle name="Note 2 2 7" xfId="2248" xr:uid="{00000000-0005-0000-0000-0000E6200000}"/>
    <cellStyle name="Note 2 2 7 2" xfId="4477" xr:uid="{00000000-0005-0000-0000-0000E7200000}"/>
    <cellStyle name="Note 2 2 7 2 2" xfId="8699" xr:uid="{00000000-0005-0000-0000-0000E8200000}"/>
    <cellStyle name="Note 2 2 7 3" xfId="6554" xr:uid="{00000000-0005-0000-0000-0000E9200000}"/>
    <cellStyle name="Note 2 2 8" xfId="2684" xr:uid="{00000000-0005-0000-0000-0000EA200000}"/>
    <cellStyle name="Note 2 2 8 2" xfId="6967" xr:uid="{00000000-0005-0000-0000-0000EB200000}"/>
    <cellStyle name="Note 2 2 9" xfId="2743" xr:uid="{00000000-0005-0000-0000-0000EC200000}"/>
    <cellStyle name="Note 2 3" xfId="549" xr:uid="{00000000-0005-0000-0000-0000ED200000}"/>
    <cellStyle name="Note 2 3 10" xfId="4906"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5" xr:uid="{00000000-0005-0000-0000-0000F2200000}"/>
    <cellStyle name="Note 2 3 2 2 3" xfId="5320" xr:uid="{00000000-0005-0000-0000-0000F3200000}"/>
    <cellStyle name="Note 2 3 2 3" xfId="1426" xr:uid="{00000000-0005-0000-0000-0000F4200000}"/>
    <cellStyle name="Note 2 3 2 3 2" xfId="3656" xr:uid="{00000000-0005-0000-0000-0000F5200000}"/>
    <cellStyle name="Note 2 3 2 3 2 2" xfId="7878" xr:uid="{00000000-0005-0000-0000-0000F6200000}"/>
    <cellStyle name="Note 2 3 2 3 3" xfId="5733" xr:uid="{00000000-0005-0000-0000-0000F7200000}"/>
    <cellStyle name="Note 2 3 2 4" xfId="1840" xr:uid="{00000000-0005-0000-0000-0000F8200000}"/>
    <cellStyle name="Note 2 3 2 4 2" xfId="4069" xr:uid="{00000000-0005-0000-0000-0000F9200000}"/>
    <cellStyle name="Note 2 3 2 4 2 2" xfId="8291" xr:uid="{00000000-0005-0000-0000-0000FA200000}"/>
    <cellStyle name="Note 2 3 2 4 3" xfId="6146" xr:uid="{00000000-0005-0000-0000-0000FB200000}"/>
    <cellStyle name="Note 2 3 2 5" xfId="2253" xr:uid="{00000000-0005-0000-0000-0000FC200000}"/>
    <cellStyle name="Note 2 3 2 5 2" xfId="4482" xr:uid="{00000000-0005-0000-0000-0000FD200000}"/>
    <cellStyle name="Note 2 3 2 5 2 2" xfId="8704" xr:uid="{00000000-0005-0000-0000-0000FE200000}"/>
    <cellStyle name="Note 2 3 2 5 3" xfId="6559" xr:uid="{00000000-0005-0000-0000-0000FF200000}"/>
    <cellStyle name="Note 2 3 2 6" xfId="2689" xr:uid="{00000000-0005-0000-0000-000000210000}"/>
    <cellStyle name="Note 2 3 2 6 2" xfId="6972" xr:uid="{00000000-0005-0000-0000-000001210000}"/>
    <cellStyle name="Note 2 3 2 7" xfId="2748" xr:uid="{00000000-0005-0000-0000-000002210000}"/>
    <cellStyle name="Note 2 3 2 8" xfId="2829" xr:uid="{00000000-0005-0000-0000-000003210000}"/>
    <cellStyle name="Note 2 3 2 8 2" xfId="7052" xr:uid="{00000000-0005-0000-0000-000004210000}"/>
    <cellStyle name="Note 2 3 2 9" xfId="4907" xr:uid="{00000000-0005-0000-0000-000005210000}"/>
    <cellStyle name="Note 2 3 3" xfId="1010" xr:uid="{00000000-0005-0000-0000-000006210000}"/>
    <cellStyle name="Note 2 3 3 2" xfId="3242" xr:uid="{00000000-0005-0000-0000-000007210000}"/>
    <cellStyle name="Note 2 3 3 2 2" xfId="7464" xr:uid="{00000000-0005-0000-0000-000008210000}"/>
    <cellStyle name="Note 2 3 3 3" xfId="5319" xr:uid="{00000000-0005-0000-0000-000009210000}"/>
    <cellStyle name="Note 2 3 4" xfId="1425" xr:uid="{00000000-0005-0000-0000-00000A210000}"/>
    <cellStyle name="Note 2 3 4 2" xfId="3655" xr:uid="{00000000-0005-0000-0000-00000B210000}"/>
    <cellStyle name="Note 2 3 4 2 2" xfId="7877" xr:uid="{00000000-0005-0000-0000-00000C210000}"/>
    <cellStyle name="Note 2 3 4 3" xfId="5732" xr:uid="{00000000-0005-0000-0000-00000D210000}"/>
    <cellStyle name="Note 2 3 5" xfId="1839" xr:uid="{00000000-0005-0000-0000-00000E210000}"/>
    <cellStyle name="Note 2 3 5 2" xfId="4068" xr:uid="{00000000-0005-0000-0000-00000F210000}"/>
    <cellStyle name="Note 2 3 5 2 2" xfId="8290" xr:uid="{00000000-0005-0000-0000-000010210000}"/>
    <cellStyle name="Note 2 3 5 3" xfId="6145" xr:uid="{00000000-0005-0000-0000-000011210000}"/>
    <cellStyle name="Note 2 3 6" xfId="2252" xr:uid="{00000000-0005-0000-0000-000012210000}"/>
    <cellStyle name="Note 2 3 6 2" xfId="4481" xr:uid="{00000000-0005-0000-0000-000013210000}"/>
    <cellStyle name="Note 2 3 6 2 2" xfId="8703" xr:uid="{00000000-0005-0000-0000-000014210000}"/>
    <cellStyle name="Note 2 3 6 3" xfId="6558" xr:uid="{00000000-0005-0000-0000-000015210000}"/>
    <cellStyle name="Note 2 3 7" xfId="2688" xr:uid="{00000000-0005-0000-0000-000016210000}"/>
    <cellStyle name="Note 2 3 7 2" xfId="6971" xr:uid="{00000000-0005-0000-0000-000017210000}"/>
    <cellStyle name="Note 2 3 8" xfId="2747" xr:uid="{00000000-0005-0000-0000-000018210000}"/>
    <cellStyle name="Note 2 3 9" xfId="2828" xr:uid="{00000000-0005-0000-0000-000019210000}"/>
    <cellStyle name="Note 2 3 9 2" xfId="7051"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6" xr:uid="{00000000-0005-0000-0000-00001E210000}"/>
    <cellStyle name="Note 2 4 2 3" xfId="5321" xr:uid="{00000000-0005-0000-0000-00001F210000}"/>
    <cellStyle name="Note 2 4 3" xfId="1427" xr:uid="{00000000-0005-0000-0000-000020210000}"/>
    <cellStyle name="Note 2 4 3 2" xfId="3657" xr:uid="{00000000-0005-0000-0000-000021210000}"/>
    <cellStyle name="Note 2 4 3 2 2" xfId="7879" xr:uid="{00000000-0005-0000-0000-000022210000}"/>
    <cellStyle name="Note 2 4 3 3" xfId="5734" xr:uid="{00000000-0005-0000-0000-000023210000}"/>
    <cellStyle name="Note 2 4 4" xfId="1841" xr:uid="{00000000-0005-0000-0000-000024210000}"/>
    <cellStyle name="Note 2 4 4 2" xfId="4070" xr:uid="{00000000-0005-0000-0000-000025210000}"/>
    <cellStyle name="Note 2 4 4 2 2" xfId="8292" xr:uid="{00000000-0005-0000-0000-000026210000}"/>
    <cellStyle name="Note 2 4 4 3" xfId="6147" xr:uid="{00000000-0005-0000-0000-000027210000}"/>
    <cellStyle name="Note 2 4 5" xfId="2254" xr:uid="{00000000-0005-0000-0000-000028210000}"/>
    <cellStyle name="Note 2 4 5 2" xfId="4483" xr:uid="{00000000-0005-0000-0000-000029210000}"/>
    <cellStyle name="Note 2 4 5 2 2" xfId="8705" xr:uid="{00000000-0005-0000-0000-00002A210000}"/>
    <cellStyle name="Note 2 4 5 3" xfId="6560" xr:uid="{00000000-0005-0000-0000-00002B210000}"/>
    <cellStyle name="Note 2 4 6" xfId="2690" xr:uid="{00000000-0005-0000-0000-00002C210000}"/>
    <cellStyle name="Note 2 4 6 2" xfId="6973" xr:uid="{00000000-0005-0000-0000-00002D210000}"/>
    <cellStyle name="Note 2 4 7" xfId="2749" xr:uid="{00000000-0005-0000-0000-00002E210000}"/>
    <cellStyle name="Note 2 4 8" xfId="2830" xr:uid="{00000000-0005-0000-0000-00002F210000}"/>
    <cellStyle name="Note 2 4 8 2" xfId="7053" xr:uid="{00000000-0005-0000-0000-000030210000}"/>
    <cellStyle name="Note 2 4 9" xfId="4908"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7" xr:uid="{00000000-0005-0000-0000-000035210000}"/>
    <cellStyle name="Note 2 5 2 3" xfId="5322" xr:uid="{00000000-0005-0000-0000-000036210000}"/>
    <cellStyle name="Note 2 5 3" xfId="1428" xr:uid="{00000000-0005-0000-0000-000037210000}"/>
    <cellStyle name="Note 2 5 3 2" xfId="3658" xr:uid="{00000000-0005-0000-0000-000038210000}"/>
    <cellStyle name="Note 2 5 3 2 2" xfId="7880" xr:uid="{00000000-0005-0000-0000-000039210000}"/>
    <cellStyle name="Note 2 5 3 3" xfId="5735" xr:uid="{00000000-0005-0000-0000-00003A210000}"/>
    <cellStyle name="Note 2 5 4" xfId="1842" xr:uid="{00000000-0005-0000-0000-00003B210000}"/>
    <cellStyle name="Note 2 5 4 2" xfId="4071" xr:uid="{00000000-0005-0000-0000-00003C210000}"/>
    <cellStyle name="Note 2 5 4 2 2" xfId="8293" xr:uid="{00000000-0005-0000-0000-00003D210000}"/>
    <cellStyle name="Note 2 5 4 3" xfId="6148" xr:uid="{00000000-0005-0000-0000-00003E210000}"/>
    <cellStyle name="Note 2 5 5" xfId="2255" xr:uid="{00000000-0005-0000-0000-00003F210000}"/>
    <cellStyle name="Note 2 5 5 2" xfId="4484" xr:uid="{00000000-0005-0000-0000-000040210000}"/>
    <cellStyle name="Note 2 5 5 2 2" xfId="8706" xr:uid="{00000000-0005-0000-0000-000041210000}"/>
    <cellStyle name="Note 2 5 5 3" xfId="6561" xr:uid="{00000000-0005-0000-0000-000042210000}"/>
    <cellStyle name="Note 2 5 6" xfId="2691" xr:uid="{00000000-0005-0000-0000-000043210000}"/>
    <cellStyle name="Note 2 5 6 2" xfId="6974" xr:uid="{00000000-0005-0000-0000-000044210000}"/>
    <cellStyle name="Note 2 5 7" xfId="2750" xr:uid="{00000000-0005-0000-0000-000045210000}"/>
    <cellStyle name="Note 2 5 8" xfId="2831" xr:uid="{00000000-0005-0000-0000-000046210000}"/>
    <cellStyle name="Note 2 5 8 2" xfId="7054" xr:uid="{00000000-0005-0000-0000-000047210000}"/>
    <cellStyle name="Note 2 5 9" xfId="4909"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5" xr:uid="{00000000-0005-0000-0000-00004C210000}"/>
    <cellStyle name="Note 3 2 11" xfId="4910" xr:uid="{00000000-0005-0000-0000-00004D210000}"/>
    <cellStyle name="Note 3 2 2" xfId="555" xr:uid="{00000000-0005-0000-0000-00004E210000}"/>
    <cellStyle name="Note 3 2 2 10" xfId="4911"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0" xr:uid="{00000000-0005-0000-0000-000053210000}"/>
    <cellStyle name="Note 3 2 2 2 2 3" xfId="5325" xr:uid="{00000000-0005-0000-0000-000054210000}"/>
    <cellStyle name="Note 3 2 2 2 3" xfId="1431" xr:uid="{00000000-0005-0000-0000-000055210000}"/>
    <cellStyle name="Note 3 2 2 2 3 2" xfId="3661" xr:uid="{00000000-0005-0000-0000-000056210000}"/>
    <cellStyle name="Note 3 2 2 2 3 2 2" xfId="7883" xr:uid="{00000000-0005-0000-0000-000057210000}"/>
    <cellStyle name="Note 3 2 2 2 3 3" xfId="5738" xr:uid="{00000000-0005-0000-0000-000058210000}"/>
    <cellStyle name="Note 3 2 2 2 4" xfId="1845" xr:uid="{00000000-0005-0000-0000-000059210000}"/>
    <cellStyle name="Note 3 2 2 2 4 2" xfId="4074" xr:uid="{00000000-0005-0000-0000-00005A210000}"/>
    <cellStyle name="Note 3 2 2 2 4 2 2" xfId="8296" xr:uid="{00000000-0005-0000-0000-00005B210000}"/>
    <cellStyle name="Note 3 2 2 2 4 3" xfId="6151" xr:uid="{00000000-0005-0000-0000-00005C210000}"/>
    <cellStyle name="Note 3 2 2 2 5" xfId="2258" xr:uid="{00000000-0005-0000-0000-00005D210000}"/>
    <cellStyle name="Note 3 2 2 2 5 2" xfId="4487" xr:uid="{00000000-0005-0000-0000-00005E210000}"/>
    <cellStyle name="Note 3 2 2 2 5 2 2" xfId="8709" xr:uid="{00000000-0005-0000-0000-00005F210000}"/>
    <cellStyle name="Note 3 2 2 2 5 3" xfId="6564" xr:uid="{00000000-0005-0000-0000-000060210000}"/>
    <cellStyle name="Note 3 2 2 2 6" xfId="2694" xr:uid="{00000000-0005-0000-0000-000061210000}"/>
    <cellStyle name="Note 3 2 2 2 6 2" xfId="6977" xr:uid="{00000000-0005-0000-0000-000062210000}"/>
    <cellStyle name="Note 3 2 2 2 7" xfId="2753" xr:uid="{00000000-0005-0000-0000-000063210000}"/>
    <cellStyle name="Note 3 2 2 2 8" xfId="2834" xr:uid="{00000000-0005-0000-0000-000064210000}"/>
    <cellStyle name="Note 3 2 2 2 8 2" xfId="7057" xr:uid="{00000000-0005-0000-0000-000065210000}"/>
    <cellStyle name="Note 3 2 2 2 9" xfId="4912" xr:uid="{00000000-0005-0000-0000-000066210000}"/>
    <cellStyle name="Note 3 2 2 3" xfId="1015" xr:uid="{00000000-0005-0000-0000-000067210000}"/>
    <cellStyle name="Note 3 2 2 3 2" xfId="3247" xr:uid="{00000000-0005-0000-0000-000068210000}"/>
    <cellStyle name="Note 3 2 2 3 2 2" xfId="7469" xr:uid="{00000000-0005-0000-0000-000069210000}"/>
    <cellStyle name="Note 3 2 2 3 3" xfId="5324" xr:uid="{00000000-0005-0000-0000-00006A210000}"/>
    <cellStyle name="Note 3 2 2 4" xfId="1430" xr:uid="{00000000-0005-0000-0000-00006B210000}"/>
    <cellStyle name="Note 3 2 2 4 2" xfId="3660" xr:uid="{00000000-0005-0000-0000-00006C210000}"/>
    <cellStyle name="Note 3 2 2 4 2 2" xfId="7882" xr:uid="{00000000-0005-0000-0000-00006D210000}"/>
    <cellStyle name="Note 3 2 2 4 3" xfId="5737" xr:uid="{00000000-0005-0000-0000-00006E210000}"/>
    <cellStyle name="Note 3 2 2 5" xfId="1844" xr:uid="{00000000-0005-0000-0000-00006F210000}"/>
    <cellStyle name="Note 3 2 2 5 2" xfId="4073" xr:uid="{00000000-0005-0000-0000-000070210000}"/>
    <cellStyle name="Note 3 2 2 5 2 2" xfId="8295" xr:uid="{00000000-0005-0000-0000-000071210000}"/>
    <cellStyle name="Note 3 2 2 5 3" xfId="6150" xr:uid="{00000000-0005-0000-0000-000072210000}"/>
    <cellStyle name="Note 3 2 2 6" xfId="2257" xr:uid="{00000000-0005-0000-0000-000073210000}"/>
    <cellStyle name="Note 3 2 2 6 2" xfId="4486" xr:uid="{00000000-0005-0000-0000-000074210000}"/>
    <cellStyle name="Note 3 2 2 6 2 2" xfId="8708" xr:uid="{00000000-0005-0000-0000-000075210000}"/>
    <cellStyle name="Note 3 2 2 6 3" xfId="6563" xr:uid="{00000000-0005-0000-0000-000076210000}"/>
    <cellStyle name="Note 3 2 2 7" xfId="2693" xr:uid="{00000000-0005-0000-0000-000077210000}"/>
    <cellStyle name="Note 3 2 2 7 2" xfId="6976" xr:uid="{00000000-0005-0000-0000-000078210000}"/>
    <cellStyle name="Note 3 2 2 8" xfId="2752" xr:uid="{00000000-0005-0000-0000-000079210000}"/>
    <cellStyle name="Note 3 2 2 9" xfId="2833" xr:uid="{00000000-0005-0000-0000-00007A210000}"/>
    <cellStyle name="Note 3 2 2 9 2" xfId="7056"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1" xr:uid="{00000000-0005-0000-0000-00007F210000}"/>
    <cellStyle name="Note 3 2 3 2 3" xfId="5326" xr:uid="{00000000-0005-0000-0000-000080210000}"/>
    <cellStyle name="Note 3 2 3 3" xfId="1432" xr:uid="{00000000-0005-0000-0000-000081210000}"/>
    <cellStyle name="Note 3 2 3 3 2" xfId="3662" xr:uid="{00000000-0005-0000-0000-000082210000}"/>
    <cellStyle name="Note 3 2 3 3 2 2" xfId="7884" xr:uid="{00000000-0005-0000-0000-000083210000}"/>
    <cellStyle name="Note 3 2 3 3 3" xfId="5739" xr:uid="{00000000-0005-0000-0000-000084210000}"/>
    <cellStyle name="Note 3 2 3 4" xfId="1846" xr:uid="{00000000-0005-0000-0000-000085210000}"/>
    <cellStyle name="Note 3 2 3 4 2" xfId="4075" xr:uid="{00000000-0005-0000-0000-000086210000}"/>
    <cellStyle name="Note 3 2 3 4 2 2" xfId="8297" xr:uid="{00000000-0005-0000-0000-000087210000}"/>
    <cellStyle name="Note 3 2 3 4 3" xfId="6152" xr:uid="{00000000-0005-0000-0000-000088210000}"/>
    <cellStyle name="Note 3 2 3 5" xfId="2259" xr:uid="{00000000-0005-0000-0000-000089210000}"/>
    <cellStyle name="Note 3 2 3 5 2" xfId="4488" xr:uid="{00000000-0005-0000-0000-00008A210000}"/>
    <cellStyle name="Note 3 2 3 5 2 2" xfId="8710" xr:uid="{00000000-0005-0000-0000-00008B210000}"/>
    <cellStyle name="Note 3 2 3 5 3" xfId="6565" xr:uid="{00000000-0005-0000-0000-00008C210000}"/>
    <cellStyle name="Note 3 2 3 6" xfId="2695" xr:uid="{00000000-0005-0000-0000-00008D210000}"/>
    <cellStyle name="Note 3 2 3 6 2" xfId="6978" xr:uid="{00000000-0005-0000-0000-00008E210000}"/>
    <cellStyle name="Note 3 2 3 7" xfId="2754" xr:uid="{00000000-0005-0000-0000-00008F210000}"/>
    <cellStyle name="Note 3 2 3 8" xfId="2835" xr:uid="{00000000-0005-0000-0000-000090210000}"/>
    <cellStyle name="Note 3 2 3 8 2" xfId="7058" xr:uid="{00000000-0005-0000-0000-000091210000}"/>
    <cellStyle name="Note 3 2 3 9" xfId="4913" xr:uid="{00000000-0005-0000-0000-000092210000}"/>
    <cellStyle name="Note 3 2 4" xfId="1014" xr:uid="{00000000-0005-0000-0000-000093210000}"/>
    <cellStyle name="Note 3 2 4 2" xfId="3246" xr:uid="{00000000-0005-0000-0000-000094210000}"/>
    <cellStyle name="Note 3 2 4 2 2" xfId="7468" xr:uid="{00000000-0005-0000-0000-000095210000}"/>
    <cellStyle name="Note 3 2 4 3" xfId="5323" xr:uid="{00000000-0005-0000-0000-000096210000}"/>
    <cellStyle name="Note 3 2 5" xfId="1429" xr:uid="{00000000-0005-0000-0000-000097210000}"/>
    <cellStyle name="Note 3 2 5 2" xfId="3659" xr:uid="{00000000-0005-0000-0000-000098210000}"/>
    <cellStyle name="Note 3 2 5 2 2" xfId="7881" xr:uid="{00000000-0005-0000-0000-000099210000}"/>
    <cellStyle name="Note 3 2 5 3" xfId="5736" xr:uid="{00000000-0005-0000-0000-00009A210000}"/>
    <cellStyle name="Note 3 2 6" xfId="1843" xr:uid="{00000000-0005-0000-0000-00009B210000}"/>
    <cellStyle name="Note 3 2 6 2" xfId="4072" xr:uid="{00000000-0005-0000-0000-00009C210000}"/>
    <cellStyle name="Note 3 2 6 2 2" xfId="8294" xr:uid="{00000000-0005-0000-0000-00009D210000}"/>
    <cellStyle name="Note 3 2 6 3" xfId="6149" xr:uid="{00000000-0005-0000-0000-00009E210000}"/>
    <cellStyle name="Note 3 2 7" xfId="2256" xr:uid="{00000000-0005-0000-0000-00009F210000}"/>
    <cellStyle name="Note 3 2 7 2" xfId="4485" xr:uid="{00000000-0005-0000-0000-0000A0210000}"/>
    <cellStyle name="Note 3 2 7 2 2" xfId="8707" xr:uid="{00000000-0005-0000-0000-0000A1210000}"/>
    <cellStyle name="Note 3 2 7 3" xfId="6562" xr:uid="{00000000-0005-0000-0000-0000A2210000}"/>
    <cellStyle name="Note 3 2 8" xfId="2692" xr:uid="{00000000-0005-0000-0000-0000A3210000}"/>
    <cellStyle name="Note 3 2 8 2" xfId="6975" xr:uid="{00000000-0005-0000-0000-0000A4210000}"/>
    <cellStyle name="Note 3 2 9" xfId="2751" xr:uid="{00000000-0005-0000-0000-0000A5210000}"/>
    <cellStyle name="Note 3 3" xfId="558" xr:uid="{00000000-0005-0000-0000-0000A6210000}"/>
    <cellStyle name="Note 3 3 10" xfId="4914"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3" xr:uid="{00000000-0005-0000-0000-0000AB210000}"/>
    <cellStyle name="Note 3 3 2 2 3" xfId="5328" xr:uid="{00000000-0005-0000-0000-0000AC210000}"/>
    <cellStyle name="Note 3 3 2 3" xfId="1434" xr:uid="{00000000-0005-0000-0000-0000AD210000}"/>
    <cellStyle name="Note 3 3 2 3 2" xfId="3664" xr:uid="{00000000-0005-0000-0000-0000AE210000}"/>
    <cellStyle name="Note 3 3 2 3 2 2" xfId="7886" xr:uid="{00000000-0005-0000-0000-0000AF210000}"/>
    <cellStyle name="Note 3 3 2 3 3" xfId="5741" xr:uid="{00000000-0005-0000-0000-0000B0210000}"/>
    <cellStyle name="Note 3 3 2 4" xfId="1848" xr:uid="{00000000-0005-0000-0000-0000B1210000}"/>
    <cellStyle name="Note 3 3 2 4 2" xfId="4077" xr:uid="{00000000-0005-0000-0000-0000B2210000}"/>
    <cellStyle name="Note 3 3 2 4 2 2" xfId="8299" xr:uid="{00000000-0005-0000-0000-0000B3210000}"/>
    <cellStyle name="Note 3 3 2 4 3" xfId="6154" xr:uid="{00000000-0005-0000-0000-0000B4210000}"/>
    <cellStyle name="Note 3 3 2 5" xfId="2261" xr:uid="{00000000-0005-0000-0000-0000B5210000}"/>
    <cellStyle name="Note 3 3 2 5 2" xfId="4490" xr:uid="{00000000-0005-0000-0000-0000B6210000}"/>
    <cellStyle name="Note 3 3 2 5 2 2" xfId="8712" xr:uid="{00000000-0005-0000-0000-0000B7210000}"/>
    <cellStyle name="Note 3 3 2 5 3" xfId="6567" xr:uid="{00000000-0005-0000-0000-0000B8210000}"/>
    <cellStyle name="Note 3 3 2 6" xfId="2697" xr:uid="{00000000-0005-0000-0000-0000B9210000}"/>
    <cellStyle name="Note 3 3 2 6 2" xfId="6980" xr:uid="{00000000-0005-0000-0000-0000BA210000}"/>
    <cellStyle name="Note 3 3 2 7" xfId="2756" xr:uid="{00000000-0005-0000-0000-0000BB210000}"/>
    <cellStyle name="Note 3 3 2 8" xfId="2837" xr:uid="{00000000-0005-0000-0000-0000BC210000}"/>
    <cellStyle name="Note 3 3 2 8 2" xfId="7060" xr:uid="{00000000-0005-0000-0000-0000BD210000}"/>
    <cellStyle name="Note 3 3 2 9" xfId="4915" xr:uid="{00000000-0005-0000-0000-0000BE210000}"/>
    <cellStyle name="Note 3 3 3" xfId="1018" xr:uid="{00000000-0005-0000-0000-0000BF210000}"/>
    <cellStyle name="Note 3 3 3 2" xfId="3250" xr:uid="{00000000-0005-0000-0000-0000C0210000}"/>
    <cellStyle name="Note 3 3 3 2 2" xfId="7472" xr:uid="{00000000-0005-0000-0000-0000C1210000}"/>
    <cellStyle name="Note 3 3 3 3" xfId="5327" xr:uid="{00000000-0005-0000-0000-0000C2210000}"/>
    <cellStyle name="Note 3 3 4" xfId="1433" xr:uid="{00000000-0005-0000-0000-0000C3210000}"/>
    <cellStyle name="Note 3 3 4 2" xfId="3663" xr:uid="{00000000-0005-0000-0000-0000C4210000}"/>
    <cellStyle name="Note 3 3 4 2 2" xfId="7885" xr:uid="{00000000-0005-0000-0000-0000C5210000}"/>
    <cellStyle name="Note 3 3 4 3" xfId="5740" xr:uid="{00000000-0005-0000-0000-0000C6210000}"/>
    <cellStyle name="Note 3 3 5" xfId="1847" xr:uid="{00000000-0005-0000-0000-0000C7210000}"/>
    <cellStyle name="Note 3 3 5 2" xfId="4076" xr:uid="{00000000-0005-0000-0000-0000C8210000}"/>
    <cellStyle name="Note 3 3 5 2 2" xfId="8298" xr:uid="{00000000-0005-0000-0000-0000C9210000}"/>
    <cellStyle name="Note 3 3 5 3" xfId="6153" xr:uid="{00000000-0005-0000-0000-0000CA210000}"/>
    <cellStyle name="Note 3 3 6" xfId="2260" xr:uid="{00000000-0005-0000-0000-0000CB210000}"/>
    <cellStyle name="Note 3 3 6 2" xfId="4489" xr:uid="{00000000-0005-0000-0000-0000CC210000}"/>
    <cellStyle name="Note 3 3 6 2 2" xfId="8711" xr:uid="{00000000-0005-0000-0000-0000CD210000}"/>
    <cellStyle name="Note 3 3 6 3" xfId="6566" xr:uid="{00000000-0005-0000-0000-0000CE210000}"/>
    <cellStyle name="Note 3 3 7" xfId="2696" xr:uid="{00000000-0005-0000-0000-0000CF210000}"/>
    <cellStyle name="Note 3 3 7 2" xfId="6979" xr:uid="{00000000-0005-0000-0000-0000D0210000}"/>
    <cellStyle name="Note 3 3 8" xfId="2755" xr:uid="{00000000-0005-0000-0000-0000D1210000}"/>
    <cellStyle name="Note 3 3 9" xfId="2836" xr:uid="{00000000-0005-0000-0000-0000D2210000}"/>
    <cellStyle name="Note 3 3 9 2" xfId="7059"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4" xr:uid="{00000000-0005-0000-0000-0000D7210000}"/>
    <cellStyle name="Note 3 4 2 3" xfId="5329" xr:uid="{00000000-0005-0000-0000-0000D8210000}"/>
    <cellStyle name="Note 3 4 3" xfId="1435" xr:uid="{00000000-0005-0000-0000-0000D9210000}"/>
    <cellStyle name="Note 3 4 3 2" xfId="3665" xr:uid="{00000000-0005-0000-0000-0000DA210000}"/>
    <cellStyle name="Note 3 4 3 2 2" xfId="7887" xr:uid="{00000000-0005-0000-0000-0000DB210000}"/>
    <cellStyle name="Note 3 4 3 3" xfId="5742" xr:uid="{00000000-0005-0000-0000-0000DC210000}"/>
    <cellStyle name="Note 3 4 4" xfId="1849" xr:uid="{00000000-0005-0000-0000-0000DD210000}"/>
    <cellStyle name="Note 3 4 4 2" xfId="4078" xr:uid="{00000000-0005-0000-0000-0000DE210000}"/>
    <cellStyle name="Note 3 4 4 2 2" xfId="8300" xr:uid="{00000000-0005-0000-0000-0000DF210000}"/>
    <cellStyle name="Note 3 4 4 3" xfId="6155" xr:uid="{00000000-0005-0000-0000-0000E0210000}"/>
    <cellStyle name="Note 3 4 5" xfId="2262" xr:uid="{00000000-0005-0000-0000-0000E1210000}"/>
    <cellStyle name="Note 3 4 5 2" xfId="4491" xr:uid="{00000000-0005-0000-0000-0000E2210000}"/>
    <cellStyle name="Note 3 4 5 2 2" xfId="8713" xr:uid="{00000000-0005-0000-0000-0000E3210000}"/>
    <cellStyle name="Note 3 4 5 3" xfId="6568" xr:uid="{00000000-0005-0000-0000-0000E4210000}"/>
    <cellStyle name="Note 3 4 6" xfId="2698" xr:uid="{00000000-0005-0000-0000-0000E5210000}"/>
    <cellStyle name="Note 3 4 6 2" xfId="6981" xr:uid="{00000000-0005-0000-0000-0000E6210000}"/>
    <cellStyle name="Note 3 4 7" xfId="2757" xr:uid="{00000000-0005-0000-0000-0000E7210000}"/>
    <cellStyle name="Note 3 4 8" xfId="2838" xr:uid="{00000000-0005-0000-0000-0000E8210000}"/>
    <cellStyle name="Note 3 4 8 2" xfId="7061" xr:uid="{00000000-0005-0000-0000-0000E9210000}"/>
    <cellStyle name="Note 3 4 9" xfId="4916"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5" xr:uid="{00000000-0005-0000-0000-0000EE210000}"/>
    <cellStyle name="Note 3 5 2 3" xfId="5330" xr:uid="{00000000-0005-0000-0000-0000EF210000}"/>
    <cellStyle name="Note 3 5 3" xfId="1436" xr:uid="{00000000-0005-0000-0000-0000F0210000}"/>
    <cellStyle name="Note 3 5 3 2" xfId="3666" xr:uid="{00000000-0005-0000-0000-0000F1210000}"/>
    <cellStyle name="Note 3 5 3 2 2" xfId="7888" xr:uid="{00000000-0005-0000-0000-0000F2210000}"/>
    <cellStyle name="Note 3 5 3 3" xfId="5743" xr:uid="{00000000-0005-0000-0000-0000F3210000}"/>
    <cellStyle name="Note 3 5 4" xfId="1850" xr:uid="{00000000-0005-0000-0000-0000F4210000}"/>
    <cellStyle name="Note 3 5 4 2" xfId="4079" xr:uid="{00000000-0005-0000-0000-0000F5210000}"/>
    <cellStyle name="Note 3 5 4 2 2" xfId="8301" xr:uid="{00000000-0005-0000-0000-0000F6210000}"/>
    <cellStyle name="Note 3 5 4 3" xfId="6156" xr:uid="{00000000-0005-0000-0000-0000F7210000}"/>
    <cellStyle name="Note 3 5 5" xfId="2263" xr:uid="{00000000-0005-0000-0000-0000F8210000}"/>
    <cellStyle name="Note 3 5 5 2" xfId="4492" xr:uid="{00000000-0005-0000-0000-0000F9210000}"/>
    <cellStyle name="Note 3 5 5 2 2" xfId="8714" xr:uid="{00000000-0005-0000-0000-0000FA210000}"/>
    <cellStyle name="Note 3 5 5 3" xfId="6569" xr:uid="{00000000-0005-0000-0000-0000FB210000}"/>
    <cellStyle name="Note 3 5 6" xfId="2699" xr:uid="{00000000-0005-0000-0000-0000FC210000}"/>
    <cellStyle name="Note 3 5 6 2" xfId="6982" xr:uid="{00000000-0005-0000-0000-0000FD210000}"/>
    <cellStyle name="Note 3 5 7" xfId="2758" xr:uid="{00000000-0005-0000-0000-0000FE210000}"/>
    <cellStyle name="Note 3 5 8" xfId="2839" xr:uid="{00000000-0005-0000-0000-0000FF210000}"/>
    <cellStyle name="Note 3 5 8 2" xfId="7062" xr:uid="{00000000-0005-0000-0000-000000220000}"/>
    <cellStyle name="Note 3 5 9" xfId="4917"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7" xr:uid="{00000000-0005-0000-0000-000008220000}"/>
    <cellStyle name="Percent 4 3" xfId="8720" xr:uid="{D09CD3FC-D632-4B66-A68A-5CC92F993799}"/>
    <cellStyle name="Percent 4 3 2" xfId="8724" xr:uid="{D57AE941-8E59-43F0-AB73-09B3BCCFA234}"/>
    <cellStyle name="Percent 4 3 2 2" xfId="8727" xr:uid="{D24D76A7-D076-4554-9944-551B122393DE}"/>
    <cellStyle name="Percent 4 3 2 2 2" xfId="8732" xr:uid="{46B1AF3B-5386-4863-9AB1-394839948616}"/>
    <cellStyle name="Percent 4 3 2 2 2 2" xfId="8735" xr:uid="{01AAC84A-14E7-486F-AC1F-AA11AA6D0373}"/>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23">
    <dxf>
      <font>
        <color theme="0" tint="-0.34998626667073579"/>
      </font>
    </dxf>
    <dxf>
      <font>
        <strike val="0"/>
      </font>
      <fill>
        <patternFill>
          <bgColor rgb="FFFFFF99"/>
        </patternFill>
      </fill>
    </dxf>
    <dxf>
      <fill>
        <patternFill>
          <bgColor theme="0" tint="-4.9989318521683403E-2"/>
        </patternFill>
      </fill>
    </dxf>
    <dxf>
      <font>
        <color theme="0" tint="-0.24994659260841701"/>
      </font>
    </dxf>
    <dxf>
      <fill>
        <patternFill patternType="none">
          <bgColor auto="1"/>
        </patternFill>
      </fill>
      <border>
        <left/>
        <right/>
        <top/>
        <bottom/>
        <vertical/>
        <horizontal/>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ndense val="0"/>
        <extend val="0"/>
        <color indexed="10"/>
      </font>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auto="1"/>
      </font>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auto="1"/>
      </font>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0"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numFmt numFmtId="1" formatCode="0"/>
    </dxf>
    <dxf>
      <font>
        <b val="0"/>
        <i val="0"/>
        <strike val="0"/>
        <condense val="0"/>
        <extend val="0"/>
        <outline val="0"/>
        <shadow val="0"/>
        <u val="none"/>
        <vertAlign val="baseline"/>
        <sz val="10"/>
        <color auto="1"/>
        <name val="Arial"/>
        <family val="2"/>
        <scheme val="none"/>
      </font>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14</xdr:row>
      <xdr:rowOff>0</xdr:rowOff>
    </xdr:from>
    <xdr:to>
      <xdr:col>6</xdr:col>
      <xdr:colOff>407670</xdr:colOff>
      <xdr:row>15</xdr:row>
      <xdr:rowOff>2079</xdr:rowOff>
    </xdr:to>
    <xdr:pic>
      <xdr:nvPicPr>
        <xdr:cNvPr id="2" name="Picture 2">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20</xdr:row>
      <xdr:rowOff>7620</xdr:rowOff>
    </xdr:from>
    <xdr:to>
      <xdr:col>0</xdr:col>
      <xdr:colOff>114300</xdr:colOff>
      <xdr:row>54</xdr:row>
      <xdr:rowOff>76200</xdr:rowOff>
    </xdr:to>
    <xdr:pic>
      <xdr:nvPicPr>
        <xdr:cNvPr id="3" name="Picture 3">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61</xdr:row>
      <xdr:rowOff>0</xdr:rowOff>
    </xdr:from>
    <xdr:to>
      <xdr:col>0</xdr:col>
      <xdr:colOff>533400</xdr:colOff>
      <xdr:row>69</xdr:row>
      <xdr:rowOff>0</xdr:rowOff>
    </xdr:to>
    <xdr:pic>
      <xdr:nvPicPr>
        <xdr:cNvPr id="4" name="Picture 5">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20</xdr:row>
      <xdr:rowOff>0</xdr:rowOff>
    </xdr:from>
    <xdr:to>
      <xdr:col>0</xdr:col>
      <xdr:colOff>76200</xdr:colOff>
      <xdr:row>54</xdr:row>
      <xdr:rowOff>70485</xdr:rowOff>
    </xdr:to>
    <xdr:pic>
      <xdr:nvPicPr>
        <xdr:cNvPr id="5" name="Picture 3">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61</xdr:row>
      <xdr:rowOff>0</xdr:rowOff>
    </xdr:from>
    <xdr:to>
      <xdr:col>0</xdr:col>
      <xdr:colOff>527685</xdr:colOff>
      <xdr:row>69</xdr:row>
      <xdr:rowOff>0</xdr:rowOff>
    </xdr:to>
    <xdr:pic>
      <xdr:nvPicPr>
        <xdr:cNvPr id="6" name="Picture 5">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61</xdr:row>
      <xdr:rowOff>0</xdr:rowOff>
    </xdr:from>
    <xdr:to>
      <xdr:col>8</xdr:col>
      <xdr:colOff>11430</xdr:colOff>
      <xdr:row>69</xdr:row>
      <xdr:rowOff>0</xdr:rowOff>
    </xdr:to>
    <xdr:pic>
      <xdr:nvPicPr>
        <xdr:cNvPr id="7" name="Picture 7">
          <a:extLst>
            <a:ext uri="{FF2B5EF4-FFF2-40B4-BE49-F238E27FC236}">
              <a16:creationId xmlns:a16="http://schemas.microsoft.com/office/drawing/2014/main" id="{00000000-0008-0000-01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14</xdr:row>
      <xdr:rowOff>0</xdr:rowOff>
    </xdr:from>
    <xdr:to>
      <xdr:col>4</xdr:col>
      <xdr:colOff>148590</xdr:colOff>
      <xdr:row>15</xdr:row>
      <xdr:rowOff>2079</xdr:rowOff>
    </xdr:to>
    <xdr:pic>
      <xdr:nvPicPr>
        <xdr:cNvPr id="8" name="Picture 2">
          <a:extLst>
            <a:ext uri="{FF2B5EF4-FFF2-40B4-BE49-F238E27FC236}">
              <a16:creationId xmlns:a16="http://schemas.microsoft.com/office/drawing/2014/main" id="{00000000-0008-0000-01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20</xdr:row>
      <xdr:rowOff>0</xdr:rowOff>
    </xdr:from>
    <xdr:to>
      <xdr:col>8</xdr:col>
      <xdr:colOff>348615</xdr:colOff>
      <xdr:row>53</xdr:row>
      <xdr:rowOff>81222</xdr:rowOff>
    </xdr:to>
    <xdr:pic>
      <xdr:nvPicPr>
        <xdr:cNvPr id="9" name="Picture 4">
          <a:extLst>
            <a:ext uri="{FF2B5EF4-FFF2-40B4-BE49-F238E27FC236}">
              <a16:creationId xmlns:a16="http://schemas.microsoft.com/office/drawing/2014/main" id="{00000000-0008-0000-01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51</xdr:row>
          <xdr:rowOff>0</xdr:rowOff>
        </xdr:from>
        <xdr:to>
          <xdr:col>0</xdr:col>
          <xdr:colOff>9525</xdr:colOff>
          <xdr:row>77</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1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88265</xdr:colOff>
      <xdr:row>7</xdr:row>
      <xdr:rowOff>2954</xdr:rowOff>
    </xdr:to>
    <xdr:pic>
      <xdr:nvPicPr>
        <xdr:cNvPr id="44278" name="Picture 2">
          <a:extLst>
            <a:ext uri="{FF2B5EF4-FFF2-40B4-BE49-F238E27FC236}">
              <a16:creationId xmlns:a16="http://schemas.microsoft.com/office/drawing/2014/main" id="{00000000-0008-0000-03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0D12FE9-D671-46AE-8E74-697FC9E00D36}" name="CDLAC_Data" displayName="CDLAC_Data" ref="BD2:BF103" totalsRowShown="0" headerRowDxfId="122">
  <autoFilter ref="BD2:BF103" xr:uid="{20D12FE9-D671-46AE-8E74-697FC9E00D36}"/>
  <tableColumns count="3">
    <tableColumn id="1" xr3:uid="{6D57456F-8765-4265-AAB0-1C6229D75231}" name="Key"/>
    <tableColumn id="2" xr3:uid="{364B4D43-EEAF-424D-B3F3-B1165A9E3181}" name="Value" dataDxfId="121"/>
    <tableColumn id="3" xr3:uid="{8AFDCB5A-5111-47F1-852C-3116971BD5E9}" name="Notes"/>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6B3E8F7-B28C-4B26-AA8C-01D2EF23D436}" name="Table2" displayName="Table2" ref="BM8:BM13" totalsRowShown="0" headerRowDxfId="120" dataDxfId="119" headerRowCellStyle="Normal 16 3" dataCellStyle="Normal 16 3">
  <autoFilter ref="BM8:BM13" xr:uid="{EC5E3245-E94C-4732-9264-A1FF7840F5A2}"/>
  <tableColumns count="1">
    <tableColumn id="1" xr3:uid="{E87F798D-9094-4F6E-94EB-ABEE95220A01}" name="Construction Type" dataDxfId="118" dataCellStyle="Normal 16 3"/>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U54" totalsRowShown="0" headerRowDxfId="117" dataDxfId="116" headerRowCellStyle="Normal 15" dataCellStyle="Normal 15">
  <autoFilter ref="L19:U5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2" xr3:uid="{4A5119DB-DA07-48B8-AFCC-E2765DACE9BE}" name="Bedrooms" dataDxfId="115" dataCellStyle="Normal 15">
      <calculatedColumnFormula>IFERROR(MIN(4,MATCH(Application!B718,UnitSizes,0)-1),"")</calculatedColumnFormula>
    </tableColumn>
    <tableColumn id="3" xr3:uid="{3C170205-C158-4CBB-8CF5-9AF725351349}" name="Quantity" dataDxfId="114" dataCellStyle="Normal 15">
      <calculatedColumnFormula>Application!G718</calculatedColumnFormula>
    </tableColumn>
    <tableColumn id="6" xr3:uid="{7C05B4DE-3AC1-47F3-9C25-D16553367CFA}" name="iAMI" dataDxfId="113" dataCellStyle="Percent">
      <calculatedColumnFormula>Application!AC718</calculatedColumnFormula>
    </tableColumn>
    <tableColumn id="7" xr3:uid="{2B6706B4-1A54-4104-A649-2FE0A4FF8E92}" name="AMI" dataDxfId="112" dataCellStyle="Percent">
      <calculatedColumnFormula>IF(Cdlac[[#This Row],[Quantity]]&gt;0,IF(Cdlac[[#This Row],[Federal]],30%,IF(AND(OR(NOT($G$38),$G$38=""),$G$43),40%,Cdlac[[#This Row],[iAMI]])),"")</calculatedColumnFormula>
    </tableColumn>
    <tableColumn id="8" xr3:uid="{A8EB42BE-4789-45EE-A11C-67C20CB0D91B}" name="Restricted Rent" dataDxfId="111" dataCellStyle="Normal 15">
      <calculatedColumnFormula array="1">IF(Cdlac[[#This Row],[Quantity]]&gt;0,INDEX(TcacRents,$P$18,Cdlac[[#This Row],[Bedrooms]]+1)*Cdlac[[#This Row],[AMI]],"")</calculatedColumnFormula>
    </tableColumn>
    <tableColumn id="1" xr3:uid="{DB79DEA5-8C58-4800-B67F-14CBEB0E0B62}" name="Preservation Rent" dataDxfId="110" dataCellStyle="Normal 15"/>
    <tableColumn id="9" xr3:uid="{E7AC364D-B07B-4A38-B74E-DAE64921E290}" name="Fair Market Rent" dataDxfId="109" dataCellStyle="Normal 15">
      <calculatedColumnFormula array="1">IF(Cdlac[[#This Row],[Quantity]]&gt;0,INDEX(HudFmrs,$P$18,Cdlac[[#This Row],[Bedrooms]]+1),"")</calculatedColumnFormula>
    </tableColumn>
    <tableColumn id="10" xr3:uid="{630C504C-0251-4207-88FB-451973BE380A}" name="Delta" dataDxfId="108" dataCellStyle="Normal 15">
      <calculatedColumnFormula>IF(Cdlac[[#This Row],[Quantity]]&gt;0,MAX(0,Cdlac[[#This Row],[Fair Market Rent]]-IF(AND($G$37,$G$38,$G$38&lt;&gt;"",NOT(Cdlac[[#This Row],[Federal]]),Cdlac[[#This Row],[Preservation Rent]]&lt;&gt;""),Cdlac[[#This Row],[Preservation Rent]],Cdlac[[#This Row],[Restricted Rent]])),"")</calculatedColumnFormula>
    </tableColumn>
    <tableColumn id="11" xr3:uid="{9C619E83-105C-4EED-A831-1DAB5BB5AC88}" name="Population" dataDxfId="107" dataCellStyle="Normal 15">
      <calculatedColumnFormula>IF(Cdlac[[#This Row],[Quantity]]&gt;0,AND(Application!AK718&lt;&gt;"N/A",Application!AK718&lt;&gt;"")*Cdlac[[#This Row],[Quantity]],"")</calculatedColumnFormula>
    </tableColumn>
    <tableColumn id="4" xr3:uid="{5D52F6BE-992B-4621-8785-ED1E8B62A78F}" name="Federal" dataDxfId="106" dataCellStyle="Normal 15">
      <calculatedColumnFormula>AND('Subsidy Contract Calculation'!F4&gt;0,OR('Subsidy Contract Calculation'!C4="Federal",'Subsidy Contract Calculation'!C4="Local - Approved by ED"),Cdlac[[#This Row],[Quantity]]&gt;0)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www.treasurer.ca.gov/CTCAC/2025/4-instructions.asp" TargetMode="External"/><Relationship Id="rId7" Type="http://schemas.openxmlformats.org/officeDocument/2006/relationships/hyperlink" Target="https://www.treasurer.ca.gov/ctcac/payment.asp" TargetMode="External"/><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10" Type="http://schemas.openxmlformats.org/officeDocument/2006/relationships/comments" Target="../comments1.xml"/><Relationship Id="rId4" Type="http://schemas.openxmlformats.org/officeDocument/2006/relationships/hyperlink" Target="http://www.treasurer.ca.gov/ctcac/assignments.asp" TargetMode="External"/><Relationship Id="rId9"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7.v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comments" Target="../comments7.xm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5.bin"/><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hyperlink" Target="http://www.treasurer.ca.gov/ctcac/2018/lra/contact.pdf" TargetMode="External"/><Relationship Id="rId9"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6"/>
  <sheetViews>
    <sheetView showGridLines="0" workbookViewId="0">
      <selection sqref="A1:AL2"/>
    </sheetView>
  </sheetViews>
  <sheetFormatPr defaultColWidth="0" defaultRowHeight="12.75" zeroHeight="1"/>
  <cols>
    <col min="1" max="5" width="2.5703125" customWidth="1"/>
    <col min="6" max="6" width="3" customWidth="1"/>
    <col min="7" max="36" width="2.5703125" customWidth="1"/>
    <col min="37" max="38" width="2.7109375" customWidth="1"/>
    <col min="39" max="16384" width="2.5703125" hidden="1"/>
  </cols>
  <sheetData>
    <row r="1" spans="1:38">
      <c r="A1" s="1260" t="s">
        <v>550</v>
      </c>
      <c r="B1" s="1260"/>
      <c r="C1" s="1260"/>
      <c r="D1" s="1260"/>
      <c r="E1" s="1260"/>
      <c r="F1" s="1260"/>
      <c r="G1" s="1260"/>
      <c r="H1" s="1260"/>
      <c r="I1" s="1260"/>
      <c r="J1" s="1260"/>
      <c r="K1" s="1260"/>
      <c r="L1" s="1260"/>
      <c r="M1" s="1260"/>
      <c r="N1" s="1260"/>
      <c r="O1" s="1260"/>
      <c r="P1" s="1260"/>
      <c r="Q1" s="1260"/>
      <c r="R1" s="1260"/>
      <c r="S1" s="1260"/>
      <c r="T1" s="1260"/>
      <c r="U1" s="1260"/>
      <c r="V1" s="1260"/>
      <c r="W1" s="1260"/>
      <c r="X1" s="1260"/>
      <c r="Y1" s="1260"/>
      <c r="Z1" s="1260"/>
      <c r="AA1" s="1260"/>
      <c r="AB1" s="1260"/>
      <c r="AC1" s="1260"/>
      <c r="AD1" s="1260"/>
      <c r="AE1" s="1260"/>
      <c r="AF1" s="1260"/>
      <c r="AG1" s="1260"/>
      <c r="AH1" s="1260"/>
      <c r="AI1" s="1260"/>
      <c r="AJ1" s="1260"/>
      <c r="AK1" s="1260"/>
      <c r="AL1" s="1260"/>
    </row>
    <row r="2" spans="1:38" ht="13.5" thickBot="1">
      <c r="A2" s="1261"/>
      <c r="B2" s="1261"/>
      <c r="C2" s="1261"/>
      <c r="D2" s="1261"/>
      <c r="E2" s="1261"/>
      <c r="F2" s="1261"/>
      <c r="G2" s="1261"/>
      <c r="H2" s="1261"/>
      <c r="I2" s="1261"/>
      <c r="J2" s="1261"/>
      <c r="K2" s="1261"/>
      <c r="L2" s="1261"/>
      <c r="M2" s="1261"/>
      <c r="N2" s="1261"/>
      <c r="O2" s="1261"/>
      <c r="P2" s="1261"/>
      <c r="Q2" s="1261"/>
      <c r="R2" s="1261"/>
      <c r="S2" s="1261"/>
      <c r="T2" s="1261"/>
      <c r="U2" s="1261"/>
      <c r="V2" s="1261"/>
      <c r="W2" s="1261"/>
      <c r="X2" s="1261"/>
      <c r="Y2" s="1261"/>
      <c r="Z2" s="1261"/>
      <c r="AA2" s="1261"/>
      <c r="AB2" s="1261"/>
      <c r="AC2" s="1261"/>
      <c r="AD2" s="1261"/>
      <c r="AE2" s="1261"/>
      <c r="AF2" s="1261"/>
      <c r="AG2" s="1261"/>
      <c r="AH2" s="1261"/>
      <c r="AI2" s="1261"/>
      <c r="AJ2" s="1261"/>
      <c r="AK2" s="1261"/>
      <c r="AL2" s="1261"/>
    </row>
    <row r="3" spans="1:38" ht="13.5" thickTop="1"/>
    <row r="4" spans="1:38" s="5" customFormat="1">
      <c r="B4" s="11" t="s">
        <v>556</v>
      </c>
      <c r="C4" s="11" t="s">
        <v>508</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206</v>
      </c>
      <c r="D6" s="2" t="s">
        <v>329</v>
      </c>
      <c r="F6" s="4"/>
      <c r="G6" s="4"/>
      <c r="H6" s="4"/>
      <c r="I6" s="4"/>
      <c r="J6" s="4"/>
      <c r="K6" s="4"/>
      <c r="L6" s="4"/>
      <c r="M6" s="4"/>
      <c r="N6" s="4"/>
      <c r="O6" s="4"/>
      <c r="P6" s="4"/>
      <c r="Q6" s="4"/>
      <c r="R6" s="4"/>
      <c r="S6" s="4"/>
      <c r="T6" s="4"/>
      <c r="U6" s="4"/>
      <c r="V6" s="4"/>
      <c r="W6" s="4"/>
      <c r="X6" s="4"/>
      <c r="Y6" s="4"/>
      <c r="Z6" s="4"/>
      <c r="AA6" s="4"/>
      <c r="AB6" s="4"/>
    </row>
    <row r="7" spans="1:38" ht="13.15" customHeight="1">
      <c r="A7" s="204"/>
      <c r="B7" s="204"/>
      <c r="C7" s="205"/>
      <c r="D7" s="1262" t="s">
        <v>2035</v>
      </c>
      <c r="E7" s="1262"/>
      <c r="F7" s="1262"/>
      <c r="G7" s="1262"/>
      <c r="H7" s="1262"/>
      <c r="I7" s="1262"/>
      <c r="J7" s="1262"/>
      <c r="K7" s="1262"/>
      <c r="L7" s="1262"/>
      <c r="M7" s="1262"/>
      <c r="N7" s="1262"/>
      <c r="O7" s="1262"/>
      <c r="P7" s="1262"/>
      <c r="Q7" s="1262"/>
      <c r="R7" s="1262"/>
      <c r="S7" s="1262"/>
      <c r="T7" s="1262"/>
      <c r="U7" s="1262"/>
      <c r="V7" s="1262"/>
      <c r="W7" s="1262"/>
      <c r="X7" s="1262"/>
      <c r="Y7" s="1262"/>
      <c r="Z7" s="1262"/>
      <c r="AA7" s="1262"/>
      <c r="AB7" s="1262"/>
      <c r="AC7" s="1262"/>
      <c r="AD7" s="1262"/>
      <c r="AE7" s="1262"/>
      <c r="AF7" s="1262"/>
      <c r="AG7" s="1262"/>
      <c r="AH7" s="1262"/>
      <c r="AI7" s="1262"/>
      <c r="AJ7" s="1262"/>
      <c r="AK7" s="1262"/>
      <c r="AL7" s="455"/>
    </row>
    <row r="8" spans="1:38">
      <c r="A8" s="204"/>
      <c r="B8" s="204"/>
      <c r="C8" s="205"/>
      <c r="D8" s="1262"/>
      <c r="E8" s="1262"/>
      <c r="F8" s="1262"/>
      <c r="G8" s="1262"/>
      <c r="H8" s="1262"/>
      <c r="I8" s="1262"/>
      <c r="J8" s="1262"/>
      <c r="K8" s="1262"/>
      <c r="L8" s="1262"/>
      <c r="M8" s="1262"/>
      <c r="N8" s="1262"/>
      <c r="O8" s="1262"/>
      <c r="P8" s="1262"/>
      <c r="Q8" s="1262"/>
      <c r="R8" s="1262"/>
      <c r="S8" s="1262"/>
      <c r="T8" s="1262"/>
      <c r="U8" s="1262"/>
      <c r="V8" s="1262"/>
      <c r="W8" s="1262"/>
      <c r="X8" s="1262"/>
      <c r="Y8" s="1262"/>
      <c r="Z8" s="1262"/>
      <c r="AA8" s="1262"/>
      <c r="AB8" s="1262"/>
      <c r="AC8" s="1262"/>
      <c r="AD8" s="1262"/>
      <c r="AE8" s="1262"/>
      <c r="AF8" s="1262"/>
      <c r="AG8" s="1262"/>
      <c r="AH8" s="1262"/>
      <c r="AI8" s="1262"/>
      <c r="AJ8" s="1262"/>
      <c r="AK8" s="1262"/>
      <c r="AL8" s="455"/>
    </row>
    <row r="9" spans="1:38">
      <c r="A9" s="204"/>
      <c r="B9" s="204"/>
      <c r="C9" s="205"/>
      <c r="D9" s="1262"/>
      <c r="E9" s="1262"/>
      <c r="F9" s="1262"/>
      <c r="G9" s="1262"/>
      <c r="H9" s="1262"/>
      <c r="I9" s="1262"/>
      <c r="J9" s="1262"/>
      <c r="K9" s="1262"/>
      <c r="L9" s="1262"/>
      <c r="M9" s="1262"/>
      <c r="N9" s="1262"/>
      <c r="O9" s="1262"/>
      <c r="P9" s="1262"/>
      <c r="Q9" s="1262"/>
      <c r="R9" s="1262"/>
      <c r="S9" s="1262"/>
      <c r="T9" s="1262"/>
      <c r="U9" s="1262"/>
      <c r="V9" s="1262"/>
      <c r="W9" s="1262"/>
      <c r="X9" s="1262"/>
      <c r="Y9" s="1262"/>
      <c r="Z9" s="1262"/>
      <c r="AA9" s="1262"/>
      <c r="AB9" s="1262"/>
      <c r="AC9" s="1262"/>
      <c r="AD9" s="1262"/>
      <c r="AE9" s="1262"/>
      <c r="AF9" s="1262"/>
      <c r="AG9" s="1262"/>
      <c r="AH9" s="1262"/>
      <c r="AI9" s="1262"/>
      <c r="AJ9" s="1262"/>
      <c r="AK9" s="1262"/>
      <c r="AL9" s="455"/>
    </row>
    <row r="10" spans="1:38">
      <c r="A10" s="204"/>
      <c r="B10" s="204"/>
      <c r="C10" s="205"/>
      <c r="D10" s="455"/>
      <c r="E10" s="455"/>
      <c r="F10" s="455"/>
      <c r="G10" s="455"/>
      <c r="H10" s="455"/>
      <c r="I10" s="455"/>
      <c r="J10" s="455"/>
      <c r="K10" s="455"/>
      <c r="L10" s="455"/>
      <c r="M10" s="455"/>
      <c r="N10" s="455"/>
      <c r="O10" s="455"/>
      <c r="P10" s="455"/>
      <c r="Q10" s="455"/>
      <c r="R10" s="455"/>
      <c r="S10" s="455"/>
      <c r="T10" s="455"/>
      <c r="U10" s="455"/>
      <c r="V10" s="455"/>
      <c r="W10" s="455"/>
      <c r="X10" s="455"/>
      <c r="Y10" s="455"/>
      <c r="Z10" s="455"/>
      <c r="AA10" s="455"/>
      <c r="AB10" s="455"/>
      <c r="AC10" s="455"/>
      <c r="AD10" s="455"/>
      <c r="AE10" s="455"/>
      <c r="AF10" s="455"/>
      <c r="AG10" s="455"/>
      <c r="AH10" s="455"/>
      <c r="AI10" s="455"/>
      <c r="AJ10" s="455"/>
      <c r="AK10" s="455"/>
      <c r="AL10" s="455"/>
    </row>
    <row r="11" spans="1:38" ht="12.95" customHeight="1">
      <c r="A11" s="204"/>
      <c r="B11" s="204"/>
      <c r="C11" s="205"/>
      <c r="D11" s="1262" t="s">
        <v>2036</v>
      </c>
      <c r="E11" s="1262"/>
      <c r="F11" s="1262"/>
      <c r="G11" s="1262"/>
      <c r="H11" s="1262"/>
      <c r="I11" s="1262"/>
      <c r="J11" s="1262"/>
      <c r="K11" s="1262"/>
      <c r="L11" s="1262"/>
      <c r="M11" s="1262"/>
      <c r="N11" s="1262"/>
      <c r="O11" s="1262"/>
      <c r="P11" s="1262"/>
      <c r="Q11" s="1262"/>
      <c r="R11" s="1262"/>
      <c r="S11" s="1262"/>
      <c r="T11" s="1262"/>
      <c r="U11" s="1262"/>
      <c r="V11" s="1262"/>
      <c r="W11" s="1262"/>
      <c r="X11" s="1262"/>
      <c r="Y11" s="1262"/>
      <c r="Z11" s="1262"/>
      <c r="AA11" s="1262"/>
      <c r="AB11" s="1262"/>
      <c r="AC11" s="1262"/>
      <c r="AD11" s="1262"/>
      <c r="AE11" s="1262"/>
      <c r="AF11" s="1262"/>
      <c r="AG11" s="1262"/>
      <c r="AH11" s="1262"/>
      <c r="AI11" s="1262"/>
      <c r="AJ11" s="1262"/>
      <c r="AK11" s="1262"/>
      <c r="AL11" s="455"/>
    </row>
    <row r="12" spans="1:38">
      <c r="A12" s="204"/>
      <c r="B12" s="204"/>
      <c r="C12" s="205"/>
      <c r="D12" s="1262"/>
      <c r="E12" s="1262"/>
      <c r="F12" s="1262"/>
      <c r="G12" s="1262"/>
      <c r="H12" s="1262"/>
      <c r="I12" s="1262"/>
      <c r="J12" s="1262"/>
      <c r="K12" s="1262"/>
      <c r="L12" s="1262"/>
      <c r="M12" s="1262"/>
      <c r="N12" s="1262"/>
      <c r="O12" s="1262"/>
      <c r="P12" s="1262"/>
      <c r="Q12" s="1262"/>
      <c r="R12" s="1262"/>
      <c r="S12" s="1262"/>
      <c r="T12" s="1262"/>
      <c r="U12" s="1262"/>
      <c r="V12" s="1262"/>
      <c r="W12" s="1262"/>
      <c r="X12" s="1262"/>
      <c r="Y12" s="1262"/>
      <c r="Z12" s="1262"/>
      <c r="AA12" s="1262"/>
      <c r="AB12" s="1262"/>
      <c r="AC12" s="1262"/>
      <c r="AD12" s="1262"/>
      <c r="AE12" s="1262"/>
      <c r="AF12" s="1262"/>
      <c r="AG12" s="1262"/>
      <c r="AH12" s="1262"/>
      <c r="AI12" s="1262"/>
      <c r="AJ12" s="1262"/>
      <c r="AK12" s="1262"/>
      <c r="AL12" s="455"/>
    </row>
    <row r="13" spans="1:38">
      <c r="A13" s="204"/>
      <c r="B13" s="204"/>
      <c r="C13" s="205"/>
      <c r="D13" s="1262"/>
      <c r="E13" s="1262"/>
      <c r="F13" s="1262"/>
      <c r="G13" s="1262"/>
      <c r="H13" s="1262"/>
      <c r="I13" s="1262"/>
      <c r="J13" s="1262"/>
      <c r="K13" s="1262"/>
      <c r="L13" s="1262"/>
      <c r="M13" s="1262"/>
      <c r="N13" s="1262"/>
      <c r="O13" s="1262"/>
      <c r="P13" s="1262"/>
      <c r="Q13" s="1262"/>
      <c r="R13" s="1262"/>
      <c r="S13" s="1262"/>
      <c r="T13" s="1262"/>
      <c r="U13" s="1262"/>
      <c r="V13" s="1262"/>
      <c r="W13" s="1262"/>
      <c r="X13" s="1262"/>
      <c r="Y13" s="1262"/>
      <c r="Z13" s="1262"/>
      <c r="AA13" s="1262"/>
      <c r="AB13" s="1262"/>
      <c r="AC13" s="1262"/>
      <c r="AD13" s="1262"/>
      <c r="AE13" s="1262"/>
      <c r="AF13" s="1262"/>
      <c r="AG13" s="1262"/>
      <c r="AH13" s="1262"/>
      <c r="AI13" s="1262"/>
      <c r="AJ13" s="1262"/>
      <c r="AK13" s="1262"/>
      <c r="AL13" s="455"/>
    </row>
    <row r="14" spans="1:38">
      <c r="A14" s="204"/>
      <c r="B14" s="204"/>
      <c r="C14" s="205"/>
      <c r="D14" s="441"/>
      <c r="E14" s="441"/>
      <c r="F14" s="441"/>
      <c r="G14" s="441"/>
      <c r="H14" s="441"/>
      <c r="I14" s="441"/>
      <c r="J14" s="441"/>
      <c r="K14" s="441"/>
      <c r="L14" s="441"/>
      <c r="M14" s="441"/>
      <c r="N14" s="441"/>
      <c r="O14" s="441"/>
      <c r="P14" s="441"/>
      <c r="Q14" s="441"/>
      <c r="R14" s="441"/>
      <c r="S14" s="441"/>
      <c r="T14" s="441"/>
      <c r="U14" s="441"/>
      <c r="V14" s="441"/>
      <c r="W14" s="441"/>
      <c r="X14" s="441"/>
      <c r="Y14" s="441"/>
      <c r="Z14" s="441"/>
      <c r="AA14" s="441"/>
      <c r="AB14" s="441"/>
      <c r="AC14" s="441"/>
      <c r="AD14" s="441"/>
      <c r="AE14" s="441"/>
      <c r="AF14" s="441"/>
      <c r="AG14" s="441"/>
      <c r="AH14" s="441"/>
      <c r="AI14" s="441"/>
      <c r="AJ14" s="441"/>
      <c r="AK14" s="441"/>
      <c r="AL14" s="455"/>
    </row>
    <row r="15" spans="1:38" ht="13.15" customHeight="1">
      <c r="A15" s="204"/>
      <c r="B15" s="204"/>
      <c r="C15" s="205"/>
      <c r="D15" s="1262" t="s">
        <v>2601</v>
      </c>
      <c r="E15" s="1262"/>
      <c r="F15" s="1262"/>
      <c r="G15" s="1262"/>
      <c r="H15" s="1262"/>
      <c r="I15" s="1262"/>
      <c r="J15" s="1262"/>
      <c r="K15" s="1262"/>
      <c r="L15" s="1262"/>
      <c r="M15" s="1262"/>
      <c r="N15" s="1262"/>
      <c r="O15" s="1262"/>
      <c r="P15" s="1262"/>
      <c r="Q15" s="1262"/>
      <c r="R15" s="1262"/>
      <c r="S15" s="1262"/>
      <c r="T15" s="1262"/>
      <c r="U15" s="1262"/>
      <c r="V15" s="1262"/>
      <c r="W15" s="1262"/>
      <c r="X15" s="1262"/>
      <c r="Y15" s="1262"/>
      <c r="Z15" s="1262"/>
      <c r="AA15" s="1262"/>
      <c r="AB15" s="1262"/>
      <c r="AC15" s="1262"/>
      <c r="AD15" s="1262"/>
      <c r="AE15" s="1262"/>
      <c r="AF15" s="1262"/>
      <c r="AG15" s="1262"/>
      <c r="AH15" s="1262"/>
      <c r="AI15" s="1262"/>
      <c r="AJ15" s="1262"/>
      <c r="AK15" s="1262"/>
      <c r="AL15" s="455"/>
    </row>
    <row r="16" spans="1:38" ht="13.15" customHeight="1">
      <c r="A16" s="204"/>
      <c r="B16" s="204"/>
      <c r="C16" s="205"/>
      <c r="D16" s="1262"/>
      <c r="E16" s="1262"/>
      <c r="F16" s="1262"/>
      <c r="G16" s="1262"/>
      <c r="H16" s="1262"/>
      <c r="I16" s="1262"/>
      <c r="J16" s="1262"/>
      <c r="K16" s="1262"/>
      <c r="L16" s="1262"/>
      <c r="M16" s="1262"/>
      <c r="N16" s="1262"/>
      <c r="O16" s="1262"/>
      <c r="P16" s="1262"/>
      <c r="Q16" s="1262"/>
      <c r="R16" s="1262"/>
      <c r="S16" s="1262"/>
      <c r="T16" s="1262"/>
      <c r="U16" s="1262"/>
      <c r="V16" s="1262"/>
      <c r="W16" s="1262"/>
      <c r="X16" s="1262"/>
      <c r="Y16" s="1262"/>
      <c r="Z16" s="1262"/>
      <c r="AA16" s="1262"/>
      <c r="AB16" s="1262"/>
      <c r="AC16" s="1262"/>
      <c r="AD16" s="1262"/>
      <c r="AE16" s="1262"/>
      <c r="AF16" s="1262"/>
      <c r="AG16" s="1262"/>
      <c r="AH16" s="1262"/>
      <c r="AI16" s="1262"/>
      <c r="AJ16" s="1262"/>
      <c r="AK16" s="1262"/>
      <c r="AL16" s="455"/>
    </row>
    <row r="17" spans="1:38">
      <c r="A17" s="204"/>
      <c r="B17" s="204"/>
      <c r="C17" s="205"/>
      <c r="D17" s="1262"/>
      <c r="E17" s="1262"/>
      <c r="F17" s="1262"/>
      <c r="G17" s="1262"/>
      <c r="H17" s="1262"/>
      <c r="I17" s="1262"/>
      <c r="J17" s="1262"/>
      <c r="K17" s="1262"/>
      <c r="L17" s="1262"/>
      <c r="M17" s="1262"/>
      <c r="N17" s="1262"/>
      <c r="O17" s="1262"/>
      <c r="P17" s="1262"/>
      <c r="Q17" s="1262"/>
      <c r="R17" s="1262"/>
      <c r="S17" s="1262"/>
      <c r="T17" s="1262"/>
      <c r="U17" s="1262"/>
      <c r="V17" s="1262"/>
      <c r="W17" s="1262"/>
      <c r="X17" s="1262"/>
      <c r="Y17" s="1262"/>
      <c r="Z17" s="1262"/>
      <c r="AA17" s="1262"/>
      <c r="AB17" s="1262"/>
      <c r="AC17" s="1262"/>
      <c r="AD17" s="1262"/>
      <c r="AE17" s="1262"/>
      <c r="AF17" s="1262"/>
      <c r="AG17" s="1262"/>
      <c r="AH17" s="1262"/>
      <c r="AI17" s="1262"/>
      <c r="AJ17" s="1262"/>
      <c r="AK17" s="1262"/>
      <c r="AL17" s="455"/>
    </row>
    <row r="18" spans="1:38">
      <c r="A18" s="204"/>
      <c r="B18" s="204"/>
      <c r="C18" s="205"/>
      <c r="D18" s="519" t="s">
        <v>2600</v>
      </c>
      <c r="E18" s="441"/>
      <c r="G18" s="441"/>
      <c r="H18" s="441"/>
      <c r="I18" s="441"/>
      <c r="J18" s="1264" t="s">
        <v>2599</v>
      </c>
      <c r="K18" s="1264"/>
      <c r="L18" s="1264"/>
      <c r="M18" s="1264"/>
      <c r="N18" s="1264"/>
      <c r="O18" s="1264"/>
      <c r="P18" s="1264"/>
      <c r="Q18" s="1264"/>
      <c r="R18" s="1264"/>
      <c r="S18" s="1264"/>
      <c r="T18" s="1264"/>
      <c r="U18" s="1264"/>
      <c r="V18" s="1264"/>
      <c r="W18" s="1264"/>
      <c r="X18" s="1264"/>
      <c r="Y18" s="1264"/>
      <c r="Z18" s="1264"/>
      <c r="AA18" s="1264"/>
      <c r="AB18" s="1264"/>
      <c r="AC18" s="1264"/>
      <c r="AD18" s="1264"/>
      <c r="AE18" s="1264"/>
      <c r="AF18" s="1264"/>
      <c r="AG18" s="1264"/>
      <c r="AH18" s="1264"/>
      <c r="AI18" s="1264"/>
      <c r="AJ18" s="1264"/>
      <c r="AK18" s="1264"/>
      <c r="AL18" s="455"/>
    </row>
    <row r="19" spans="1:38">
      <c r="A19" s="204"/>
      <c r="B19" s="204"/>
      <c r="C19" s="205"/>
      <c r="D19" s="441"/>
      <c r="E19" s="441"/>
      <c r="F19" s="1254"/>
      <c r="G19" s="441"/>
      <c r="H19" s="441"/>
      <c r="I19" s="441"/>
      <c r="J19" s="441"/>
      <c r="K19" s="441"/>
      <c r="L19" s="441"/>
      <c r="M19" s="441"/>
      <c r="N19" s="441"/>
      <c r="O19" s="441"/>
      <c r="P19" s="441"/>
      <c r="Q19" s="441"/>
      <c r="R19" s="441"/>
      <c r="S19" s="441"/>
      <c r="T19" s="441"/>
      <c r="U19" s="441"/>
      <c r="V19" s="441"/>
      <c r="W19" s="441"/>
      <c r="X19" s="441"/>
      <c r="Y19" s="441"/>
      <c r="Z19" s="441"/>
      <c r="AA19" s="441"/>
      <c r="AB19" s="441"/>
      <c r="AC19" s="441"/>
      <c r="AD19" s="441"/>
      <c r="AE19" s="441"/>
      <c r="AF19" s="441"/>
      <c r="AG19" s="441"/>
      <c r="AH19" s="441"/>
      <c r="AI19" s="441"/>
      <c r="AJ19" s="441"/>
      <c r="AK19" s="441"/>
      <c r="AL19" s="455"/>
    </row>
    <row r="20" spans="1:38" ht="13.15" customHeight="1">
      <c r="A20" s="204"/>
      <c r="B20" s="204"/>
      <c r="C20" s="205"/>
      <c r="D20" s="1262" t="s">
        <v>2037</v>
      </c>
      <c r="E20" s="1262"/>
      <c r="F20" s="1262"/>
      <c r="G20" s="1262"/>
      <c r="H20" s="1262"/>
      <c r="I20" s="1262"/>
      <c r="J20" s="1262"/>
      <c r="K20" s="1262"/>
      <c r="L20" s="1262"/>
      <c r="M20" s="1262"/>
      <c r="N20" s="1262"/>
      <c r="O20" s="1262"/>
      <c r="P20" s="1262"/>
      <c r="Q20" s="1262"/>
      <c r="R20" s="1262"/>
      <c r="S20" s="1262"/>
      <c r="T20" s="1262"/>
      <c r="U20" s="1262"/>
      <c r="V20" s="1262"/>
      <c r="W20" s="1262"/>
      <c r="X20" s="1262"/>
      <c r="Y20" s="1262"/>
      <c r="Z20" s="1262"/>
      <c r="AA20" s="1262"/>
      <c r="AB20" s="1262"/>
      <c r="AC20" s="1262"/>
      <c r="AD20" s="1262"/>
      <c r="AE20" s="1262"/>
      <c r="AF20" s="1262"/>
      <c r="AG20" s="1262"/>
      <c r="AH20" s="1262"/>
      <c r="AI20" s="1262"/>
      <c r="AJ20" s="1262"/>
      <c r="AK20" s="1262"/>
      <c r="AL20" s="204"/>
    </row>
    <row r="21" spans="1:38">
      <c r="A21" s="204"/>
      <c r="B21" s="204"/>
      <c r="C21" s="205"/>
      <c r="D21" s="1262"/>
      <c r="E21" s="1262"/>
      <c r="F21" s="1262"/>
      <c r="G21" s="1262"/>
      <c r="H21" s="1262"/>
      <c r="I21" s="1262"/>
      <c r="J21" s="1262"/>
      <c r="K21" s="1262"/>
      <c r="L21" s="1262"/>
      <c r="M21" s="1262"/>
      <c r="N21" s="1262"/>
      <c r="O21" s="1262"/>
      <c r="P21" s="1262"/>
      <c r="Q21" s="1262"/>
      <c r="R21" s="1262"/>
      <c r="S21" s="1262"/>
      <c r="T21" s="1262"/>
      <c r="U21" s="1262"/>
      <c r="V21" s="1262"/>
      <c r="W21" s="1262"/>
      <c r="X21" s="1262"/>
      <c r="Y21" s="1262"/>
      <c r="Z21" s="1262"/>
      <c r="AA21" s="1262"/>
      <c r="AB21" s="1262"/>
      <c r="AC21" s="1262"/>
      <c r="AD21" s="1262"/>
      <c r="AE21" s="1262"/>
      <c r="AF21" s="1262"/>
      <c r="AG21" s="1262"/>
      <c r="AH21" s="1262"/>
      <c r="AI21" s="1262"/>
      <c r="AJ21" s="1262"/>
      <c r="AK21" s="1262"/>
      <c r="AL21" s="204"/>
    </row>
    <row r="22" spans="1:38">
      <c r="A22" s="204"/>
      <c r="B22" s="204"/>
      <c r="C22" s="205"/>
      <c r="D22" s="1262"/>
      <c r="E22" s="1262"/>
      <c r="F22" s="1262"/>
      <c r="G22" s="1262"/>
      <c r="H22" s="1262"/>
      <c r="I22" s="1262"/>
      <c r="J22" s="1262"/>
      <c r="K22" s="1262"/>
      <c r="L22" s="1262"/>
      <c r="M22" s="1262"/>
      <c r="N22" s="1262"/>
      <c r="O22" s="1262"/>
      <c r="P22" s="1262"/>
      <c r="Q22" s="1262"/>
      <c r="R22" s="1262"/>
      <c r="S22" s="1262"/>
      <c r="T22" s="1262"/>
      <c r="U22" s="1262"/>
      <c r="V22" s="1262"/>
      <c r="W22" s="1262"/>
      <c r="X22" s="1262"/>
      <c r="Y22" s="1262"/>
      <c r="Z22" s="1262"/>
      <c r="AA22" s="1262"/>
      <c r="AB22" s="1262"/>
      <c r="AC22" s="1262"/>
      <c r="AD22" s="1262"/>
      <c r="AE22" s="1262"/>
      <c r="AF22" s="1262"/>
      <c r="AG22" s="1262"/>
      <c r="AH22" s="1262"/>
      <c r="AI22" s="1262"/>
      <c r="AJ22" s="1262"/>
      <c r="AK22" s="1262"/>
      <c r="AL22" s="204"/>
    </row>
    <row r="23" spans="1:38" ht="13.15" customHeight="1">
      <c r="A23" s="204"/>
      <c r="B23" s="204"/>
      <c r="C23" s="205"/>
      <c r="D23" s="1262"/>
      <c r="E23" s="1262"/>
      <c r="F23" s="1262"/>
      <c r="G23" s="1262"/>
      <c r="H23" s="1262"/>
      <c r="I23" s="1262"/>
      <c r="J23" s="1262"/>
      <c r="K23" s="1262"/>
      <c r="L23" s="1262"/>
      <c r="M23" s="1262"/>
      <c r="N23" s="1262"/>
      <c r="O23" s="1262"/>
      <c r="P23" s="1262"/>
      <c r="Q23" s="1262"/>
      <c r="R23" s="1262"/>
      <c r="S23" s="1262"/>
      <c r="T23" s="1262"/>
      <c r="U23" s="1262"/>
      <c r="V23" s="1262"/>
      <c r="W23" s="1262"/>
      <c r="X23" s="1262"/>
      <c r="Y23" s="1262"/>
      <c r="Z23" s="1262"/>
      <c r="AA23" s="1262"/>
      <c r="AB23" s="1262"/>
      <c r="AC23" s="1262"/>
      <c r="AD23" s="1262"/>
      <c r="AE23" s="1262"/>
      <c r="AF23" s="1262"/>
      <c r="AG23" s="1262"/>
      <c r="AH23" s="1262"/>
      <c r="AI23" s="1262"/>
      <c r="AJ23" s="1262"/>
      <c r="AK23" s="1262"/>
      <c r="AL23" s="204"/>
    </row>
    <row r="24" spans="1:38">
      <c r="A24" s="204"/>
      <c r="B24" s="204"/>
      <c r="C24" s="205"/>
      <c r="D24" s="1262"/>
      <c r="E24" s="1262"/>
      <c r="F24" s="1262"/>
      <c r="G24" s="1262"/>
      <c r="H24" s="1262"/>
      <c r="I24" s="1262"/>
      <c r="J24" s="1262"/>
      <c r="K24" s="1262"/>
      <c r="L24" s="1262"/>
      <c r="M24" s="1262"/>
      <c r="N24" s="1262"/>
      <c r="O24" s="1262"/>
      <c r="P24" s="1262"/>
      <c r="Q24" s="1262"/>
      <c r="R24" s="1262"/>
      <c r="S24" s="1262"/>
      <c r="T24" s="1262"/>
      <c r="U24" s="1262"/>
      <c r="V24" s="1262"/>
      <c r="W24" s="1262"/>
      <c r="X24" s="1262"/>
      <c r="Y24" s="1262"/>
      <c r="Z24" s="1262"/>
      <c r="AA24" s="1262"/>
      <c r="AB24" s="1262"/>
      <c r="AC24" s="1262"/>
      <c r="AD24" s="1262"/>
      <c r="AE24" s="1262"/>
      <c r="AF24" s="1262"/>
      <c r="AG24" s="1262"/>
      <c r="AH24" s="1262"/>
      <c r="AI24" s="1262"/>
      <c r="AJ24" s="1262"/>
      <c r="AK24" s="1262"/>
      <c r="AL24" s="204"/>
    </row>
    <row r="25" spans="1:38">
      <c r="A25" s="204"/>
      <c r="B25" s="204"/>
      <c r="C25" s="205"/>
      <c r="D25" s="1262"/>
      <c r="E25" s="1262"/>
      <c r="F25" s="1262"/>
      <c r="G25" s="1262"/>
      <c r="H25" s="1262"/>
      <c r="I25" s="1262"/>
      <c r="J25" s="1262"/>
      <c r="K25" s="1262"/>
      <c r="L25" s="1262"/>
      <c r="M25" s="1262"/>
      <c r="N25" s="1262"/>
      <c r="O25" s="1262"/>
      <c r="P25" s="1262"/>
      <c r="Q25" s="1262"/>
      <c r="R25" s="1262"/>
      <c r="S25" s="1262"/>
      <c r="T25" s="1262"/>
      <c r="U25" s="1262"/>
      <c r="V25" s="1262"/>
      <c r="W25" s="1262"/>
      <c r="X25" s="1262"/>
      <c r="Y25" s="1262"/>
      <c r="Z25" s="1262"/>
      <c r="AA25" s="1262"/>
      <c r="AB25" s="1262"/>
      <c r="AC25" s="1262"/>
      <c r="AD25" s="1262"/>
      <c r="AE25" s="1262"/>
      <c r="AF25" s="1262"/>
      <c r="AG25" s="1262"/>
      <c r="AH25" s="1262"/>
      <c r="AI25" s="1262"/>
      <c r="AJ25" s="1262"/>
      <c r="AK25" s="1262"/>
      <c r="AL25" s="204"/>
    </row>
    <row r="26" spans="1:38">
      <c r="A26" s="204"/>
      <c r="B26" s="204"/>
      <c r="C26" s="205"/>
      <c r="D26" s="1262"/>
      <c r="E26" s="1262"/>
      <c r="F26" s="1262"/>
      <c r="G26" s="1262"/>
      <c r="H26" s="1262"/>
      <c r="I26" s="1262"/>
      <c r="J26" s="1262"/>
      <c r="K26" s="1262"/>
      <c r="L26" s="1262"/>
      <c r="M26" s="1262"/>
      <c r="N26" s="1262"/>
      <c r="O26" s="1262"/>
      <c r="P26" s="1262"/>
      <c r="Q26" s="1262"/>
      <c r="R26" s="1262"/>
      <c r="S26" s="1262"/>
      <c r="T26" s="1262"/>
      <c r="U26" s="1262"/>
      <c r="V26" s="1262"/>
      <c r="W26" s="1262"/>
      <c r="X26" s="1262"/>
      <c r="Y26" s="1262"/>
      <c r="Z26" s="1262"/>
      <c r="AA26" s="1262"/>
      <c r="AB26" s="1262"/>
      <c r="AC26" s="1262"/>
      <c r="AD26" s="1262"/>
      <c r="AE26" s="1262"/>
      <c r="AF26" s="1262"/>
      <c r="AG26" s="1262"/>
      <c r="AH26" s="1262"/>
      <c r="AI26" s="1262"/>
      <c r="AJ26" s="1262"/>
      <c r="AK26" s="1262"/>
      <c r="AL26" s="204"/>
    </row>
    <row r="27" spans="1:38">
      <c r="A27" s="204"/>
      <c r="B27" s="204"/>
      <c r="C27" s="205"/>
      <c r="D27" s="1262"/>
      <c r="E27" s="1262"/>
      <c r="F27" s="1262"/>
      <c r="G27" s="1262"/>
      <c r="H27" s="1262"/>
      <c r="I27" s="1262"/>
      <c r="J27" s="1262"/>
      <c r="K27" s="1262"/>
      <c r="L27" s="1262"/>
      <c r="M27" s="1262"/>
      <c r="N27" s="1262"/>
      <c r="O27" s="1262"/>
      <c r="P27" s="1262"/>
      <c r="Q27" s="1262"/>
      <c r="R27" s="1262"/>
      <c r="S27" s="1262"/>
      <c r="T27" s="1262"/>
      <c r="U27" s="1262"/>
      <c r="V27" s="1262"/>
      <c r="W27" s="1262"/>
      <c r="X27" s="1262"/>
      <c r="Y27" s="1262"/>
      <c r="Z27" s="1262"/>
      <c r="AA27" s="1262"/>
      <c r="AB27" s="1262"/>
      <c r="AC27" s="1262"/>
      <c r="AD27" s="1262"/>
      <c r="AE27" s="1262"/>
      <c r="AF27" s="1262"/>
      <c r="AG27" s="1262"/>
      <c r="AH27" s="1262"/>
      <c r="AI27" s="1262"/>
      <c r="AJ27" s="1262"/>
      <c r="AK27" s="1262"/>
      <c r="AL27" s="204"/>
    </row>
    <row r="28" spans="1:38">
      <c r="A28" s="204"/>
      <c r="B28" s="204"/>
      <c r="C28" s="205"/>
      <c r="D28" s="1262"/>
      <c r="E28" s="1262"/>
      <c r="F28" s="1262"/>
      <c r="G28" s="1262"/>
      <c r="H28" s="1262"/>
      <c r="I28" s="1262"/>
      <c r="J28" s="1262"/>
      <c r="K28" s="1262"/>
      <c r="L28" s="1262"/>
      <c r="M28" s="1262"/>
      <c r="N28" s="1262"/>
      <c r="O28" s="1262"/>
      <c r="P28" s="1262"/>
      <c r="Q28" s="1262"/>
      <c r="R28" s="1262"/>
      <c r="S28" s="1262"/>
      <c r="T28" s="1262"/>
      <c r="U28" s="1262"/>
      <c r="V28" s="1262"/>
      <c r="W28" s="1262"/>
      <c r="X28" s="1262"/>
      <c r="Y28" s="1262"/>
      <c r="Z28" s="1262"/>
      <c r="AA28" s="1262"/>
      <c r="AB28" s="1262"/>
      <c r="AC28" s="1262"/>
      <c r="AD28" s="1262"/>
      <c r="AE28" s="1262"/>
      <c r="AF28" s="1262"/>
      <c r="AG28" s="1262"/>
      <c r="AH28" s="1262"/>
      <c r="AI28" s="1262"/>
      <c r="AJ28" s="1262"/>
      <c r="AK28" s="1262"/>
      <c r="AL28" s="204"/>
    </row>
    <row r="29" spans="1:38">
      <c r="A29" s="204"/>
      <c r="B29" s="204"/>
      <c r="C29" s="205"/>
      <c r="D29" s="441"/>
      <c r="E29" s="441"/>
      <c r="F29" s="441"/>
      <c r="G29" s="441"/>
      <c r="H29" s="441"/>
      <c r="I29" s="441"/>
      <c r="J29" s="441"/>
      <c r="K29" s="441"/>
      <c r="L29" s="441"/>
      <c r="M29" s="441"/>
      <c r="N29" s="441"/>
      <c r="O29" s="441"/>
      <c r="P29" s="441"/>
      <c r="Q29" s="441"/>
      <c r="R29" s="441"/>
      <c r="S29" s="441"/>
      <c r="T29" s="441"/>
      <c r="U29" s="441"/>
      <c r="V29" s="441"/>
      <c r="W29" s="441"/>
      <c r="X29" s="441"/>
      <c r="Y29" s="441"/>
      <c r="Z29" s="441"/>
      <c r="AA29" s="441"/>
      <c r="AB29" s="441"/>
      <c r="AC29" s="441"/>
      <c r="AD29" s="441"/>
      <c r="AE29" s="441"/>
      <c r="AF29" s="441"/>
      <c r="AG29" s="441"/>
      <c r="AH29" s="441"/>
      <c r="AI29" s="441"/>
      <c r="AJ29" s="441"/>
      <c r="AK29" s="441"/>
      <c r="AL29" s="204"/>
    </row>
    <row r="30" spans="1:38" ht="13.15" customHeight="1">
      <c r="A30" s="204"/>
      <c r="B30" s="204"/>
      <c r="C30" s="205"/>
      <c r="D30" s="1262" t="s">
        <v>2038</v>
      </c>
      <c r="E30" s="1262"/>
      <c r="F30" s="1262"/>
      <c r="G30" s="1262"/>
      <c r="H30" s="1262"/>
      <c r="I30" s="1262"/>
      <c r="J30" s="1262"/>
      <c r="K30" s="1262"/>
      <c r="L30" s="1262"/>
      <c r="M30" s="1262"/>
      <c r="N30" s="1262"/>
      <c r="O30" s="1262"/>
      <c r="P30" s="1262"/>
      <c r="Q30" s="1262"/>
      <c r="R30" s="1262"/>
      <c r="S30" s="1262"/>
      <c r="T30" s="1262"/>
      <c r="U30" s="1262"/>
      <c r="V30" s="1262"/>
      <c r="W30" s="1262"/>
      <c r="X30" s="1262"/>
      <c r="Y30" s="1262"/>
      <c r="Z30" s="1262"/>
      <c r="AA30" s="1262"/>
      <c r="AB30" s="1262"/>
      <c r="AC30" s="1262"/>
      <c r="AD30" s="1262"/>
      <c r="AE30" s="1262"/>
      <c r="AF30" s="1262"/>
      <c r="AG30" s="1262"/>
      <c r="AH30" s="1262"/>
      <c r="AI30" s="1262"/>
      <c r="AJ30" s="1262"/>
      <c r="AK30" s="1262"/>
      <c r="AL30" s="204"/>
    </row>
    <row r="31" spans="1:38">
      <c r="A31" s="204"/>
      <c r="B31" s="204"/>
      <c r="C31" s="205"/>
      <c r="D31" s="455"/>
      <c r="E31" s="1270" t="s">
        <v>2515</v>
      </c>
      <c r="F31" s="1271"/>
      <c r="G31" s="1271"/>
      <c r="H31" s="1271"/>
      <c r="I31" s="1271"/>
      <c r="J31" s="1271"/>
      <c r="K31" s="1271"/>
      <c r="L31" s="1271"/>
      <c r="M31" s="1271"/>
      <c r="N31" s="1271"/>
      <c r="O31" s="1271"/>
      <c r="P31" s="1271"/>
      <c r="Q31" s="1271"/>
      <c r="R31" s="1271"/>
      <c r="S31" s="1271"/>
      <c r="T31" s="1271"/>
      <c r="U31" s="1271"/>
      <c r="V31" s="1271"/>
      <c r="W31" s="1271"/>
      <c r="X31" s="1271"/>
      <c r="Y31" s="1271"/>
      <c r="Z31" s="1271"/>
      <c r="AA31" s="1271"/>
      <c r="AB31" s="1271"/>
      <c r="AC31" s="1271"/>
      <c r="AD31" s="1271"/>
      <c r="AE31" s="1271"/>
      <c r="AF31" s="1271"/>
      <c r="AG31" s="1271"/>
      <c r="AH31" s="1271"/>
      <c r="AI31" s="1271"/>
      <c r="AJ31" s="1271"/>
      <c r="AK31" s="1271"/>
      <c r="AL31" s="204"/>
    </row>
    <row r="32" spans="1:38">
      <c r="A32" s="4"/>
      <c r="C32" s="2"/>
    </row>
    <row r="33" spans="1:38">
      <c r="A33" s="4"/>
      <c r="D33" s="1263" t="s">
        <v>2142</v>
      </c>
      <c r="E33" s="1263"/>
      <c r="F33" s="1263"/>
      <c r="G33" s="1263"/>
      <c r="H33" s="1263"/>
      <c r="I33" s="1263"/>
      <c r="J33" s="1263"/>
      <c r="K33" s="1263"/>
      <c r="L33" s="1263"/>
      <c r="M33" s="1263"/>
      <c r="N33" s="1263"/>
      <c r="O33" s="1263"/>
      <c r="P33" s="1263"/>
      <c r="Q33" s="1263"/>
      <c r="R33" s="1263"/>
      <c r="S33" s="1263"/>
      <c r="T33" s="1263"/>
      <c r="U33" s="1263"/>
      <c r="V33" s="1263"/>
      <c r="W33" s="1263"/>
      <c r="X33" s="1263"/>
      <c r="Y33" s="1263"/>
      <c r="Z33" s="1263"/>
      <c r="AA33" s="1263"/>
      <c r="AB33" s="1263"/>
      <c r="AC33" s="1263"/>
      <c r="AD33" s="1263"/>
      <c r="AE33" s="1263"/>
      <c r="AF33" s="1263"/>
      <c r="AG33" s="1263"/>
      <c r="AH33" s="1263"/>
      <c r="AI33" s="1263"/>
      <c r="AJ33" s="1263"/>
      <c r="AK33" s="1263"/>
    </row>
    <row r="34" spans="1:38">
      <c r="A34" s="4"/>
      <c r="D34" s="1263"/>
      <c r="E34" s="1263"/>
      <c r="F34" s="1263"/>
      <c r="G34" s="1263"/>
      <c r="H34" s="1263"/>
      <c r="I34" s="1263"/>
      <c r="J34" s="1263"/>
      <c r="K34" s="1263"/>
      <c r="L34" s="1263"/>
      <c r="M34" s="1263"/>
      <c r="N34" s="1263"/>
      <c r="O34" s="1263"/>
      <c r="P34" s="1263"/>
      <c r="Q34" s="1263"/>
      <c r="R34" s="1263"/>
      <c r="S34" s="1263"/>
      <c r="T34" s="1263"/>
      <c r="U34" s="1263"/>
      <c r="V34" s="1263"/>
      <c r="W34" s="1263"/>
      <c r="X34" s="1263"/>
      <c r="Y34" s="1263"/>
      <c r="Z34" s="1263"/>
      <c r="AA34" s="1263"/>
      <c r="AB34" s="1263"/>
      <c r="AC34" s="1263"/>
      <c r="AD34" s="1263"/>
      <c r="AE34" s="1263"/>
      <c r="AF34" s="1263"/>
      <c r="AG34" s="1263"/>
      <c r="AH34" s="1263"/>
      <c r="AI34" s="1263"/>
      <c r="AJ34" s="1263"/>
      <c r="AK34" s="1263"/>
    </row>
    <row r="35" spans="1:38">
      <c r="A35" s="4"/>
      <c r="D35" s="120"/>
      <c r="E35" s="1269" t="s">
        <v>2045</v>
      </c>
      <c r="F35" s="1269"/>
      <c r="G35" s="1269"/>
      <c r="H35" s="1269"/>
      <c r="I35" s="1269"/>
      <c r="J35" s="1269"/>
      <c r="K35" s="1269"/>
      <c r="L35" s="1269"/>
      <c r="M35" s="1269"/>
      <c r="N35" s="1269"/>
      <c r="O35" s="1269"/>
      <c r="P35" s="1269"/>
      <c r="Q35" s="1269"/>
      <c r="R35" s="1269"/>
      <c r="S35" s="1269"/>
      <c r="T35" s="1269"/>
      <c r="U35" s="1269"/>
      <c r="V35" s="1269"/>
      <c r="W35" s="1269"/>
      <c r="X35" s="1269"/>
      <c r="Y35" s="1269"/>
      <c r="Z35" s="1269"/>
      <c r="AA35" s="1269"/>
      <c r="AB35" s="1269"/>
      <c r="AC35" s="1269"/>
      <c r="AD35" s="1269"/>
      <c r="AE35" s="1269"/>
      <c r="AF35" s="1269"/>
      <c r="AG35" s="1269"/>
      <c r="AH35" s="1269"/>
      <c r="AI35" s="1269"/>
      <c r="AJ35" s="1269"/>
      <c r="AK35" s="1269"/>
    </row>
    <row r="36" spans="1:38">
      <c r="A36" s="4"/>
      <c r="D36" s="120"/>
      <c r="E36" s="1269" t="s">
        <v>2046</v>
      </c>
      <c r="F36" s="1269"/>
      <c r="G36" s="1269"/>
      <c r="H36" s="1269"/>
      <c r="I36" s="1269"/>
      <c r="J36" s="1269"/>
      <c r="K36" s="1269"/>
      <c r="L36" s="1269"/>
      <c r="M36" s="1269"/>
      <c r="N36" s="1269"/>
      <c r="O36" s="1269"/>
      <c r="P36" s="1269"/>
      <c r="Q36" s="1269"/>
      <c r="R36" s="1269"/>
      <c r="S36" s="1269"/>
      <c r="T36" s="1269"/>
      <c r="U36" s="1269"/>
      <c r="V36" s="1269"/>
      <c r="W36" s="1269"/>
      <c r="X36" s="1269"/>
      <c r="Y36" s="1269"/>
      <c r="Z36" s="1269"/>
      <c r="AA36" s="1269"/>
      <c r="AB36" s="1269"/>
      <c r="AC36" s="1269"/>
      <c r="AD36" s="1269"/>
      <c r="AE36" s="1269"/>
      <c r="AF36" s="1269"/>
      <c r="AG36" s="1269"/>
      <c r="AH36" s="1269"/>
      <c r="AI36" s="1269"/>
      <c r="AJ36" s="1269"/>
      <c r="AK36" s="1269"/>
    </row>
    <row r="37" spans="1:38">
      <c r="A37" s="4"/>
      <c r="C37" s="2"/>
      <c r="D37" s="2"/>
      <c r="E37" s="4"/>
      <c r="F37" s="4"/>
      <c r="G37" s="4"/>
      <c r="H37" s="4"/>
      <c r="I37" s="4"/>
      <c r="J37" s="4"/>
      <c r="K37" s="4"/>
      <c r="L37" s="4"/>
      <c r="M37" s="4"/>
      <c r="N37" s="4"/>
      <c r="O37" s="4"/>
      <c r="P37" s="4"/>
      <c r="Q37" s="4"/>
      <c r="R37" s="4"/>
      <c r="S37" s="4"/>
      <c r="T37" s="4"/>
      <c r="U37" s="4"/>
      <c r="V37" s="4"/>
      <c r="W37" s="4"/>
      <c r="X37" s="4"/>
      <c r="Y37" s="4"/>
      <c r="Z37" s="4"/>
      <c r="AA37" s="4"/>
      <c r="AB37" s="4"/>
    </row>
    <row r="38" spans="1:38">
      <c r="A38" s="4"/>
      <c r="C38" s="2" t="s">
        <v>340</v>
      </c>
      <c r="D38" s="2" t="s">
        <v>737</v>
      </c>
      <c r="F38" s="4"/>
      <c r="G38" s="4"/>
      <c r="H38" s="4"/>
      <c r="I38" s="4"/>
      <c r="J38" s="4"/>
      <c r="K38" s="4"/>
      <c r="L38" s="4"/>
      <c r="M38" s="4"/>
      <c r="N38" s="4"/>
      <c r="O38" s="4"/>
      <c r="P38" s="4"/>
      <c r="Q38" s="4"/>
      <c r="R38" s="4"/>
      <c r="S38" s="4"/>
      <c r="T38" s="4"/>
      <c r="U38" s="4"/>
      <c r="V38" s="4"/>
      <c r="W38" s="4"/>
      <c r="X38" s="4"/>
      <c r="Y38" s="4"/>
      <c r="Z38" s="4"/>
      <c r="AA38" s="4"/>
      <c r="AB38" s="4"/>
    </row>
    <row r="39" spans="1:38">
      <c r="A39" s="4"/>
      <c r="B39" s="4"/>
      <c r="C39" s="4"/>
      <c r="D39" s="6" t="s">
        <v>112</v>
      </c>
      <c r="E39" s="4" t="s">
        <v>738</v>
      </c>
      <c r="F39" s="4"/>
      <c r="G39" s="4"/>
      <c r="H39" s="4"/>
      <c r="I39" s="4"/>
      <c r="J39" s="4"/>
      <c r="K39" s="4"/>
      <c r="L39" s="4"/>
      <c r="M39" s="4"/>
      <c r="N39" s="4"/>
      <c r="O39" s="4"/>
      <c r="P39" s="4"/>
      <c r="Q39" s="4"/>
      <c r="R39" s="4"/>
      <c r="S39" s="4"/>
      <c r="T39" s="4"/>
      <c r="U39" s="4"/>
      <c r="V39" s="4"/>
      <c r="W39" s="4"/>
      <c r="X39" s="4"/>
      <c r="Y39" s="4"/>
      <c r="Z39" s="4"/>
      <c r="AA39" s="4"/>
      <c r="AB39" s="4"/>
    </row>
    <row r="40" spans="1:38" s="1262" customFormat="1" ht="13.15" customHeight="1">
      <c r="A40" s="4"/>
      <c r="B40"/>
      <c r="C40" s="2"/>
      <c r="D40" s="4"/>
      <c r="E40" s="4" t="s">
        <v>653</v>
      </c>
      <c r="F40" s="1262" t="s">
        <v>1164</v>
      </c>
    </row>
    <row r="41" spans="1:38" s="1262" customFormat="1" ht="13.15" customHeight="1">
      <c r="A41" s="4"/>
      <c r="B41"/>
      <c r="C41" s="2"/>
      <c r="D41" s="4"/>
      <c r="E41" s="4"/>
    </row>
    <row r="42" spans="1:38">
      <c r="A42" s="4"/>
      <c r="C42" s="2"/>
      <c r="D42" s="4"/>
      <c r="E42" s="4"/>
      <c r="F42" s="35" t="s">
        <v>687</v>
      </c>
      <c r="G42" s="4" t="s">
        <v>175</v>
      </c>
      <c r="H42" s="455"/>
      <c r="I42" s="455"/>
      <c r="J42" s="455"/>
      <c r="K42" s="455"/>
      <c r="L42" s="455"/>
      <c r="M42" s="455"/>
      <c r="N42" s="455"/>
      <c r="O42" s="455"/>
      <c r="P42" s="455"/>
      <c r="Q42" s="455"/>
      <c r="R42" s="455"/>
      <c r="S42" s="455"/>
      <c r="T42" s="455"/>
      <c r="U42" s="455"/>
      <c r="V42" s="455"/>
      <c r="W42" s="455"/>
      <c r="X42" s="455"/>
      <c r="Y42" s="455"/>
      <c r="Z42" s="455"/>
      <c r="AA42" s="455"/>
      <c r="AB42" s="455"/>
      <c r="AC42" s="455"/>
      <c r="AD42" s="455"/>
      <c r="AE42" s="455"/>
      <c r="AF42" s="455"/>
      <c r="AG42" s="455"/>
      <c r="AH42" s="455"/>
      <c r="AI42" s="455"/>
      <c r="AJ42" s="455"/>
      <c r="AK42" s="455"/>
    </row>
    <row r="43" spans="1:38" s="118" customFormat="1" ht="13.15" customHeight="1">
      <c r="A43" s="4"/>
      <c r="B43"/>
      <c r="C43" s="2"/>
      <c r="D43" s="4"/>
      <c r="E43" s="3" t="s">
        <v>347</v>
      </c>
      <c r="F43" s="1267" t="s">
        <v>1246</v>
      </c>
      <c r="G43" s="1267"/>
      <c r="H43" s="1267"/>
      <c r="I43" s="1267"/>
      <c r="J43" s="1267"/>
      <c r="K43" s="1267"/>
      <c r="L43" s="1267"/>
      <c r="M43" s="1267"/>
      <c r="N43" s="1267"/>
      <c r="O43" s="1267"/>
      <c r="P43" s="1267"/>
      <c r="Q43" s="1267"/>
      <c r="R43" s="1267"/>
      <c r="S43" s="1267"/>
      <c r="T43" s="1267"/>
      <c r="U43" s="1267"/>
      <c r="V43" s="1267"/>
      <c r="W43" s="1267"/>
      <c r="X43" s="1267"/>
      <c r="Y43" s="1267"/>
      <c r="Z43" s="1267"/>
      <c r="AA43" s="1267"/>
      <c r="AB43" s="1267"/>
      <c r="AC43" s="1267"/>
      <c r="AD43" s="1267"/>
      <c r="AE43" s="1267"/>
      <c r="AF43" s="1267"/>
      <c r="AG43" s="1267"/>
      <c r="AH43" s="1267"/>
      <c r="AI43" s="1267"/>
      <c r="AJ43" s="1267"/>
      <c r="AK43" s="1267"/>
      <c r="AL43" s="1267"/>
    </row>
    <row r="44" spans="1:38" s="118" customFormat="1">
      <c r="A44" s="4"/>
      <c r="B44"/>
      <c r="C44" s="2"/>
      <c r="D44" s="4"/>
      <c r="E44" s="4"/>
      <c r="F44" s="1267"/>
      <c r="G44" s="1267"/>
      <c r="H44" s="1267"/>
      <c r="I44" s="1267"/>
      <c r="J44" s="1267"/>
      <c r="K44" s="1267"/>
      <c r="L44" s="1267"/>
      <c r="M44" s="1267"/>
      <c r="N44" s="1267"/>
      <c r="O44" s="1267"/>
      <c r="P44" s="1267"/>
      <c r="Q44" s="1267"/>
      <c r="R44" s="1267"/>
      <c r="S44" s="1267"/>
      <c r="T44" s="1267"/>
      <c r="U44" s="1267"/>
      <c r="V44" s="1267"/>
      <c r="W44" s="1267"/>
      <c r="X44" s="1267"/>
      <c r="Y44" s="1267"/>
      <c r="Z44" s="1267"/>
      <c r="AA44" s="1267"/>
      <c r="AB44" s="1267"/>
      <c r="AC44" s="1267"/>
      <c r="AD44" s="1267"/>
      <c r="AE44" s="1267"/>
      <c r="AF44" s="1267"/>
      <c r="AG44" s="1267"/>
      <c r="AH44" s="1267"/>
      <c r="AI44" s="1267"/>
      <c r="AJ44" s="1267"/>
      <c r="AK44" s="1267"/>
      <c r="AL44" s="1267"/>
    </row>
    <row r="45" spans="1:38" s="118" customFormat="1" ht="13.15" customHeight="1">
      <c r="A45" s="4"/>
      <c r="B45"/>
      <c r="C45" s="2"/>
      <c r="D45" s="4"/>
      <c r="E45" s="4"/>
      <c r="F45" s="1267"/>
      <c r="G45" s="1267"/>
      <c r="H45" s="1267"/>
      <c r="I45" s="1267"/>
      <c r="J45" s="1267"/>
      <c r="K45" s="1267"/>
      <c r="L45" s="1267"/>
      <c r="M45" s="1267"/>
      <c r="N45" s="1267"/>
      <c r="O45" s="1267"/>
      <c r="P45" s="1267"/>
      <c r="Q45" s="1267"/>
      <c r="R45" s="1267"/>
      <c r="S45" s="1267"/>
      <c r="T45" s="1267"/>
      <c r="U45" s="1267"/>
      <c r="V45" s="1267"/>
      <c r="W45" s="1267"/>
      <c r="X45" s="1267"/>
      <c r="Y45" s="1267"/>
      <c r="Z45" s="1267"/>
      <c r="AA45" s="1267"/>
      <c r="AB45" s="1267"/>
      <c r="AC45" s="1267"/>
      <c r="AD45" s="1267"/>
      <c r="AE45" s="1267"/>
      <c r="AF45" s="1267"/>
      <c r="AG45" s="1267"/>
      <c r="AH45" s="1267"/>
      <c r="AI45" s="1267"/>
      <c r="AJ45" s="1267"/>
      <c r="AK45" s="1267"/>
      <c r="AL45" s="1267"/>
    </row>
    <row r="46" spans="1:38">
      <c r="A46" s="4"/>
      <c r="C46" s="2"/>
      <c r="D46" s="4"/>
      <c r="E46" s="4"/>
      <c r="F46" s="118" t="s">
        <v>687</v>
      </c>
      <c r="G46" s="3" t="s">
        <v>2039</v>
      </c>
      <c r="H46" s="477"/>
      <c r="I46" s="477"/>
      <c r="J46" s="477"/>
      <c r="K46" s="477"/>
      <c r="L46" s="477"/>
      <c r="M46" s="477"/>
      <c r="N46" s="477"/>
      <c r="O46" s="477"/>
      <c r="P46" s="477"/>
      <c r="Q46" s="477"/>
      <c r="R46" s="477"/>
      <c r="S46" s="477"/>
      <c r="T46" s="477"/>
      <c r="U46" s="477"/>
      <c r="V46" s="477"/>
      <c r="W46" s="477"/>
      <c r="X46" s="477"/>
      <c r="Y46" s="477"/>
      <c r="Z46" s="477"/>
      <c r="AA46" s="477"/>
      <c r="AB46" s="477"/>
      <c r="AC46" s="477"/>
      <c r="AD46" s="477"/>
      <c r="AE46" s="477"/>
      <c r="AF46" s="477"/>
      <c r="AG46" s="477"/>
      <c r="AH46" s="477"/>
      <c r="AI46" s="477"/>
      <c r="AJ46" s="477"/>
      <c r="AK46" s="477"/>
      <c r="AL46" s="477"/>
    </row>
    <row r="47" spans="1:38">
      <c r="A47" s="4"/>
      <c r="C47" s="2"/>
      <c r="D47" s="4"/>
      <c r="E47" s="4"/>
      <c r="F47" s="35" t="s">
        <v>509</v>
      </c>
      <c r="G47" s="4" t="s">
        <v>547</v>
      </c>
      <c r="I47" s="4"/>
      <c r="J47" s="4"/>
      <c r="K47" s="4"/>
      <c r="L47" s="4"/>
      <c r="O47" s="4"/>
      <c r="P47" s="4"/>
      <c r="Q47" s="4"/>
      <c r="R47" s="4"/>
      <c r="S47" s="4"/>
      <c r="T47" s="4"/>
      <c r="U47" s="4"/>
      <c r="V47" s="4"/>
      <c r="W47" s="4"/>
      <c r="X47" s="4"/>
      <c r="Y47" s="4"/>
      <c r="Z47" s="4"/>
      <c r="AA47" s="4"/>
      <c r="AB47" s="4"/>
    </row>
    <row r="48" spans="1:38">
      <c r="A48" s="4"/>
      <c r="C48" s="2"/>
      <c r="D48" s="4"/>
      <c r="E48" s="3" t="s">
        <v>348</v>
      </c>
      <c r="F48" s="1262" t="s">
        <v>2040</v>
      </c>
      <c r="G48" s="1262"/>
      <c r="H48" s="1262"/>
      <c r="I48" s="1262"/>
      <c r="J48" s="1262"/>
      <c r="K48" s="1262"/>
      <c r="L48" s="1262"/>
      <c r="M48" s="1262"/>
      <c r="N48" s="1262"/>
      <c r="O48" s="1262"/>
      <c r="P48" s="1262"/>
      <c r="Q48" s="1262"/>
      <c r="R48" s="1262"/>
      <c r="S48" s="1262"/>
      <c r="T48" s="1262"/>
      <c r="U48" s="1262"/>
      <c r="V48" s="1262"/>
      <c r="W48" s="1262"/>
      <c r="X48" s="1262"/>
      <c r="Y48" s="1262"/>
      <c r="Z48" s="1262"/>
      <c r="AA48" s="1262"/>
      <c r="AB48" s="1262"/>
      <c r="AC48" s="1262"/>
      <c r="AD48" s="1262"/>
      <c r="AE48" s="1262"/>
      <c r="AF48" s="1262"/>
      <c r="AG48" s="1262"/>
      <c r="AH48" s="1262"/>
      <c r="AI48" s="1262"/>
      <c r="AJ48" s="1262"/>
      <c r="AK48" s="1262"/>
    </row>
    <row r="49" spans="1:38">
      <c r="A49" s="4"/>
      <c r="C49" s="2"/>
      <c r="D49" s="4"/>
      <c r="E49" s="4"/>
      <c r="F49" s="1262"/>
      <c r="G49" s="1262"/>
      <c r="H49" s="1262"/>
      <c r="I49" s="1262"/>
      <c r="J49" s="1262"/>
      <c r="K49" s="1262"/>
      <c r="L49" s="1262"/>
      <c r="M49" s="1262"/>
      <c r="N49" s="1262"/>
      <c r="O49" s="1262"/>
      <c r="P49" s="1262"/>
      <c r="Q49" s="1262"/>
      <c r="R49" s="1262"/>
      <c r="S49" s="1262"/>
      <c r="T49" s="1262"/>
      <c r="U49" s="1262"/>
      <c r="V49" s="1262"/>
      <c r="W49" s="1262"/>
      <c r="X49" s="1262"/>
      <c r="Y49" s="1262"/>
      <c r="Z49" s="1262"/>
      <c r="AA49" s="1262"/>
      <c r="AB49" s="1262"/>
      <c r="AC49" s="1262"/>
      <c r="AD49" s="1262"/>
      <c r="AE49" s="1262"/>
      <c r="AF49" s="1262"/>
      <c r="AG49" s="1262"/>
      <c r="AH49" s="1262"/>
      <c r="AI49" s="1262"/>
      <c r="AJ49" s="1262"/>
      <c r="AK49" s="1262"/>
    </row>
    <row r="50" spans="1:38">
      <c r="A50" s="4"/>
      <c r="C50" s="2"/>
      <c r="D50" s="4"/>
      <c r="F50" s="1262"/>
      <c r="G50" s="1262"/>
      <c r="H50" s="1262"/>
      <c r="I50" s="1262"/>
      <c r="J50" s="1262"/>
      <c r="K50" s="1262"/>
      <c r="L50" s="1262"/>
      <c r="M50" s="1262"/>
      <c r="N50" s="1262"/>
      <c r="O50" s="1262"/>
      <c r="P50" s="1262"/>
      <c r="Q50" s="1262"/>
      <c r="R50" s="1262"/>
      <c r="S50" s="1262"/>
      <c r="T50" s="1262"/>
      <c r="U50" s="1262"/>
      <c r="V50" s="1262"/>
      <c r="W50" s="1262"/>
      <c r="X50" s="1262"/>
      <c r="Y50" s="1262"/>
      <c r="Z50" s="1262"/>
      <c r="AA50" s="1262"/>
      <c r="AB50" s="1262"/>
      <c r="AC50" s="1262"/>
      <c r="AD50" s="1262"/>
      <c r="AE50" s="1262"/>
      <c r="AF50" s="1262"/>
      <c r="AG50" s="1262"/>
      <c r="AH50" s="1262"/>
      <c r="AI50" s="1262"/>
      <c r="AJ50" s="1262"/>
      <c r="AK50" s="1262"/>
    </row>
    <row r="51" spans="1:38">
      <c r="A51" s="4"/>
      <c r="C51" s="2"/>
      <c r="D51" s="4"/>
      <c r="E51" s="4"/>
      <c r="F51" s="4"/>
      <c r="G51" s="4"/>
      <c r="H51" s="4"/>
      <c r="I51" s="4"/>
      <c r="J51" s="4"/>
      <c r="K51" s="4"/>
      <c r="L51" s="4"/>
      <c r="M51" s="4"/>
      <c r="N51" s="4"/>
      <c r="O51" s="4"/>
      <c r="P51" s="4"/>
      <c r="Q51" s="4"/>
      <c r="R51" s="4"/>
      <c r="S51" s="4"/>
      <c r="T51" s="4"/>
      <c r="U51" s="4"/>
      <c r="V51" s="4"/>
      <c r="W51" s="4"/>
      <c r="X51" s="4"/>
      <c r="Y51" s="4"/>
      <c r="Z51" s="4"/>
      <c r="AA51" s="4"/>
      <c r="AB51" s="4"/>
    </row>
    <row r="52" spans="1:38">
      <c r="A52" s="4"/>
      <c r="C52" s="2"/>
      <c r="D52" s="4" t="s">
        <v>113</v>
      </c>
      <c r="E52" s="4" t="s">
        <v>651</v>
      </c>
      <c r="F52" s="4"/>
      <c r="G52" s="4"/>
      <c r="H52" s="4"/>
      <c r="I52" s="4"/>
      <c r="J52" s="171"/>
      <c r="K52" s="171"/>
      <c r="L52" s="171"/>
      <c r="M52" s="171"/>
      <c r="N52" s="171"/>
      <c r="O52" s="120"/>
      <c r="P52" s="120"/>
      <c r="Q52" s="120"/>
      <c r="R52" s="120"/>
      <c r="S52" s="120"/>
      <c r="T52" s="120"/>
      <c r="U52" s="4"/>
      <c r="V52" s="4"/>
      <c r="W52" s="4"/>
      <c r="X52" s="4"/>
      <c r="Y52" s="4"/>
      <c r="Z52" s="4"/>
      <c r="AA52" s="4"/>
      <c r="AB52" s="4"/>
    </row>
    <row r="53" spans="1:38">
      <c r="A53" s="4"/>
      <c r="C53" s="2"/>
      <c r="D53" s="2"/>
      <c r="E53" s="4" t="s">
        <v>653</v>
      </c>
      <c r="F53" s="3" t="s">
        <v>1192</v>
      </c>
      <c r="G53" s="2"/>
      <c r="H53" s="120"/>
      <c r="I53" s="120"/>
      <c r="L53" s="120"/>
      <c r="M53" s="120"/>
      <c r="N53" s="120"/>
      <c r="O53" s="120"/>
      <c r="P53" s="120"/>
      <c r="Q53" s="120"/>
      <c r="R53" s="120"/>
      <c r="S53" s="120"/>
      <c r="T53" s="120"/>
      <c r="U53" s="120"/>
      <c r="V53" s="120"/>
      <c r="W53" s="120"/>
      <c r="X53" s="120"/>
      <c r="Y53" s="120"/>
      <c r="Z53" s="120"/>
      <c r="AA53" s="120"/>
      <c r="AB53" s="120"/>
      <c r="AC53" s="120"/>
      <c r="AD53" s="120"/>
      <c r="AE53" s="120"/>
      <c r="AF53" s="120"/>
      <c r="AG53" s="2"/>
    </row>
    <row r="54" spans="1:38" ht="13.15" customHeight="1">
      <c r="A54" s="204"/>
      <c r="B54" s="204"/>
      <c r="C54" s="205"/>
      <c r="D54" s="205"/>
      <c r="E54" s="204"/>
      <c r="F54" s="206" t="s">
        <v>687</v>
      </c>
      <c r="G54" s="1265" t="s">
        <v>1191</v>
      </c>
      <c r="H54" s="1265"/>
      <c r="I54" s="1265"/>
      <c r="J54" s="1265"/>
      <c r="K54" s="1265"/>
      <c r="L54" s="1265"/>
      <c r="M54" s="1265"/>
      <c r="N54" s="1265"/>
      <c r="O54" s="1265"/>
      <c r="P54" s="1265"/>
      <c r="Q54" s="1265"/>
      <c r="R54" s="1265"/>
      <c r="S54" s="1265"/>
      <c r="T54" s="1265"/>
      <c r="U54" s="1265"/>
      <c r="V54" s="1265"/>
      <c r="W54" s="1265"/>
      <c r="X54" s="1265"/>
      <c r="Y54" s="1265"/>
      <c r="Z54" s="1265"/>
      <c r="AA54" s="1265"/>
      <c r="AB54" s="1265"/>
      <c r="AC54" s="1265"/>
      <c r="AD54" s="1265"/>
      <c r="AE54" s="1265"/>
      <c r="AF54" s="1265"/>
      <c r="AG54" s="1265"/>
      <c r="AH54" s="1265"/>
      <c r="AI54" s="1265"/>
      <c r="AJ54" s="1265"/>
      <c r="AK54" s="1265"/>
      <c r="AL54" s="204"/>
    </row>
    <row r="55" spans="1:38" ht="13.15" customHeight="1">
      <c r="A55" s="204"/>
      <c r="B55" s="204"/>
      <c r="C55" s="205"/>
      <c r="D55" s="205"/>
      <c r="E55" s="204"/>
      <c r="F55" s="206"/>
      <c r="G55" s="478" t="s">
        <v>1193</v>
      </c>
      <c r="H55" s="453"/>
      <c r="I55" s="453"/>
      <c r="J55" s="453"/>
      <c r="K55" s="453"/>
      <c r="L55" s="453"/>
      <c r="M55" s="453"/>
      <c r="N55" s="453"/>
      <c r="O55" s="453"/>
      <c r="P55" s="453"/>
      <c r="Q55" s="453"/>
      <c r="R55" s="453"/>
      <c r="S55" s="453"/>
      <c r="T55" s="453"/>
      <c r="U55" s="453"/>
      <c r="V55" s="453"/>
      <c r="W55" s="453"/>
      <c r="X55" s="453"/>
      <c r="Y55" s="453"/>
      <c r="Z55" s="453"/>
      <c r="AA55" s="453"/>
      <c r="AB55" s="453"/>
      <c r="AC55" s="453"/>
      <c r="AD55" s="453"/>
      <c r="AE55" s="453"/>
      <c r="AF55" s="453"/>
      <c r="AG55" s="453"/>
      <c r="AH55" s="453"/>
      <c r="AI55" s="453"/>
      <c r="AJ55" s="453"/>
      <c r="AK55" s="453"/>
      <c r="AL55" s="204"/>
    </row>
    <row r="56" spans="1:38">
      <c r="A56" s="204"/>
      <c r="B56" s="204"/>
      <c r="C56" s="205"/>
      <c r="D56" s="205"/>
      <c r="E56" s="204"/>
      <c r="F56" s="206"/>
      <c r="G56" s="1265" t="s">
        <v>575</v>
      </c>
      <c r="H56" s="1265"/>
      <c r="I56" s="1265"/>
      <c r="J56" s="452"/>
      <c r="K56" s="452"/>
      <c r="L56" s="452"/>
      <c r="M56" s="452"/>
      <c r="N56" s="452"/>
      <c r="O56" s="452"/>
      <c r="P56" s="452"/>
      <c r="Q56" s="452"/>
      <c r="R56" s="452"/>
      <c r="S56" s="452"/>
      <c r="T56" s="452"/>
      <c r="U56" s="452"/>
      <c r="V56" s="452"/>
      <c r="W56" s="452"/>
      <c r="X56" s="452"/>
      <c r="Y56" s="452"/>
      <c r="Z56" s="452"/>
      <c r="AA56" s="452"/>
      <c r="AB56" s="452"/>
      <c r="AC56" s="452"/>
      <c r="AD56" s="452"/>
      <c r="AE56" s="452"/>
      <c r="AF56" s="452"/>
      <c r="AG56" s="452"/>
      <c r="AH56" s="452"/>
      <c r="AI56" s="452"/>
      <c r="AJ56" s="452"/>
      <c r="AK56" s="452"/>
      <c r="AL56" s="204"/>
    </row>
    <row r="57" spans="1:38" ht="13.15" customHeight="1">
      <c r="A57" s="204"/>
      <c r="B57" s="205"/>
      <c r="C57" s="205"/>
      <c r="D57" s="205"/>
      <c r="E57" s="204"/>
      <c r="F57" s="206" t="s">
        <v>509</v>
      </c>
      <c r="G57" s="1265" t="s">
        <v>2041</v>
      </c>
      <c r="H57" s="1265"/>
      <c r="I57" s="1265"/>
      <c r="J57" s="1265"/>
      <c r="K57" s="1265"/>
      <c r="L57" s="1265"/>
      <c r="M57" s="1265"/>
      <c r="N57" s="1265"/>
      <c r="O57" s="1265"/>
      <c r="P57" s="1265"/>
      <c r="Q57" s="1265"/>
      <c r="R57" s="1265"/>
      <c r="S57" s="1265"/>
      <c r="T57" s="1265"/>
      <c r="U57" s="1265"/>
      <c r="V57" s="1265"/>
      <c r="W57" s="1265"/>
      <c r="X57" s="1265"/>
      <c r="Y57" s="1265"/>
      <c r="Z57" s="1265"/>
      <c r="AA57" s="1265"/>
      <c r="AB57" s="1265"/>
      <c r="AC57" s="1265"/>
      <c r="AD57" s="1265"/>
      <c r="AE57" s="1265"/>
      <c r="AF57" s="1265"/>
      <c r="AG57" s="1265"/>
      <c r="AH57" s="1265"/>
      <c r="AI57" s="1265"/>
      <c r="AJ57" s="1265"/>
      <c r="AK57" s="1265"/>
      <c r="AL57" s="1265"/>
    </row>
    <row r="58" spans="1:38">
      <c r="A58" s="204"/>
      <c r="B58" s="204"/>
      <c r="C58" s="205"/>
      <c r="D58" s="205"/>
      <c r="E58" s="204"/>
      <c r="F58" s="206"/>
      <c r="G58" s="1265"/>
      <c r="H58" s="1265"/>
      <c r="I58" s="1265"/>
      <c r="J58" s="1265"/>
      <c r="K58" s="1265"/>
      <c r="L58" s="1265"/>
      <c r="M58" s="1265"/>
      <c r="N58" s="1265"/>
      <c r="O58" s="1265"/>
      <c r="P58" s="1265"/>
      <c r="Q58" s="1265"/>
      <c r="R58" s="1265"/>
      <c r="S58" s="1265"/>
      <c r="T58" s="1265"/>
      <c r="U58" s="1265"/>
      <c r="V58" s="1265"/>
      <c r="W58" s="1265"/>
      <c r="X58" s="1265"/>
      <c r="Y58" s="1265"/>
      <c r="Z58" s="1265"/>
      <c r="AA58" s="1265"/>
      <c r="AB58" s="1265"/>
      <c r="AC58" s="1265"/>
      <c r="AD58" s="1265"/>
      <c r="AE58" s="1265"/>
      <c r="AF58" s="1265"/>
      <c r="AG58" s="1265"/>
      <c r="AH58" s="1265"/>
      <c r="AI58" s="1265"/>
      <c r="AJ58" s="1265"/>
      <c r="AK58" s="1265"/>
      <c r="AL58" s="1265"/>
    </row>
    <row r="59" spans="1:38">
      <c r="A59" s="204"/>
      <c r="B59" s="204"/>
      <c r="C59" s="205"/>
      <c r="D59" s="205"/>
      <c r="E59" s="204"/>
      <c r="F59" s="206"/>
      <c r="G59" s="479" t="s">
        <v>1279</v>
      </c>
      <c r="H59" s="452"/>
      <c r="I59" s="452"/>
      <c r="J59" s="452"/>
      <c r="K59" s="452"/>
      <c r="L59" s="452"/>
      <c r="M59" s="452"/>
      <c r="N59" s="452"/>
      <c r="O59" s="452"/>
      <c r="P59" s="452"/>
      <c r="Q59" s="452"/>
      <c r="R59" s="452"/>
      <c r="S59" s="452"/>
      <c r="T59" s="452"/>
      <c r="U59" s="452"/>
      <c r="V59" s="452"/>
      <c r="W59" s="452"/>
      <c r="X59" s="452"/>
      <c r="Y59" s="452"/>
      <c r="Z59" s="452"/>
      <c r="AA59" s="452"/>
      <c r="AB59" s="452"/>
      <c r="AC59" s="452"/>
      <c r="AD59" s="452"/>
      <c r="AE59" s="452"/>
      <c r="AF59" s="452"/>
      <c r="AG59" s="452"/>
      <c r="AH59" s="452"/>
      <c r="AI59" s="452"/>
      <c r="AJ59" s="452"/>
      <c r="AK59" s="452"/>
      <c r="AL59" s="204"/>
    </row>
    <row r="60" spans="1:38">
      <c r="A60" s="4"/>
      <c r="C60" s="2"/>
      <c r="D60" s="2"/>
      <c r="E60" s="4"/>
      <c r="F60" s="2"/>
      <c r="G60" s="2"/>
      <c r="I60" s="2"/>
      <c r="J60" s="120"/>
      <c r="K60" s="120"/>
      <c r="L60" s="120"/>
      <c r="M60" s="120"/>
      <c r="N60" s="120"/>
      <c r="O60" s="120"/>
      <c r="P60" s="120"/>
      <c r="Q60" s="120"/>
      <c r="R60" s="120"/>
      <c r="S60" s="120"/>
      <c r="T60" s="120"/>
      <c r="U60" s="120"/>
      <c r="V60" s="120"/>
      <c r="W60" s="120"/>
      <c r="X60" s="120"/>
      <c r="Y60" s="120"/>
      <c r="Z60" s="120"/>
      <c r="AA60" s="120"/>
      <c r="AB60" s="120"/>
      <c r="AC60" s="120"/>
      <c r="AD60" s="120"/>
      <c r="AE60" s="120"/>
      <c r="AF60" s="120"/>
      <c r="AG60" s="120"/>
    </row>
    <row r="61" spans="1:38">
      <c r="A61" s="4"/>
      <c r="B61" s="4"/>
      <c r="C61" s="4"/>
      <c r="D61" s="4" t="s">
        <v>119</v>
      </c>
      <c r="E61" s="4" t="s">
        <v>174</v>
      </c>
      <c r="F61" s="4"/>
      <c r="G61" s="4"/>
      <c r="H61" s="4"/>
      <c r="I61" s="4"/>
      <c r="J61" s="4"/>
      <c r="K61" s="4"/>
      <c r="L61" s="4"/>
      <c r="M61" s="4"/>
      <c r="N61" s="4"/>
      <c r="O61" s="4"/>
      <c r="P61" s="4"/>
      <c r="Q61" s="4"/>
      <c r="R61" s="4"/>
      <c r="S61" s="4"/>
      <c r="T61" s="4"/>
      <c r="U61" s="120"/>
      <c r="V61" s="120"/>
      <c r="W61" s="120"/>
      <c r="X61" s="120"/>
      <c r="Y61" s="120"/>
      <c r="Z61" s="120"/>
      <c r="AA61" s="120"/>
      <c r="AB61" s="120"/>
      <c r="AC61" s="120"/>
      <c r="AD61" s="120"/>
      <c r="AE61" s="120"/>
      <c r="AF61" s="120"/>
      <c r="AG61" s="2"/>
    </row>
    <row r="62" spans="1:38">
      <c r="A62" s="4"/>
      <c r="C62" s="2"/>
      <c r="E62" s="3" t="s">
        <v>1165</v>
      </c>
      <c r="G62" s="4"/>
      <c r="H62" s="4"/>
      <c r="I62" s="4"/>
      <c r="J62" s="4"/>
      <c r="K62" s="4"/>
      <c r="L62" s="4"/>
      <c r="M62" s="4"/>
      <c r="N62" s="4"/>
      <c r="O62" s="4"/>
      <c r="P62" s="4"/>
      <c r="Q62" s="4"/>
      <c r="R62" s="4"/>
      <c r="S62" s="4"/>
      <c r="T62" s="4"/>
      <c r="U62" s="4"/>
      <c r="V62" s="4"/>
      <c r="W62" s="4"/>
      <c r="X62" s="4"/>
      <c r="Y62" s="4"/>
      <c r="Z62" s="4"/>
      <c r="AA62" s="4"/>
      <c r="AB62" s="4"/>
    </row>
    <row r="63" spans="1:38">
      <c r="A63" s="4"/>
      <c r="C63" s="2"/>
      <c r="D63" s="4"/>
      <c r="E63" s="4" t="s">
        <v>653</v>
      </c>
      <c r="F63" s="4" t="s">
        <v>508</v>
      </c>
      <c r="G63" s="4"/>
      <c r="H63" s="4"/>
      <c r="I63" s="4"/>
      <c r="J63" s="4"/>
      <c r="K63" s="4"/>
      <c r="L63" s="4"/>
      <c r="M63" s="4"/>
      <c r="P63" s="4"/>
      <c r="Q63" s="4"/>
      <c r="R63" s="4"/>
      <c r="S63" s="4"/>
      <c r="T63" s="4"/>
      <c r="U63" s="4"/>
      <c r="V63" s="4"/>
      <c r="W63" s="4"/>
      <c r="X63" s="4"/>
      <c r="Y63" s="4"/>
      <c r="Z63" s="4"/>
      <c r="AA63" s="4"/>
      <c r="AB63" s="4"/>
    </row>
    <row r="64" spans="1:38">
      <c r="A64" s="4"/>
      <c r="C64" s="2"/>
      <c r="D64" s="4"/>
      <c r="E64" s="4"/>
      <c r="F64" t="s">
        <v>687</v>
      </c>
      <c r="G64" s="1262" t="s">
        <v>1166</v>
      </c>
      <c r="H64" s="1262"/>
      <c r="I64" s="1262"/>
      <c r="J64" s="1262"/>
      <c r="K64" s="1262"/>
      <c r="L64" s="1262"/>
      <c r="M64" s="1262"/>
      <c r="N64" s="1262"/>
      <c r="O64" s="1262"/>
      <c r="P64" s="1262"/>
      <c r="Q64" s="1262"/>
      <c r="R64" s="1262"/>
      <c r="S64" s="1262"/>
      <c r="T64" s="1262"/>
      <c r="U64" s="1262"/>
      <c r="V64" s="1262"/>
      <c r="W64" s="1262"/>
      <c r="X64" s="1262"/>
      <c r="Y64" s="1262"/>
      <c r="Z64" s="1262"/>
      <c r="AA64" s="1262"/>
      <c r="AB64" s="1262"/>
      <c r="AC64" s="1262"/>
      <c r="AD64" s="1262"/>
      <c r="AE64" s="1262"/>
      <c r="AF64" s="1262"/>
      <c r="AG64" s="1262"/>
      <c r="AH64" s="1262"/>
      <c r="AI64" s="1262"/>
      <c r="AJ64" s="1262"/>
      <c r="AK64" s="1262"/>
    </row>
    <row r="65" spans="1:37">
      <c r="A65" s="4"/>
      <c r="C65" s="2"/>
      <c r="D65" s="4"/>
      <c r="E65" s="4"/>
      <c r="G65" s="1262"/>
      <c r="H65" s="1262"/>
      <c r="I65" s="1262"/>
      <c r="J65" s="1262"/>
      <c r="K65" s="1262"/>
      <c r="L65" s="1262"/>
      <c r="M65" s="1262"/>
      <c r="N65" s="1262"/>
      <c r="O65" s="1262"/>
      <c r="P65" s="1262"/>
      <c r="Q65" s="1262"/>
      <c r="R65" s="1262"/>
      <c r="S65" s="1262"/>
      <c r="T65" s="1262"/>
      <c r="U65" s="1262"/>
      <c r="V65" s="1262"/>
      <c r="W65" s="1262"/>
      <c r="X65" s="1262"/>
      <c r="Y65" s="1262"/>
      <c r="Z65" s="1262"/>
      <c r="AA65" s="1262"/>
      <c r="AB65" s="1262"/>
      <c r="AC65" s="1262"/>
      <c r="AD65" s="1262"/>
      <c r="AE65" s="1262"/>
      <c r="AF65" s="1262"/>
      <c r="AG65" s="1262"/>
      <c r="AH65" s="1262"/>
      <c r="AI65" s="1262"/>
      <c r="AJ65" s="1262"/>
      <c r="AK65" s="1262"/>
    </row>
    <row r="66" spans="1:37">
      <c r="A66" s="4"/>
      <c r="C66" s="2"/>
      <c r="D66" s="4"/>
      <c r="E66" s="4"/>
      <c r="G66" s="1262"/>
      <c r="H66" s="1262"/>
      <c r="I66" s="1262"/>
      <c r="J66" s="1262"/>
      <c r="K66" s="1262"/>
      <c r="L66" s="1262"/>
      <c r="M66" s="1262"/>
      <c r="N66" s="1262"/>
      <c r="O66" s="1262"/>
      <c r="P66" s="1262"/>
      <c r="Q66" s="1262"/>
      <c r="R66" s="1262"/>
      <c r="S66" s="1262"/>
      <c r="T66" s="1262"/>
      <c r="U66" s="1262"/>
      <c r="V66" s="1262"/>
      <c r="W66" s="1262"/>
      <c r="X66" s="1262"/>
      <c r="Y66" s="1262"/>
      <c r="Z66" s="1262"/>
      <c r="AA66" s="1262"/>
      <c r="AB66" s="1262"/>
      <c r="AC66" s="1262"/>
      <c r="AD66" s="1262"/>
      <c r="AE66" s="1262"/>
      <c r="AF66" s="1262"/>
      <c r="AG66" s="1262"/>
      <c r="AH66" s="1262"/>
      <c r="AI66" s="1262"/>
      <c r="AJ66" s="1262"/>
      <c r="AK66" s="1262"/>
    </row>
    <row r="67" spans="1:37" ht="13.15" customHeight="1">
      <c r="A67" s="4"/>
      <c r="C67" s="2"/>
      <c r="D67" s="4"/>
      <c r="E67" s="4"/>
      <c r="F67" t="s">
        <v>509</v>
      </c>
      <c r="G67" s="1262" t="s">
        <v>1167</v>
      </c>
      <c r="H67" s="1262"/>
      <c r="I67" s="1262"/>
      <c r="J67" s="1262"/>
      <c r="K67" s="1262"/>
      <c r="L67" s="1262"/>
      <c r="M67" s="1262"/>
      <c r="N67" s="1262"/>
      <c r="O67" s="1262"/>
      <c r="P67" s="1262"/>
      <c r="Q67" s="1262"/>
      <c r="R67" s="1262"/>
      <c r="S67" s="1262"/>
      <c r="T67" s="1262"/>
      <c r="U67" s="1262"/>
      <c r="V67" s="1262"/>
      <c r="W67" s="1262"/>
      <c r="X67" s="1262"/>
      <c r="Y67" s="1262"/>
      <c r="Z67" s="1262"/>
      <c r="AA67" s="1262"/>
      <c r="AB67" s="1262"/>
      <c r="AC67" s="1262"/>
      <c r="AD67" s="1262"/>
      <c r="AE67" s="1262"/>
      <c r="AF67" s="1262"/>
      <c r="AG67" s="1262"/>
      <c r="AH67" s="1262"/>
      <c r="AI67" s="1262"/>
      <c r="AJ67" s="1262"/>
      <c r="AK67" s="1262"/>
    </row>
    <row r="68" spans="1:37">
      <c r="A68" s="4"/>
      <c r="C68" s="2"/>
      <c r="D68" s="4"/>
      <c r="E68" s="4"/>
      <c r="F68" s="27"/>
      <c r="G68" s="1262"/>
      <c r="H68" s="1262"/>
      <c r="I68" s="1262"/>
      <c r="J68" s="1262"/>
      <c r="K68" s="1262"/>
      <c r="L68" s="1262"/>
      <c r="M68" s="1262"/>
      <c r="N68" s="1262"/>
      <c r="O68" s="1262"/>
      <c r="P68" s="1262"/>
      <c r="Q68" s="1262"/>
      <c r="R68" s="1262"/>
      <c r="S68" s="1262"/>
      <c r="T68" s="1262"/>
      <c r="U68" s="1262"/>
      <c r="V68" s="1262"/>
      <c r="W68" s="1262"/>
      <c r="X68" s="1262"/>
      <c r="Y68" s="1262"/>
      <c r="Z68" s="1262"/>
      <c r="AA68" s="1262"/>
      <c r="AB68" s="1262"/>
      <c r="AC68" s="1262"/>
      <c r="AD68" s="1262"/>
      <c r="AE68" s="1262"/>
      <c r="AF68" s="1262"/>
      <c r="AG68" s="1262"/>
      <c r="AH68" s="1262"/>
      <c r="AI68" s="1262"/>
      <c r="AJ68" s="1262"/>
      <c r="AK68" s="1262"/>
    </row>
    <row r="69" spans="1:37">
      <c r="A69" s="4"/>
      <c r="C69" s="2"/>
      <c r="D69" s="4"/>
      <c r="E69" s="4" t="s">
        <v>347</v>
      </c>
      <c r="F69" s="4" t="s">
        <v>420</v>
      </c>
      <c r="G69" s="455"/>
      <c r="H69" s="455"/>
      <c r="I69" s="455"/>
      <c r="J69" s="455"/>
      <c r="K69" s="455"/>
      <c r="L69" s="455"/>
      <c r="M69" s="455"/>
      <c r="N69" s="455"/>
      <c r="O69" s="455"/>
      <c r="P69" s="455"/>
      <c r="Q69" s="455"/>
      <c r="R69" s="455"/>
      <c r="S69" s="455"/>
      <c r="T69" s="455"/>
      <c r="U69" s="455"/>
      <c r="V69" s="455"/>
      <c r="W69" s="455"/>
      <c r="X69" s="455"/>
      <c r="Y69" s="455"/>
      <c r="Z69" s="455"/>
      <c r="AA69" s="455"/>
      <c r="AB69" s="455"/>
      <c r="AC69" s="455"/>
      <c r="AD69" s="455"/>
      <c r="AE69" s="455"/>
      <c r="AF69" s="455"/>
      <c r="AG69" s="455"/>
      <c r="AH69" s="455"/>
      <c r="AI69" s="455"/>
      <c r="AJ69" s="455"/>
      <c r="AK69" s="455"/>
    </row>
    <row r="70" spans="1:37">
      <c r="A70" s="4"/>
      <c r="C70" s="2"/>
      <c r="D70" s="4"/>
      <c r="E70" s="4"/>
      <c r="F70" s="8" t="s">
        <v>687</v>
      </c>
      <c r="G70" s="1262" t="s">
        <v>1168</v>
      </c>
      <c r="H70" s="1262"/>
      <c r="I70" s="1262"/>
      <c r="J70" s="1262"/>
      <c r="K70" s="1262"/>
      <c r="L70" s="1262"/>
      <c r="M70" s="1262"/>
      <c r="N70" s="1262"/>
      <c r="O70" s="1262"/>
      <c r="P70" s="1262"/>
      <c r="Q70" s="1262"/>
      <c r="R70" s="1262"/>
      <c r="S70" s="1262"/>
      <c r="T70" s="1262"/>
      <c r="U70" s="1262"/>
      <c r="V70" s="1262"/>
      <c r="W70" s="1262"/>
      <c r="X70" s="1262"/>
      <c r="Y70" s="1262"/>
      <c r="Z70" s="1262"/>
      <c r="AA70" s="1262"/>
      <c r="AB70" s="1262"/>
      <c r="AC70" s="1262"/>
      <c r="AD70" s="1262"/>
      <c r="AE70" s="1262"/>
      <c r="AF70" s="1262"/>
      <c r="AG70" s="1262"/>
      <c r="AH70" s="1262"/>
      <c r="AI70" s="1262"/>
      <c r="AJ70" s="1262"/>
      <c r="AK70" s="1262"/>
    </row>
    <row r="71" spans="1:37">
      <c r="A71" s="4"/>
      <c r="C71" s="2"/>
      <c r="D71" s="4"/>
      <c r="E71" s="4"/>
      <c r="F71" s="8"/>
      <c r="G71" s="1262"/>
      <c r="H71" s="1262"/>
      <c r="I71" s="1262"/>
      <c r="J71" s="1262"/>
      <c r="K71" s="1262"/>
      <c r="L71" s="1262"/>
      <c r="M71" s="1262"/>
      <c r="N71" s="1262"/>
      <c r="O71" s="1262"/>
      <c r="P71" s="1262"/>
      <c r="Q71" s="1262"/>
      <c r="R71" s="1262"/>
      <c r="S71" s="1262"/>
      <c r="T71" s="1262"/>
      <c r="U71" s="1262"/>
      <c r="V71" s="1262"/>
      <c r="W71" s="1262"/>
      <c r="X71" s="1262"/>
      <c r="Y71" s="1262"/>
      <c r="Z71" s="1262"/>
      <c r="AA71" s="1262"/>
      <c r="AB71" s="1262"/>
      <c r="AC71" s="1262"/>
      <c r="AD71" s="1262"/>
      <c r="AE71" s="1262"/>
      <c r="AF71" s="1262"/>
      <c r="AG71" s="1262"/>
      <c r="AH71" s="1262"/>
      <c r="AI71" s="1262"/>
      <c r="AJ71" s="1262"/>
      <c r="AK71" s="1262"/>
    </row>
    <row r="72" spans="1:37">
      <c r="A72" s="4"/>
      <c r="C72" s="2"/>
      <c r="D72" s="4"/>
      <c r="E72" s="4"/>
      <c r="F72" s="8" t="s">
        <v>509</v>
      </c>
      <c r="G72" s="1262" t="s">
        <v>1169</v>
      </c>
      <c r="H72" s="1262"/>
      <c r="I72" s="1262"/>
      <c r="J72" s="1262"/>
      <c r="K72" s="1262"/>
      <c r="L72" s="1262"/>
      <c r="M72" s="1262"/>
      <c r="N72" s="1262"/>
      <c r="O72" s="1262"/>
      <c r="P72" s="1262"/>
      <c r="Q72" s="1262"/>
      <c r="R72" s="1262"/>
      <c r="S72" s="1262"/>
      <c r="T72" s="1262"/>
      <c r="U72" s="1262"/>
      <c r="V72" s="1262"/>
      <c r="W72" s="1262"/>
      <c r="X72" s="1262"/>
      <c r="Y72" s="1262"/>
      <c r="Z72" s="1262"/>
      <c r="AA72" s="1262"/>
      <c r="AB72" s="1262"/>
      <c r="AC72" s="1262"/>
      <c r="AD72" s="1262"/>
      <c r="AE72" s="1262"/>
      <c r="AF72" s="1262"/>
      <c r="AG72" s="1262"/>
      <c r="AH72" s="1262"/>
      <c r="AI72" s="1262"/>
      <c r="AJ72" s="1262"/>
      <c r="AK72" s="1262"/>
    </row>
    <row r="73" spans="1:37">
      <c r="A73" s="4"/>
      <c r="C73" s="2"/>
      <c r="D73" s="4"/>
      <c r="E73" s="4"/>
      <c r="F73" s="8"/>
      <c r="G73" s="1262"/>
      <c r="H73" s="1262"/>
      <c r="I73" s="1262"/>
      <c r="J73" s="1262"/>
      <c r="K73" s="1262"/>
      <c r="L73" s="1262"/>
      <c r="M73" s="1262"/>
      <c r="N73" s="1262"/>
      <c r="O73" s="1262"/>
      <c r="P73" s="1262"/>
      <c r="Q73" s="1262"/>
      <c r="R73" s="1262"/>
      <c r="S73" s="1262"/>
      <c r="T73" s="1262"/>
      <c r="U73" s="1262"/>
      <c r="V73" s="1262"/>
      <c r="W73" s="1262"/>
      <c r="X73" s="1262"/>
      <c r="Y73" s="1262"/>
      <c r="Z73" s="1262"/>
      <c r="AA73" s="1262"/>
      <c r="AB73" s="1262"/>
      <c r="AC73" s="1262"/>
      <c r="AD73" s="1262"/>
      <c r="AE73" s="1262"/>
      <c r="AF73" s="1262"/>
      <c r="AG73" s="1262"/>
      <c r="AH73" s="1262"/>
      <c r="AI73" s="1262"/>
      <c r="AJ73" s="1262"/>
      <c r="AK73" s="1262"/>
    </row>
    <row r="74" spans="1:37">
      <c r="A74" s="4"/>
      <c r="C74" s="2"/>
      <c r="D74" s="4"/>
      <c r="E74" s="4"/>
      <c r="F74" s="8"/>
      <c r="G74" s="120" t="s">
        <v>750</v>
      </c>
      <c r="H74" s="4"/>
      <c r="J74" s="120"/>
      <c r="K74" s="120"/>
      <c r="L74" s="120"/>
      <c r="P74" s="4"/>
      <c r="Q74" s="4"/>
      <c r="R74" s="4"/>
      <c r="S74" s="4"/>
      <c r="T74" s="4"/>
      <c r="U74" s="4"/>
      <c r="V74" s="4"/>
      <c r="W74" s="4"/>
      <c r="X74" s="4"/>
      <c r="Y74" s="4"/>
      <c r="Z74" s="4"/>
      <c r="AA74" s="4"/>
      <c r="AB74" s="4"/>
    </row>
    <row r="75" spans="1:37">
      <c r="A75" s="4"/>
      <c r="C75" s="2"/>
      <c r="D75" s="4"/>
      <c r="E75" s="4"/>
      <c r="F75" s="8"/>
      <c r="G75" s="120" t="s">
        <v>864</v>
      </c>
      <c r="J75" s="120"/>
      <c r="K75" s="120"/>
      <c r="L75" s="120"/>
      <c r="P75" s="4"/>
      <c r="Q75" s="4"/>
      <c r="R75" s="4"/>
      <c r="S75" s="4"/>
      <c r="T75" s="4"/>
      <c r="U75" s="4"/>
      <c r="V75" s="4"/>
      <c r="W75" s="4"/>
      <c r="X75" s="4"/>
      <c r="Y75" s="4"/>
      <c r="Z75" s="4"/>
      <c r="AA75" s="4"/>
      <c r="AB75" s="4"/>
    </row>
    <row r="76" spans="1:37">
      <c r="A76" s="4"/>
      <c r="C76" s="2"/>
      <c r="D76" s="4"/>
      <c r="E76" s="4"/>
      <c r="F76" s="8" t="s">
        <v>277</v>
      </c>
      <c r="G76" s="4" t="s">
        <v>1014</v>
      </c>
      <c r="H76" s="4"/>
      <c r="I76" s="4"/>
      <c r="K76" s="4"/>
      <c r="L76" s="4"/>
      <c r="M76" s="4"/>
      <c r="P76" s="4"/>
      <c r="Q76" s="4"/>
      <c r="R76" s="4"/>
      <c r="S76" s="4"/>
      <c r="T76" s="4"/>
      <c r="U76" s="4"/>
      <c r="V76" s="4"/>
      <c r="W76" s="4"/>
      <c r="X76" s="4"/>
      <c r="Y76" s="4"/>
      <c r="Z76" s="4"/>
      <c r="AA76" s="4"/>
      <c r="AB76" s="4"/>
    </row>
    <row r="77" spans="1:37">
      <c r="A77" s="4"/>
      <c r="C77" s="2"/>
      <c r="D77" s="4"/>
      <c r="E77" s="4"/>
      <c r="F77" s="4"/>
      <c r="G77" s="4" t="s">
        <v>507</v>
      </c>
      <c r="H77" s="4" t="s">
        <v>865</v>
      </c>
      <c r="K77" s="4"/>
      <c r="L77" s="4"/>
      <c r="M77" s="4"/>
      <c r="P77" s="4"/>
      <c r="Q77" s="4"/>
      <c r="R77" s="4"/>
      <c r="S77" s="4"/>
      <c r="T77" s="4"/>
      <c r="U77" s="4"/>
      <c r="V77" s="4"/>
      <c r="W77" s="4"/>
      <c r="X77" s="4"/>
      <c r="Y77" s="4"/>
      <c r="Z77" s="4"/>
      <c r="AA77" s="4"/>
      <c r="AB77" s="4"/>
    </row>
    <row r="78" spans="1:37">
      <c r="A78" s="4"/>
      <c r="C78" s="2"/>
      <c r="D78" s="4"/>
      <c r="E78" s="4"/>
      <c r="F78" s="4"/>
      <c r="G78" s="4" t="s">
        <v>757</v>
      </c>
      <c r="H78" s="4" t="s">
        <v>753</v>
      </c>
      <c r="K78" s="4"/>
      <c r="L78" s="4"/>
      <c r="M78" s="4"/>
      <c r="P78" s="4"/>
      <c r="Q78" s="4"/>
      <c r="R78" s="4"/>
      <c r="S78" s="4"/>
      <c r="T78" s="4"/>
      <c r="U78" s="4"/>
      <c r="V78" s="4"/>
      <c r="W78" s="4"/>
      <c r="X78" s="4"/>
      <c r="Y78" s="4"/>
      <c r="Z78" s="4"/>
      <c r="AA78" s="4"/>
      <c r="AB78" s="4"/>
    </row>
    <row r="79" spans="1:37">
      <c r="A79" s="4"/>
      <c r="C79" s="2"/>
      <c r="D79" s="4"/>
      <c r="E79" s="4" t="s">
        <v>348</v>
      </c>
      <c r="F79" s="4" t="s">
        <v>22</v>
      </c>
      <c r="G79" s="4"/>
      <c r="H79" s="4"/>
      <c r="I79" s="4"/>
      <c r="J79" s="4"/>
      <c r="K79" s="4"/>
      <c r="L79" s="4"/>
      <c r="M79" s="4"/>
      <c r="P79" s="4"/>
      <c r="Q79" s="4"/>
      <c r="R79" s="4"/>
      <c r="S79" s="4"/>
      <c r="T79" s="4"/>
      <c r="U79" s="4"/>
      <c r="V79" s="4"/>
      <c r="W79" s="4"/>
      <c r="X79" s="4"/>
      <c r="Y79" s="4"/>
      <c r="Z79" s="4"/>
      <c r="AA79" s="4"/>
      <c r="AB79" s="4"/>
    </row>
    <row r="80" spans="1:37">
      <c r="A80" s="4"/>
      <c r="C80" s="2"/>
      <c r="D80" s="4"/>
      <c r="E80" s="4"/>
      <c r="F80" s="8"/>
      <c r="G80" s="1262" t="s">
        <v>1170</v>
      </c>
      <c r="H80" s="1262"/>
      <c r="I80" s="1262"/>
      <c r="J80" s="1262"/>
      <c r="K80" s="1262"/>
      <c r="L80" s="1262"/>
      <c r="M80" s="1262"/>
      <c r="N80" s="1262"/>
      <c r="O80" s="1262"/>
      <c r="P80" s="1262"/>
      <c r="Q80" s="1262"/>
      <c r="R80" s="1262"/>
      <c r="S80" s="1262"/>
      <c r="T80" s="1262"/>
      <c r="U80" s="1262"/>
      <c r="V80" s="1262"/>
      <c r="W80" s="1262"/>
      <c r="X80" s="1262"/>
      <c r="Y80" s="1262"/>
      <c r="Z80" s="1262"/>
      <c r="AA80" s="1262"/>
      <c r="AB80" s="1262"/>
      <c r="AC80" s="1262"/>
      <c r="AD80" s="1262"/>
      <c r="AE80" s="1262"/>
      <c r="AF80" s="1262"/>
      <c r="AG80" s="1262"/>
      <c r="AH80" s="1262"/>
      <c r="AI80" s="1262"/>
      <c r="AJ80" s="1262"/>
      <c r="AK80" s="1262"/>
    </row>
    <row r="81" spans="1:37">
      <c r="A81" s="4"/>
      <c r="C81" s="2"/>
      <c r="D81" s="4"/>
      <c r="E81" s="4"/>
      <c r="F81" s="4"/>
      <c r="G81" s="1262"/>
      <c r="H81" s="1262"/>
      <c r="I81" s="1262"/>
      <c r="J81" s="1262"/>
      <c r="K81" s="1262"/>
      <c r="L81" s="1262"/>
      <c r="M81" s="1262"/>
      <c r="N81" s="1262"/>
      <c r="O81" s="1262"/>
      <c r="P81" s="1262"/>
      <c r="Q81" s="1262"/>
      <c r="R81" s="1262"/>
      <c r="S81" s="1262"/>
      <c r="T81" s="1262"/>
      <c r="U81" s="1262"/>
      <c r="V81" s="1262"/>
      <c r="W81" s="1262"/>
      <c r="X81" s="1262"/>
      <c r="Y81" s="1262"/>
      <c r="Z81" s="1262"/>
      <c r="AA81" s="1262"/>
      <c r="AB81" s="1262"/>
      <c r="AC81" s="1262"/>
      <c r="AD81" s="1262"/>
      <c r="AE81" s="1262"/>
      <c r="AF81" s="1262"/>
      <c r="AG81" s="1262"/>
      <c r="AH81" s="1262"/>
      <c r="AI81" s="1262"/>
      <c r="AJ81" s="1262"/>
      <c r="AK81" s="1262"/>
    </row>
    <row r="82" spans="1:37">
      <c r="A82" s="4"/>
      <c r="C82" s="2"/>
      <c r="D82" s="4"/>
      <c r="E82" s="4"/>
      <c r="F82" s="4"/>
      <c r="G82" s="1262"/>
      <c r="H82" s="1262"/>
      <c r="I82" s="1262"/>
      <c r="J82" s="1262"/>
      <c r="K82" s="1262"/>
      <c r="L82" s="1262"/>
      <c r="M82" s="1262"/>
      <c r="N82" s="1262"/>
      <c r="O82" s="1262"/>
      <c r="P82" s="1262"/>
      <c r="Q82" s="1262"/>
      <c r="R82" s="1262"/>
      <c r="S82" s="1262"/>
      <c r="T82" s="1262"/>
      <c r="U82" s="1262"/>
      <c r="V82" s="1262"/>
      <c r="W82" s="1262"/>
      <c r="X82" s="1262"/>
      <c r="Y82" s="1262"/>
      <c r="Z82" s="1262"/>
      <c r="AA82" s="1262"/>
      <c r="AB82" s="1262"/>
      <c r="AC82" s="1262"/>
      <c r="AD82" s="1262"/>
      <c r="AE82" s="1262"/>
      <c r="AF82" s="1262"/>
      <c r="AG82" s="1262"/>
      <c r="AH82" s="1262"/>
      <c r="AI82" s="1262"/>
      <c r="AJ82" s="1262"/>
      <c r="AK82" s="1262"/>
    </row>
    <row r="83" spans="1:37">
      <c r="A83" s="4"/>
      <c r="C83" s="2"/>
      <c r="D83" s="4"/>
      <c r="E83" s="4" t="s">
        <v>444</v>
      </c>
      <c r="F83" s="4" t="s">
        <v>616</v>
      </c>
      <c r="G83" s="4"/>
      <c r="H83" s="4"/>
      <c r="I83" s="4"/>
      <c r="J83" s="4"/>
      <c r="K83" s="4"/>
      <c r="L83" s="4"/>
      <c r="M83" s="4"/>
      <c r="P83" s="4"/>
      <c r="Q83" s="4"/>
      <c r="R83" s="4"/>
      <c r="S83" s="4"/>
      <c r="T83" s="4"/>
      <c r="U83" s="4"/>
      <c r="V83" s="4"/>
      <c r="W83" s="4"/>
      <c r="X83" s="4"/>
      <c r="Y83" s="4"/>
      <c r="Z83" s="4"/>
      <c r="AA83" s="4"/>
      <c r="AB83" s="4"/>
    </row>
    <row r="84" spans="1:37">
      <c r="A84" s="4"/>
      <c r="C84" s="2"/>
      <c r="D84" s="4"/>
      <c r="E84" s="4"/>
      <c r="F84" s="8"/>
      <c r="G84" s="1262" t="s">
        <v>1171</v>
      </c>
      <c r="H84" s="1262"/>
      <c r="I84" s="1262"/>
      <c r="J84" s="1262"/>
      <c r="K84" s="1262"/>
      <c r="L84" s="1262"/>
      <c r="M84" s="1262"/>
      <c r="N84" s="1262"/>
      <c r="O84" s="1262"/>
      <c r="P84" s="1262"/>
      <c r="Q84" s="1262"/>
      <c r="R84" s="1262"/>
      <c r="S84" s="1262"/>
      <c r="T84" s="1262"/>
      <c r="U84" s="1262"/>
      <c r="V84" s="1262"/>
      <c r="W84" s="1262"/>
      <c r="X84" s="1262"/>
      <c r="Y84" s="1262"/>
      <c r="Z84" s="1262"/>
      <c r="AA84" s="1262"/>
      <c r="AB84" s="1262"/>
      <c r="AC84" s="1262"/>
      <c r="AD84" s="1262"/>
      <c r="AE84" s="1262"/>
      <c r="AF84" s="1262"/>
      <c r="AG84" s="1262"/>
      <c r="AH84" s="1262"/>
      <c r="AI84" s="1262"/>
      <c r="AJ84" s="1262"/>
      <c r="AK84" s="1262"/>
    </row>
    <row r="85" spans="1:37">
      <c r="A85" s="4"/>
      <c r="C85" s="2"/>
      <c r="D85" s="4"/>
      <c r="E85" s="4"/>
      <c r="F85" s="4"/>
      <c r="G85" s="1262"/>
      <c r="H85" s="1262"/>
      <c r="I85" s="1262"/>
      <c r="J85" s="1262"/>
      <c r="K85" s="1262"/>
      <c r="L85" s="1262"/>
      <c r="M85" s="1262"/>
      <c r="N85" s="1262"/>
      <c r="O85" s="1262"/>
      <c r="P85" s="1262"/>
      <c r="Q85" s="1262"/>
      <c r="R85" s="1262"/>
      <c r="S85" s="1262"/>
      <c r="T85" s="1262"/>
      <c r="U85" s="1262"/>
      <c r="V85" s="1262"/>
      <c r="W85" s="1262"/>
      <c r="X85" s="1262"/>
      <c r="Y85" s="1262"/>
      <c r="Z85" s="1262"/>
      <c r="AA85" s="1262"/>
      <c r="AB85" s="1262"/>
      <c r="AC85" s="1262"/>
      <c r="AD85" s="1262"/>
      <c r="AE85" s="1262"/>
      <c r="AF85" s="1262"/>
      <c r="AG85" s="1262"/>
      <c r="AH85" s="1262"/>
      <c r="AI85" s="1262"/>
      <c r="AJ85" s="1262"/>
      <c r="AK85" s="1262"/>
    </row>
    <row r="86" spans="1:37">
      <c r="A86" s="4"/>
      <c r="C86" s="2"/>
      <c r="D86" s="4"/>
      <c r="E86" s="4"/>
      <c r="G86" s="1262"/>
      <c r="H86" s="1262"/>
      <c r="I86" s="1262"/>
      <c r="J86" s="1262"/>
      <c r="K86" s="1262"/>
      <c r="L86" s="1262"/>
      <c r="M86" s="1262"/>
      <c r="N86" s="1262"/>
      <c r="O86" s="1262"/>
      <c r="P86" s="1262"/>
      <c r="Q86" s="1262"/>
      <c r="R86" s="1262"/>
      <c r="S86" s="1262"/>
      <c r="T86" s="1262"/>
      <c r="U86" s="1262"/>
      <c r="V86" s="1262"/>
      <c r="W86" s="1262"/>
      <c r="X86" s="1262"/>
      <c r="Y86" s="1262"/>
      <c r="Z86" s="1262"/>
      <c r="AA86" s="1262"/>
      <c r="AB86" s="1262"/>
      <c r="AC86" s="1262"/>
      <c r="AD86" s="1262"/>
      <c r="AE86" s="1262"/>
      <c r="AF86" s="1262"/>
      <c r="AG86" s="1262"/>
      <c r="AH86" s="1262"/>
      <c r="AI86" s="1262"/>
      <c r="AJ86" s="1262"/>
      <c r="AK86" s="1262"/>
    </row>
    <row r="87" spans="1:37">
      <c r="A87" s="4"/>
      <c r="C87" s="2"/>
      <c r="D87" s="4"/>
      <c r="E87" s="4" t="s">
        <v>261</v>
      </c>
      <c r="F87" t="s">
        <v>866</v>
      </c>
      <c r="G87" s="4"/>
      <c r="L87" s="4"/>
      <c r="M87" s="4"/>
      <c r="P87" s="4"/>
      <c r="Q87" s="4"/>
      <c r="R87" s="4"/>
      <c r="S87" s="4"/>
      <c r="T87" s="4"/>
      <c r="U87" s="4"/>
      <c r="V87" s="4"/>
      <c r="W87" s="4"/>
      <c r="X87" s="4"/>
      <c r="Y87" s="4"/>
      <c r="Z87" s="4"/>
      <c r="AA87" s="4"/>
      <c r="AB87" s="4"/>
    </row>
    <row r="88" spans="1:37">
      <c r="A88" s="4"/>
      <c r="C88" s="2"/>
      <c r="D88" s="4"/>
      <c r="E88" s="4"/>
      <c r="G88" s="1272" t="s">
        <v>1172</v>
      </c>
      <c r="H88" s="1272"/>
      <c r="I88" s="1272"/>
      <c r="J88" s="1272"/>
      <c r="K88" s="1272"/>
      <c r="L88" s="1272"/>
      <c r="M88" s="1272"/>
      <c r="N88" s="1272"/>
      <c r="O88" s="1272"/>
      <c r="P88" s="1272"/>
      <c r="Q88" s="1272"/>
      <c r="R88" s="1272"/>
      <c r="S88" s="1272"/>
      <c r="T88" s="1272"/>
      <c r="U88" s="1272"/>
      <c r="V88" s="1272"/>
      <c r="W88" s="1272"/>
      <c r="X88" s="1272"/>
      <c r="Y88" s="1272"/>
      <c r="Z88" s="1272"/>
      <c r="AA88" s="1272"/>
      <c r="AB88" s="1272"/>
      <c r="AC88" s="1272"/>
      <c r="AD88" s="1272"/>
      <c r="AE88" s="1272"/>
      <c r="AF88" s="1272"/>
      <c r="AG88" s="1272"/>
      <c r="AH88" s="1272"/>
      <c r="AI88" s="1272"/>
      <c r="AJ88" s="1272"/>
      <c r="AK88" s="1272"/>
    </row>
    <row r="89" spans="1:37">
      <c r="A89" s="4"/>
      <c r="C89" s="2"/>
      <c r="D89" s="4"/>
      <c r="E89" s="4"/>
      <c r="G89" s="1272"/>
      <c r="H89" s="1272"/>
      <c r="I89" s="1272"/>
      <c r="J89" s="1272"/>
      <c r="K89" s="1272"/>
      <c r="L89" s="1272"/>
      <c r="M89" s="1272"/>
      <c r="N89" s="1272"/>
      <c r="O89" s="1272"/>
      <c r="P89" s="1272"/>
      <c r="Q89" s="1272"/>
      <c r="R89" s="1272"/>
      <c r="S89" s="1272"/>
      <c r="T89" s="1272"/>
      <c r="U89" s="1272"/>
      <c r="V89" s="1272"/>
      <c r="W89" s="1272"/>
      <c r="X89" s="1272"/>
      <c r="Y89" s="1272"/>
      <c r="Z89" s="1272"/>
      <c r="AA89" s="1272"/>
      <c r="AB89" s="1272"/>
      <c r="AC89" s="1272"/>
      <c r="AD89" s="1272"/>
      <c r="AE89" s="1272"/>
      <c r="AF89" s="1272"/>
      <c r="AG89" s="1272"/>
      <c r="AH89" s="1272"/>
      <c r="AI89" s="1272"/>
      <c r="AJ89" s="1272"/>
      <c r="AK89" s="1272"/>
    </row>
    <row r="90" spans="1:37">
      <c r="A90" s="4"/>
      <c r="C90" s="2"/>
      <c r="D90" s="4"/>
      <c r="E90" s="4"/>
      <c r="G90" s="1272"/>
      <c r="H90" s="1272"/>
      <c r="I90" s="1272"/>
      <c r="J90" s="1272"/>
      <c r="K90" s="1272"/>
      <c r="L90" s="1272"/>
      <c r="M90" s="1272"/>
      <c r="N90" s="1272"/>
      <c r="O90" s="1272"/>
      <c r="P90" s="1272"/>
      <c r="Q90" s="1272"/>
      <c r="R90" s="1272"/>
      <c r="S90" s="1272"/>
      <c r="T90" s="1272"/>
      <c r="U90" s="1272"/>
      <c r="V90" s="1272"/>
      <c r="W90" s="1272"/>
      <c r="X90" s="1272"/>
      <c r="Y90" s="1272"/>
      <c r="Z90" s="1272"/>
      <c r="AA90" s="1272"/>
      <c r="AB90" s="1272"/>
      <c r="AC90" s="1272"/>
      <c r="AD90" s="1272"/>
      <c r="AE90" s="1272"/>
      <c r="AF90" s="1272"/>
      <c r="AG90" s="1272"/>
      <c r="AH90" s="1272"/>
      <c r="AI90" s="1272"/>
      <c r="AJ90" s="1272"/>
      <c r="AK90" s="1272"/>
    </row>
    <row r="91" spans="1:37">
      <c r="A91" s="4"/>
      <c r="C91" s="2"/>
      <c r="D91" s="4"/>
      <c r="E91" s="4" t="s">
        <v>262</v>
      </c>
      <c r="F91" s="4" t="s">
        <v>516</v>
      </c>
      <c r="G91" s="4"/>
      <c r="H91" s="4"/>
      <c r="I91" s="4"/>
      <c r="J91" s="4"/>
      <c r="K91" s="4"/>
      <c r="L91" s="4"/>
      <c r="M91" s="4"/>
      <c r="P91" s="4"/>
      <c r="Q91" s="4"/>
      <c r="R91" s="4"/>
      <c r="S91" s="4"/>
      <c r="T91" s="4"/>
      <c r="U91" s="4"/>
      <c r="V91" s="4"/>
      <c r="W91" s="4"/>
      <c r="X91" s="4"/>
      <c r="Y91" s="4"/>
      <c r="Z91" s="4"/>
      <c r="AA91" s="4"/>
      <c r="AB91" s="4"/>
    </row>
    <row r="92" spans="1:37">
      <c r="A92" s="4"/>
      <c r="C92" s="2"/>
      <c r="D92" s="4"/>
      <c r="E92" s="4"/>
      <c r="F92" s="4"/>
      <c r="G92" s="1262" t="s">
        <v>1173</v>
      </c>
      <c r="H92" s="1262"/>
      <c r="I92" s="1262"/>
      <c r="J92" s="1262"/>
      <c r="K92" s="1262"/>
      <c r="L92" s="1262"/>
      <c r="M92" s="1262"/>
      <c r="N92" s="1262"/>
      <c r="O92" s="1262"/>
      <c r="P92" s="1262"/>
      <c r="Q92" s="1262"/>
      <c r="R92" s="1262"/>
      <c r="S92" s="1262"/>
      <c r="T92" s="1262"/>
      <c r="U92" s="1262"/>
      <c r="V92" s="1262"/>
      <c r="W92" s="1262"/>
      <c r="X92" s="1262"/>
      <c r="Y92" s="1262"/>
      <c r="Z92" s="1262"/>
      <c r="AA92" s="1262"/>
      <c r="AB92" s="1262"/>
      <c r="AC92" s="1262"/>
      <c r="AD92" s="1262"/>
      <c r="AE92" s="1262"/>
      <c r="AF92" s="1262"/>
      <c r="AG92" s="1262"/>
      <c r="AH92" s="1262"/>
      <c r="AI92" s="1262"/>
      <c r="AJ92" s="1262"/>
      <c r="AK92" s="1262"/>
    </row>
    <row r="93" spans="1:37">
      <c r="A93" s="4"/>
      <c r="C93" s="2"/>
      <c r="D93" s="4"/>
      <c r="E93" s="4"/>
      <c r="G93" s="1262"/>
      <c r="H93" s="1262"/>
      <c r="I93" s="1262"/>
      <c r="J93" s="1262"/>
      <c r="K93" s="1262"/>
      <c r="L93" s="1262"/>
      <c r="M93" s="1262"/>
      <c r="N93" s="1262"/>
      <c r="O93" s="1262"/>
      <c r="P93" s="1262"/>
      <c r="Q93" s="1262"/>
      <c r="R93" s="1262"/>
      <c r="S93" s="1262"/>
      <c r="T93" s="1262"/>
      <c r="U93" s="1262"/>
      <c r="V93" s="1262"/>
      <c r="W93" s="1262"/>
      <c r="X93" s="1262"/>
      <c r="Y93" s="1262"/>
      <c r="Z93" s="1262"/>
      <c r="AA93" s="1262"/>
      <c r="AB93" s="1262"/>
      <c r="AC93" s="1262"/>
      <c r="AD93" s="1262"/>
      <c r="AE93" s="1262"/>
      <c r="AF93" s="1262"/>
      <c r="AG93" s="1262"/>
      <c r="AH93" s="1262"/>
      <c r="AI93" s="1262"/>
      <c r="AJ93" s="1262"/>
      <c r="AK93" s="1262"/>
    </row>
    <row r="94" spans="1:37">
      <c r="A94" s="4"/>
      <c r="C94" s="2"/>
      <c r="D94" s="4"/>
      <c r="E94" s="4" t="s">
        <v>904</v>
      </c>
      <c r="F94" s="204" t="s">
        <v>905</v>
      </c>
      <c r="G94" s="204"/>
      <c r="L94" s="4"/>
      <c r="M94" s="4"/>
      <c r="P94" s="4"/>
      <c r="Q94" s="4"/>
      <c r="R94" s="4"/>
      <c r="S94" s="4"/>
      <c r="T94" s="4"/>
      <c r="U94" s="4"/>
      <c r="V94" s="4"/>
      <c r="W94" s="4"/>
      <c r="X94" s="4"/>
      <c r="Y94" s="4"/>
      <c r="Z94" s="4"/>
      <c r="AA94" s="4"/>
      <c r="AB94" s="4"/>
    </row>
    <row r="95" spans="1:37">
      <c r="A95" s="4"/>
      <c r="C95" s="2"/>
      <c r="D95" s="4"/>
      <c r="E95" s="4"/>
      <c r="G95" s="1262" t="s">
        <v>1174</v>
      </c>
      <c r="H95" s="1262"/>
      <c r="I95" s="1262"/>
      <c r="J95" s="1262"/>
      <c r="K95" s="1262"/>
      <c r="L95" s="1262"/>
      <c r="M95" s="1262"/>
      <c r="N95" s="1262"/>
      <c r="O95" s="1262"/>
      <c r="P95" s="1262"/>
      <c r="Q95" s="1262"/>
      <c r="R95" s="1262"/>
      <c r="S95" s="1262"/>
      <c r="T95" s="1262"/>
      <c r="U95" s="1262"/>
      <c r="V95" s="1262"/>
      <c r="W95" s="1262"/>
      <c r="X95" s="1262"/>
      <c r="Y95" s="1262"/>
      <c r="Z95" s="1262"/>
      <c r="AA95" s="1262"/>
      <c r="AB95" s="1262"/>
      <c r="AC95" s="1262"/>
      <c r="AD95" s="1262"/>
      <c r="AE95" s="1262"/>
      <c r="AF95" s="1262"/>
      <c r="AG95" s="1262"/>
      <c r="AH95" s="1262"/>
      <c r="AI95" s="1262"/>
      <c r="AJ95" s="1262"/>
      <c r="AK95" s="1262"/>
    </row>
    <row r="96" spans="1:37">
      <c r="A96" s="4"/>
      <c r="C96" s="2"/>
      <c r="D96" s="4"/>
      <c r="E96" s="4"/>
      <c r="G96" s="1262"/>
      <c r="H96" s="1262"/>
      <c r="I96" s="1262"/>
      <c r="J96" s="1262"/>
      <c r="K96" s="1262"/>
      <c r="L96" s="1262"/>
      <c r="M96" s="1262"/>
      <c r="N96" s="1262"/>
      <c r="O96" s="1262"/>
      <c r="P96" s="1262"/>
      <c r="Q96" s="1262"/>
      <c r="R96" s="1262"/>
      <c r="S96" s="1262"/>
      <c r="T96" s="1262"/>
      <c r="U96" s="1262"/>
      <c r="V96" s="1262"/>
      <c r="W96" s="1262"/>
      <c r="X96" s="1262"/>
      <c r="Y96" s="1262"/>
      <c r="Z96" s="1262"/>
      <c r="AA96" s="1262"/>
      <c r="AB96" s="1262"/>
      <c r="AC96" s="1262"/>
      <c r="AD96" s="1262"/>
      <c r="AE96" s="1262"/>
      <c r="AF96" s="1262"/>
      <c r="AG96" s="1262"/>
      <c r="AH96" s="1262"/>
      <c r="AI96" s="1262"/>
      <c r="AJ96" s="1262"/>
      <c r="AK96" s="1262"/>
    </row>
    <row r="97" spans="1:38">
      <c r="A97" s="4"/>
      <c r="C97" s="2"/>
      <c r="D97" s="4"/>
      <c r="E97" s="4"/>
      <c r="G97" s="1262"/>
      <c r="H97" s="1262"/>
      <c r="I97" s="1262"/>
      <c r="J97" s="1262"/>
      <c r="K97" s="1262"/>
      <c r="L97" s="1262"/>
      <c r="M97" s="1262"/>
      <c r="N97" s="1262"/>
      <c r="O97" s="1262"/>
      <c r="P97" s="1262"/>
      <c r="Q97" s="1262"/>
      <c r="R97" s="1262"/>
      <c r="S97" s="1262"/>
      <c r="T97" s="1262"/>
      <c r="U97" s="1262"/>
      <c r="V97" s="1262"/>
      <c r="W97" s="1262"/>
      <c r="X97" s="1262"/>
      <c r="Y97" s="1262"/>
      <c r="Z97" s="1262"/>
      <c r="AA97" s="1262"/>
      <c r="AB97" s="1262"/>
      <c r="AC97" s="1262"/>
      <c r="AD97" s="1262"/>
      <c r="AE97" s="1262"/>
      <c r="AF97" s="1262"/>
      <c r="AG97" s="1262"/>
      <c r="AH97" s="1262"/>
      <c r="AI97" s="1262"/>
      <c r="AJ97" s="1262"/>
      <c r="AK97" s="1262"/>
    </row>
    <row r="98" spans="1:38">
      <c r="A98" s="4"/>
      <c r="D98" s="99"/>
      <c r="E98" s="1273" t="s">
        <v>1175</v>
      </c>
      <c r="F98" s="1273"/>
      <c r="G98" s="1273"/>
      <c r="H98" s="1273"/>
      <c r="I98" s="1273"/>
      <c r="J98" s="1273"/>
      <c r="K98" s="1273"/>
      <c r="L98" s="1273"/>
      <c r="M98" s="1273"/>
      <c r="N98" s="1273"/>
      <c r="O98" s="1273"/>
      <c r="P98" s="1273"/>
      <c r="Q98" s="1273"/>
      <c r="R98" s="1273"/>
      <c r="S98" s="1273"/>
      <c r="T98" s="1273"/>
      <c r="U98" s="1273"/>
      <c r="V98" s="1273"/>
      <c r="W98" s="1273"/>
      <c r="X98" s="1273"/>
      <c r="Y98" s="1273"/>
      <c r="Z98" s="1273"/>
      <c r="AA98" s="1273"/>
      <c r="AB98" s="1273"/>
      <c r="AC98" s="1273"/>
      <c r="AD98" s="1273"/>
      <c r="AE98" s="1273"/>
      <c r="AF98" s="1273"/>
      <c r="AG98" s="1273"/>
      <c r="AH98" s="1273"/>
      <c r="AI98" s="1273"/>
      <c r="AJ98" s="1273"/>
      <c r="AK98" s="1273"/>
    </row>
    <row r="99" spans="1:38">
      <c r="A99" s="4"/>
      <c r="D99" s="99"/>
      <c r="E99" s="1273"/>
      <c r="F99" s="1273"/>
      <c r="G99" s="1273"/>
      <c r="H99" s="1273"/>
      <c r="I99" s="1273"/>
      <c r="J99" s="1273"/>
      <c r="K99" s="1273"/>
      <c r="L99" s="1273"/>
      <c r="M99" s="1273"/>
      <c r="N99" s="1273"/>
      <c r="O99" s="1273"/>
      <c r="P99" s="1273"/>
      <c r="Q99" s="1273"/>
      <c r="R99" s="1273"/>
      <c r="S99" s="1273"/>
      <c r="T99" s="1273"/>
      <c r="U99" s="1273"/>
      <c r="V99" s="1273"/>
      <c r="W99" s="1273"/>
      <c r="X99" s="1273"/>
      <c r="Y99" s="1273"/>
      <c r="Z99" s="1273"/>
      <c r="AA99" s="1273"/>
      <c r="AB99" s="1273"/>
      <c r="AC99" s="1273"/>
      <c r="AD99" s="1273"/>
      <c r="AE99" s="1273"/>
      <c r="AF99" s="1273"/>
      <c r="AG99" s="1273"/>
      <c r="AH99" s="1273"/>
      <c r="AI99" s="1273"/>
      <c r="AJ99" s="1273"/>
      <c r="AK99" s="1273"/>
    </row>
    <row r="100" spans="1:38">
      <c r="A100" s="4"/>
      <c r="B100" s="127"/>
      <c r="C100" s="99"/>
      <c r="D100" s="99"/>
      <c r="E100" s="127"/>
      <c r="F100" s="99"/>
      <c r="G100" s="99"/>
      <c r="H100" s="99"/>
      <c r="I100" s="2"/>
      <c r="J100" s="2"/>
      <c r="K100" s="2"/>
      <c r="L100" s="2"/>
      <c r="M100" s="2"/>
      <c r="N100" s="2"/>
      <c r="P100" s="4"/>
      <c r="Q100" s="4"/>
      <c r="R100" s="4"/>
      <c r="S100" s="4"/>
      <c r="T100" s="4"/>
      <c r="U100" s="4"/>
      <c r="V100" s="4"/>
      <c r="W100" s="4"/>
      <c r="X100" s="4"/>
      <c r="Y100" s="4"/>
      <c r="Z100" s="4"/>
      <c r="AA100" s="4"/>
      <c r="AB100" s="4"/>
    </row>
    <row r="101" spans="1:38">
      <c r="A101" s="5"/>
      <c r="B101" s="11" t="s">
        <v>339</v>
      </c>
      <c r="C101" s="11" t="s">
        <v>420</v>
      </c>
      <c r="D101" s="11"/>
      <c r="E101" s="11"/>
      <c r="F101" s="11"/>
      <c r="G101" s="11"/>
      <c r="H101" s="11"/>
      <c r="I101" s="11"/>
      <c r="J101" s="11"/>
      <c r="K101" s="11"/>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row>
    <row r="102" spans="1:38">
      <c r="B102" s="2"/>
      <c r="C102" s="2"/>
      <c r="D102" s="2"/>
      <c r="E102" s="2"/>
      <c r="F102" s="2"/>
      <c r="G102" s="2"/>
      <c r="H102" s="2"/>
      <c r="I102" s="2"/>
      <c r="J102" s="2"/>
      <c r="K102" s="2"/>
    </row>
    <row r="103" spans="1:38">
      <c r="B103" s="2"/>
      <c r="C103" s="2" t="s">
        <v>429</v>
      </c>
      <c r="E103" s="2"/>
      <c r="F103" s="2"/>
      <c r="G103" s="2" t="s">
        <v>1186</v>
      </c>
      <c r="H103" s="2"/>
      <c r="I103" s="2"/>
      <c r="K103" s="2"/>
    </row>
    <row r="104" spans="1:38">
      <c r="B104" s="2"/>
      <c r="C104" s="2"/>
      <c r="D104" s="2" t="s">
        <v>206</v>
      </c>
      <c r="E104" s="2" t="s">
        <v>1188</v>
      </c>
      <c r="F104" s="2"/>
      <c r="G104" s="2"/>
      <c r="H104" s="2"/>
      <c r="I104" s="2"/>
      <c r="J104" s="2"/>
      <c r="K104" s="2"/>
      <c r="L104" s="2"/>
      <c r="M104" s="2"/>
    </row>
    <row r="105" spans="1:38">
      <c r="B105" s="2"/>
      <c r="C105" s="2"/>
      <c r="E105" s="4" t="s">
        <v>112</v>
      </c>
      <c r="F105" s="98" t="s">
        <v>652</v>
      </c>
      <c r="G105" s="2"/>
      <c r="H105" s="2"/>
      <c r="I105" s="2"/>
      <c r="J105" s="2"/>
      <c r="K105" s="2"/>
    </row>
    <row r="106" spans="1:38">
      <c r="E106" s="4"/>
      <c r="F106" t="s">
        <v>654</v>
      </c>
    </row>
    <row r="107" spans="1:38">
      <c r="E107" s="4"/>
      <c r="F107" t="s">
        <v>655</v>
      </c>
    </row>
    <row r="108" spans="1:38">
      <c r="E108" s="4"/>
    </row>
    <row r="109" spans="1:38">
      <c r="E109" s="4" t="s">
        <v>113</v>
      </c>
      <c r="F109" s="98" t="s">
        <v>656</v>
      </c>
      <c r="G109" s="2"/>
      <c r="H109" s="2"/>
      <c r="I109" s="2"/>
      <c r="J109" s="2"/>
    </row>
    <row r="110" spans="1:38">
      <c r="E110" s="4"/>
      <c r="F110" t="s">
        <v>657</v>
      </c>
    </row>
    <row r="111" spans="1:38">
      <c r="E111" s="4"/>
    </row>
    <row r="112" spans="1:38">
      <c r="E112" s="4" t="s">
        <v>119</v>
      </c>
      <c r="F112" s="98" t="s">
        <v>658</v>
      </c>
      <c r="G112" s="2"/>
      <c r="H112" s="2"/>
      <c r="I112" s="2"/>
      <c r="J112" s="2"/>
      <c r="K112" s="2"/>
      <c r="L112" s="2"/>
      <c r="M112" s="2"/>
      <c r="N112" s="2"/>
      <c r="O112" s="2"/>
      <c r="P112" s="2"/>
    </row>
    <row r="113" spans="2:10">
      <c r="E113" s="4"/>
      <c r="F113" s="4" t="s">
        <v>921</v>
      </c>
    </row>
    <row r="114" spans="2:10" ht="12.75" customHeight="1">
      <c r="F114" s="4" t="s">
        <v>951</v>
      </c>
    </row>
    <row r="115" spans="2:10"/>
    <row r="116" spans="2:10">
      <c r="E116" t="s">
        <v>581</v>
      </c>
      <c r="F116" s="98" t="s">
        <v>922</v>
      </c>
    </row>
    <row r="117" spans="2:10">
      <c r="F117" s="4" t="s">
        <v>1015</v>
      </c>
      <c r="G117" s="4"/>
    </row>
    <row r="118" spans="2:10">
      <c r="F118" s="99" t="s">
        <v>1187</v>
      </c>
      <c r="G118" s="99"/>
    </row>
    <row r="119" spans="2:10">
      <c r="G119" s="99"/>
    </row>
    <row r="120" spans="2:10">
      <c r="E120" s="4" t="s">
        <v>763</v>
      </c>
      <c r="F120" s="98" t="s">
        <v>377</v>
      </c>
    </row>
    <row r="121" spans="2:10">
      <c r="E121" s="4"/>
      <c r="F121" s="4" t="s">
        <v>1007</v>
      </c>
    </row>
    <row r="122" spans="2:10">
      <c r="B122" s="2"/>
      <c r="C122" s="2"/>
      <c r="F122" s="2"/>
    </row>
    <row r="123" spans="2:10">
      <c r="B123" s="2"/>
      <c r="C123" s="2" t="s">
        <v>430</v>
      </c>
      <c r="G123" s="2" t="s">
        <v>378</v>
      </c>
    </row>
    <row r="124" spans="2:10">
      <c r="B124" s="2"/>
      <c r="C124" s="2"/>
      <c r="D124" s="2" t="s">
        <v>206</v>
      </c>
      <c r="E124" s="2" t="s">
        <v>319</v>
      </c>
      <c r="F124" s="2"/>
      <c r="G124" s="2"/>
      <c r="H124" s="2"/>
      <c r="I124" s="2"/>
      <c r="J124" s="2"/>
    </row>
    <row r="125" spans="2:10">
      <c r="B125" s="2"/>
      <c r="C125" s="2"/>
      <c r="E125" s="4" t="s">
        <v>923</v>
      </c>
      <c r="F125" s="4"/>
    </row>
    <row r="126" spans="2:10"/>
    <row r="127" spans="2:10">
      <c r="D127" s="2" t="s">
        <v>340</v>
      </c>
      <c r="E127" s="2" t="s">
        <v>577</v>
      </c>
    </row>
    <row r="128" spans="2:10">
      <c r="E128" s="4" t="s">
        <v>923</v>
      </c>
      <c r="F128" s="4"/>
    </row>
    <row r="129" spans="4:37"/>
    <row r="130" spans="4:37">
      <c r="D130" s="2" t="s">
        <v>574</v>
      </c>
      <c r="E130" s="2" t="s">
        <v>724</v>
      </c>
      <c r="G130" s="2"/>
      <c r="H130" s="2"/>
      <c r="I130" s="2"/>
      <c r="J130" s="2"/>
      <c r="K130" s="2"/>
      <c r="L130" s="2"/>
      <c r="M130" s="2"/>
      <c r="N130" s="2"/>
    </row>
    <row r="131" spans="4:37">
      <c r="D131" s="2"/>
      <c r="E131" s="119" t="s">
        <v>1257</v>
      </c>
      <c r="G131" s="2"/>
      <c r="H131" s="2"/>
      <c r="I131" s="2"/>
      <c r="J131" s="2"/>
      <c r="K131" s="2"/>
      <c r="L131" s="2"/>
      <c r="M131" s="2"/>
      <c r="N131" s="2"/>
    </row>
    <row r="132" spans="4:37" ht="12.75" customHeight="1">
      <c r="E132" s="119" t="s">
        <v>1255</v>
      </c>
      <c r="F132" s="455"/>
      <c r="G132" s="455"/>
      <c r="H132" s="455"/>
      <c r="I132" s="455"/>
      <c r="J132" s="455"/>
      <c r="K132" s="455"/>
      <c r="L132" s="455"/>
      <c r="M132" s="455"/>
      <c r="N132" s="455"/>
      <c r="O132" s="455"/>
      <c r="P132" s="455"/>
      <c r="Q132" s="455"/>
      <c r="R132" s="455"/>
      <c r="S132" s="455"/>
      <c r="T132" s="455"/>
      <c r="U132" s="455"/>
      <c r="V132" s="455"/>
      <c r="W132" s="455"/>
      <c r="X132" s="455"/>
      <c r="Y132" s="455"/>
      <c r="Z132" s="455"/>
      <c r="AA132" s="455"/>
      <c r="AB132" s="455"/>
      <c r="AC132" s="455"/>
      <c r="AD132" s="455"/>
      <c r="AE132" s="455"/>
      <c r="AF132" s="455"/>
      <c r="AG132" s="455"/>
      <c r="AH132" s="455"/>
      <c r="AI132" s="455"/>
      <c r="AJ132" s="455"/>
      <c r="AK132" s="455"/>
    </row>
    <row r="133" spans="4:37">
      <c r="E133" s="119" t="s">
        <v>1256</v>
      </c>
      <c r="F133" s="455"/>
      <c r="G133" s="455"/>
      <c r="H133" s="455"/>
      <c r="I133" s="455"/>
      <c r="J133" s="455"/>
      <c r="K133" s="455"/>
      <c r="L133" s="455"/>
      <c r="M133" s="455"/>
      <c r="N133" s="455"/>
      <c r="O133" s="455"/>
      <c r="P133" s="455"/>
      <c r="Q133" s="455"/>
      <c r="R133" s="455"/>
      <c r="S133" s="455"/>
      <c r="T133" s="455"/>
      <c r="U133" s="455"/>
      <c r="V133" s="455"/>
      <c r="W133" s="455"/>
      <c r="X133" s="455"/>
      <c r="Y133" s="455"/>
      <c r="Z133" s="455"/>
      <c r="AA133" s="455"/>
      <c r="AB133" s="455"/>
      <c r="AC133" s="455"/>
      <c r="AD133" s="455"/>
      <c r="AE133" s="455"/>
      <c r="AF133" s="455"/>
      <c r="AG133" s="455"/>
      <c r="AH133" s="455"/>
      <c r="AI133" s="455"/>
      <c r="AJ133" s="455"/>
      <c r="AK133" s="455"/>
    </row>
    <row r="134" spans="4:37">
      <c r="F134" s="4"/>
    </row>
    <row r="135" spans="4:37">
      <c r="D135" s="2" t="s">
        <v>514</v>
      </c>
      <c r="E135" s="2" t="s">
        <v>517</v>
      </c>
      <c r="F135" s="2"/>
    </row>
    <row r="136" spans="4:37">
      <c r="E136" s="3" t="s">
        <v>1213</v>
      </c>
      <c r="F136" s="4"/>
    </row>
    <row r="137" spans="4:37">
      <c r="F137" s="4"/>
    </row>
    <row r="138" spans="4:37">
      <c r="D138" s="2" t="s">
        <v>302</v>
      </c>
      <c r="E138" s="2" t="s">
        <v>2042</v>
      </c>
      <c r="F138" s="2"/>
      <c r="G138" s="2"/>
      <c r="H138" s="2"/>
    </row>
    <row r="139" spans="4:37">
      <c r="E139" t="s">
        <v>112</v>
      </c>
      <c r="F139" t="s">
        <v>52</v>
      </c>
    </row>
    <row r="140" spans="4:37">
      <c r="E140" t="s">
        <v>113</v>
      </c>
      <c r="F140" t="s">
        <v>466</v>
      </c>
    </row>
    <row r="141" spans="4:37"/>
    <row r="142" spans="4:37">
      <c r="D142" s="2" t="s">
        <v>428</v>
      </c>
      <c r="E142" s="2" t="s">
        <v>2043</v>
      </c>
    </row>
    <row r="143" spans="4:37">
      <c r="E143" s="204" t="s">
        <v>2044</v>
      </c>
      <c r="F143" s="204"/>
    </row>
    <row r="144" spans="4:37"/>
    <row r="145" spans="3:7">
      <c r="C145" s="2" t="s">
        <v>6</v>
      </c>
      <c r="G145" s="2" t="s">
        <v>379</v>
      </c>
    </row>
    <row r="146" spans="3:7">
      <c r="D146" s="2" t="s">
        <v>206</v>
      </c>
      <c r="E146" s="2" t="s">
        <v>135</v>
      </c>
    </row>
    <row r="147" spans="3:7">
      <c r="E147" t="s">
        <v>797</v>
      </c>
    </row>
    <row r="148" spans="3:7"/>
    <row r="149" spans="3:7">
      <c r="D149" s="2" t="s">
        <v>340</v>
      </c>
      <c r="E149" s="2" t="s">
        <v>524</v>
      </c>
      <c r="F149" s="2"/>
    </row>
    <row r="150" spans="3:7">
      <c r="E150" s="4" t="s">
        <v>925</v>
      </c>
      <c r="F150" s="4"/>
    </row>
    <row r="151" spans="3:7"/>
    <row r="152" spans="3:7">
      <c r="D152" s="2" t="s">
        <v>574</v>
      </c>
      <c r="E152" s="2" t="s">
        <v>553</v>
      </c>
    </row>
    <row r="153" spans="3:7">
      <c r="E153" s="4" t="s">
        <v>926</v>
      </c>
    </row>
    <row r="154" spans="3:7">
      <c r="E154" s="4" t="s">
        <v>924</v>
      </c>
      <c r="G154" s="4"/>
    </row>
    <row r="155" spans="3:7"/>
    <row r="156" spans="3:7">
      <c r="D156" s="2" t="s">
        <v>514</v>
      </c>
      <c r="E156" s="2" t="s">
        <v>533</v>
      </c>
    </row>
    <row r="157" spans="3:7">
      <c r="E157" t="s">
        <v>112</v>
      </c>
      <c r="F157" s="4" t="s">
        <v>927</v>
      </c>
    </row>
    <row r="158" spans="3:7">
      <c r="E158" s="4" t="s">
        <v>113</v>
      </c>
      <c r="F158" s="4" t="s">
        <v>928</v>
      </c>
    </row>
    <row r="159" spans="3:7">
      <c r="E159" s="4" t="s">
        <v>119</v>
      </c>
      <c r="F159" t="s">
        <v>725</v>
      </c>
    </row>
    <row r="160" spans="3:7"/>
    <row r="161" spans="3:20">
      <c r="D161" s="2" t="s">
        <v>302</v>
      </c>
      <c r="E161" s="2" t="s">
        <v>380</v>
      </c>
    </row>
    <row r="162" spans="3:20">
      <c r="E162" s="4" t="s">
        <v>929</v>
      </c>
      <c r="F162" s="4"/>
    </row>
    <row r="163" spans="3:20"/>
    <row r="164" spans="3:20">
      <c r="D164" s="2" t="s">
        <v>428</v>
      </c>
      <c r="E164" s="2" t="s">
        <v>171</v>
      </c>
    </row>
    <row r="165" spans="3:20">
      <c r="E165" s="4" t="s">
        <v>931</v>
      </c>
    </row>
    <row r="166" spans="3:20">
      <c r="E166" s="4" t="s">
        <v>930</v>
      </c>
    </row>
    <row r="167" spans="3:20"/>
    <row r="168" spans="3:20">
      <c r="D168" s="2" t="s">
        <v>557</v>
      </c>
      <c r="E168" s="2" t="s">
        <v>622</v>
      </c>
    </row>
    <row r="169" spans="3:20">
      <c r="E169" t="s">
        <v>112</v>
      </c>
      <c r="F169" t="s">
        <v>726</v>
      </c>
    </row>
    <row r="170" spans="3:20">
      <c r="E170" t="s">
        <v>113</v>
      </c>
      <c r="F170" t="s">
        <v>296</v>
      </c>
    </row>
    <row r="171" spans="3:20">
      <c r="F171" s="4"/>
    </row>
    <row r="172" spans="3:20">
      <c r="C172" s="2" t="s">
        <v>7</v>
      </c>
      <c r="E172" s="4"/>
      <c r="G172" s="2" t="s">
        <v>381</v>
      </c>
    </row>
    <row r="173" spans="3:20">
      <c r="E173" s="4" t="s">
        <v>867</v>
      </c>
      <c r="F173" s="4"/>
      <c r="I173" s="4"/>
      <c r="J173" s="4"/>
      <c r="K173" s="4"/>
      <c r="L173" s="4"/>
      <c r="M173" s="4"/>
      <c r="N173" s="4"/>
      <c r="O173" s="4"/>
      <c r="P173" s="4"/>
      <c r="Q173" s="4"/>
      <c r="R173" s="4"/>
      <c r="S173" s="4"/>
      <c r="T173" s="4"/>
    </row>
    <row r="174" spans="3:20">
      <c r="F174" s="4"/>
      <c r="H174" s="4"/>
      <c r="I174" s="4"/>
      <c r="J174" s="4"/>
      <c r="K174" s="4"/>
      <c r="L174" s="4"/>
      <c r="M174" s="4"/>
      <c r="N174" s="4"/>
      <c r="O174" s="4"/>
      <c r="P174" s="4"/>
      <c r="Q174" s="4"/>
      <c r="R174" s="4"/>
      <c r="S174" s="4"/>
      <c r="T174" s="4"/>
    </row>
    <row r="175" spans="3:20">
      <c r="C175" s="2" t="s">
        <v>8</v>
      </c>
      <c r="D175" s="2"/>
      <c r="F175" s="4"/>
      <c r="G175" s="2" t="s">
        <v>577</v>
      </c>
    </row>
    <row r="176" spans="3:20">
      <c r="D176" s="2" t="s">
        <v>206</v>
      </c>
      <c r="E176" s="2" t="s">
        <v>297</v>
      </c>
      <c r="G176" s="4"/>
      <c r="H176" s="4"/>
      <c r="I176" s="4"/>
      <c r="J176" s="4"/>
      <c r="K176" s="4"/>
      <c r="L176" s="4"/>
      <c r="M176" s="4"/>
      <c r="N176" s="4"/>
    </row>
    <row r="177" spans="2:19">
      <c r="E177" t="s">
        <v>112</v>
      </c>
      <c r="F177" s="4" t="s">
        <v>932</v>
      </c>
    </row>
    <row r="178" spans="2:19">
      <c r="F178" s="120" t="s">
        <v>1148</v>
      </c>
      <c r="I178" s="120"/>
    </row>
    <row r="179" spans="2:19">
      <c r="I179" s="120"/>
    </row>
    <row r="180" spans="2:19">
      <c r="B180" s="4"/>
      <c r="C180" s="4"/>
      <c r="E180" t="s">
        <v>113</v>
      </c>
      <c r="F180" s="3" t="s">
        <v>868</v>
      </c>
      <c r="H180" s="4"/>
    </row>
    <row r="181" spans="2:19">
      <c r="B181" s="4"/>
      <c r="C181" s="4"/>
      <c r="F181" t="s">
        <v>653</v>
      </c>
      <c r="G181" t="s">
        <v>708</v>
      </c>
      <c r="H181" s="4"/>
      <c r="O181" s="4"/>
      <c r="P181" s="4"/>
      <c r="Q181" s="4"/>
      <c r="R181" s="4"/>
      <c r="S181" s="4"/>
    </row>
    <row r="182" spans="2:19">
      <c r="B182" s="4"/>
      <c r="C182" s="4"/>
      <c r="H182" s="4"/>
      <c r="O182" s="4"/>
      <c r="P182" s="4"/>
      <c r="Q182" s="4"/>
      <c r="R182" s="4"/>
      <c r="S182" s="4"/>
    </row>
    <row r="183" spans="2:19">
      <c r="D183" s="2" t="s">
        <v>340</v>
      </c>
      <c r="E183" s="2" t="s">
        <v>1008</v>
      </c>
    </row>
    <row r="184" spans="2:19">
      <c r="B184" s="4"/>
      <c r="C184" s="4"/>
      <c r="E184" s="4" t="s">
        <v>709</v>
      </c>
      <c r="F184" s="4"/>
      <c r="I184" s="4"/>
    </row>
    <row r="185" spans="2:19">
      <c r="B185" s="4"/>
      <c r="C185" s="4"/>
      <c r="E185" s="4" t="s">
        <v>1006</v>
      </c>
      <c r="F185" s="120"/>
      <c r="G185" s="4"/>
      <c r="I185" s="120"/>
    </row>
    <row r="186" spans="2:19">
      <c r="B186" s="4"/>
      <c r="C186" s="4"/>
      <c r="F186" s="120"/>
      <c r="G186" s="4"/>
      <c r="I186" s="120"/>
    </row>
    <row r="187" spans="2:19">
      <c r="B187" s="4"/>
      <c r="C187" s="4"/>
      <c r="D187" s="2" t="s">
        <v>574</v>
      </c>
      <c r="E187" s="2" t="s">
        <v>3</v>
      </c>
      <c r="F187" s="120"/>
      <c r="G187" s="4"/>
      <c r="I187" s="120"/>
    </row>
    <row r="188" spans="2:19">
      <c r="B188" s="4"/>
      <c r="C188" s="4"/>
      <c r="D188" s="2"/>
      <c r="E188" s="4" t="s">
        <v>298</v>
      </c>
      <c r="F188" s="4"/>
      <c r="G188" s="4"/>
      <c r="I188" s="120"/>
    </row>
    <row r="189" spans="2:19">
      <c r="B189" s="4"/>
      <c r="C189" s="4"/>
      <c r="F189" s="120"/>
      <c r="G189" s="4"/>
      <c r="I189" s="120"/>
    </row>
    <row r="190" spans="2:19">
      <c r="D190" s="2" t="s">
        <v>514</v>
      </c>
      <c r="E190" s="2" t="s">
        <v>111</v>
      </c>
    </row>
    <row r="191" spans="2:19">
      <c r="B191" s="4"/>
      <c r="C191" s="2"/>
      <c r="E191" t="s">
        <v>112</v>
      </c>
      <c r="F191" s="4" t="s">
        <v>1016</v>
      </c>
      <c r="G191" s="4"/>
      <c r="H191" s="4"/>
      <c r="I191" s="4"/>
    </row>
    <row r="192" spans="2:19">
      <c r="B192" s="4"/>
      <c r="C192" s="2"/>
      <c r="F192" s="4" t="s">
        <v>653</v>
      </c>
      <c r="G192" s="3" t="s">
        <v>1207</v>
      </c>
    </row>
    <row r="193" spans="2:37">
      <c r="B193" s="4"/>
      <c r="C193" s="4"/>
      <c r="F193" s="4" t="s">
        <v>347</v>
      </c>
      <c r="G193" s="3" t="s">
        <v>1208</v>
      </c>
      <c r="I193" s="4"/>
      <c r="J193" s="4"/>
      <c r="M193" s="4"/>
      <c r="N193" s="4"/>
      <c r="O193" s="4"/>
      <c r="P193" s="4"/>
      <c r="Q193" s="4"/>
      <c r="R193" s="4"/>
      <c r="S193" s="4"/>
    </row>
    <row r="194" spans="2:37">
      <c r="B194" s="4"/>
      <c r="C194" s="4"/>
      <c r="F194" s="4" t="s">
        <v>348</v>
      </c>
      <c r="G194" s="4" t="s">
        <v>933</v>
      </c>
      <c r="I194" s="4"/>
      <c r="J194" s="4"/>
      <c r="M194" s="4"/>
      <c r="N194" s="4"/>
      <c r="O194" s="4"/>
      <c r="P194" s="4"/>
      <c r="Q194" s="4"/>
      <c r="R194" s="4"/>
      <c r="S194" s="4"/>
    </row>
    <row r="195" spans="2:37">
      <c r="B195" s="4"/>
      <c r="C195" s="4"/>
      <c r="F195" s="4"/>
      <c r="G195" s="4"/>
      <c r="I195" s="4"/>
      <c r="J195" s="4"/>
      <c r="M195" s="4"/>
      <c r="N195" s="4"/>
      <c r="O195" s="4"/>
      <c r="P195" s="4"/>
      <c r="Q195" s="4"/>
      <c r="R195" s="4"/>
      <c r="S195" s="4"/>
    </row>
    <row r="196" spans="2:37">
      <c r="B196" s="4"/>
      <c r="C196" s="4"/>
      <c r="D196" s="2" t="s">
        <v>302</v>
      </c>
      <c r="E196" s="2" t="s">
        <v>114</v>
      </c>
      <c r="G196" s="4"/>
      <c r="H196" s="4"/>
      <c r="I196" s="4"/>
      <c r="J196" s="4"/>
      <c r="M196" s="4"/>
      <c r="N196" s="4"/>
      <c r="O196" s="4"/>
      <c r="P196" s="4"/>
      <c r="Q196" s="4"/>
      <c r="R196" s="4"/>
      <c r="S196" s="4"/>
    </row>
    <row r="197" spans="2:37">
      <c r="B197" s="4"/>
      <c r="C197" s="4"/>
      <c r="D197" s="4"/>
      <c r="E197" s="4" t="s">
        <v>934</v>
      </c>
      <c r="F197" s="4"/>
      <c r="G197" s="4"/>
      <c r="H197" s="4"/>
      <c r="I197" s="4"/>
      <c r="J197" s="4"/>
      <c r="M197" s="4"/>
      <c r="N197" s="4"/>
      <c r="O197" s="4"/>
      <c r="P197" s="4"/>
      <c r="Q197" s="4"/>
      <c r="R197" s="4"/>
      <c r="S197" s="4"/>
    </row>
    <row r="198" spans="2:37">
      <c r="B198" s="4"/>
      <c r="C198" s="4"/>
      <c r="D198" s="4"/>
      <c r="F198" s="4"/>
      <c r="G198" s="4"/>
      <c r="H198" s="4"/>
      <c r="I198" s="4"/>
      <c r="J198" s="4"/>
      <c r="M198" s="4"/>
      <c r="N198" s="4"/>
      <c r="O198" s="4"/>
      <c r="P198" s="4"/>
      <c r="Q198" s="4"/>
      <c r="R198" s="4"/>
      <c r="S198" s="4"/>
    </row>
    <row r="199" spans="2:37">
      <c r="B199" s="4"/>
      <c r="C199" s="4"/>
      <c r="D199" s="2" t="s">
        <v>428</v>
      </c>
      <c r="E199" s="2" t="s">
        <v>120</v>
      </c>
      <c r="G199" s="4"/>
      <c r="H199" s="4"/>
      <c r="I199" s="4"/>
      <c r="J199" s="4"/>
      <c r="M199" s="4"/>
      <c r="N199" s="4"/>
      <c r="O199" s="4"/>
      <c r="P199" s="4"/>
      <c r="Q199" s="4"/>
      <c r="R199" s="4"/>
      <c r="S199" s="4"/>
    </row>
    <row r="200" spans="2:37">
      <c r="B200" s="4"/>
      <c r="C200" s="4"/>
      <c r="D200" s="2"/>
      <c r="E200" s="4" t="s">
        <v>112</v>
      </c>
      <c r="F200" s="4" t="s">
        <v>935</v>
      </c>
      <c r="M200" s="4"/>
      <c r="N200" s="4"/>
      <c r="O200" s="4"/>
      <c r="P200" s="4"/>
      <c r="Q200" s="4"/>
      <c r="R200" s="4"/>
      <c r="S200" s="4"/>
    </row>
    <row r="201" spans="2:37">
      <c r="B201" s="4"/>
      <c r="C201" s="4"/>
      <c r="D201" s="2"/>
      <c r="E201" s="4" t="s">
        <v>113</v>
      </c>
      <c r="F201" s="4" t="s">
        <v>1017</v>
      </c>
      <c r="I201" s="4"/>
      <c r="J201" s="4"/>
      <c r="M201" s="4"/>
      <c r="N201" s="4"/>
      <c r="O201" s="4"/>
      <c r="P201" s="4"/>
      <c r="Q201" s="4"/>
      <c r="R201" s="4"/>
      <c r="S201" s="4"/>
      <c r="T201" s="4"/>
      <c r="U201" s="4"/>
      <c r="V201" s="4"/>
      <c r="W201" s="4"/>
      <c r="X201" s="4"/>
      <c r="Y201" s="4"/>
      <c r="Z201" s="4"/>
      <c r="AA201" s="4"/>
      <c r="AB201" s="4"/>
      <c r="AC201" s="4"/>
      <c r="AD201" s="4"/>
      <c r="AE201" s="4"/>
      <c r="AF201" s="4"/>
      <c r="AG201" s="4"/>
    </row>
    <row r="202" spans="2:37">
      <c r="B202" s="4"/>
      <c r="C202" s="4"/>
      <c r="D202" s="2"/>
      <c r="E202" s="4" t="s">
        <v>119</v>
      </c>
      <c r="F202" s="4" t="s">
        <v>710</v>
      </c>
      <c r="I202" s="4"/>
      <c r="J202" s="4"/>
      <c r="M202" s="4"/>
      <c r="N202" s="4"/>
      <c r="O202" s="4"/>
      <c r="P202" s="4"/>
      <c r="Q202" s="4"/>
      <c r="R202" s="4"/>
      <c r="S202" s="4"/>
      <c r="T202" s="4"/>
      <c r="U202" s="4"/>
      <c r="V202" s="4"/>
      <c r="W202" s="4"/>
      <c r="X202" s="4"/>
      <c r="Y202" s="4"/>
      <c r="Z202" s="4"/>
      <c r="AA202" s="4"/>
      <c r="AB202" s="4"/>
      <c r="AC202" s="4"/>
      <c r="AD202" s="4"/>
      <c r="AE202" s="4"/>
      <c r="AF202" s="4"/>
      <c r="AG202" s="4"/>
    </row>
    <row r="203" spans="2:37">
      <c r="B203" s="4"/>
      <c r="C203" s="4"/>
      <c r="F203" s="4" t="s">
        <v>653</v>
      </c>
      <c r="G203" s="4" t="s">
        <v>936</v>
      </c>
      <c r="I203" s="4"/>
      <c r="J203" s="4"/>
      <c r="M203" s="4"/>
      <c r="N203" s="4"/>
      <c r="O203" s="4"/>
      <c r="P203" s="4"/>
      <c r="Q203" s="4"/>
      <c r="R203" s="4"/>
      <c r="S203" s="4"/>
      <c r="T203" s="4"/>
      <c r="U203" s="4"/>
      <c r="V203" s="4"/>
      <c r="W203" s="4"/>
      <c r="X203" s="4"/>
      <c r="Y203" s="4"/>
    </row>
    <row r="204" spans="2:37">
      <c r="B204" s="4"/>
      <c r="C204" s="4"/>
      <c r="D204" s="2"/>
      <c r="E204" s="4" t="s">
        <v>581</v>
      </c>
      <c r="F204" s="4" t="s">
        <v>937</v>
      </c>
      <c r="M204" s="4"/>
      <c r="N204" s="4"/>
      <c r="O204" s="4"/>
      <c r="P204" s="4"/>
      <c r="Q204" s="4"/>
      <c r="R204" s="4"/>
      <c r="S204" s="4"/>
    </row>
    <row r="205" spans="2:37">
      <c r="B205" s="4"/>
      <c r="C205" s="4"/>
      <c r="D205" s="2"/>
      <c r="F205" t="s">
        <v>653</v>
      </c>
      <c r="G205" s="1262" t="s">
        <v>1176</v>
      </c>
      <c r="H205" s="1262"/>
      <c r="I205" s="1262"/>
      <c r="J205" s="1262"/>
      <c r="K205" s="1262"/>
      <c r="L205" s="1262"/>
      <c r="M205" s="1262"/>
      <c r="N205" s="1262"/>
      <c r="O205" s="1262"/>
      <c r="P205" s="1262"/>
      <c r="Q205" s="1262"/>
      <c r="R205" s="1262"/>
      <c r="S205" s="1262"/>
      <c r="T205" s="1262"/>
      <c r="U205" s="1262"/>
      <c r="V205" s="1262"/>
      <c r="W205" s="1262"/>
      <c r="X205" s="1262"/>
      <c r="Y205" s="1262"/>
      <c r="Z205" s="1262"/>
      <c r="AA205" s="1262"/>
      <c r="AB205" s="1262"/>
      <c r="AC205" s="1262"/>
      <c r="AD205" s="1262"/>
      <c r="AE205" s="1262"/>
      <c r="AF205" s="1262"/>
      <c r="AG205" s="1262"/>
      <c r="AH205" s="1262"/>
      <c r="AI205" s="1262"/>
      <c r="AJ205" s="1262"/>
      <c r="AK205" s="1262"/>
    </row>
    <row r="206" spans="2:37">
      <c r="B206" s="4"/>
      <c r="C206" s="4"/>
      <c r="D206" s="2"/>
      <c r="G206" s="1262"/>
      <c r="H206" s="1262"/>
      <c r="I206" s="1262"/>
      <c r="J206" s="1262"/>
      <c r="K206" s="1262"/>
      <c r="L206" s="1262"/>
      <c r="M206" s="1262"/>
      <c r="N206" s="1262"/>
      <c r="O206" s="1262"/>
      <c r="P206" s="1262"/>
      <c r="Q206" s="1262"/>
      <c r="R206" s="1262"/>
      <c r="S206" s="1262"/>
      <c r="T206" s="1262"/>
      <c r="U206" s="1262"/>
      <c r="V206" s="1262"/>
      <c r="W206" s="1262"/>
      <c r="X206" s="1262"/>
      <c r="Y206" s="1262"/>
      <c r="Z206" s="1262"/>
      <c r="AA206" s="1262"/>
      <c r="AB206" s="1262"/>
      <c r="AC206" s="1262"/>
      <c r="AD206" s="1262"/>
      <c r="AE206" s="1262"/>
      <c r="AF206" s="1262"/>
      <c r="AG206" s="1262"/>
      <c r="AH206" s="1262"/>
      <c r="AI206" s="1262"/>
      <c r="AJ206" s="1262"/>
      <c r="AK206" s="1262"/>
    </row>
    <row r="207" spans="2:37">
      <c r="B207" s="4"/>
      <c r="C207" s="4"/>
      <c r="D207" s="2"/>
      <c r="M207" s="4"/>
      <c r="N207" s="4"/>
      <c r="O207" s="4"/>
      <c r="P207" s="4"/>
      <c r="Q207" s="4"/>
      <c r="R207" s="4"/>
      <c r="S207" s="4"/>
    </row>
    <row r="208" spans="2:37">
      <c r="B208" s="4"/>
      <c r="C208" s="4"/>
      <c r="D208" s="2" t="s">
        <v>557</v>
      </c>
      <c r="E208" s="2" t="s">
        <v>764</v>
      </c>
      <c r="G208" s="4"/>
      <c r="H208" s="4"/>
      <c r="I208" s="4"/>
      <c r="J208" s="4"/>
      <c r="M208" s="4"/>
      <c r="N208" s="4"/>
      <c r="O208" s="4"/>
      <c r="P208" s="4"/>
      <c r="Q208" s="4"/>
      <c r="R208" s="4"/>
      <c r="S208" s="4"/>
      <c r="T208" s="4"/>
      <c r="U208" s="4"/>
      <c r="V208" s="4"/>
      <c r="W208" s="4"/>
    </row>
    <row r="209" spans="1:38">
      <c r="B209" s="4"/>
      <c r="C209" s="4"/>
      <c r="E209" s="4" t="s">
        <v>711</v>
      </c>
      <c r="F209" s="4"/>
      <c r="I209" s="4"/>
      <c r="J209" s="4"/>
      <c r="M209" s="4"/>
      <c r="N209" s="4"/>
      <c r="O209" s="4"/>
      <c r="P209" s="4"/>
      <c r="Q209" s="4"/>
      <c r="R209" s="4"/>
      <c r="S209" s="4"/>
      <c r="T209" s="4"/>
      <c r="U209" s="4"/>
      <c r="V209" s="4"/>
      <c r="W209" s="4"/>
    </row>
    <row r="210" spans="1:38">
      <c r="B210" s="4"/>
      <c r="C210" s="4"/>
      <c r="F210" s="4"/>
      <c r="G210" s="4"/>
      <c r="I210" s="4"/>
      <c r="J210" s="4"/>
      <c r="M210" s="4"/>
      <c r="N210" s="4"/>
      <c r="O210" s="4"/>
      <c r="P210" s="4"/>
      <c r="Q210" s="4"/>
      <c r="R210" s="4"/>
      <c r="S210" s="4"/>
      <c r="T210" s="4"/>
      <c r="U210" s="4"/>
      <c r="V210" s="4"/>
      <c r="W210" s="4"/>
    </row>
    <row r="211" spans="1:38">
      <c r="B211" s="4"/>
      <c r="C211" s="4"/>
      <c r="D211" s="2" t="s">
        <v>555</v>
      </c>
      <c r="E211" s="2" t="s">
        <v>247</v>
      </c>
      <c r="F211" s="4"/>
      <c r="G211" s="4"/>
      <c r="I211" s="4"/>
      <c r="J211" s="4"/>
      <c r="M211" s="4"/>
      <c r="N211" s="4"/>
      <c r="O211" s="4"/>
      <c r="P211" s="4"/>
      <c r="Q211" s="4"/>
      <c r="R211" s="4"/>
      <c r="S211" s="4"/>
      <c r="T211" s="4"/>
      <c r="U211" s="4"/>
      <c r="V211" s="4"/>
      <c r="W211" s="4"/>
    </row>
    <row r="212" spans="1:38">
      <c r="B212" s="4"/>
      <c r="C212" s="4"/>
      <c r="D212" s="2"/>
      <c r="E212" s="4" t="s">
        <v>298</v>
      </c>
      <c r="F212" s="4"/>
      <c r="G212" s="4"/>
      <c r="I212" s="4"/>
      <c r="J212" s="4"/>
      <c r="M212" s="4"/>
      <c r="N212" s="4"/>
      <c r="O212" s="4"/>
      <c r="P212" s="4"/>
      <c r="Q212" s="4"/>
      <c r="R212" s="4"/>
      <c r="S212" s="4"/>
      <c r="T212" s="4"/>
      <c r="U212" s="4"/>
      <c r="V212" s="4"/>
      <c r="W212" s="4"/>
    </row>
    <row r="213" spans="1:38">
      <c r="B213" s="4"/>
      <c r="C213" s="4"/>
      <c r="D213" s="2"/>
      <c r="M213" s="4"/>
      <c r="N213" s="4"/>
      <c r="O213" s="4"/>
      <c r="P213" s="4"/>
      <c r="Q213" s="4"/>
      <c r="R213" s="4"/>
      <c r="S213" s="4"/>
    </row>
    <row r="214" spans="1:38">
      <c r="C214" s="2" t="s">
        <v>712</v>
      </c>
      <c r="D214" s="2"/>
      <c r="G214" s="2" t="s">
        <v>809</v>
      </c>
      <c r="M214" s="4"/>
      <c r="N214" s="4"/>
      <c r="O214" s="4"/>
      <c r="P214" s="4"/>
      <c r="Q214" s="4"/>
      <c r="R214" s="4"/>
      <c r="S214" s="4"/>
    </row>
    <row r="215" spans="1:38">
      <c r="B215" s="4"/>
      <c r="C215" s="4"/>
      <c r="E215" t="s">
        <v>112</v>
      </c>
      <c r="F215" s="4" t="s">
        <v>808</v>
      </c>
      <c r="G215" s="4"/>
      <c r="H215" s="4"/>
      <c r="I215" s="4"/>
      <c r="L215" s="4"/>
      <c r="N215" s="4"/>
      <c r="O215" s="4"/>
      <c r="P215" s="4"/>
      <c r="Q215" s="4"/>
      <c r="R215" s="4"/>
      <c r="S215" s="4"/>
    </row>
    <row r="216" spans="1:38">
      <c r="B216" s="4"/>
      <c r="C216" s="4"/>
      <c r="F216" s="4" t="s">
        <v>653</v>
      </c>
      <c r="G216" s="4" t="s">
        <v>715</v>
      </c>
      <c r="I216" s="4"/>
      <c r="M216" s="4"/>
      <c r="N216" s="4"/>
      <c r="O216" s="4"/>
      <c r="P216" s="4"/>
      <c r="Q216" s="4"/>
      <c r="R216" s="4"/>
      <c r="S216" s="4"/>
    </row>
    <row r="217" spans="1:38">
      <c r="B217" s="4"/>
      <c r="C217" s="4"/>
      <c r="E217" t="s">
        <v>113</v>
      </c>
      <c r="F217" s="4" t="s">
        <v>399</v>
      </c>
      <c r="G217" s="4"/>
      <c r="H217" s="4"/>
      <c r="I217" s="4"/>
      <c r="M217" s="4"/>
      <c r="N217" s="4"/>
      <c r="O217" s="4"/>
      <c r="P217" s="4"/>
      <c r="Q217" s="4"/>
      <c r="R217" s="4"/>
      <c r="S217" s="4"/>
    </row>
    <row r="218" spans="1:38">
      <c r="B218" s="4"/>
      <c r="C218" s="4"/>
      <c r="F218" s="4" t="s">
        <v>653</v>
      </c>
      <c r="G218" s="4" t="s">
        <v>713</v>
      </c>
      <c r="I218" s="4"/>
      <c r="M218" s="4"/>
      <c r="N218" s="4"/>
      <c r="O218" s="4"/>
      <c r="P218" s="4"/>
      <c r="Q218" s="4"/>
      <c r="R218" s="4"/>
      <c r="S218" s="4"/>
    </row>
    <row r="219" spans="1:38">
      <c r="B219" s="4"/>
      <c r="C219" s="4"/>
      <c r="F219" s="4"/>
      <c r="G219" s="4" t="s">
        <v>714</v>
      </c>
      <c r="I219" s="4"/>
      <c r="M219" s="4"/>
      <c r="N219" s="4"/>
      <c r="O219" s="4"/>
      <c r="P219" s="4"/>
      <c r="Q219" s="4"/>
      <c r="R219" s="4"/>
      <c r="S219" s="4"/>
    </row>
    <row r="220" spans="1:38">
      <c r="B220" s="4"/>
      <c r="C220" s="4"/>
      <c r="F220" s="4"/>
      <c r="K220" s="4"/>
      <c r="M220" s="4"/>
      <c r="N220" s="4"/>
      <c r="O220" s="4"/>
      <c r="P220" s="4"/>
      <c r="Q220" s="4"/>
      <c r="R220" s="4"/>
      <c r="S220" s="4"/>
    </row>
    <row r="221" spans="1:38">
      <c r="A221" s="5"/>
      <c r="B221" s="11" t="s">
        <v>9</v>
      </c>
      <c r="C221" s="11" t="s">
        <v>178</v>
      </c>
      <c r="D221" s="5"/>
      <c r="E221" s="128"/>
      <c r="F221" s="128"/>
      <c r="G221" s="128"/>
      <c r="H221" s="128"/>
      <c r="I221" s="128"/>
      <c r="J221" s="128"/>
      <c r="K221" s="5"/>
      <c r="L221" s="128"/>
      <c r="M221" s="128"/>
      <c r="N221" s="128"/>
      <c r="O221" s="128"/>
      <c r="P221" s="128"/>
      <c r="Q221" s="128"/>
      <c r="R221" s="128"/>
      <c r="S221" s="128"/>
      <c r="T221" s="5"/>
      <c r="U221" s="5"/>
      <c r="V221" s="5"/>
      <c r="W221" s="5"/>
      <c r="X221" s="5"/>
      <c r="Y221" s="5"/>
      <c r="Z221" s="5"/>
      <c r="AA221" s="5"/>
      <c r="AB221" s="5"/>
      <c r="AC221" s="5"/>
      <c r="AD221" s="5"/>
      <c r="AE221" s="5"/>
      <c r="AF221" s="5"/>
      <c r="AG221" s="5"/>
      <c r="AH221" s="5"/>
      <c r="AI221" s="5"/>
      <c r="AJ221" s="5"/>
      <c r="AK221" s="5"/>
      <c r="AL221" s="5"/>
    </row>
    <row r="222" spans="1:38">
      <c r="B222" s="2"/>
      <c r="D222" s="2"/>
      <c r="E222" s="4"/>
      <c r="F222" s="4"/>
      <c r="G222" s="4"/>
      <c r="H222" s="4"/>
      <c r="I222" s="4"/>
      <c r="J222" s="4"/>
      <c r="L222" s="4"/>
      <c r="M222" s="4"/>
      <c r="N222" s="4"/>
      <c r="O222" s="4"/>
      <c r="P222" s="4"/>
      <c r="Q222" s="4"/>
      <c r="R222" s="4"/>
      <c r="S222" s="4"/>
    </row>
    <row r="223" spans="1:38">
      <c r="B223" s="4"/>
      <c r="C223" s="2" t="s">
        <v>429</v>
      </c>
      <c r="D223" s="4"/>
      <c r="E223" s="4"/>
      <c r="F223" s="4"/>
      <c r="G223" s="2" t="s">
        <v>452</v>
      </c>
      <c r="I223" s="4"/>
      <c r="J223" s="4"/>
      <c r="K223" s="4"/>
      <c r="M223" s="4"/>
      <c r="N223" s="4"/>
      <c r="O223" s="4"/>
      <c r="P223" s="4"/>
      <c r="Q223" s="4"/>
      <c r="R223" s="4"/>
      <c r="S223" s="4"/>
    </row>
    <row r="224" spans="1:38">
      <c r="B224" s="2"/>
      <c r="E224" s="4" t="s">
        <v>112</v>
      </c>
      <c r="F224" s="4" t="s">
        <v>716</v>
      </c>
      <c r="G224" s="4"/>
      <c r="I224" s="4"/>
      <c r="J224" s="4"/>
      <c r="K224" s="4"/>
      <c r="L224" s="4"/>
      <c r="M224" s="4"/>
      <c r="N224" s="4"/>
      <c r="O224" s="4"/>
      <c r="P224" s="4"/>
      <c r="Q224" s="4"/>
      <c r="R224" s="4"/>
      <c r="S224" s="4"/>
    </row>
    <row r="225" spans="2:19">
      <c r="B225" s="2"/>
      <c r="E225" s="4" t="s">
        <v>113</v>
      </c>
      <c r="F225" s="4" t="s">
        <v>680</v>
      </c>
      <c r="G225" s="4"/>
      <c r="I225" s="4"/>
      <c r="J225" s="4"/>
      <c r="K225" s="4"/>
      <c r="L225" s="4"/>
      <c r="M225" s="4"/>
      <c r="N225" s="4"/>
      <c r="O225" s="4"/>
      <c r="P225" s="4"/>
      <c r="Q225" s="4"/>
      <c r="R225" s="4"/>
      <c r="S225" s="4"/>
    </row>
    <row r="226" spans="2:19">
      <c r="B226" s="2"/>
      <c r="E226" s="4"/>
      <c r="F226" s="4"/>
      <c r="G226" s="4"/>
      <c r="H226" s="4"/>
      <c r="I226" s="4"/>
      <c r="J226" s="4"/>
      <c r="K226" s="4"/>
      <c r="L226" s="4"/>
      <c r="M226" s="4"/>
      <c r="N226" s="4"/>
      <c r="O226" s="4"/>
      <c r="P226" s="4"/>
      <c r="Q226" s="4"/>
      <c r="R226" s="4"/>
      <c r="S226" s="4"/>
    </row>
    <row r="227" spans="2:19">
      <c r="B227" s="2"/>
      <c r="C227" s="2" t="s">
        <v>430</v>
      </c>
      <c r="D227" s="4"/>
      <c r="E227" s="4"/>
      <c r="F227" s="4"/>
      <c r="G227" s="2" t="s">
        <v>21</v>
      </c>
      <c r="I227" s="4"/>
      <c r="J227" s="4"/>
      <c r="K227" s="4"/>
      <c r="L227" s="4"/>
      <c r="M227" s="4"/>
      <c r="N227" s="4"/>
      <c r="O227" s="4"/>
      <c r="P227" s="4"/>
      <c r="Q227" s="4"/>
      <c r="R227" s="4"/>
      <c r="S227" s="4"/>
    </row>
    <row r="228" spans="2:19">
      <c r="B228" s="2"/>
      <c r="E228" s="4" t="s">
        <v>112</v>
      </c>
      <c r="F228" s="4" t="s">
        <v>717</v>
      </c>
      <c r="G228" s="4"/>
      <c r="I228" s="4"/>
      <c r="J228" s="4"/>
      <c r="K228" s="4"/>
      <c r="L228" s="4"/>
      <c r="M228" s="4"/>
      <c r="N228" s="4"/>
      <c r="O228" s="4"/>
      <c r="P228" s="4"/>
      <c r="Q228" s="4"/>
      <c r="R228" s="4"/>
      <c r="S228" s="4"/>
    </row>
    <row r="229" spans="2:19">
      <c r="B229" s="2"/>
      <c r="E229" s="4"/>
      <c r="F229" s="4" t="s">
        <v>718</v>
      </c>
      <c r="G229" s="4"/>
      <c r="H229" s="4"/>
      <c r="I229" s="4"/>
      <c r="J229" s="4"/>
      <c r="K229" s="4"/>
      <c r="L229" s="4"/>
      <c r="M229" s="4"/>
      <c r="N229" s="4"/>
      <c r="O229" s="4"/>
      <c r="P229" s="4"/>
      <c r="Q229" s="4"/>
      <c r="R229" s="4"/>
      <c r="S229" s="4"/>
    </row>
    <row r="230" spans="2:19">
      <c r="B230" s="2"/>
      <c r="D230" s="4"/>
      <c r="E230" s="4" t="s">
        <v>113</v>
      </c>
      <c r="F230" s="4" t="s">
        <v>680</v>
      </c>
      <c r="G230" s="4"/>
      <c r="I230" s="4"/>
      <c r="J230" s="4"/>
      <c r="K230" s="4"/>
      <c r="L230" s="4"/>
      <c r="M230" s="4"/>
      <c r="N230" s="4"/>
      <c r="O230" s="4"/>
      <c r="P230" s="4"/>
      <c r="Q230" s="4"/>
      <c r="R230" s="4"/>
      <c r="S230" s="4"/>
    </row>
    <row r="231" spans="2:19">
      <c r="B231" s="2"/>
      <c r="E231" s="4" t="s">
        <v>119</v>
      </c>
      <c r="F231" s="98" t="s">
        <v>952</v>
      </c>
      <c r="G231" s="4"/>
      <c r="I231" s="4"/>
      <c r="J231" s="4"/>
      <c r="K231" s="4"/>
      <c r="L231" s="4"/>
      <c r="M231" s="4"/>
      <c r="N231" s="4"/>
      <c r="O231" s="4"/>
      <c r="P231" s="4"/>
      <c r="Q231" s="4"/>
      <c r="R231" s="4"/>
      <c r="S231" s="4"/>
    </row>
    <row r="232" spans="2:19">
      <c r="B232" s="2"/>
      <c r="D232" s="4"/>
      <c r="E232" s="4"/>
      <c r="F232" s="4"/>
      <c r="G232" s="4"/>
      <c r="H232" s="4"/>
      <c r="I232" s="4"/>
      <c r="J232" s="4"/>
      <c r="K232" s="4"/>
      <c r="L232" s="4"/>
      <c r="M232" s="4"/>
      <c r="N232" s="4"/>
      <c r="O232" s="4"/>
      <c r="P232" s="4"/>
      <c r="Q232" s="4"/>
      <c r="R232" s="4"/>
      <c r="S232" s="4"/>
    </row>
    <row r="233" spans="2:19">
      <c r="B233" s="4"/>
      <c r="C233" s="2"/>
      <c r="E233" s="2" t="s">
        <v>326</v>
      </c>
      <c r="F233" s="4"/>
      <c r="J233" s="4"/>
      <c r="K233" s="4"/>
      <c r="M233" s="4"/>
      <c r="N233" s="4"/>
      <c r="O233" s="4"/>
      <c r="P233" s="4"/>
      <c r="Q233" s="4"/>
      <c r="R233" s="4"/>
      <c r="S233" s="4"/>
    </row>
    <row r="234" spans="2:19">
      <c r="B234" s="4"/>
      <c r="C234" s="4"/>
      <c r="E234" t="s">
        <v>112</v>
      </c>
      <c r="F234" s="4" t="s">
        <v>326</v>
      </c>
      <c r="G234" s="2"/>
      <c r="H234" s="2"/>
      <c r="I234" s="2"/>
      <c r="L234" s="2"/>
      <c r="M234" s="2"/>
      <c r="N234" s="2"/>
      <c r="O234" s="2"/>
      <c r="P234" s="2"/>
      <c r="Q234" s="2"/>
      <c r="R234" s="4"/>
      <c r="S234" s="4"/>
    </row>
    <row r="235" spans="2:19">
      <c r="B235" s="4"/>
      <c r="C235" s="4"/>
      <c r="F235" s="4" t="s">
        <v>653</v>
      </c>
      <c r="G235" s="4" t="s">
        <v>719</v>
      </c>
      <c r="I235" s="4"/>
      <c r="M235" s="4"/>
      <c r="N235" s="4"/>
      <c r="O235" s="4"/>
      <c r="P235" s="4"/>
      <c r="Q235" s="4"/>
      <c r="R235" s="4"/>
      <c r="S235" s="4"/>
    </row>
    <row r="236" spans="2:19">
      <c r="B236" s="4"/>
      <c r="C236" s="4"/>
      <c r="F236" s="4"/>
      <c r="G236" s="4" t="s">
        <v>798</v>
      </c>
      <c r="I236" s="4"/>
      <c r="M236" s="4"/>
      <c r="N236" s="4"/>
      <c r="O236" s="4"/>
      <c r="P236" s="4"/>
      <c r="Q236" s="4"/>
      <c r="R236" s="4"/>
      <c r="S236" s="4"/>
    </row>
    <row r="237" spans="2:19">
      <c r="B237" s="4"/>
      <c r="C237" s="4"/>
      <c r="E237" t="s">
        <v>113</v>
      </c>
      <c r="F237" s="136" t="s">
        <v>445</v>
      </c>
      <c r="G237" s="2"/>
      <c r="H237" s="2"/>
      <c r="I237" s="2"/>
      <c r="L237" s="2"/>
      <c r="M237" s="2"/>
      <c r="N237" s="2"/>
      <c r="O237" s="2"/>
      <c r="P237" s="2"/>
      <c r="Q237" s="2"/>
      <c r="R237" s="2"/>
      <c r="S237" s="2"/>
    </row>
    <row r="238" spans="2:19">
      <c r="B238" s="4"/>
      <c r="C238" s="4"/>
      <c r="F238" s="4" t="s">
        <v>653</v>
      </c>
      <c r="G238" s="4" t="s">
        <v>722</v>
      </c>
      <c r="I238" s="4"/>
      <c r="M238" s="4"/>
      <c r="N238" s="4"/>
      <c r="O238" s="4"/>
      <c r="P238" s="4"/>
      <c r="Q238" s="4"/>
      <c r="R238" s="4"/>
      <c r="S238" s="4"/>
    </row>
    <row r="239" spans="2:19">
      <c r="B239" s="4"/>
      <c r="C239" s="4"/>
      <c r="F239" s="4"/>
      <c r="G239" s="4" t="s">
        <v>687</v>
      </c>
      <c r="H239" s="4" t="s">
        <v>941</v>
      </c>
      <c r="I239" s="4"/>
      <c r="M239" s="4"/>
      <c r="N239" s="4"/>
      <c r="O239" s="4"/>
      <c r="P239" s="4"/>
      <c r="Q239" s="4"/>
      <c r="R239" s="4"/>
      <c r="S239" s="4"/>
    </row>
    <row r="240" spans="2:19">
      <c r="B240" s="4"/>
      <c r="C240" s="4"/>
      <c r="F240" s="4" t="s">
        <v>347</v>
      </c>
      <c r="G240" s="136" t="s">
        <v>723</v>
      </c>
      <c r="I240" s="4"/>
      <c r="M240" s="4"/>
      <c r="N240" s="4"/>
      <c r="O240" s="4"/>
      <c r="P240" s="4"/>
      <c r="Q240" s="4"/>
      <c r="R240" s="4"/>
      <c r="S240" s="4"/>
    </row>
    <row r="241" spans="2:21">
      <c r="B241" s="4"/>
      <c r="C241" s="4"/>
      <c r="E241" t="s">
        <v>119</v>
      </c>
      <c r="F241" s="4" t="s">
        <v>653</v>
      </c>
      <c r="G241" s="136" t="s">
        <v>942</v>
      </c>
      <c r="I241" s="4"/>
      <c r="M241" s="4"/>
      <c r="N241" s="4"/>
      <c r="O241" s="4"/>
      <c r="P241" s="4"/>
      <c r="Q241" s="4"/>
      <c r="R241" s="4"/>
      <c r="S241" s="4"/>
    </row>
    <row r="242" spans="2:21">
      <c r="B242" s="4"/>
      <c r="C242" s="4"/>
      <c r="F242" s="4" t="s">
        <v>347</v>
      </c>
      <c r="G242" s="136" t="s">
        <v>943</v>
      </c>
      <c r="I242" s="4"/>
      <c r="M242" s="4"/>
      <c r="N242" s="4"/>
      <c r="O242" s="4"/>
      <c r="P242" s="4"/>
      <c r="Q242" s="4"/>
      <c r="R242" s="4"/>
      <c r="S242" s="4"/>
    </row>
    <row r="243" spans="2:21">
      <c r="B243" s="4"/>
      <c r="C243" s="4"/>
      <c r="F243" s="4" t="s">
        <v>348</v>
      </c>
      <c r="G243" s="136" t="s">
        <v>720</v>
      </c>
      <c r="I243" s="4"/>
      <c r="M243" s="4"/>
      <c r="N243" s="4"/>
      <c r="O243" s="4"/>
      <c r="P243" s="4"/>
      <c r="Q243" s="4"/>
      <c r="R243" s="4"/>
      <c r="S243" s="4"/>
    </row>
    <row r="244" spans="2:21">
      <c r="B244" s="4"/>
      <c r="C244" s="4"/>
      <c r="F244" s="4"/>
      <c r="G244" s="136" t="s">
        <v>721</v>
      </c>
      <c r="I244" s="4"/>
      <c r="M244" s="4"/>
      <c r="N244" s="4"/>
      <c r="O244" s="4"/>
      <c r="P244" s="4"/>
      <c r="Q244" s="4"/>
      <c r="R244" s="4"/>
      <c r="S244" s="4"/>
    </row>
    <row r="245" spans="2:21">
      <c r="B245" s="4"/>
      <c r="C245" s="4"/>
      <c r="D245" s="2"/>
      <c r="E245" s="4" t="s">
        <v>119</v>
      </c>
      <c r="F245" s="4" t="s">
        <v>327</v>
      </c>
      <c r="H245" s="4"/>
      <c r="I245" s="4"/>
      <c r="M245" s="4"/>
      <c r="N245" s="4"/>
      <c r="O245" s="4"/>
      <c r="P245" s="4"/>
      <c r="Q245" s="4"/>
      <c r="R245" s="4"/>
      <c r="S245" s="4"/>
    </row>
    <row r="246" spans="2:21">
      <c r="B246" s="4"/>
      <c r="C246" s="4"/>
      <c r="D246" s="2"/>
      <c r="E246" s="2"/>
      <c r="F246" t="s">
        <v>653</v>
      </c>
      <c r="G246" s="4" t="s">
        <v>431</v>
      </c>
      <c r="I246" s="4"/>
      <c r="M246" s="4"/>
      <c r="N246" s="4"/>
      <c r="O246" s="4"/>
      <c r="P246" s="4"/>
      <c r="Q246" s="4"/>
      <c r="R246" s="4"/>
      <c r="S246" s="4"/>
    </row>
    <row r="247" spans="2:21">
      <c r="B247" s="4"/>
      <c r="C247" s="4"/>
      <c r="D247" s="2"/>
      <c r="E247" s="2"/>
      <c r="F247" s="4"/>
      <c r="G247" s="4" t="s">
        <v>432</v>
      </c>
      <c r="I247" s="4"/>
      <c r="M247" s="4"/>
      <c r="N247" s="4"/>
      <c r="O247" s="4"/>
      <c r="P247" s="4"/>
      <c r="Q247" s="4"/>
      <c r="R247" s="4"/>
      <c r="S247" s="4"/>
    </row>
    <row r="248" spans="2:21">
      <c r="B248" s="4"/>
      <c r="C248" s="4"/>
      <c r="D248" s="2"/>
      <c r="E248" s="2"/>
      <c r="F248" s="4"/>
      <c r="G248" s="4"/>
      <c r="I248" s="4"/>
      <c r="M248" s="4"/>
      <c r="N248" s="4"/>
      <c r="O248" s="4"/>
      <c r="P248" s="4"/>
      <c r="Q248" s="4"/>
      <c r="R248" s="4"/>
      <c r="S248" s="4"/>
    </row>
    <row r="249" spans="2:21">
      <c r="B249" s="2"/>
      <c r="C249" s="2" t="s">
        <v>6</v>
      </c>
      <c r="E249" s="4"/>
      <c r="F249" s="4"/>
      <c r="G249" s="2" t="s">
        <v>382</v>
      </c>
      <c r="I249" s="4"/>
      <c r="J249" s="4"/>
      <c r="K249" s="4"/>
      <c r="L249" s="4"/>
      <c r="M249" s="4"/>
      <c r="N249" s="4"/>
      <c r="O249" s="4"/>
      <c r="P249" s="4"/>
      <c r="Q249" s="4"/>
      <c r="R249" s="4"/>
      <c r="S249" s="4"/>
    </row>
    <row r="250" spans="2:21">
      <c r="B250" s="2"/>
      <c r="C250" s="2"/>
      <c r="E250" s="4" t="s">
        <v>112</v>
      </c>
      <c r="F250" s="4" t="s">
        <v>71</v>
      </c>
      <c r="G250" s="4"/>
      <c r="I250" s="4"/>
      <c r="J250" s="4"/>
      <c r="K250" s="4"/>
      <c r="L250" s="4"/>
      <c r="M250" s="4"/>
      <c r="N250" s="4"/>
      <c r="O250" s="4"/>
      <c r="P250" s="4"/>
      <c r="Q250" s="4"/>
      <c r="R250" s="4"/>
      <c r="S250" s="4"/>
      <c r="T250" s="4"/>
      <c r="U250" s="4"/>
    </row>
    <row r="251" spans="2:21">
      <c r="B251" s="2"/>
      <c r="C251" s="2"/>
      <c r="E251" s="4"/>
      <c r="F251" s="120" t="s">
        <v>1149</v>
      </c>
      <c r="G251" s="4"/>
      <c r="I251" s="120"/>
      <c r="J251" s="4"/>
      <c r="K251" s="4"/>
      <c r="L251" s="4"/>
      <c r="M251" s="4"/>
      <c r="N251" s="4"/>
      <c r="O251" s="4"/>
      <c r="P251" s="4"/>
      <c r="Q251" s="4"/>
      <c r="R251" s="4"/>
      <c r="S251" s="4"/>
      <c r="T251" s="4"/>
      <c r="U251" s="4"/>
    </row>
    <row r="252" spans="2:21">
      <c r="B252" s="2"/>
      <c r="C252" s="2"/>
      <c r="E252" s="4" t="s">
        <v>113</v>
      </c>
      <c r="F252" s="4" t="s">
        <v>938</v>
      </c>
      <c r="I252" s="4"/>
      <c r="J252" s="4"/>
      <c r="K252" s="4"/>
      <c r="L252" s="4"/>
      <c r="M252" s="4"/>
      <c r="N252" s="4"/>
      <c r="O252" s="4"/>
      <c r="P252" s="4"/>
      <c r="Q252" s="4"/>
      <c r="R252" s="4"/>
      <c r="S252" s="4"/>
      <c r="T252" s="4"/>
      <c r="U252" s="4"/>
    </row>
    <row r="253" spans="2:21">
      <c r="B253" s="2"/>
      <c r="C253" s="2"/>
      <c r="E253" s="4"/>
      <c r="F253" s="204" t="s">
        <v>653</v>
      </c>
      <c r="G253" s="204" t="s">
        <v>811</v>
      </c>
      <c r="I253" s="3"/>
      <c r="K253" s="3"/>
      <c r="L253" s="3"/>
      <c r="M253" s="3"/>
      <c r="N253" s="3"/>
      <c r="O253" s="3"/>
      <c r="Q253" s="4"/>
      <c r="R253" s="4"/>
      <c r="S253" s="4"/>
      <c r="T253" s="4"/>
      <c r="U253" s="4"/>
    </row>
    <row r="254" spans="2:21">
      <c r="B254" s="2"/>
      <c r="C254" s="2"/>
      <c r="E254" s="4"/>
      <c r="F254" s="204"/>
      <c r="G254" s="204" t="s">
        <v>812</v>
      </c>
      <c r="I254" s="3"/>
      <c r="K254" s="3"/>
      <c r="L254" s="3"/>
      <c r="M254" s="3"/>
      <c r="N254" s="3"/>
      <c r="O254" s="3"/>
      <c r="P254" s="3"/>
    </row>
    <row r="255" spans="2:21">
      <c r="B255" s="2"/>
      <c r="C255" s="2"/>
      <c r="E255" s="4"/>
      <c r="F255" s="204" t="s">
        <v>347</v>
      </c>
      <c r="G255" s="204" t="s">
        <v>944</v>
      </c>
      <c r="I255" s="4"/>
      <c r="K255" s="4"/>
      <c r="L255" s="4"/>
      <c r="M255" s="4"/>
      <c r="N255" s="4"/>
      <c r="O255" s="4"/>
      <c r="P255" s="3"/>
    </row>
    <row r="256" spans="2:21">
      <c r="B256" s="2"/>
      <c r="C256" s="2"/>
      <c r="E256" s="4"/>
      <c r="F256" s="204"/>
      <c r="G256" s="204" t="s">
        <v>870</v>
      </c>
      <c r="I256" s="4"/>
      <c r="K256" s="4"/>
      <c r="L256" s="4"/>
      <c r="M256" s="4"/>
      <c r="N256" s="4"/>
      <c r="O256" s="4"/>
      <c r="P256" s="4"/>
      <c r="Q256" s="3"/>
      <c r="R256" s="3"/>
      <c r="S256" s="3"/>
      <c r="T256" s="3"/>
      <c r="U256" s="3"/>
    </row>
    <row r="257" spans="2:21">
      <c r="B257" s="2"/>
      <c r="C257" s="2"/>
      <c r="E257" s="4"/>
      <c r="G257" s="4"/>
      <c r="I257" s="4"/>
      <c r="K257" s="4"/>
      <c r="L257" s="4"/>
      <c r="M257" s="4"/>
      <c r="N257" s="4"/>
      <c r="O257" s="4"/>
      <c r="P257" s="4"/>
      <c r="Q257" s="3"/>
      <c r="R257" s="3"/>
      <c r="S257" s="3"/>
      <c r="T257" s="3"/>
      <c r="U257" s="3"/>
    </row>
    <row r="258" spans="2:21">
      <c r="B258" s="2"/>
      <c r="C258" s="2"/>
      <c r="D258" s="2" t="s">
        <v>206</v>
      </c>
      <c r="E258" s="2" t="s">
        <v>383</v>
      </c>
      <c r="G258" s="4"/>
      <c r="H258" s="4"/>
      <c r="I258" s="4"/>
      <c r="J258" s="4"/>
      <c r="K258" s="4"/>
      <c r="L258" s="4"/>
      <c r="M258" s="4"/>
      <c r="N258" s="4"/>
      <c r="O258" s="4"/>
      <c r="P258" s="4"/>
      <c r="Q258" s="4"/>
      <c r="R258" s="4"/>
      <c r="S258" s="4"/>
    </row>
    <row r="259" spans="2:21">
      <c r="B259" s="2"/>
      <c r="C259" s="2"/>
      <c r="E259" s="4" t="s">
        <v>112</v>
      </c>
      <c r="F259" s="4" t="s">
        <v>252</v>
      </c>
      <c r="G259" s="4"/>
      <c r="I259" s="4"/>
      <c r="J259" s="4"/>
      <c r="K259" s="4"/>
      <c r="L259" s="4"/>
      <c r="M259" s="4"/>
      <c r="N259" s="4"/>
      <c r="O259" s="4"/>
      <c r="P259" s="4"/>
      <c r="Q259" s="4"/>
      <c r="R259" s="4"/>
      <c r="S259" s="4"/>
    </row>
    <row r="260" spans="2:21">
      <c r="B260" s="2"/>
      <c r="C260" s="2"/>
      <c r="E260" s="4" t="s">
        <v>113</v>
      </c>
      <c r="F260" s="4" t="s">
        <v>803</v>
      </c>
      <c r="G260" s="4"/>
      <c r="I260" s="4"/>
      <c r="J260" s="4"/>
      <c r="K260" s="4"/>
      <c r="L260" s="4"/>
      <c r="M260" s="4"/>
      <c r="N260" s="4"/>
      <c r="O260" s="4"/>
      <c r="P260" s="4"/>
      <c r="Q260" s="4"/>
      <c r="R260" s="4"/>
      <c r="S260" s="4"/>
    </row>
    <row r="261" spans="2:21">
      <c r="B261" s="2"/>
      <c r="C261" s="2"/>
      <c r="E261" s="4" t="s">
        <v>119</v>
      </c>
      <c r="F261" s="4" t="s">
        <v>253</v>
      </c>
      <c r="I261" s="4"/>
      <c r="J261" s="4"/>
      <c r="K261" s="4"/>
      <c r="L261" s="4"/>
      <c r="M261" s="4"/>
      <c r="N261" s="4"/>
      <c r="O261" s="4"/>
      <c r="P261" s="4"/>
      <c r="Q261" s="4"/>
      <c r="R261" s="4"/>
      <c r="S261" s="4"/>
    </row>
    <row r="262" spans="2:21">
      <c r="B262" s="2"/>
      <c r="C262" s="2"/>
      <c r="E262" s="2"/>
      <c r="F262" s="4" t="s">
        <v>804</v>
      </c>
      <c r="I262" s="4"/>
      <c r="J262" s="4"/>
      <c r="K262" s="4"/>
      <c r="L262" s="4"/>
      <c r="M262" s="4"/>
      <c r="N262" s="4"/>
      <c r="O262" s="4"/>
      <c r="P262" s="4"/>
      <c r="Q262" s="4"/>
      <c r="R262" s="4"/>
      <c r="S262" s="4"/>
    </row>
    <row r="263" spans="2:21">
      <c r="B263" s="2"/>
      <c r="C263" s="2"/>
      <c r="E263" s="4" t="s">
        <v>581</v>
      </c>
      <c r="F263" s="204" t="s">
        <v>813</v>
      </c>
      <c r="I263" s="4"/>
      <c r="J263" s="4"/>
      <c r="K263" s="4"/>
      <c r="L263" s="4"/>
      <c r="M263" s="4"/>
      <c r="N263" s="4"/>
      <c r="O263" s="4"/>
      <c r="P263" s="4"/>
      <c r="Q263" s="4"/>
      <c r="R263" s="4"/>
      <c r="S263" s="4"/>
    </row>
    <row r="264" spans="2:21">
      <c r="B264" s="2"/>
      <c r="C264" s="2"/>
      <c r="E264" s="2"/>
      <c r="F264" s="4"/>
      <c r="H264" s="4"/>
      <c r="I264" s="4"/>
      <c r="J264" s="4"/>
      <c r="K264" s="4"/>
      <c r="L264" s="4"/>
      <c r="M264" s="4"/>
      <c r="N264" s="4"/>
      <c r="O264" s="4"/>
      <c r="P264" s="4"/>
      <c r="Q264" s="4"/>
      <c r="R264" s="4"/>
      <c r="S264" s="4"/>
    </row>
    <row r="265" spans="2:21">
      <c r="B265" s="2"/>
      <c r="C265" s="2"/>
      <c r="D265" s="2" t="s">
        <v>340</v>
      </c>
      <c r="E265" s="2" t="s">
        <v>72</v>
      </c>
      <c r="G265" s="4"/>
      <c r="H265" s="4"/>
      <c r="I265" s="4"/>
      <c r="J265" s="4"/>
      <c r="K265" s="4"/>
      <c r="L265" s="4"/>
      <c r="M265" s="4"/>
      <c r="N265" s="4"/>
      <c r="O265" s="4"/>
      <c r="P265" s="4"/>
      <c r="Q265" s="4"/>
      <c r="R265" s="4"/>
      <c r="S265" s="4"/>
    </row>
    <row r="266" spans="2:21">
      <c r="B266" s="2"/>
      <c r="C266" s="2"/>
      <c r="E266" s="4" t="s">
        <v>1018</v>
      </c>
      <c r="F266" s="4"/>
      <c r="G266" s="4"/>
      <c r="O266" s="4"/>
      <c r="P266" s="4"/>
      <c r="Q266" s="4"/>
      <c r="R266" s="4"/>
      <c r="S266" s="4"/>
    </row>
    <row r="267" spans="2:21">
      <c r="B267" s="2"/>
      <c r="C267" s="2"/>
      <c r="E267" s="2"/>
      <c r="G267" s="4"/>
      <c r="H267" s="4"/>
      <c r="O267" s="4"/>
      <c r="P267" s="4"/>
      <c r="Q267" s="4"/>
      <c r="R267" s="4"/>
      <c r="S267" s="4"/>
    </row>
    <row r="268" spans="2:21">
      <c r="B268" s="2"/>
      <c r="C268" s="2"/>
      <c r="D268" s="2" t="s">
        <v>574</v>
      </c>
      <c r="E268" s="2" t="s">
        <v>286</v>
      </c>
      <c r="G268" s="4"/>
    </row>
    <row r="269" spans="2:21">
      <c r="B269" s="2"/>
      <c r="C269" s="2"/>
      <c r="E269" s="4" t="s">
        <v>254</v>
      </c>
      <c r="F269" s="4"/>
      <c r="G269" s="4"/>
      <c r="J269" s="4"/>
      <c r="K269" s="4"/>
      <c r="L269" s="4"/>
      <c r="M269" s="4"/>
      <c r="N269" s="4"/>
    </row>
    <row r="270" spans="2:21">
      <c r="B270" s="2"/>
      <c r="C270" s="2"/>
      <c r="E270" s="4" t="s">
        <v>945</v>
      </c>
      <c r="F270" s="4"/>
      <c r="G270" s="4"/>
      <c r="J270" s="4"/>
      <c r="K270" s="4"/>
      <c r="L270" s="4"/>
      <c r="M270" s="4"/>
      <c r="N270" s="4"/>
    </row>
    <row r="271" spans="2:21">
      <c r="B271" s="2"/>
      <c r="C271" s="2"/>
      <c r="E271" s="2"/>
      <c r="G271" s="4"/>
      <c r="H271" s="4"/>
      <c r="J271" s="4"/>
      <c r="K271" s="4"/>
      <c r="L271" s="4"/>
      <c r="M271" s="4"/>
      <c r="N271" s="4"/>
      <c r="O271" s="4"/>
      <c r="P271" s="4"/>
      <c r="Q271" s="4"/>
      <c r="R271" s="4"/>
      <c r="S271" s="4"/>
      <c r="T271" s="4"/>
      <c r="U271" s="4"/>
    </row>
    <row r="272" spans="2:21">
      <c r="B272" s="2"/>
      <c r="D272" s="2" t="s">
        <v>514</v>
      </c>
      <c r="E272" s="2" t="s">
        <v>612</v>
      </c>
      <c r="G272" s="4"/>
      <c r="H272" s="4"/>
      <c r="J272" s="4"/>
      <c r="K272" s="4"/>
      <c r="L272" s="4"/>
      <c r="M272" s="4"/>
      <c r="N272" s="4"/>
      <c r="O272" s="4"/>
      <c r="P272" s="4"/>
      <c r="Q272" s="4"/>
      <c r="R272" s="4"/>
      <c r="S272" s="4"/>
      <c r="T272" s="4"/>
      <c r="U272" s="4"/>
    </row>
    <row r="273" spans="2:23">
      <c r="B273" s="2"/>
      <c r="D273" s="4"/>
      <c r="E273" s="4" t="s">
        <v>1011</v>
      </c>
      <c r="J273" s="4"/>
      <c r="K273" s="4"/>
      <c r="L273" s="4"/>
      <c r="M273" s="4"/>
      <c r="N273" s="4"/>
      <c r="O273" s="4"/>
      <c r="P273" s="4"/>
      <c r="Q273" s="4"/>
      <c r="R273" s="4"/>
      <c r="S273" s="4"/>
      <c r="T273" s="4"/>
      <c r="U273" s="4"/>
    </row>
    <row r="274" spans="2:23">
      <c r="B274" s="2"/>
      <c r="D274" s="4"/>
      <c r="E274" s="4" t="s">
        <v>939</v>
      </c>
      <c r="J274" s="4"/>
      <c r="K274" s="4"/>
      <c r="L274" s="4"/>
      <c r="M274" s="4"/>
      <c r="N274" s="4"/>
      <c r="O274" s="4"/>
      <c r="P274" s="4"/>
      <c r="Q274" s="4"/>
      <c r="R274" s="4"/>
      <c r="S274" s="4"/>
      <c r="T274" s="4"/>
      <c r="U274" s="4"/>
    </row>
    <row r="275" spans="2:23">
      <c r="B275" s="2"/>
      <c r="D275" s="4"/>
      <c r="E275" s="4"/>
      <c r="J275" s="4"/>
      <c r="K275" s="4"/>
      <c r="L275" s="4"/>
      <c r="M275" s="4"/>
      <c r="N275" s="4"/>
      <c r="O275" s="4"/>
      <c r="P275" s="4"/>
      <c r="Q275" s="4"/>
      <c r="R275" s="4"/>
      <c r="S275" s="4"/>
      <c r="T275" s="4"/>
      <c r="U275" s="4"/>
    </row>
    <row r="276" spans="2:23">
      <c r="B276" s="2"/>
      <c r="D276" s="2" t="s">
        <v>302</v>
      </c>
      <c r="E276" s="2" t="s">
        <v>287</v>
      </c>
      <c r="K276" s="4"/>
      <c r="L276" s="4"/>
      <c r="M276" s="4"/>
      <c r="N276" s="4"/>
      <c r="O276" s="4"/>
      <c r="P276" s="4"/>
      <c r="Q276" s="4"/>
      <c r="R276" s="4"/>
      <c r="S276" s="4"/>
      <c r="T276" s="4"/>
      <c r="U276" s="4"/>
    </row>
    <row r="277" spans="2:23">
      <c r="B277" s="2"/>
      <c r="D277" s="2"/>
      <c r="E277" t="s">
        <v>255</v>
      </c>
      <c r="K277" s="4"/>
      <c r="L277" s="4"/>
      <c r="M277" s="4"/>
      <c r="N277" s="4"/>
      <c r="O277" s="4"/>
      <c r="P277" s="4"/>
      <c r="Q277" s="4"/>
      <c r="R277" s="4"/>
      <c r="S277" s="4"/>
    </row>
    <row r="278" spans="2:23">
      <c r="B278" s="2"/>
      <c r="D278" s="4"/>
      <c r="E278" s="4" t="s">
        <v>946</v>
      </c>
      <c r="I278" s="4"/>
      <c r="J278" s="4"/>
      <c r="K278" s="4"/>
      <c r="L278" s="4"/>
      <c r="M278" s="4"/>
      <c r="N278" s="4"/>
      <c r="O278" s="4"/>
      <c r="P278" s="4"/>
      <c r="Q278" s="4"/>
      <c r="R278" s="4"/>
      <c r="S278" s="4"/>
    </row>
    <row r="279" spans="2:23">
      <c r="B279" s="2"/>
      <c r="D279" s="4"/>
      <c r="E279" s="4"/>
      <c r="I279" s="4"/>
      <c r="J279" s="4"/>
      <c r="K279" s="4"/>
      <c r="L279" s="4"/>
      <c r="M279" s="4"/>
      <c r="N279" s="4"/>
      <c r="O279" s="4"/>
      <c r="P279" s="4"/>
      <c r="Q279" s="4"/>
      <c r="R279" s="4"/>
      <c r="S279" s="4"/>
    </row>
    <row r="280" spans="2:23">
      <c r="B280" s="2"/>
      <c r="D280" s="2" t="s">
        <v>428</v>
      </c>
      <c r="E280" s="2" t="s">
        <v>424</v>
      </c>
      <c r="G280" s="4"/>
      <c r="H280" s="4"/>
      <c r="I280" s="4"/>
      <c r="J280" s="4"/>
      <c r="K280" s="4"/>
      <c r="L280" s="4"/>
      <c r="M280" s="4"/>
      <c r="O280" s="4"/>
      <c r="P280" s="4"/>
      <c r="Q280" s="4"/>
      <c r="R280" s="4"/>
      <c r="S280" s="4"/>
    </row>
    <row r="281" spans="2:23">
      <c r="B281" s="2"/>
      <c r="D281" s="2"/>
      <c r="E281" t="s">
        <v>256</v>
      </c>
      <c r="G281" s="4"/>
      <c r="H281" s="4"/>
      <c r="I281" s="4"/>
      <c r="J281" s="4"/>
      <c r="K281" s="4"/>
      <c r="L281" s="4"/>
      <c r="M281" s="4"/>
      <c r="P281" s="4"/>
      <c r="Q281" s="4"/>
      <c r="R281" s="4"/>
      <c r="S281" s="4"/>
    </row>
    <row r="282" spans="2:23">
      <c r="B282" s="2"/>
      <c r="D282" s="2"/>
      <c r="E282" t="s">
        <v>257</v>
      </c>
      <c r="G282" s="4"/>
      <c r="H282" s="4"/>
      <c r="I282" s="4"/>
      <c r="J282" s="4"/>
      <c r="K282" s="4"/>
      <c r="L282" s="4"/>
      <c r="M282" s="4"/>
      <c r="P282" s="4"/>
      <c r="Q282" s="4"/>
      <c r="R282" s="4"/>
      <c r="S282" s="4"/>
    </row>
    <row r="283" spans="2:23">
      <c r="B283" s="2"/>
      <c r="D283" s="2"/>
      <c r="E283" s="120" t="s">
        <v>947</v>
      </c>
      <c r="F283" s="120"/>
      <c r="G283" s="4"/>
      <c r="H283" s="120"/>
      <c r="I283" s="120"/>
      <c r="J283" s="4"/>
      <c r="K283" s="4"/>
      <c r="L283" s="4"/>
      <c r="M283" s="4"/>
      <c r="P283" s="4"/>
      <c r="Q283" s="4"/>
      <c r="R283" s="4"/>
      <c r="S283" s="4"/>
    </row>
    <row r="284" spans="2:23">
      <c r="B284" s="2"/>
      <c r="D284" s="2"/>
      <c r="E284" s="449" t="s">
        <v>869</v>
      </c>
      <c r="G284" s="4"/>
      <c r="H284" s="120"/>
      <c r="I284" s="120"/>
      <c r="J284" s="4"/>
      <c r="K284" s="4"/>
      <c r="L284" s="4"/>
      <c r="M284" s="4"/>
      <c r="O284" s="4"/>
      <c r="P284" s="4"/>
      <c r="Q284" s="4"/>
      <c r="R284" s="4"/>
      <c r="S284" s="4"/>
    </row>
    <row r="285" spans="2:23">
      <c r="B285" s="2"/>
      <c r="D285" s="2"/>
      <c r="E285" s="4"/>
      <c r="F285" s="4"/>
      <c r="G285" s="4"/>
      <c r="H285" s="4"/>
      <c r="I285" s="4"/>
      <c r="J285" s="4"/>
      <c r="K285" s="4"/>
      <c r="L285" s="4"/>
      <c r="M285" s="4"/>
    </row>
    <row r="286" spans="2:23">
      <c r="B286" s="2"/>
      <c r="D286" s="2" t="s">
        <v>557</v>
      </c>
      <c r="E286" s="2" t="s">
        <v>558</v>
      </c>
      <c r="K286" s="4"/>
      <c r="L286" s="4"/>
      <c r="M286" s="4"/>
      <c r="N286" s="4"/>
    </row>
    <row r="287" spans="2:23">
      <c r="B287" s="2"/>
      <c r="D287" s="4"/>
      <c r="E287" s="4" t="s">
        <v>112</v>
      </c>
      <c r="F287" s="4" t="s">
        <v>559</v>
      </c>
      <c r="G287" s="4"/>
      <c r="O287" s="4"/>
      <c r="P287" s="4"/>
      <c r="Q287" s="4"/>
      <c r="R287" s="4"/>
      <c r="S287" s="4"/>
      <c r="T287" s="4"/>
      <c r="U287" s="4"/>
      <c r="V287" s="4"/>
      <c r="W287" s="4"/>
    </row>
    <row r="288" spans="2:23">
      <c r="B288" s="2"/>
      <c r="D288" s="4"/>
      <c r="E288" s="4"/>
      <c r="F288" s="120" t="s">
        <v>1150</v>
      </c>
      <c r="G288" s="120"/>
      <c r="H288" s="120"/>
      <c r="I288" s="120"/>
      <c r="J288" s="120"/>
      <c r="K288" s="120"/>
      <c r="L288" s="120"/>
      <c r="M288" s="120"/>
      <c r="N288" s="120"/>
      <c r="O288" s="4"/>
      <c r="P288" s="4"/>
      <c r="Q288" s="4"/>
      <c r="R288" s="4"/>
      <c r="S288" s="4"/>
      <c r="T288" s="4"/>
      <c r="U288" s="4"/>
      <c r="V288" s="4"/>
      <c r="W288" s="4"/>
    </row>
    <row r="289" spans="2:23">
      <c r="B289" s="2"/>
      <c r="D289" s="4"/>
      <c r="E289" s="4" t="s">
        <v>113</v>
      </c>
      <c r="F289" s="4" t="s">
        <v>560</v>
      </c>
      <c r="G289" s="4"/>
      <c r="L289" s="4"/>
      <c r="M289" s="4"/>
      <c r="N289" s="4"/>
      <c r="O289" s="4"/>
      <c r="P289" s="4"/>
      <c r="Q289" s="4"/>
      <c r="R289" s="4"/>
      <c r="S289" s="4"/>
      <c r="T289" s="4"/>
      <c r="U289" s="4"/>
      <c r="V289" s="4"/>
      <c r="W289" s="4"/>
    </row>
    <row r="290" spans="2:23">
      <c r="B290" s="2"/>
      <c r="D290" s="4"/>
      <c r="E290" s="4" t="s">
        <v>119</v>
      </c>
      <c r="F290" s="4" t="s">
        <v>258</v>
      </c>
      <c r="G290" s="4"/>
      <c r="H290" s="4"/>
      <c r="K290" s="4"/>
      <c r="L290" s="4"/>
      <c r="M290" s="4"/>
      <c r="N290" s="4"/>
      <c r="O290" s="4"/>
      <c r="P290" s="4"/>
      <c r="Q290" s="4"/>
      <c r="R290" s="4"/>
      <c r="S290" s="4"/>
      <c r="T290" s="4"/>
      <c r="U290" s="4"/>
      <c r="V290" s="4"/>
      <c r="W290" s="4"/>
    </row>
    <row r="291" spans="2:23">
      <c r="B291" s="2"/>
      <c r="D291" s="4"/>
      <c r="E291" s="4"/>
      <c r="F291" s="4" t="s">
        <v>653</v>
      </c>
      <c r="G291" s="4" t="s">
        <v>259</v>
      </c>
      <c r="K291" s="4"/>
      <c r="L291" s="4"/>
      <c r="M291" s="4"/>
      <c r="N291" s="4"/>
      <c r="O291" s="4"/>
      <c r="P291" s="4"/>
      <c r="Q291" s="4"/>
      <c r="R291" s="4"/>
      <c r="S291" s="4"/>
      <c r="T291" s="4"/>
      <c r="U291" s="4"/>
      <c r="V291" s="4"/>
      <c r="W291" s="4"/>
    </row>
    <row r="292" spans="2:23">
      <c r="B292" s="2"/>
      <c r="D292" s="4"/>
      <c r="E292" s="4"/>
      <c r="F292" s="4" t="s">
        <v>347</v>
      </c>
      <c r="G292" s="4" t="s">
        <v>940</v>
      </c>
      <c r="H292" s="4"/>
      <c r="K292" s="4"/>
      <c r="L292" s="4"/>
      <c r="M292" s="4"/>
      <c r="N292" s="4"/>
      <c r="O292" s="4"/>
      <c r="P292" s="4"/>
      <c r="Q292" s="4"/>
      <c r="R292" s="4"/>
      <c r="S292" s="4"/>
      <c r="T292" s="4"/>
      <c r="U292" s="4"/>
      <c r="V292" s="4"/>
      <c r="W292" s="4"/>
    </row>
    <row r="293" spans="2:23">
      <c r="B293" s="2"/>
      <c r="D293" s="4"/>
      <c r="E293" s="4"/>
      <c r="F293" s="4" t="s">
        <v>348</v>
      </c>
      <c r="G293" s="4" t="s">
        <v>561</v>
      </c>
      <c r="K293" s="4"/>
      <c r="L293" s="4"/>
      <c r="M293" s="4"/>
      <c r="N293" s="4"/>
      <c r="O293" s="4"/>
      <c r="P293" s="4"/>
      <c r="Q293" s="4"/>
      <c r="R293" s="4"/>
      <c r="S293" s="4"/>
      <c r="T293" s="4"/>
      <c r="U293" s="4"/>
      <c r="V293" s="4"/>
      <c r="W293" s="4"/>
    </row>
    <row r="294" spans="2:23">
      <c r="B294" s="2"/>
      <c r="D294" s="4"/>
      <c r="E294" s="4"/>
      <c r="F294" s="4" t="s">
        <v>444</v>
      </c>
      <c r="G294" s="4" t="s">
        <v>260</v>
      </c>
      <c r="H294" s="4"/>
      <c r="K294" s="4"/>
      <c r="L294" s="4"/>
      <c r="M294" s="4"/>
      <c r="N294" s="4"/>
      <c r="O294" s="4"/>
      <c r="P294" s="4"/>
      <c r="Q294" s="4"/>
      <c r="R294" s="4"/>
      <c r="S294" s="4"/>
      <c r="T294" s="4"/>
      <c r="U294" s="4"/>
      <c r="V294" s="4"/>
      <c r="W294" s="4"/>
    </row>
    <row r="295" spans="2:23">
      <c r="B295" s="2"/>
      <c r="D295" s="4"/>
      <c r="E295" s="4"/>
      <c r="F295" s="4" t="s">
        <v>261</v>
      </c>
      <c r="G295" s="4" t="s">
        <v>389</v>
      </c>
      <c r="K295" s="4"/>
      <c r="L295" s="4"/>
      <c r="M295" s="4"/>
      <c r="N295" s="4"/>
      <c r="O295" s="4"/>
      <c r="P295" s="4"/>
      <c r="Q295" s="4"/>
      <c r="R295" s="4"/>
      <c r="S295" s="4"/>
      <c r="T295" s="4"/>
      <c r="U295" s="4"/>
      <c r="V295" s="4"/>
      <c r="W295" s="4"/>
    </row>
    <row r="296" spans="2:23">
      <c r="B296" s="2"/>
      <c r="D296" s="4"/>
      <c r="E296" s="4"/>
      <c r="F296" s="4" t="s">
        <v>262</v>
      </c>
      <c r="G296" s="4" t="s">
        <v>169</v>
      </c>
      <c r="H296" s="4"/>
      <c r="K296" s="4"/>
      <c r="L296" s="4"/>
      <c r="M296" s="4"/>
      <c r="N296" s="4"/>
      <c r="O296" s="4"/>
      <c r="P296" s="4"/>
      <c r="Q296" s="4"/>
      <c r="R296" s="4"/>
      <c r="S296" s="4"/>
      <c r="T296" s="4"/>
      <c r="U296" s="4"/>
      <c r="V296" s="4"/>
      <c r="W296" s="4"/>
    </row>
    <row r="297" spans="2:23">
      <c r="B297" s="2"/>
      <c r="D297" s="4"/>
      <c r="E297" s="4" t="s">
        <v>581</v>
      </c>
      <c r="F297" s="4" t="s">
        <v>742</v>
      </c>
      <c r="G297" s="4"/>
      <c r="K297" s="4"/>
      <c r="L297" s="4"/>
      <c r="M297" s="4"/>
      <c r="N297" s="4"/>
      <c r="O297" s="4"/>
      <c r="P297" s="4"/>
      <c r="Q297" s="4"/>
      <c r="R297" s="4"/>
      <c r="S297" s="4"/>
      <c r="T297" s="4"/>
      <c r="U297" s="4"/>
      <c r="V297" s="4"/>
      <c r="W297" s="4"/>
    </row>
    <row r="298" spans="2:23">
      <c r="B298" s="2"/>
      <c r="D298" s="4"/>
      <c r="E298" s="4" t="s">
        <v>763</v>
      </c>
      <c r="F298" s="4" t="s">
        <v>749</v>
      </c>
      <c r="G298" s="4"/>
      <c r="K298" s="4"/>
      <c r="L298" s="4"/>
      <c r="M298" s="4"/>
      <c r="N298" s="4"/>
      <c r="O298" s="4"/>
      <c r="P298" s="4"/>
      <c r="Q298" s="4"/>
      <c r="R298" s="4"/>
      <c r="S298" s="4"/>
      <c r="T298" s="4"/>
      <c r="U298" s="4"/>
      <c r="V298" s="4"/>
      <c r="W298" s="4"/>
    </row>
    <row r="299" spans="2:23">
      <c r="B299" s="2"/>
      <c r="D299" s="4"/>
      <c r="E299" s="4"/>
      <c r="F299" s="120" t="s">
        <v>963</v>
      </c>
      <c r="G299" s="120"/>
      <c r="H299" s="120"/>
      <c r="I299" s="120"/>
      <c r="J299" s="120"/>
      <c r="K299" s="120"/>
      <c r="L299" s="120"/>
      <c r="M299" s="4"/>
      <c r="N299" s="4"/>
      <c r="O299" s="4"/>
      <c r="P299" s="4"/>
      <c r="Q299" s="4"/>
      <c r="R299" s="4"/>
      <c r="S299" s="4"/>
      <c r="T299" s="4"/>
      <c r="U299" s="4"/>
      <c r="V299" s="4"/>
      <c r="W299" s="4"/>
    </row>
    <row r="300" spans="2:23">
      <c r="B300" s="2"/>
      <c r="D300" s="4"/>
      <c r="E300" s="4"/>
      <c r="F300" s="120" t="s">
        <v>964</v>
      </c>
      <c r="G300" s="120"/>
      <c r="H300" s="120"/>
      <c r="I300" s="120"/>
      <c r="J300" s="120"/>
      <c r="K300" s="120"/>
      <c r="L300" s="120"/>
      <c r="M300" s="4"/>
      <c r="N300" s="4"/>
      <c r="O300" s="4"/>
      <c r="P300" s="4"/>
      <c r="Q300" s="4"/>
      <c r="R300" s="4"/>
      <c r="S300" s="4"/>
      <c r="T300" s="4"/>
      <c r="U300" s="4"/>
      <c r="V300" s="4"/>
      <c r="W300" s="4"/>
    </row>
    <row r="301" spans="2:23">
      <c r="B301" s="2"/>
      <c r="D301" s="4"/>
      <c r="E301" s="4"/>
      <c r="F301" s="120" t="s">
        <v>965</v>
      </c>
      <c r="G301" s="120"/>
      <c r="H301" s="120"/>
      <c r="I301" s="120"/>
      <c r="J301" s="120"/>
      <c r="K301" s="120"/>
      <c r="L301" s="120"/>
      <c r="M301" s="4"/>
      <c r="N301" s="4"/>
      <c r="O301" s="4"/>
      <c r="P301" s="4"/>
      <c r="Q301" s="4"/>
      <c r="R301" s="4"/>
      <c r="S301" s="4"/>
      <c r="T301" s="4"/>
      <c r="U301" s="4"/>
      <c r="V301" s="4"/>
      <c r="W301" s="4"/>
    </row>
    <row r="302" spans="2:23">
      <c r="B302" s="2"/>
      <c r="D302" s="4"/>
      <c r="E302" s="4"/>
      <c r="F302" s="120"/>
      <c r="G302" s="120"/>
      <c r="H302" s="120"/>
      <c r="I302" s="120"/>
      <c r="J302" s="120"/>
      <c r="K302" s="120"/>
      <c r="L302" s="120"/>
      <c r="M302" s="4"/>
      <c r="N302" s="4"/>
      <c r="O302" s="4"/>
      <c r="P302" s="4"/>
      <c r="Q302" s="4"/>
      <c r="R302" s="4"/>
      <c r="S302" s="4"/>
      <c r="T302" s="4"/>
      <c r="U302" s="4"/>
      <c r="V302" s="4"/>
      <c r="W302" s="4"/>
    </row>
    <row r="303" spans="2:23">
      <c r="B303" s="2"/>
      <c r="D303" s="2" t="s">
        <v>555</v>
      </c>
      <c r="E303" s="2" t="s">
        <v>288</v>
      </c>
      <c r="G303" s="4"/>
      <c r="H303" s="4"/>
      <c r="I303" s="4"/>
      <c r="J303" s="4"/>
      <c r="K303" s="4"/>
      <c r="L303" s="4"/>
      <c r="M303" s="4"/>
      <c r="N303" s="4"/>
      <c r="O303" s="4"/>
      <c r="P303" s="4"/>
      <c r="Q303" s="4"/>
      <c r="R303" s="4"/>
      <c r="S303" s="4"/>
      <c r="T303" s="4"/>
      <c r="U303" s="4"/>
      <c r="V303" s="4"/>
      <c r="W303" s="4"/>
    </row>
    <row r="304" spans="2:23">
      <c r="B304" s="2"/>
      <c r="D304" s="2"/>
      <c r="E304" s="4" t="s">
        <v>948</v>
      </c>
      <c r="F304" s="4"/>
      <c r="K304" s="4"/>
      <c r="L304" s="4"/>
      <c r="M304" s="4"/>
      <c r="N304" s="4"/>
      <c r="O304" s="4"/>
      <c r="P304" s="4"/>
      <c r="Q304" s="4"/>
      <c r="R304" s="4"/>
      <c r="S304" s="4"/>
      <c r="T304" s="4"/>
      <c r="U304" s="4"/>
      <c r="V304" s="4"/>
      <c r="W304" s="4"/>
    </row>
    <row r="305" spans="2:23">
      <c r="B305" s="2"/>
      <c r="D305" s="2"/>
      <c r="E305" s="4" t="s">
        <v>946</v>
      </c>
      <c r="F305" s="4"/>
      <c r="I305" s="4"/>
      <c r="J305" s="4"/>
      <c r="K305" s="4"/>
      <c r="L305" s="4"/>
      <c r="M305" s="4"/>
      <c r="N305" s="4"/>
      <c r="O305" s="4"/>
      <c r="P305" s="4"/>
      <c r="Q305" s="4"/>
      <c r="R305" s="4"/>
      <c r="S305" s="4"/>
      <c r="T305" s="4"/>
      <c r="U305" s="4"/>
      <c r="V305" s="4"/>
      <c r="W305" s="4"/>
    </row>
    <row r="306" spans="2:23">
      <c r="B306" s="2"/>
      <c r="D306" s="4"/>
      <c r="E306" s="4"/>
      <c r="F306" s="120"/>
      <c r="G306" s="120"/>
      <c r="H306" s="120"/>
      <c r="I306" s="120"/>
      <c r="J306" s="120"/>
      <c r="K306" s="120"/>
      <c r="L306" s="120"/>
      <c r="M306" s="4"/>
      <c r="N306" s="4"/>
      <c r="O306" s="4"/>
      <c r="P306" s="4"/>
      <c r="Q306" s="4"/>
      <c r="R306" s="4"/>
      <c r="S306" s="4"/>
      <c r="T306" s="4"/>
      <c r="U306" s="4"/>
      <c r="V306" s="4"/>
      <c r="W306" s="4"/>
    </row>
    <row r="307" spans="2:23">
      <c r="B307" s="2"/>
      <c r="C307" s="2" t="s">
        <v>7</v>
      </c>
      <c r="D307" s="2"/>
      <c r="F307" s="2"/>
      <c r="G307" s="2" t="s">
        <v>614</v>
      </c>
      <c r="I307" s="4"/>
      <c r="J307" s="4"/>
      <c r="K307" s="4"/>
      <c r="L307" s="4"/>
      <c r="M307" s="4"/>
      <c r="N307" s="4"/>
      <c r="O307" s="4"/>
      <c r="P307" s="4"/>
    </row>
    <row r="308" spans="2:23">
      <c r="B308" s="2"/>
      <c r="D308" s="2" t="s">
        <v>206</v>
      </c>
      <c r="E308" s="2" t="s">
        <v>263</v>
      </c>
      <c r="G308" s="2"/>
      <c r="H308" s="2"/>
      <c r="I308" s="2"/>
      <c r="J308" s="2"/>
      <c r="K308" s="2"/>
      <c r="L308" s="2"/>
      <c r="M308" s="2"/>
      <c r="N308" s="2"/>
      <c r="O308" s="2"/>
      <c r="P308" s="2"/>
      <c r="Q308" s="2"/>
      <c r="R308" s="2"/>
    </row>
    <row r="309" spans="2:23">
      <c r="B309" s="2"/>
      <c r="D309" s="2"/>
      <c r="E309" t="s">
        <v>264</v>
      </c>
      <c r="G309" s="4"/>
      <c r="I309" s="4"/>
      <c r="K309" s="4"/>
    </row>
    <row r="310" spans="2:23">
      <c r="B310" s="2"/>
      <c r="D310" s="2"/>
      <c r="E310" s="4" t="s">
        <v>799</v>
      </c>
      <c r="F310" s="4"/>
      <c r="G310" s="4"/>
      <c r="I310" s="4"/>
      <c r="K310" s="4"/>
    </row>
    <row r="311" spans="2:23">
      <c r="B311" s="2"/>
      <c r="D311" s="2"/>
      <c r="E311" s="4" t="s">
        <v>949</v>
      </c>
      <c r="F311" s="4"/>
      <c r="G311" s="4"/>
      <c r="I311" s="4"/>
      <c r="K311" s="4"/>
    </row>
    <row r="312" spans="2:23">
      <c r="B312" s="2"/>
      <c r="D312" s="2"/>
      <c r="E312" s="4" t="s">
        <v>800</v>
      </c>
      <c r="F312" s="4"/>
      <c r="G312" s="4"/>
      <c r="I312" s="4"/>
      <c r="K312" s="4"/>
    </row>
    <row r="313" spans="2:23">
      <c r="B313" s="2"/>
      <c r="D313" s="2"/>
      <c r="G313" s="4"/>
      <c r="I313" s="4"/>
      <c r="K313" s="4"/>
    </row>
    <row r="314" spans="2:23">
      <c r="B314" s="2"/>
      <c r="D314" s="2" t="s">
        <v>340</v>
      </c>
      <c r="E314" s="2" t="s">
        <v>751</v>
      </c>
      <c r="G314" s="4"/>
      <c r="H314" s="4"/>
      <c r="I314" s="4"/>
      <c r="J314" s="4"/>
      <c r="K314" s="4"/>
      <c r="P314" s="4"/>
      <c r="Q314" s="4"/>
      <c r="R314" s="4"/>
      <c r="S314" s="4"/>
    </row>
    <row r="315" spans="2:23">
      <c r="B315" s="2"/>
      <c r="D315" s="2"/>
      <c r="E315" t="s">
        <v>265</v>
      </c>
      <c r="G315" s="4"/>
      <c r="I315" s="4"/>
      <c r="J315" s="4"/>
      <c r="K315" s="4"/>
      <c r="L315" s="4"/>
      <c r="M315" s="4"/>
      <c r="N315" s="4"/>
      <c r="O315" s="4"/>
      <c r="P315" s="4"/>
      <c r="Q315" s="4"/>
      <c r="R315" s="4"/>
      <c r="S315" s="4"/>
    </row>
    <row r="316" spans="2:23">
      <c r="B316" s="2"/>
      <c r="D316" s="2"/>
      <c r="G316" s="4"/>
      <c r="I316" s="4"/>
      <c r="J316" s="4"/>
      <c r="K316" s="4"/>
      <c r="L316" s="4"/>
      <c r="M316" s="4"/>
      <c r="N316" s="4"/>
      <c r="O316" s="4"/>
      <c r="P316" s="4"/>
      <c r="Q316" s="4"/>
      <c r="R316" s="4"/>
      <c r="S316" s="4"/>
    </row>
    <row r="317" spans="2:23">
      <c r="B317" s="2"/>
      <c r="D317" s="170" t="s">
        <v>574</v>
      </c>
      <c r="E317" s="170" t="s">
        <v>735</v>
      </c>
      <c r="F317" s="3"/>
      <c r="G317" s="4"/>
      <c r="H317" s="4"/>
      <c r="I317" s="4"/>
      <c r="J317" s="4"/>
      <c r="K317" s="4"/>
      <c r="L317" s="4"/>
      <c r="M317" s="4"/>
      <c r="N317" s="4"/>
      <c r="O317" s="4"/>
      <c r="P317" s="4"/>
      <c r="Q317" s="4"/>
      <c r="R317" s="4"/>
      <c r="S317" s="4"/>
    </row>
    <row r="318" spans="2:23">
      <c r="B318" s="2"/>
      <c r="E318" t="s">
        <v>732</v>
      </c>
      <c r="I318" s="4"/>
      <c r="J318" s="4"/>
      <c r="K318" s="4"/>
      <c r="L318" s="4"/>
      <c r="M318" s="4"/>
      <c r="N318" s="4"/>
      <c r="O318" s="4"/>
      <c r="P318" s="4"/>
      <c r="Q318" s="4"/>
      <c r="R318" s="4"/>
      <c r="S318" s="4"/>
    </row>
    <row r="319" spans="2:23">
      <c r="B319" s="2"/>
      <c r="E319" t="s">
        <v>733</v>
      </c>
      <c r="I319" s="4"/>
      <c r="J319" s="4"/>
      <c r="K319" s="4"/>
      <c r="L319" s="4"/>
      <c r="M319" s="4"/>
      <c r="N319" s="4"/>
      <c r="O319" s="4"/>
      <c r="P319" s="4"/>
      <c r="Q319" s="4"/>
      <c r="R319" s="4"/>
      <c r="S319" s="4"/>
    </row>
    <row r="320" spans="2:23">
      <c r="B320" s="2"/>
      <c r="E320" t="s">
        <v>734</v>
      </c>
      <c r="I320" s="4"/>
      <c r="J320" s="4"/>
      <c r="K320" s="4"/>
      <c r="L320" s="4"/>
      <c r="M320" s="4"/>
      <c r="N320" s="4"/>
      <c r="O320" s="4"/>
      <c r="P320" s="4"/>
      <c r="Q320" s="4"/>
      <c r="R320" s="4"/>
      <c r="S320" s="4"/>
    </row>
    <row r="321" spans="1:38">
      <c r="B321" s="2"/>
      <c r="I321" s="4"/>
      <c r="J321" s="4"/>
      <c r="K321" s="4"/>
      <c r="L321" s="4"/>
      <c r="M321" s="4"/>
      <c r="N321" s="4"/>
      <c r="O321" s="4"/>
      <c r="P321" s="4"/>
      <c r="Q321" s="4"/>
      <c r="R321" s="4"/>
      <c r="S321" s="4"/>
    </row>
    <row r="322" spans="1:38">
      <c r="B322" s="2"/>
      <c r="C322" s="2" t="s">
        <v>8</v>
      </c>
      <c r="G322" s="2" t="s">
        <v>615</v>
      </c>
      <c r="I322" s="4"/>
      <c r="J322" s="4"/>
      <c r="K322" s="4"/>
      <c r="L322" s="4"/>
      <c r="M322" s="4"/>
      <c r="N322" s="4"/>
      <c r="O322" s="4"/>
      <c r="P322" s="4"/>
      <c r="Q322" s="4"/>
      <c r="R322" s="4"/>
      <c r="S322" s="4"/>
    </row>
    <row r="323" spans="1:38">
      <c r="A323" t="s">
        <v>249</v>
      </c>
      <c r="D323" s="2" t="s">
        <v>206</v>
      </c>
      <c r="E323" s="2" t="s">
        <v>615</v>
      </c>
      <c r="J323" s="2"/>
      <c r="K323" s="2"/>
      <c r="L323" s="2"/>
      <c r="M323" s="4"/>
      <c r="N323" s="4"/>
      <c r="O323" s="4"/>
      <c r="P323" s="4"/>
      <c r="Q323" s="4"/>
      <c r="R323" s="4"/>
      <c r="S323" s="4"/>
    </row>
    <row r="324" spans="1:38">
      <c r="E324" t="s">
        <v>112</v>
      </c>
      <c r="F324" s="4" t="s">
        <v>950</v>
      </c>
      <c r="J324" s="4"/>
      <c r="K324" s="4"/>
      <c r="L324" s="4"/>
      <c r="M324" s="4"/>
      <c r="N324" s="4"/>
      <c r="O324" s="4"/>
      <c r="P324" s="4"/>
      <c r="Q324" s="4"/>
      <c r="R324" s="4"/>
      <c r="S324" s="4"/>
    </row>
    <row r="325" spans="1:38">
      <c r="E325" s="4" t="s">
        <v>113</v>
      </c>
      <c r="F325" t="s">
        <v>736</v>
      </c>
      <c r="J325" s="4"/>
      <c r="K325" s="4"/>
      <c r="L325" s="4"/>
      <c r="M325" s="4"/>
      <c r="N325" s="4"/>
      <c r="O325" s="4"/>
      <c r="P325" s="4"/>
      <c r="Q325" s="4"/>
      <c r="R325" s="4"/>
      <c r="S325" s="4"/>
    </row>
    <row r="326" spans="1:38">
      <c r="F326" s="120" t="s">
        <v>1151</v>
      </c>
      <c r="I326" s="120"/>
      <c r="J326" s="4"/>
      <c r="K326" s="4"/>
      <c r="L326" s="4"/>
      <c r="M326" s="4"/>
      <c r="N326" s="4"/>
      <c r="O326" s="4"/>
      <c r="P326" s="4"/>
      <c r="Q326" s="4"/>
      <c r="R326" s="4"/>
      <c r="S326" s="4"/>
    </row>
    <row r="327" spans="1:38">
      <c r="F327" s="120" t="s">
        <v>1152</v>
      </c>
      <c r="I327" s="120"/>
      <c r="J327" s="4"/>
      <c r="K327" s="4"/>
      <c r="L327" s="4"/>
      <c r="M327" s="4"/>
      <c r="N327" s="4"/>
      <c r="O327" s="4"/>
      <c r="P327" s="4"/>
      <c r="Q327" s="4"/>
      <c r="R327" s="4"/>
      <c r="S327" s="4"/>
    </row>
    <row r="328" spans="1:38">
      <c r="J328" s="4"/>
      <c r="K328" s="4"/>
      <c r="L328" s="4"/>
      <c r="M328" s="4"/>
      <c r="N328" s="4"/>
      <c r="O328" s="4"/>
      <c r="P328" s="4"/>
      <c r="Q328" s="4"/>
      <c r="R328" s="4"/>
      <c r="S328" s="4"/>
    </row>
    <row r="329" spans="1:38">
      <c r="A329" s="5"/>
      <c r="B329" s="11" t="s">
        <v>515</v>
      </c>
      <c r="C329" s="11" t="s">
        <v>22</v>
      </c>
      <c r="D329" s="5"/>
      <c r="E329" s="11"/>
      <c r="F329" s="11"/>
      <c r="G329" s="11"/>
      <c r="H329" s="11"/>
      <c r="I329" s="11"/>
      <c r="J329" s="128"/>
      <c r="K329" s="128"/>
      <c r="L329" s="128"/>
      <c r="M329" s="128"/>
      <c r="N329" s="128"/>
      <c r="O329" s="128"/>
      <c r="P329" s="128"/>
      <c r="Q329" s="128"/>
      <c r="R329" s="128"/>
      <c r="S329" s="128"/>
      <c r="T329" s="5"/>
      <c r="U329" s="5"/>
      <c r="V329" s="5"/>
      <c r="W329" s="5"/>
      <c r="X329" s="5"/>
      <c r="Y329" s="5"/>
      <c r="Z329" s="5"/>
      <c r="AA329" s="5"/>
      <c r="AB329" s="5"/>
      <c r="AC329" s="5"/>
      <c r="AD329" s="5"/>
      <c r="AE329" s="5"/>
      <c r="AF329" s="5"/>
      <c r="AG329" s="5"/>
      <c r="AH329" s="5"/>
      <c r="AI329" s="5"/>
      <c r="AJ329" s="5"/>
      <c r="AK329" s="5"/>
      <c r="AL329" s="5"/>
    </row>
    <row r="330" spans="1:38">
      <c r="B330" s="2"/>
      <c r="D330" s="2"/>
      <c r="E330" s="2"/>
      <c r="F330" s="2"/>
      <c r="G330" s="2"/>
      <c r="H330" s="2"/>
      <c r="I330" s="2"/>
      <c r="J330" s="4"/>
      <c r="K330" s="4"/>
      <c r="L330" s="4"/>
      <c r="M330" s="4"/>
      <c r="N330" s="4"/>
      <c r="O330" s="4"/>
      <c r="P330" s="4"/>
      <c r="Q330" s="4"/>
      <c r="R330" s="4"/>
      <c r="S330" s="4"/>
    </row>
    <row r="331" spans="1:38">
      <c r="B331" s="2"/>
      <c r="C331" s="2" t="s">
        <v>429</v>
      </c>
      <c r="G331" s="2" t="s">
        <v>22</v>
      </c>
      <c r="I331" s="2"/>
      <c r="J331" s="4"/>
      <c r="K331" s="4"/>
      <c r="L331" s="4"/>
      <c r="M331" s="4"/>
      <c r="N331" s="4"/>
      <c r="O331" s="4"/>
      <c r="P331" s="4"/>
      <c r="Q331" s="4"/>
      <c r="R331" s="4"/>
      <c r="S331" s="4"/>
    </row>
    <row r="332" spans="1:38">
      <c r="B332" s="2"/>
      <c r="C332" s="2"/>
      <c r="D332" s="2" t="s">
        <v>206</v>
      </c>
      <c r="E332" s="2" t="s">
        <v>22</v>
      </c>
      <c r="G332" s="2"/>
      <c r="I332" s="2"/>
      <c r="J332" s="4"/>
      <c r="K332" s="4"/>
      <c r="L332" s="4"/>
      <c r="M332" s="4"/>
      <c r="N332" s="4"/>
      <c r="O332" s="4"/>
      <c r="P332" s="4"/>
      <c r="Q332" s="4"/>
      <c r="R332" s="4"/>
      <c r="S332" s="4"/>
    </row>
    <row r="333" spans="1:38">
      <c r="B333" s="2"/>
      <c r="E333" t="s">
        <v>112</v>
      </c>
      <c r="F333" t="s">
        <v>739</v>
      </c>
      <c r="J333" s="4"/>
      <c r="K333" s="4"/>
      <c r="L333" s="4"/>
      <c r="M333" s="4"/>
      <c r="N333" s="4"/>
      <c r="O333" s="4"/>
      <c r="P333" s="4"/>
      <c r="Q333" s="4"/>
      <c r="R333" s="4"/>
      <c r="S333" s="4"/>
    </row>
    <row r="334" spans="1:38">
      <c r="B334" s="2"/>
      <c r="E334" s="4"/>
      <c r="F334" s="4" t="s">
        <v>740</v>
      </c>
      <c r="J334" s="4"/>
      <c r="K334" s="4"/>
      <c r="L334" s="4"/>
      <c r="M334" s="4"/>
      <c r="N334" s="4"/>
      <c r="O334" s="4"/>
      <c r="P334" s="4"/>
      <c r="Q334" s="4"/>
      <c r="R334" s="4"/>
      <c r="S334" s="4"/>
    </row>
    <row r="335" spans="1:38">
      <c r="B335" s="2"/>
      <c r="E335" s="4"/>
      <c r="F335" s="4" t="s">
        <v>741</v>
      </c>
      <c r="I335" s="4"/>
      <c r="J335" s="4"/>
      <c r="K335" s="4"/>
      <c r="L335" s="4"/>
      <c r="M335" s="4"/>
      <c r="N335" s="4"/>
      <c r="O335" s="4"/>
      <c r="P335" s="4"/>
      <c r="Q335" s="4"/>
      <c r="R335" s="4"/>
      <c r="S335" s="4"/>
    </row>
    <row r="336" spans="1:38">
      <c r="B336" s="2"/>
      <c r="E336" s="4" t="s">
        <v>113</v>
      </c>
      <c r="F336" s="1262" t="s">
        <v>1155</v>
      </c>
      <c r="G336" s="1262"/>
      <c r="H336" s="1262"/>
      <c r="I336" s="1262"/>
      <c r="J336" s="1262"/>
      <c r="K336" s="1262"/>
      <c r="L336" s="1262"/>
      <c r="M336" s="1262"/>
      <c r="N336" s="1262"/>
      <c r="O336" s="1262"/>
      <c r="P336" s="1262"/>
      <c r="Q336" s="1262"/>
      <c r="R336" s="1262"/>
      <c r="S336" s="1262"/>
      <c r="T336" s="1262"/>
      <c r="U336" s="1262"/>
      <c r="V336" s="1262"/>
      <c r="W336" s="1262"/>
      <c r="X336" s="1262"/>
      <c r="Y336" s="1262"/>
      <c r="Z336" s="1262"/>
      <c r="AA336" s="1262"/>
      <c r="AB336" s="1262"/>
      <c r="AC336" s="1262"/>
      <c r="AD336" s="1262"/>
      <c r="AE336" s="1262"/>
      <c r="AF336" s="1262"/>
      <c r="AG336" s="1262"/>
      <c r="AH336" s="1262"/>
      <c r="AI336" s="1262"/>
      <c r="AJ336" s="1262"/>
      <c r="AK336" s="1262"/>
    </row>
    <row r="337" spans="2:37">
      <c r="B337" s="2"/>
      <c r="E337" s="4"/>
      <c r="F337" s="1262"/>
      <c r="G337" s="1262"/>
      <c r="H337" s="1262"/>
      <c r="I337" s="1262"/>
      <c r="J337" s="1262"/>
      <c r="K337" s="1262"/>
      <c r="L337" s="1262"/>
      <c r="M337" s="1262"/>
      <c r="N337" s="1262"/>
      <c r="O337" s="1262"/>
      <c r="P337" s="1262"/>
      <c r="Q337" s="1262"/>
      <c r="R337" s="1262"/>
      <c r="S337" s="1262"/>
      <c r="T337" s="1262"/>
      <c r="U337" s="1262"/>
      <c r="V337" s="1262"/>
      <c r="W337" s="1262"/>
      <c r="X337" s="1262"/>
      <c r="Y337" s="1262"/>
      <c r="Z337" s="1262"/>
      <c r="AA337" s="1262"/>
      <c r="AB337" s="1262"/>
      <c r="AC337" s="1262"/>
      <c r="AD337" s="1262"/>
      <c r="AE337" s="1262"/>
      <c r="AF337" s="1262"/>
      <c r="AG337" s="1262"/>
      <c r="AH337" s="1262"/>
      <c r="AI337" s="1262"/>
      <c r="AJ337" s="1262"/>
      <c r="AK337" s="1262"/>
    </row>
    <row r="338" spans="2:37">
      <c r="B338" s="2"/>
      <c r="E338" s="4"/>
      <c r="F338" s="1262"/>
      <c r="G338" s="1262"/>
      <c r="H338" s="1262"/>
      <c r="I338" s="1262"/>
      <c r="J338" s="1262"/>
      <c r="K338" s="1262"/>
      <c r="L338" s="1262"/>
      <c r="M338" s="1262"/>
      <c r="N338" s="1262"/>
      <c r="O338" s="1262"/>
      <c r="P338" s="1262"/>
      <c r="Q338" s="1262"/>
      <c r="R338" s="1262"/>
      <c r="S338" s="1262"/>
      <c r="T338" s="1262"/>
      <c r="U338" s="1262"/>
      <c r="V338" s="1262"/>
      <c r="W338" s="1262"/>
      <c r="X338" s="1262"/>
      <c r="Y338" s="1262"/>
      <c r="Z338" s="1262"/>
      <c r="AA338" s="1262"/>
      <c r="AB338" s="1262"/>
      <c r="AC338" s="1262"/>
      <c r="AD338" s="1262"/>
      <c r="AE338" s="1262"/>
      <c r="AF338" s="1262"/>
      <c r="AG338" s="1262"/>
      <c r="AH338" s="1262"/>
      <c r="AI338" s="1262"/>
      <c r="AJ338" s="1262"/>
      <c r="AK338" s="1262"/>
    </row>
    <row r="339" spans="2:37">
      <c r="B339" s="2"/>
      <c r="F339" s="4"/>
      <c r="H339" s="4"/>
      <c r="I339" s="4"/>
      <c r="J339" s="4"/>
      <c r="K339" s="4"/>
      <c r="L339" s="4"/>
      <c r="M339" s="4"/>
      <c r="N339" s="4"/>
      <c r="O339" s="4"/>
      <c r="P339" s="4"/>
      <c r="Q339" s="4"/>
      <c r="R339" s="4"/>
      <c r="S339" s="4"/>
    </row>
    <row r="340" spans="2:37">
      <c r="B340" s="2"/>
      <c r="C340" s="2" t="s">
        <v>430</v>
      </c>
      <c r="G340" s="2" t="s">
        <v>1228</v>
      </c>
      <c r="I340" s="2"/>
      <c r="J340" s="4"/>
      <c r="K340" s="4"/>
      <c r="L340" s="4"/>
      <c r="M340" s="4"/>
      <c r="N340" s="4"/>
      <c r="O340" s="4"/>
      <c r="P340" s="4"/>
      <c r="Q340" s="4"/>
      <c r="R340" s="4"/>
      <c r="S340" s="4"/>
    </row>
    <row r="341" spans="2:37" ht="13.15" customHeight="1">
      <c r="B341" s="2"/>
      <c r="E341" s="1265" t="s">
        <v>1235</v>
      </c>
      <c r="F341" s="1265"/>
      <c r="G341" s="1265"/>
      <c r="H341" s="1265"/>
      <c r="I341" s="1265"/>
      <c r="J341" s="1265"/>
      <c r="K341" s="1265"/>
      <c r="L341" s="1265"/>
      <c r="M341" s="1265"/>
      <c r="N341" s="1265"/>
      <c r="O341" s="1265"/>
      <c r="P341" s="1265"/>
      <c r="Q341" s="1265"/>
      <c r="R341" s="1265"/>
      <c r="S341" s="1265"/>
      <c r="T341" s="1265"/>
      <c r="U341" s="1265"/>
      <c r="V341" s="1265"/>
      <c r="W341" s="1265"/>
      <c r="X341" s="1265"/>
      <c r="Y341" s="1265"/>
      <c r="Z341" s="1265"/>
      <c r="AA341" s="1265"/>
      <c r="AB341" s="1265"/>
      <c r="AC341" s="1265"/>
      <c r="AD341" s="1265"/>
      <c r="AE341" s="1265"/>
      <c r="AF341" s="1265"/>
      <c r="AG341" s="1265"/>
      <c r="AH341" s="1265"/>
      <c r="AI341" s="1265"/>
      <c r="AJ341" s="1265"/>
      <c r="AK341" s="1265"/>
    </row>
    <row r="342" spans="2:37">
      <c r="B342" s="2"/>
      <c r="E342" s="1265"/>
      <c r="F342" s="1265"/>
      <c r="G342" s="1265"/>
      <c r="H342" s="1265"/>
      <c r="I342" s="1265"/>
      <c r="J342" s="1265"/>
      <c r="K342" s="1265"/>
      <c r="L342" s="1265"/>
      <c r="M342" s="1265"/>
      <c r="N342" s="1265"/>
      <c r="O342" s="1265"/>
      <c r="P342" s="1265"/>
      <c r="Q342" s="1265"/>
      <c r="R342" s="1265"/>
      <c r="S342" s="1265"/>
      <c r="T342" s="1265"/>
      <c r="U342" s="1265"/>
      <c r="V342" s="1265"/>
      <c r="W342" s="1265"/>
      <c r="X342" s="1265"/>
      <c r="Y342" s="1265"/>
      <c r="Z342" s="1265"/>
      <c r="AA342" s="1265"/>
      <c r="AB342" s="1265"/>
      <c r="AC342" s="1265"/>
      <c r="AD342" s="1265"/>
      <c r="AE342" s="1265"/>
      <c r="AF342" s="1265"/>
      <c r="AG342" s="1265"/>
      <c r="AH342" s="1265"/>
      <c r="AI342" s="1265"/>
      <c r="AJ342" s="1265"/>
      <c r="AK342" s="1265"/>
    </row>
    <row r="343" spans="2:37">
      <c r="B343" s="2"/>
      <c r="E343" s="1265"/>
      <c r="F343" s="1265"/>
      <c r="G343" s="1265"/>
      <c r="H343" s="1265"/>
      <c r="I343" s="1265"/>
      <c r="J343" s="1265"/>
      <c r="K343" s="1265"/>
      <c r="L343" s="1265"/>
      <c r="M343" s="1265"/>
      <c r="N343" s="1265"/>
      <c r="O343" s="1265"/>
      <c r="P343" s="1265"/>
      <c r="Q343" s="1265"/>
      <c r="R343" s="1265"/>
      <c r="S343" s="1265"/>
      <c r="T343" s="1265"/>
      <c r="U343" s="1265"/>
      <c r="V343" s="1265"/>
      <c r="W343" s="1265"/>
      <c r="X343" s="1265"/>
      <c r="Y343" s="1265"/>
      <c r="Z343" s="1265"/>
      <c r="AA343" s="1265"/>
      <c r="AB343" s="1265"/>
      <c r="AC343" s="1265"/>
      <c r="AD343" s="1265"/>
      <c r="AE343" s="1265"/>
      <c r="AF343" s="1265"/>
      <c r="AG343" s="1265"/>
      <c r="AH343" s="1265"/>
      <c r="AI343" s="1265"/>
      <c r="AJ343" s="1265"/>
      <c r="AK343" s="1265"/>
    </row>
    <row r="344" spans="2:37">
      <c r="B344" s="2"/>
      <c r="E344" s="1265"/>
      <c r="F344" s="1265"/>
      <c r="G344" s="1265"/>
      <c r="H344" s="1265"/>
      <c r="I344" s="1265"/>
      <c r="J344" s="1265"/>
      <c r="K344" s="1265"/>
      <c r="L344" s="1265"/>
      <c r="M344" s="1265"/>
      <c r="N344" s="1265"/>
      <c r="O344" s="1265"/>
      <c r="P344" s="1265"/>
      <c r="Q344" s="1265"/>
      <c r="R344" s="1265"/>
      <c r="S344" s="1265"/>
      <c r="T344" s="1265"/>
      <c r="U344" s="1265"/>
      <c r="V344" s="1265"/>
      <c r="W344" s="1265"/>
      <c r="X344" s="1265"/>
      <c r="Y344" s="1265"/>
      <c r="Z344" s="1265"/>
      <c r="AA344" s="1265"/>
      <c r="AB344" s="1265"/>
      <c r="AC344" s="1265"/>
      <c r="AD344" s="1265"/>
      <c r="AE344" s="1265"/>
      <c r="AF344" s="1265"/>
      <c r="AG344" s="1265"/>
      <c r="AH344" s="1265"/>
      <c r="AI344" s="1265"/>
      <c r="AJ344" s="1265"/>
      <c r="AK344" s="1265"/>
    </row>
    <row r="345" spans="2:37">
      <c r="B345" s="2"/>
      <c r="E345" s="1265"/>
      <c r="F345" s="1265"/>
      <c r="G345" s="1265"/>
      <c r="H345" s="1265"/>
      <c r="I345" s="1265"/>
      <c r="J345" s="1265"/>
      <c r="K345" s="1265"/>
      <c r="L345" s="1265"/>
      <c r="M345" s="1265"/>
      <c r="N345" s="1265"/>
      <c r="O345" s="1265"/>
      <c r="P345" s="1265"/>
      <c r="Q345" s="1265"/>
      <c r="R345" s="1265"/>
      <c r="S345" s="1265"/>
      <c r="T345" s="1265"/>
      <c r="U345" s="1265"/>
      <c r="V345" s="1265"/>
      <c r="W345" s="1265"/>
      <c r="X345" s="1265"/>
      <c r="Y345" s="1265"/>
      <c r="Z345" s="1265"/>
      <c r="AA345" s="1265"/>
      <c r="AB345" s="1265"/>
      <c r="AC345" s="1265"/>
      <c r="AD345" s="1265"/>
      <c r="AE345" s="1265"/>
      <c r="AF345" s="1265"/>
      <c r="AG345" s="1265"/>
      <c r="AH345" s="1265"/>
      <c r="AI345" s="1265"/>
      <c r="AJ345" s="1265"/>
      <c r="AK345" s="1265"/>
    </row>
    <row r="346" spans="2:37">
      <c r="B346" s="2"/>
      <c r="E346" s="3" t="s">
        <v>112</v>
      </c>
      <c r="F346" s="1262" t="s">
        <v>1237</v>
      </c>
      <c r="G346" s="1262"/>
      <c r="H346" s="1262"/>
      <c r="I346" s="1262"/>
      <c r="J346" s="1262"/>
      <c r="K346" s="1262"/>
      <c r="L346" s="1262"/>
      <c r="M346" s="1262"/>
      <c r="N346" s="1262"/>
      <c r="O346" s="1262"/>
      <c r="P346" s="1262"/>
      <c r="Q346" s="1262"/>
      <c r="R346" s="1262"/>
      <c r="S346" s="1262"/>
      <c r="T346" s="1262"/>
      <c r="U346" s="1262"/>
      <c r="V346" s="1262"/>
      <c r="W346" s="1262"/>
      <c r="X346" s="1262"/>
      <c r="Y346" s="1262"/>
      <c r="Z346" s="1262"/>
      <c r="AA346" s="1262"/>
      <c r="AB346" s="1262"/>
      <c r="AC346" s="1262"/>
      <c r="AD346" s="1262"/>
      <c r="AE346" s="1262"/>
      <c r="AF346" s="1262"/>
      <c r="AG346" s="1262"/>
      <c r="AH346" s="1262"/>
      <c r="AI346" s="1262"/>
      <c r="AJ346" s="1262"/>
      <c r="AK346" s="1262"/>
    </row>
    <row r="347" spans="2:37">
      <c r="B347" s="2"/>
      <c r="E347" s="3"/>
      <c r="F347" s="1262"/>
      <c r="G347" s="1262"/>
      <c r="H347" s="1262"/>
      <c r="I347" s="1262"/>
      <c r="J347" s="1262"/>
      <c r="K347" s="1262"/>
      <c r="L347" s="1262"/>
      <c r="M347" s="1262"/>
      <c r="N347" s="1262"/>
      <c r="O347" s="1262"/>
      <c r="P347" s="1262"/>
      <c r="Q347" s="1262"/>
      <c r="R347" s="1262"/>
      <c r="S347" s="1262"/>
      <c r="T347" s="1262"/>
      <c r="U347" s="1262"/>
      <c r="V347" s="1262"/>
      <c r="W347" s="1262"/>
      <c r="X347" s="1262"/>
      <c r="Y347" s="1262"/>
      <c r="Z347" s="1262"/>
      <c r="AA347" s="1262"/>
      <c r="AB347" s="1262"/>
      <c r="AC347" s="1262"/>
      <c r="AD347" s="1262"/>
      <c r="AE347" s="1262"/>
      <c r="AF347" s="1262"/>
      <c r="AG347" s="1262"/>
      <c r="AH347" s="1262"/>
      <c r="AI347" s="1262"/>
      <c r="AJ347" s="1262"/>
      <c r="AK347" s="1262"/>
    </row>
    <row r="348" spans="2:37">
      <c r="B348" s="2"/>
      <c r="E348" s="3"/>
      <c r="F348" s="1262"/>
      <c r="G348" s="1262"/>
      <c r="H348" s="1262"/>
      <c r="I348" s="1262"/>
      <c r="J348" s="1262"/>
      <c r="K348" s="1262"/>
      <c r="L348" s="1262"/>
      <c r="M348" s="1262"/>
      <c r="N348" s="1262"/>
      <c r="O348" s="1262"/>
      <c r="P348" s="1262"/>
      <c r="Q348" s="1262"/>
      <c r="R348" s="1262"/>
      <c r="S348" s="1262"/>
      <c r="T348" s="1262"/>
      <c r="U348" s="1262"/>
      <c r="V348" s="1262"/>
      <c r="W348" s="1262"/>
      <c r="X348" s="1262"/>
      <c r="Y348" s="1262"/>
      <c r="Z348" s="1262"/>
      <c r="AA348" s="1262"/>
      <c r="AB348" s="1262"/>
      <c r="AC348" s="1262"/>
      <c r="AD348" s="1262"/>
      <c r="AE348" s="1262"/>
      <c r="AF348" s="1262"/>
      <c r="AG348" s="1262"/>
      <c r="AH348" s="1262"/>
      <c r="AI348" s="1262"/>
      <c r="AJ348" s="1262"/>
      <c r="AK348" s="1262"/>
    </row>
    <row r="349" spans="2:37">
      <c r="B349" s="2"/>
      <c r="E349" s="3"/>
      <c r="F349" s="1262"/>
      <c r="G349" s="1262"/>
      <c r="H349" s="1262"/>
      <c r="I349" s="1262"/>
      <c r="J349" s="1262"/>
      <c r="K349" s="1262"/>
      <c r="L349" s="1262"/>
      <c r="M349" s="1262"/>
      <c r="N349" s="1262"/>
      <c r="O349" s="1262"/>
      <c r="P349" s="1262"/>
      <c r="Q349" s="1262"/>
      <c r="R349" s="1262"/>
      <c r="S349" s="1262"/>
      <c r="T349" s="1262"/>
      <c r="U349" s="1262"/>
      <c r="V349" s="1262"/>
      <c r="W349" s="1262"/>
      <c r="X349" s="1262"/>
      <c r="Y349" s="1262"/>
      <c r="Z349" s="1262"/>
      <c r="AA349" s="1262"/>
      <c r="AB349" s="1262"/>
      <c r="AC349" s="1262"/>
      <c r="AD349" s="1262"/>
      <c r="AE349" s="1262"/>
      <c r="AF349" s="1262"/>
      <c r="AG349" s="1262"/>
      <c r="AH349" s="1262"/>
      <c r="AI349" s="1262"/>
      <c r="AJ349" s="1262"/>
      <c r="AK349" s="1262"/>
    </row>
    <row r="350" spans="2:37">
      <c r="B350" s="2"/>
      <c r="E350" s="3" t="s">
        <v>113</v>
      </c>
      <c r="F350" s="1262" t="s">
        <v>1236</v>
      </c>
      <c r="G350" s="1262"/>
      <c r="H350" s="1262"/>
      <c r="I350" s="1262"/>
      <c r="J350" s="1262"/>
      <c r="K350" s="1262"/>
      <c r="L350" s="1262"/>
      <c r="M350" s="1262"/>
      <c r="N350" s="1262"/>
      <c r="O350" s="1262"/>
      <c r="P350" s="1262"/>
      <c r="Q350" s="1262"/>
      <c r="R350" s="1262"/>
      <c r="S350" s="1262"/>
      <c r="T350" s="1262"/>
      <c r="U350" s="1262"/>
      <c r="V350" s="1262"/>
      <c r="W350" s="1262"/>
      <c r="X350" s="1262"/>
      <c r="Y350" s="1262"/>
      <c r="Z350" s="1262"/>
      <c r="AA350" s="1262"/>
      <c r="AB350" s="1262"/>
      <c r="AC350" s="1262"/>
      <c r="AD350" s="1262"/>
      <c r="AE350" s="1262"/>
      <c r="AF350" s="1262"/>
      <c r="AG350" s="1262"/>
      <c r="AH350" s="1262"/>
      <c r="AI350" s="1262"/>
      <c r="AJ350" s="1262"/>
      <c r="AK350" s="1262"/>
    </row>
    <row r="351" spans="2:37">
      <c r="B351" s="2"/>
      <c r="F351" s="1262"/>
      <c r="G351" s="1262"/>
      <c r="H351" s="1262"/>
      <c r="I351" s="1262"/>
      <c r="J351" s="1262"/>
      <c r="K351" s="1262"/>
      <c r="L351" s="1262"/>
      <c r="M351" s="1262"/>
      <c r="N351" s="1262"/>
      <c r="O351" s="1262"/>
      <c r="P351" s="1262"/>
      <c r="Q351" s="1262"/>
      <c r="R351" s="1262"/>
      <c r="S351" s="1262"/>
      <c r="T351" s="1262"/>
      <c r="U351" s="1262"/>
      <c r="V351" s="1262"/>
      <c r="W351" s="1262"/>
      <c r="X351" s="1262"/>
      <c r="Y351" s="1262"/>
      <c r="Z351" s="1262"/>
      <c r="AA351" s="1262"/>
      <c r="AB351" s="1262"/>
      <c r="AC351" s="1262"/>
      <c r="AD351" s="1262"/>
      <c r="AE351" s="1262"/>
      <c r="AF351" s="1262"/>
      <c r="AG351" s="1262"/>
      <c r="AH351" s="1262"/>
      <c r="AI351" s="1262"/>
      <c r="AJ351" s="1262"/>
      <c r="AK351" s="1262"/>
    </row>
    <row r="352" spans="2:37">
      <c r="B352" s="2"/>
      <c r="F352" s="1262"/>
      <c r="G352" s="1262"/>
      <c r="H352" s="1262"/>
      <c r="I352" s="1262"/>
      <c r="J352" s="1262"/>
      <c r="K352" s="1262"/>
      <c r="L352" s="1262"/>
      <c r="M352" s="1262"/>
      <c r="N352" s="1262"/>
      <c r="O352" s="1262"/>
      <c r="P352" s="1262"/>
      <c r="Q352" s="1262"/>
      <c r="R352" s="1262"/>
      <c r="S352" s="1262"/>
      <c r="T352" s="1262"/>
      <c r="U352" s="1262"/>
      <c r="V352" s="1262"/>
      <c r="W352" s="1262"/>
      <c r="X352" s="1262"/>
      <c r="Y352" s="1262"/>
      <c r="Z352" s="1262"/>
      <c r="AA352" s="1262"/>
      <c r="AB352" s="1262"/>
      <c r="AC352" s="1262"/>
      <c r="AD352" s="1262"/>
      <c r="AE352" s="1262"/>
      <c r="AF352" s="1262"/>
      <c r="AG352" s="1262"/>
      <c r="AH352" s="1262"/>
      <c r="AI352" s="1262"/>
      <c r="AJ352" s="1262"/>
      <c r="AK352" s="1262"/>
    </row>
    <row r="353" spans="1:38">
      <c r="B353" s="2"/>
      <c r="F353" s="4"/>
      <c r="H353" s="4"/>
      <c r="I353" s="4"/>
      <c r="J353" s="4"/>
      <c r="K353" s="4"/>
      <c r="L353" s="4"/>
      <c r="M353" s="4"/>
      <c r="N353" s="4"/>
      <c r="O353" s="4"/>
      <c r="P353" s="4"/>
      <c r="Q353" s="4"/>
      <c r="R353" s="4"/>
      <c r="S353" s="4"/>
    </row>
    <row r="354" spans="1:38">
      <c r="A354" s="5"/>
      <c r="B354" s="11" t="s">
        <v>752</v>
      </c>
      <c r="C354" s="11" t="s">
        <v>616</v>
      </c>
      <c r="D354" s="5"/>
      <c r="E354" s="11"/>
      <c r="F354" s="5"/>
      <c r="G354" s="5"/>
      <c r="H354" s="5"/>
      <c r="I354" s="5"/>
      <c r="J354" s="5"/>
      <c r="K354" s="5"/>
      <c r="L354" s="5"/>
      <c r="M354" s="128"/>
      <c r="N354" s="128"/>
      <c r="O354" s="128"/>
      <c r="P354" s="128"/>
      <c r="Q354" s="128"/>
      <c r="R354" s="128"/>
      <c r="S354" s="128"/>
      <c r="T354" s="128"/>
      <c r="U354" s="5"/>
      <c r="V354" s="5"/>
      <c r="W354" s="5"/>
      <c r="X354" s="5"/>
      <c r="Y354" s="5"/>
      <c r="Z354" s="5"/>
      <c r="AA354" s="5"/>
      <c r="AB354" s="5"/>
      <c r="AC354" s="5"/>
      <c r="AD354" s="5"/>
      <c r="AE354" s="5"/>
      <c r="AF354" s="5"/>
      <c r="AG354" s="5"/>
      <c r="AH354" s="5"/>
      <c r="AI354" s="5"/>
      <c r="AJ354" s="5"/>
      <c r="AK354" s="5"/>
      <c r="AL354" s="5"/>
    </row>
    <row r="355" spans="1:38">
      <c r="B355" s="2"/>
      <c r="D355" s="512"/>
      <c r="E355" s="2"/>
      <c r="M355" s="4"/>
      <c r="N355" s="4"/>
      <c r="O355" s="4"/>
      <c r="P355" s="4"/>
      <c r="Q355" s="4"/>
      <c r="R355" s="4"/>
      <c r="S355" s="4"/>
      <c r="T355" s="4"/>
    </row>
    <row r="356" spans="1:38" ht="13.15" customHeight="1">
      <c r="B356" s="2"/>
      <c r="C356" s="11" t="s">
        <v>1218</v>
      </c>
      <c r="D356" s="5"/>
      <c r="E356" s="5"/>
      <c r="F356" s="5"/>
      <c r="G356" s="5"/>
      <c r="H356" s="5"/>
      <c r="I356" s="452"/>
      <c r="J356" s="452"/>
      <c r="K356" s="452"/>
      <c r="L356" s="452"/>
      <c r="M356" s="452"/>
      <c r="N356" s="452"/>
      <c r="O356" s="452"/>
      <c r="P356" s="452"/>
      <c r="Q356" s="452"/>
      <c r="R356" s="452"/>
      <c r="S356" s="452"/>
      <c r="T356" s="452"/>
      <c r="U356" s="452"/>
      <c r="V356" s="452"/>
      <c r="W356" s="452"/>
      <c r="X356" s="452"/>
      <c r="Y356" s="452"/>
      <c r="Z356" s="452"/>
      <c r="AA356" s="452"/>
      <c r="AB356" s="452"/>
      <c r="AC356" s="452"/>
      <c r="AD356" s="452"/>
      <c r="AE356" s="452"/>
      <c r="AF356" s="452"/>
      <c r="AG356" s="452"/>
      <c r="AH356" s="452"/>
      <c r="AI356" s="452"/>
      <c r="AJ356" s="452"/>
      <c r="AK356" s="452"/>
    </row>
    <row r="357" spans="1:38" ht="13.15" customHeight="1">
      <c r="B357" s="2"/>
      <c r="C357" s="2"/>
      <c r="E357" s="453"/>
      <c r="F357" s="453"/>
      <c r="G357" s="453"/>
      <c r="H357" s="453"/>
      <c r="I357" s="453"/>
      <c r="J357" s="453"/>
      <c r="K357" s="453"/>
      <c r="L357" s="453"/>
      <c r="M357" s="453"/>
      <c r="N357" s="453"/>
      <c r="O357" s="453"/>
      <c r="P357" s="453"/>
      <c r="Q357" s="453"/>
      <c r="R357" s="453"/>
      <c r="S357" s="453"/>
      <c r="T357" s="453"/>
      <c r="U357" s="453"/>
      <c r="V357" s="453"/>
      <c r="W357" s="453"/>
      <c r="X357" s="453"/>
      <c r="Y357" s="453"/>
      <c r="Z357" s="453"/>
      <c r="AA357" s="453"/>
      <c r="AB357" s="453"/>
      <c r="AC357" s="453"/>
      <c r="AD357" s="453"/>
      <c r="AE357" s="453"/>
      <c r="AF357" s="453"/>
      <c r="AG357" s="453"/>
      <c r="AH357" s="453"/>
      <c r="AI357" s="453"/>
      <c r="AJ357" s="453"/>
      <c r="AK357" s="453"/>
    </row>
    <row r="358" spans="1:38">
      <c r="B358" s="2"/>
      <c r="D358" s="2" t="s">
        <v>206</v>
      </c>
      <c r="E358" s="2" t="s">
        <v>122</v>
      </c>
      <c r="I358" s="4"/>
      <c r="J358" s="4"/>
      <c r="K358" s="4"/>
      <c r="L358" s="4"/>
      <c r="M358" s="4"/>
      <c r="N358" s="4"/>
      <c r="O358" s="4"/>
      <c r="P358" s="4"/>
      <c r="Q358" s="4"/>
      <c r="R358" s="4"/>
      <c r="S358" s="4"/>
    </row>
    <row r="359" spans="1:38">
      <c r="B359" s="2"/>
      <c r="E359" t="s">
        <v>112</v>
      </c>
      <c r="F359" s="4" t="s">
        <v>743</v>
      </c>
      <c r="I359" s="4"/>
      <c r="J359" s="4"/>
      <c r="K359" s="4"/>
      <c r="L359" s="4"/>
      <c r="M359" s="4"/>
      <c r="N359" s="4"/>
      <c r="O359" s="4"/>
      <c r="P359" s="4"/>
      <c r="Q359" s="4"/>
      <c r="R359" s="4"/>
      <c r="S359" s="4"/>
    </row>
    <row r="360" spans="1:38">
      <c r="B360" s="2"/>
      <c r="F360" s="4" t="s">
        <v>744</v>
      </c>
      <c r="I360" s="4"/>
      <c r="J360" s="4"/>
      <c r="K360" s="4"/>
      <c r="L360" s="4"/>
      <c r="M360" s="4"/>
      <c r="N360" s="4"/>
      <c r="O360" s="4"/>
      <c r="P360" s="4"/>
      <c r="Q360" s="4"/>
      <c r="R360" s="4"/>
      <c r="S360" s="4"/>
    </row>
    <row r="361" spans="1:38">
      <c r="B361" s="2"/>
      <c r="F361" s="4" t="s">
        <v>872</v>
      </c>
      <c r="G361" s="4"/>
      <c r="K361" s="4"/>
      <c r="L361" s="4"/>
      <c r="M361" s="4"/>
      <c r="N361" s="4"/>
      <c r="O361" s="4"/>
      <c r="P361" s="4"/>
      <c r="Q361" s="4"/>
      <c r="R361" s="4"/>
      <c r="S361" s="4"/>
    </row>
    <row r="362" spans="1:38">
      <c r="B362" s="2"/>
      <c r="E362" t="s">
        <v>113</v>
      </c>
      <c r="F362" s="4" t="s">
        <v>871</v>
      </c>
      <c r="I362" s="4"/>
      <c r="J362" s="4"/>
      <c r="K362" s="4"/>
      <c r="L362" s="4"/>
      <c r="M362" s="4"/>
      <c r="N362" s="4"/>
      <c r="O362" s="4"/>
      <c r="P362" s="4"/>
      <c r="Q362" s="4"/>
      <c r="R362" s="4"/>
      <c r="S362" s="4"/>
    </row>
    <row r="363" spans="1:38">
      <c r="B363" s="2"/>
      <c r="E363" t="s">
        <v>119</v>
      </c>
      <c r="F363" s="4" t="s">
        <v>745</v>
      </c>
      <c r="I363" s="4"/>
      <c r="J363" s="4"/>
      <c r="K363" s="4"/>
      <c r="L363" s="4"/>
      <c r="M363" s="4"/>
      <c r="N363" s="4"/>
      <c r="O363" s="4"/>
      <c r="P363" s="4"/>
      <c r="Q363" s="4"/>
      <c r="R363" s="4"/>
      <c r="S363" s="4"/>
    </row>
    <row r="364" spans="1:38">
      <c r="B364" s="2"/>
      <c r="F364" s="4" t="s">
        <v>746</v>
      </c>
      <c r="J364" s="4"/>
      <c r="K364" s="4"/>
      <c r="L364" s="4"/>
      <c r="M364" s="4"/>
      <c r="N364" s="4"/>
      <c r="O364" s="4"/>
      <c r="P364" s="4"/>
      <c r="Q364" s="4"/>
      <c r="R364" s="4"/>
      <c r="S364" s="4"/>
    </row>
    <row r="365" spans="1:38">
      <c r="B365" s="2"/>
      <c r="E365" s="1266" t="s">
        <v>1226</v>
      </c>
      <c r="F365" s="1266"/>
      <c r="G365" s="1266"/>
      <c r="H365" s="1266"/>
      <c r="I365" s="1266"/>
      <c r="J365" s="1266"/>
      <c r="K365" s="1266"/>
      <c r="L365" s="1266"/>
      <c r="M365" s="1266"/>
      <c r="N365" s="1266"/>
      <c r="O365" s="1266"/>
      <c r="P365" s="1266"/>
      <c r="Q365" s="1266"/>
      <c r="R365" s="1266"/>
      <c r="S365" s="1266"/>
      <c r="T365" s="1266"/>
      <c r="U365" s="1266"/>
      <c r="V365" s="1266"/>
      <c r="W365" s="1266"/>
      <c r="X365" s="1266"/>
      <c r="Y365" s="1266"/>
      <c r="Z365" s="1266"/>
      <c r="AA365" s="1266"/>
      <c r="AB365" s="1266"/>
      <c r="AC365" s="1266"/>
      <c r="AD365" s="1266"/>
      <c r="AE365" s="1266"/>
      <c r="AF365" s="1266"/>
      <c r="AG365" s="1266"/>
      <c r="AH365" s="1266"/>
      <c r="AI365" s="1266"/>
      <c r="AJ365" s="1266"/>
      <c r="AK365" s="1266"/>
      <c r="AL365" s="1266"/>
    </row>
    <row r="366" spans="1:38">
      <c r="B366" s="2"/>
      <c r="E366" s="1266"/>
      <c r="F366" s="1266"/>
      <c r="G366" s="1266"/>
      <c r="H366" s="1266"/>
      <c r="I366" s="1266"/>
      <c r="J366" s="1266"/>
      <c r="K366" s="1266"/>
      <c r="L366" s="1266"/>
      <c r="M366" s="1266"/>
      <c r="N366" s="1266"/>
      <c r="O366" s="1266"/>
      <c r="P366" s="1266"/>
      <c r="Q366" s="1266"/>
      <c r="R366" s="1266"/>
      <c r="S366" s="1266"/>
      <c r="T366" s="1266"/>
      <c r="U366" s="1266"/>
      <c r="V366" s="1266"/>
      <c r="W366" s="1266"/>
      <c r="X366" s="1266"/>
      <c r="Y366" s="1266"/>
      <c r="Z366" s="1266"/>
      <c r="AA366" s="1266"/>
      <c r="AB366" s="1266"/>
      <c r="AC366" s="1266"/>
      <c r="AD366" s="1266"/>
      <c r="AE366" s="1266"/>
      <c r="AF366" s="1266"/>
      <c r="AG366" s="1266"/>
      <c r="AH366" s="1266"/>
      <c r="AI366" s="1266"/>
      <c r="AJ366" s="1266"/>
      <c r="AK366" s="1266"/>
      <c r="AL366" s="1266"/>
    </row>
    <row r="367" spans="1:38" s="1268" customFormat="1">
      <c r="A367"/>
      <c r="B367" s="2"/>
      <c r="C367"/>
      <c r="D367"/>
      <c r="E367" s="1267" t="s">
        <v>1258</v>
      </c>
    </row>
    <row r="368" spans="1:38" s="1268" customFormat="1">
      <c r="A368"/>
      <c r="B368" s="2"/>
      <c r="C368" s="2"/>
      <c r="D368"/>
    </row>
    <row r="369" spans="1:38">
      <c r="B369" s="2"/>
      <c r="E369" s="4"/>
      <c r="F369" s="455"/>
      <c r="G369" s="455"/>
      <c r="H369" s="455"/>
      <c r="I369" s="455"/>
      <c r="J369" s="455"/>
      <c r="K369" s="455"/>
      <c r="L369" s="455"/>
      <c r="M369" s="455"/>
      <c r="N369" s="455"/>
      <c r="O369" s="455"/>
      <c r="P369" s="455"/>
      <c r="Q369" s="455"/>
      <c r="R369" s="455"/>
      <c r="S369" s="455"/>
      <c r="T369" s="455"/>
      <c r="U369" s="455"/>
      <c r="V369" s="455"/>
      <c r="W369" s="455"/>
      <c r="X369" s="455"/>
      <c r="Y369" s="455"/>
      <c r="Z369" s="455"/>
      <c r="AA369" s="455"/>
      <c r="AB369" s="455"/>
      <c r="AC369" s="455"/>
      <c r="AD369" s="455"/>
      <c r="AE369" s="455"/>
      <c r="AF369" s="455"/>
      <c r="AG369" s="455"/>
      <c r="AH369" s="455"/>
      <c r="AI369" s="455"/>
      <c r="AJ369" s="455"/>
      <c r="AK369" s="455"/>
    </row>
    <row r="370" spans="1:38">
      <c r="B370" s="2"/>
      <c r="D370" s="2" t="s">
        <v>340</v>
      </c>
      <c r="E370" s="2" t="s">
        <v>568</v>
      </c>
      <c r="J370" s="4"/>
      <c r="K370" s="4"/>
      <c r="L370" s="4"/>
      <c r="M370" s="4"/>
      <c r="N370" s="4"/>
      <c r="O370" s="4"/>
      <c r="P370" s="4"/>
      <c r="Q370" s="4"/>
      <c r="R370" s="4"/>
      <c r="S370" s="4"/>
    </row>
    <row r="371" spans="1:38">
      <c r="B371" s="2"/>
      <c r="E371" s="4" t="s">
        <v>747</v>
      </c>
      <c r="F371" s="4"/>
      <c r="G371" s="4"/>
      <c r="H371" s="4"/>
      <c r="I371" s="4"/>
      <c r="J371" s="4"/>
      <c r="K371" s="4"/>
      <c r="L371" s="4"/>
      <c r="M371" s="4"/>
      <c r="N371" s="4"/>
      <c r="O371" s="4"/>
      <c r="P371" s="4"/>
      <c r="Q371" s="4"/>
      <c r="R371" s="4"/>
      <c r="S371" s="4"/>
    </row>
    <row r="372" spans="1:38">
      <c r="B372" s="2"/>
      <c r="E372" s="4" t="s">
        <v>748</v>
      </c>
      <c r="F372" s="4"/>
      <c r="G372" s="4"/>
      <c r="H372" s="4"/>
      <c r="I372" s="4"/>
      <c r="J372" s="4"/>
      <c r="K372" s="4"/>
      <c r="L372" s="4"/>
      <c r="M372" s="4"/>
      <c r="N372" s="4"/>
      <c r="O372" s="4"/>
      <c r="P372" s="4"/>
      <c r="Q372" s="4"/>
      <c r="R372" s="4"/>
      <c r="S372" s="4"/>
    </row>
    <row r="373" spans="1:38">
      <c r="B373" s="2"/>
      <c r="E373" s="4"/>
      <c r="F373" s="4"/>
      <c r="G373" s="4"/>
      <c r="H373" s="4"/>
      <c r="I373" s="4"/>
      <c r="J373" s="4"/>
      <c r="K373" s="4"/>
      <c r="L373" s="4"/>
      <c r="M373" s="4"/>
      <c r="N373" s="4"/>
      <c r="O373" s="4"/>
      <c r="P373" s="4"/>
      <c r="Q373" s="4"/>
      <c r="R373" s="4"/>
      <c r="S373" s="4"/>
    </row>
    <row r="374" spans="1:38">
      <c r="B374" s="2"/>
      <c r="D374" s="2" t="s">
        <v>574</v>
      </c>
      <c r="E374" s="2" t="s">
        <v>281</v>
      </c>
      <c r="J374" s="4"/>
      <c r="K374" s="4"/>
      <c r="L374" s="4"/>
      <c r="M374" s="4"/>
      <c r="N374" s="4"/>
      <c r="O374" s="4"/>
      <c r="P374" s="4"/>
      <c r="Q374" s="4"/>
      <c r="R374" s="4"/>
      <c r="S374" s="4"/>
    </row>
    <row r="375" spans="1:38">
      <c r="B375" s="2"/>
      <c r="E375" s="4" t="s">
        <v>112</v>
      </c>
      <c r="F375" s="4" t="s">
        <v>250</v>
      </c>
      <c r="G375" s="4"/>
      <c r="I375" s="4"/>
      <c r="J375" s="4"/>
      <c r="K375" s="4"/>
      <c r="L375" s="4"/>
      <c r="M375" s="4"/>
      <c r="N375" s="4"/>
      <c r="O375" s="4"/>
      <c r="P375" s="4"/>
      <c r="Q375" s="4"/>
      <c r="R375" s="4"/>
      <c r="S375" s="4"/>
    </row>
    <row r="376" spans="1:38">
      <c r="B376" s="2"/>
      <c r="E376" s="4"/>
      <c r="F376" s="120" t="s">
        <v>1153</v>
      </c>
      <c r="G376" s="4"/>
      <c r="I376" s="120"/>
      <c r="J376" s="4"/>
      <c r="K376" s="4"/>
      <c r="L376" s="4"/>
      <c r="M376" s="4"/>
      <c r="N376" s="4"/>
      <c r="O376" s="4"/>
      <c r="P376" s="4"/>
      <c r="Q376" s="4"/>
      <c r="R376" s="4"/>
      <c r="S376" s="4"/>
    </row>
    <row r="377" spans="1:38">
      <c r="B377" s="2"/>
      <c r="E377" s="4" t="s">
        <v>113</v>
      </c>
      <c r="F377" s="4" t="s">
        <v>251</v>
      </c>
      <c r="G377" s="4"/>
      <c r="I377" s="120"/>
      <c r="J377" s="4"/>
      <c r="K377" s="4"/>
      <c r="L377" s="4"/>
      <c r="M377" s="4"/>
      <c r="N377" s="4"/>
      <c r="O377" s="4"/>
      <c r="P377" s="4"/>
      <c r="Q377" s="4"/>
      <c r="R377" s="4"/>
      <c r="S377" s="4"/>
    </row>
    <row r="378" spans="1:38">
      <c r="B378" s="2"/>
      <c r="E378" s="4"/>
      <c r="F378" s="4"/>
      <c r="G378" s="4"/>
      <c r="I378" s="120"/>
      <c r="J378" s="4"/>
      <c r="K378" s="4"/>
      <c r="L378" s="4"/>
      <c r="M378" s="4"/>
      <c r="N378" s="4"/>
      <c r="O378" s="4"/>
      <c r="P378" s="4"/>
      <c r="Q378" s="4"/>
      <c r="R378" s="4"/>
      <c r="S378" s="4"/>
    </row>
    <row r="379" spans="1:38">
      <c r="B379" s="2"/>
      <c r="D379" s="2" t="s">
        <v>514</v>
      </c>
      <c r="E379" s="2" t="s">
        <v>1259</v>
      </c>
      <c r="J379" s="3"/>
      <c r="K379" s="3"/>
      <c r="L379" s="3"/>
      <c r="M379" s="3"/>
      <c r="N379" s="3"/>
      <c r="O379" s="3"/>
      <c r="P379" s="3"/>
      <c r="Q379" s="3"/>
      <c r="R379" s="3"/>
      <c r="S379" s="3"/>
    </row>
    <row r="380" spans="1:38">
      <c r="B380" s="2"/>
      <c r="D380" s="2"/>
      <c r="E380" s="3" t="s">
        <v>747</v>
      </c>
      <c r="F380" s="3"/>
      <c r="G380" s="3"/>
      <c r="J380" s="3"/>
      <c r="K380" s="3"/>
      <c r="L380" s="3"/>
      <c r="M380" s="3"/>
      <c r="N380" s="3"/>
      <c r="O380" s="3"/>
      <c r="P380" s="3"/>
      <c r="Q380" s="3"/>
      <c r="R380" s="3"/>
      <c r="S380" s="3"/>
    </row>
    <row r="381" spans="1:38">
      <c r="B381" s="2"/>
      <c r="D381" s="2"/>
      <c r="E381" s="3" t="s">
        <v>1156</v>
      </c>
      <c r="F381" s="3"/>
      <c r="G381" s="3"/>
      <c r="J381" s="3"/>
      <c r="K381" s="3"/>
      <c r="L381" s="3"/>
      <c r="M381" s="3"/>
      <c r="N381" s="3"/>
      <c r="O381" s="3"/>
      <c r="P381" s="3"/>
      <c r="Q381" s="3"/>
      <c r="R381" s="3"/>
      <c r="S381" s="3"/>
    </row>
    <row r="382" spans="1:38">
      <c r="B382" s="2"/>
      <c r="D382" s="2"/>
      <c r="E382" s="3"/>
      <c r="F382" s="3"/>
      <c r="G382" s="3"/>
      <c r="J382" s="3"/>
      <c r="K382" s="3"/>
      <c r="L382" s="3"/>
      <c r="M382" s="3"/>
      <c r="N382" s="3"/>
      <c r="O382" s="3"/>
      <c r="P382" s="3"/>
      <c r="Q382" s="3"/>
      <c r="R382" s="3"/>
      <c r="S382" s="3"/>
    </row>
    <row r="383" spans="1:38" s="169" customFormat="1">
      <c r="A383"/>
      <c r="B383" s="2"/>
      <c r="C383"/>
      <c r="D383" s="2" t="s">
        <v>302</v>
      </c>
      <c r="E383" s="2" t="s">
        <v>283</v>
      </c>
      <c r="F383"/>
      <c r="G383"/>
      <c r="H383"/>
      <c r="I383"/>
      <c r="J383" s="3"/>
      <c r="K383" s="3"/>
      <c r="L383" s="3"/>
      <c r="M383" s="3"/>
      <c r="N383" s="3"/>
      <c r="O383" s="3"/>
      <c r="P383" s="3"/>
      <c r="Q383" s="3"/>
      <c r="R383" s="3"/>
      <c r="S383" s="3"/>
      <c r="T383"/>
      <c r="U383"/>
      <c r="V383"/>
      <c r="W383"/>
      <c r="X383"/>
      <c r="Y383"/>
      <c r="Z383"/>
      <c r="AA383"/>
      <c r="AB383"/>
      <c r="AC383"/>
      <c r="AD383"/>
      <c r="AE383"/>
      <c r="AF383"/>
      <c r="AG383"/>
      <c r="AH383"/>
      <c r="AI383"/>
      <c r="AJ383"/>
      <c r="AK383"/>
      <c r="AL383"/>
    </row>
    <row r="384" spans="1:38" s="169" customFormat="1">
      <c r="A384"/>
      <c r="B384" s="2"/>
      <c r="C384"/>
      <c r="D384"/>
      <c r="E384" s="3" t="s">
        <v>112</v>
      </c>
      <c r="F384" s="3" t="s">
        <v>1260</v>
      </c>
      <c r="G384" s="3"/>
      <c r="H384"/>
      <c r="I384" s="3"/>
      <c r="J384" s="3"/>
      <c r="K384" s="3"/>
      <c r="L384" s="3"/>
      <c r="M384" s="3"/>
      <c r="N384" s="3"/>
      <c r="O384" s="3"/>
      <c r="P384" s="3"/>
      <c r="Q384" s="3"/>
      <c r="R384" s="3"/>
      <c r="S384" s="3"/>
      <c r="T384"/>
      <c r="U384"/>
      <c r="V384"/>
      <c r="W384"/>
      <c r="X384"/>
      <c r="Y384"/>
      <c r="Z384"/>
      <c r="AA384"/>
      <c r="AB384"/>
      <c r="AC384"/>
      <c r="AD384"/>
      <c r="AE384"/>
      <c r="AF384"/>
      <c r="AG384"/>
      <c r="AH384"/>
      <c r="AI384"/>
      <c r="AJ384"/>
      <c r="AK384"/>
      <c r="AL384"/>
    </row>
    <row r="385" spans="1:38" s="169" customFormat="1">
      <c r="A385"/>
      <c r="B385" s="2"/>
      <c r="C385"/>
      <c r="D385"/>
      <c r="E385" s="3"/>
      <c r="F385" s="120" t="s">
        <v>1153</v>
      </c>
      <c r="G385" s="3"/>
      <c r="H385"/>
      <c r="I385" s="3"/>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c r="B386" s="2"/>
      <c r="E386" s="3" t="s">
        <v>113</v>
      </c>
      <c r="F386" s="1262" t="s">
        <v>1269</v>
      </c>
      <c r="G386" s="1262"/>
      <c r="H386" s="1262"/>
      <c r="I386" s="1262"/>
      <c r="J386" s="1262"/>
      <c r="K386" s="1262"/>
      <c r="L386" s="1262"/>
      <c r="M386" s="1262"/>
      <c r="N386" s="1262"/>
      <c r="O386" s="1262"/>
      <c r="P386" s="1262"/>
      <c r="Q386" s="1262"/>
      <c r="R386" s="1262"/>
      <c r="S386" s="1262"/>
      <c r="T386" s="1262"/>
      <c r="U386" s="1262"/>
      <c r="V386" s="1262"/>
      <c r="W386" s="1262"/>
      <c r="X386" s="1262"/>
      <c r="Y386" s="1262"/>
      <c r="Z386" s="1262"/>
      <c r="AA386" s="1262"/>
      <c r="AB386" s="1262"/>
      <c r="AC386" s="1262"/>
      <c r="AD386" s="1262"/>
      <c r="AE386" s="1262"/>
      <c r="AF386" s="1262"/>
      <c r="AG386" s="1262"/>
      <c r="AH386" s="1262"/>
      <c r="AI386" s="1262"/>
      <c r="AJ386" s="1262"/>
      <c r="AK386" s="1262"/>
    </row>
    <row r="387" spans="1:38">
      <c r="B387" s="2"/>
      <c r="E387" s="3"/>
      <c r="F387" s="1262"/>
      <c r="G387" s="1262"/>
      <c r="H387" s="1262"/>
      <c r="I387" s="1262"/>
      <c r="J387" s="1262"/>
      <c r="K387" s="1262"/>
      <c r="L387" s="1262"/>
      <c r="M387" s="1262"/>
      <c r="N387" s="1262"/>
      <c r="O387" s="1262"/>
      <c r="P387" s="1262"/>
      <c r="Q387" s="1262"/>
      <c r="R387" s="1262"/>
      <c r="S387" s="1262"/>
      <c r="T387" s="1262"/>
      <c r="U387" s="1262"/>
      <c r="V387" s="1262"/>
      <c r="W387" s="1262"/>
      <c r="X387" s="1262"/>
      <c r="Y387" s="1262"/>
      <c r="Z387" s="1262"/>
      <c r="AA387" s="1262"/>
      <c r="AB387" s="1262"/>
      <c r="AC387" s="1262"/>
      <c r="AD387" s="1262"/>
      <c r="AE387" s="1262"/>
      <c r="AF387" s="1262"/>
      <c r="AG387" s="1262"/>
      <c r="AH387" s="1262"/>
      <c r="AI387" s="1262"/>
      <c r="AJ387" s="1262"/>
      <c r="AK387" s="1262"/>
    </row>
    <row r="388" spans="1:38">
      <c r="B388" s="2"/>
      <c r="E388" s="3"/>
      <c r="F388" s="1262"/>
      <c r="G388" s="1262"/>
      <c r="H388" s="1262"/>
      <c r="I388" s="1262"/>
      <c r="J388" s="1262"/>
      <c r="K388" s="1262"/>
      <c r="L388" s="1262"/>
      <c r="M388" s="1262"/>
      <c r="N388" s="1262"/>
      <c r="O388" s="1262"/>
      <c r="P388" s="1262"/>
      <c r="Q388" s="1262"/>
      <c r="R388" s="1262"/>
      <c r="S388" s="1262"/>
      <c r="T388" s="1262"/>
      <c r="U388" s="1262"/>
      <c r="V388" s="1262"/>
      <c r="W388" s="1262"/>
      <c r="X388" s="1262"/>
      <c r="Y388" s="1262"/>
      <c r="Z388" s="1262"/>
      <c r="AA388" s="1262"/>
      <c r="AB388" s="1262"/>
      <c r="AC388" s="1262"/>
      <c r="AD388" s="1262"/>
      <c r="AE388" s="1262"/>
      <c r="AF388" s="1262"/>
      <c r="AG388" s="1262"/>
      <c r="AH388" s="1262"/>
      <c r="AI388" s="1262"/>
      <c r="AJ388" s="1262"/>
      <c r="AK388" s="1262"/>
    </row>
    <row r="389" spans="1:38">
      <c r="B389" s="2"/>
      <c r="E389" s="4"/>
      <c r="F389" s="441"/>
      <c r="G389" s="441"/>
      <c r="H389" s="441"/>
      <c r="I389" s="441"/>
      <c r="J389" s="441"/>
      <c r="K389" s="441"/>
      <c r="L389" s="441"/>
      <c r="M389" s="441"/>
      <c r="N389" s="441"/>
      <c r="O389" s="441"/>
      <c r="P389" s="441"/>
      <c r="Q389" s="441"/>
      <c r="R389" s="441"/>
      <c r="S389" s="441"/>
      <c r="T389" s="441"/>
      <c r="U389" s="441"/>
      <c r="V389" s="441"/>
      <c r="W389" s="441"/>
      <c r="X389" s="441"/>
      <c r="Y389" s="441"/>
      <c r="Z389" s="441"/>
      <c r="AA389" s="441"/>
      <c r="AB389" s="441"/>
      <c r="AC389" s="441"/>
      <c r="AD389" s="441"/>
      <c r="AE389" s="441"/>
      <c r="AF389" s="441"/>
      <c r="AG389" s="441"/>
      <c r="AH389" s="441"/>
      <c r="AI389" s="441"/>
      <c r="AJ389" s="441"/>
      <c r="AK389" s="441"/>
      <c r="AL389" s="453"/>
    </row>
    <row r="390" spans="1:38">
      <c r="B390" s="2"/>
      <c r="C390" s="2"/>
      <c r="D390" s="2" t="s">
        <v>428</v>
      </c>
      <c r="E390" s="2" t="s">
        <v>1275</v>
      </c>
      <c r="F390" s="3"/>
      <c r="G390" s="2"/>
      <c r="I390" s="120"/>
      <c r="J390" s="3"/>
      <c r="K390" s="3"/>
      <c r="L390" s="3"/>
      <c r="M390" s="3"/>
      <c r="N390" s="3"/>
      <c r="O390" s="3"/>
      <c r="P390" s="3"/>
      <c r="Q390" s="3"/>
      <c r="R390" s="3"/>
      <c r="S390" s="3"/>
    </row>
    <row r="391" spans="1:38" ht="13.15" customHeight="1">
      <c r="B391" s="2"/>
      <c r="D391" s="2"/>
      <c r="E391" s="3" t="s">
        <v>1274</v>
      </c>
      <c r="F391" s="455"/>
      <c r="G391" s="455"/>
      <c r="H391" s="455"/>
      <c r="I391" s="455"/>
      <c r="J391" s="455"/>
      <c r="K391" s="455"/>
      <c r="L391" s="455"/>
      <c r="M391" s="455"/>
      <c r="N391" s="455"/>
      <c r="O391" s="455"/>
      <c r="P391" s="455"/>
      <c r="Q391" s="455"/>
      <c r="R391" s="455"/>
      <c r="S391" s="455"/>
      <c r="T391" s="455"/>
      <c r="U391" s="455"/>
      <c r="V391" s="455"/>
      <c r="W391" s="455"/>
      <c r="X391" s="455"/>
      <c r="Y391" s="455"/>
      <c r="Z391" s="455"/>
      <c r="AA391" s="455"/>
      <c r="AB391" s="455"/>
      <c r="AC391" s="455"/>
      <c r="AD391" s="455"/>
      <c r="AE391" s="455"/>
      <c r="AF391" s="455"/>
      <c r="AG391" s="455"/>
      <c r="AH391" s="455"/>
      <c r="AI391" s="455"/>
      <c r="AJ391" s="455"/>
      <c r="AK391" s="455"/>
    </row>
    <row r="392" spans="1:38">
      <c r="B392" s="2"/>
      <c r="E392" t="s">
        <v>1156</v>
      </c>
      <c r="F392" s="452"/>
      <c r="G392" s="452"/>
      <c r="H392" s="452"/>
      <c r="I392" s="452"/>
      <c r="J392" s="452"/>
      <c r="K392" s="452"/>
      <c r="L392" s="452"/>
      <c r="M392" s="452"/>
      <c r="N392" s="452"/>
      <c r="O392" s="452"/>
      <c r="P392" s="452"/>
      <c r="Q392" s="452"/>
      <c r="R392" s="452"/>
      <c r="S392" s="452"/>
      <c r="T392" s="452"/>
      <c r="U392" s="452"/>
      <c r="V392" s="452"/>
      <c r="W392" s="452"/>
      <c r="X392" s="452"/>
      <c r="Y392" s="452"/>
      <c r="Z392" s="452"/>
      <c r="AA392" s="452"/>
      <c r="AB392" s="452"/>
      <c r="AC392" s="452"/>
      <c r="AD392" s="452"/>
      <c r="AE392" s="452"/>
      <c r="AF392" s="452"/>
      <c r="AG392" s="452"/>
      <c r="AH392" s="452"/>
      <c r="AI392" s="452"/>
      <c r="AJ392" s="452"/>
      <c r="AK392" s="452"/>
      <c r="AL392" s="452"/>
    </row>
    <row r="393" spans="1:38" s="169" customFormat="1">
      <c r="A393"/>
      <c r="B393" s="2"/>
      <c r="C393"/>
      <c r="D393"/>
      <c r="E393"/>
      <c r="F393"/>
      <c r="G393"/>
      <c r="H393"/>
      <c r="I393"/>
      <c r="J393"/>
      <c r="K393"/>
      <c r="L393"/>
      <c r="M393"/>
      <c r="N393"/>
      <c r="O393"/>
      <c r="P393"/>
      <c r="Q393"/>
      <c r="R393"/>
      <c r="S393" s="4"/>
      <c r="T393"/>
      <c r="U393"/>
      <c r="V393"/>
      <c r="W393"/>
      <c r="X393"/>
      <c r="Y393"/>
      <c r="Z393"/>
      <c r="AA393"/>
      <c r="AB393"/>
      <c r="AC393"/>
      <c r="AD393"/>
      <c r="AE393"/>
      <c r="AF393"/>
      <c r="AG393"/>
      <c r="AH393"/>
      <c r="AI393"/>
      <c r="AJ393"/>
      <c r="AK393"/>
      <c r="AL393"/>
    </row>
    <row r="394" spans="1:38" s="169" customFormat="1" hidden="1">
      <c r="A394"/>
      <c r="B394" s="2"/>
      <c r="C394"/>
      <c r="D394"/>
      <c r="E394"/>
      <c r="F394"/>
      <c r="G394"/>
      <c r="H394"/>
      <c r="I394"/>
      <c r="J394"/>
      <c r="K394"/>
      <c r="L394"/>
      <c r="M394"/>
      <c r="N394"/>
      <c r="O394"/>
      <c r="P394"/>
      <c r="Q394"/>
      <c r="R394"/>
      <c r="S394" s="4"/>
      <c r="T394"/>
      <c r="U394"/>
      <c r="V394"/>
      <c r="W394"/>
      <c r="X394"/>
      <c r="Y394"/>
      <c r="Z394"/>
      <c r="AA394"/>
      <c r="AB394"/>
      <c r="AC394"/>
      <c r="AD394"/>
      <c r="AE394"/>
      <c r="AF394"/>
      <c r="AG394"/>
      <c r="AH394"/>
      <c r="AI394"/>
      <c r="AJ394"/>
      <c r="AK394"/>
      <c r="AL394"/>
    </row>
    <row r="395" spans="1:38" hidden="1">
      <c r="B395" s="2"/>
      <c r="S395" s="4"/>
    </row>
    <row r="396" spans="1:38" hidden="1">
      <c r="B396" s="2"/>
      <c r="S396" s="4"/>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D406" s="2"/>
      <c r="E406" s="4"/>
      <c r="F406" s="4"/>
      <c r="G406" s="4"/>
      <c r="H406" s="4"/>
      <c r="I406" s="4"/>
      <c r="J406" s="4"/>
      <c r="K406" s="4"/>
      <c r="L406" s="4"/>
      <c r="M406" s="4"/>
      <c r="N406" s="4"/>
      <c r="O406" s="4"/>
      <c r="P406" s="4"/>
      <c r="Q406" s="4"/>
      <c r="R406" s="4"/>
      <c r="S406" s="4"/>
    </row>
    <row r="407" spans="2:19" hidden="1">
      <c r="B407" s="2"/>
      <c r="D407" s="2"/>
      <c r="E407" s="4"/>
      <c r="F407" s="4"/>
      <c r="G407" s="4"/>
      <c r="H407" s="4"/>
      <c r="I407" s="4"/>
      <c r="J407" s="4"/>
      <c r="K407" s="4"/>
      <c r="L407" s="4"/>
      <c r="M407" s="4"/>
      <c r="N407" s="4"/>
      <c r="O407" s="4"/>
      <c r="P407" s="4"/>
      <c r="Q407" s="4"/>
      <c r="R407" s="4"/>
      <c r="S407" s="4"/>
    </row>
    <row r="408" spans="2:19" hidden="1">
      <c r="J408" s="4"/>
      <c r="K408" s="4"/>
      <c r="L408" s="4"/>
      <c r="M408" s="4"/>
      <c r="N408" s="4"/>
      <c r="O408" s="4"/>
      <c r="P408" s="4"/>
      <c r="Q408" s="4"/>
      <c r="R408" s="4"/>
      <c r="S408" s="4"/>
    </row>
    <row r="409" spans="2:19" hidden="1">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L417" s="4"/>
      <c r="M417" s="4"/>
      <c r="N417" s="4"/>
      <c r="O417" s="4"/>
      <c r="P417" s="4"/>
      <c r="Q417" s="4"/>
      <c r="R417" s="4"/>
      <c r="S417" s="4"/>
    </row>
    <row r="418" spans="2:19" hidden="1">
      <c r="J418" s="4"/>
      <c r="K418" s="4"/>
      <c r="L418" s="4"/>
      <c r="M418" s="4"/>
      <c r="N418" s="4"/>
      <c r="O418" s="4"/>
      <c r="P418" s="4"/>
      <c r="Q418" s="4"/>
      <c r="R418" s="4"/>
      <c r="S418" s="4"/>
    </row>
    <row r="419" spans="2:19" hidden="1">
      <c r="B419" s="2"/>
      <c r="D419" s="2"/>
      <c r="E419" s="4"/>
      <c r="F419" s="4"/>
      <c r="G419" s="4"/>
      <c r="H419" s="4"/>
      <c r="I419" s="4"/>
      <c r="J419" s="4"/>
      <c r="K419" s="4"/>
      <c r="L419" s="4"/>
      <c r="M419" s="4"/>
      <c r="N419" s="4"/>
      <c r="O419" s="4"/>
      <c r="P419" s="4"/>
      <c r="Q419" s="4"/>
      <c r="R419" s="4"/>
      <c r="S419" s="4"/>
    </row>
    <row r="420" spans="2:19" hidden="1">
      <c r="B420" s="2"/>
      <c r="C420" s="2"/>
      <c r="D420" s="2"/>
      <c r="E420" s="4"/>
      <c r="F420" s="4"/>
      <c r="G420" s="4"/>
      <c r="H420" s="4"/>
      <c r="I420" s="4"/>
      <c r="J420" s="4"/>
      <c r="K420" s="4"/>
      <c r="L420" s="4"/>
      <c r="M420" s="4"/>
      <c r="N420" s="4"/>
      <c r="O420" s="4"/>
      <c r="P420" s="4"/>
      <c r="Q420" s="4"/>
      <c r="R420" s="4"/>
      <c r="S420" s="4"/>
    </row>
    <row r="421" spans="2:19" hidden="1">
      <c r="D421" s="2"/>
    </row>
    <row r="422" spans="2:19"/>
    <row r="423" spans="2:19"/>
    <row r="424" spans="2:19"/>
    <row r="425" spans="2:19"/>
    <row r="426" spans="2:19"/>
  </sheetData>
  <sheetProtection algorithmName="SHA-512" hashValue="GJO6OPuhrgxaumVaisCkXrjpurRFMGM5XK0WertIMnkxqoReS1wTu7SccDluljWy5lyOmLKDSETVILjT8HATPQ==" saltValue="xUWWmkFDI+ThwOA+xzUbk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F336:AK338"/>
    <mergeCell ref="E31:AK31"/>
    <mergeCell ref="D30:AK30"/>
    <mergeCell ref="D20:AK28"/>
    <mergeCell ref="F40:XFD41"/>
    <mergeCell ref="G205:AK206"/>
    <mergeCell ref="G88:AK90"/>
    <mergeCell ref="G92:AK93"/>
    <mergeCell ref="G95:AK97"/>
    <mergeCell ref="E98:AK99"/>
    <mergeCell ref="G84:AK86"/>
    <mergeCell ref="G56:I56"/>
    <mergeCell ref="G57:AL58"/>
    <mergeCell ref="F43:AL45"/>
    <mergeCell ref="G72:AK73"/>
    <mergeCell ref="G67:AK68"/>
    <mergeCell ref="G80:AK82"/>
    <mergeCell ref="E35:AK35"/>
    <mergeCell ref="E36:AK36"/>
    <mergeCell ref="G64:AK66"/>
    <mergeCell ref="G70:AK71"/>
    <mergeCell ref="G54:AK54"/>
    <mergeCell ref="F386:AK388"/>
    <mergeCell ref="E341:AK345"/>
    <mergeCell ref="F350:AK352"/>
    <mergeCell ref="E365:AL366"/>
    <mergeCell ref="E367:XFD368"/>
    <mergeCell ref="F346:AK349"/>
    <mergeCell ref="A1:AL2"/>
    <mergeCell ref="D7:AK9"/>
    <mergeCell ref="D11:AK13"/>
    <mergeCell ref="D33:AK34"/>
    <mergeCell ref="F48:AK50"/>
    <mergeCell ref="D15:AK17"/>
    <mergeCell ref="J18:AK18"/>
  </mergeCells>
  <phoneticPr fontId="0" type="noConversion"/>
  <hyperlinks>
    <hyperlink ref="E36" r:id="rId2" display="http://www.treasurer.ca.gov/ctcac/contacts.asp" xr:uid="{00000000-0004-0000-0000-000000000000}"/>
    <hyperlink ref="E31" r:id="rId3" xr:uid="{00000000-0004-0000-0000-000001000000}"/>
    <hyperlink ref="E35" r:id="rId4" display="http://www.treasurer.ca.gov/ctcac/assignments.asp" xr:uid="{00000000-0004-0000-0000-000002000000}"/>
    <hyperlink ref="E35:AK35" r:id="rId5" display="http://www.treasurer.ca.gov/ctcac/assignments.asp" xr:uid="{00000000-0004-0000-0000-000003000000}"/>
    <hyperlink ref="E36:AK36" r:id="rId6" display="http://www.treasurer.ca.gov/ctcac/contacts.asp" xr:uid="{00000000-0004-0000-0000-000005000000}"/>
    <hyperlink ref="J18" r:id="rId7" xr:uid="{7A55534E-8AB0-48F1-9720-9B496C98BBCB}"/>
  </hyperlinks>
  <pageMargins left="0.75" right="0.75" top="0.75" bottom="0.75" header="0.5" footer="0.5"/>
  <pageSetup scale="89" fitToHeight="10" orientation="portrait" r:id="rId8"/>
  <headerFooter alignWithMargins="0"/>
  <rowBreaks count="7" manualBreakCount="7">
    <brk id="59" max="67" man="1"/>
    <brk id="100" max="67" man="1"/>
    <brk id="160" max="67" man="1"/>
    <brk id="220" max="67" man="1"/>
    <brk id="279" max="67" man="1"/>
    <brk id="328" max="67" man="1"/>
    <brk id="353" max="67" man="1"/>
  </rowBreaks>
  <legacyDrawing r:id="rId9"/>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U144"/>
  <sheetViews>
    <sheetView showGridLines="0" topLeftCell="A117" workbookViewId="0">
      <selection activeCell="G17" sqref="G17:H17"/>
    </sheetView>
  </sheetViews>
  <sheetFormatPr defaultColWidth="9.140625" defaultRowHeight="14.25"/>
  <cols>
    <col min="1" max="1" width="2.42578125" style="1044" customWidth="1"/>
    <col min="2" max="9" width="14.7109375" style="1044" customWidth="1"/>
    <col min="10" max="10" width="2.28515625" style="1044" customWidth="1"/>
    <col min="11" max="11" width="11.85546875" style="1045" customWidth="1"/>
    <col min="12" max="12" width="10.7109375" style="1044" customWidth="1"/>
    <col min="13" max="13" width="10.42578125" style="1044" customWidth="1"/>
    <col min="14" max="14" width="10.85546875" style="1044" customWidth="1"/>
    <col min="15" max="18" width="9.140625" style="1044"/>
    <col min="19" max="19" width="9.42578125" style="1044" bestFit="1" customWidth="1"/>
    <col min="20" max="16384" width="9.140625" style="1044"/>
  </cols>
  <sheetData>
    <row r="1" spans="1:13" ht="30" customHeight="1">
      <c r="A1" s="2660" t="s">
        <v>1585</v>
      </c>
      <c r="B1" s="2660"/>
      <c r="C1" s="2660"/>
      <c r="D1" s="2660"/>
      <c r="E1" s="2660"/>
      <c r="F1" s="2660"/>
      <c r="G1" s="2660"/>
      <c r="H1" s="2660"/>
      <c r="I1" s="2660"/>
      <c r="J1" s="2660"/>
    </row>
    <row r="2" spans="1:13" ht="15" customHeight="1" thickBot="1">
      <c r="A2" s="1046"/>
      <c r="B2" s="1046"/>
      <c r="I2" s="1047"/>
      <c r="K2" s="1048"/>
    </row>
    <row r="3" spans="1:13" s="1051" customFormat="1" ht="20.100000000000001" customHeight="1">
      <c r="A3" s="1100"/>
      <c r="B3" s="1101"/>
      <c r="C3" s="1102"/>
      <c r="D3" s="1107"/>
      <c r="E3" s="1102"/>
      <c r="F3" s="1103" t="s">
        <v>1990</v>
      </c>
      <c r="G3" s="1102"/>
      <c r="H3" s="1104">
        <f>E18</f>
        <v>34369158</v>
      </c>
      <c r="I3" s="1105"/>
    </row>
    <row r="4" spans="1:13" s="1051" customFormat="1" ht="20.100000000000001" customHeight="1">
      <c r="B4" s="1094"/>
      <c r="D4" s="1108"/>
      <c r="F4" s="1092" t="s">
        <v>1992</v>
      </c>
      <c r="G4" s="1091" t="s">
        <v>1991</v>
      </c>
      <c r="H4" s="1093">
        <f>I18</f>
        <v>26560748.96609477</v>
      </c>
      <c r="I4" s="1095"/>
      <c r="K4" s="1055"/>
    </row>
    <row r="5" spans="1:13" s="1051" customFormat="1" ht="20.100000000000001" customHeight="1" thickBot="1">
      <c r="B5" s="1096"/>
      <c r="C5" s="1097"/>
      <c r="D5" s="1109"/>
      <c r="E5" s="1098"/>
      <c r="F5" s="1109" t="s">
        <v>1942</v>
      </c>
      <c r="G5" s="1110"/>
      <c r="H5" s="1106">
        <f>IFERROR(H3/H4,0)</f>
        <v>1.2939830139531379</v>
      </c>
      <c r="I5" s="1099"/>
      <c r="K5" s="1055"/>
    </row>
    <row r="6" spans="1:13" s="1051" customFormat="1" ht="15" customHeight="1">
      <c r="B6" s="1052"/>
      <c r="C6" s="1053"/>
      <c r="F6" s="1054"/>
      <c r="K6" s="1055"/>
    </row>
    <row r="7" spans="1:13" s="1051" customFormat="1" ht="15" customHeight="1">
      <c r="E7" s="1056"/>
      <c r="F7" s="1054"/>
      <c r="K7" s="1057"/>
    </row>
    <row r="8" spans="1:13" s="1051" customFormat="1" ht="15" customHeight="1">
      <c r="A8" s="1058"/>
      <c r="B8" s="2663" t="s">
        <v>1940</v>
      </c>
      <c r="C8" s="2664"/>
      <c r="D8" s="2664"/>
      <c r="E8" s="2665"/>
      <c r="G8" s="2666" t="s">
        <v>1941</v>
      </c>
      <c r="H8" s="2667"/>
      <c r="I8" s="2668"/>
      <c r="K8" s="1057"/>
    </row>
    <row r="9" spans="1:13" ht="15" customHeight="1">
      <c r="A9" s="1046"/>
      <c r="B9" s="2661" t="s">
        <v>1974</v>
      </c>
      <c r="C9" s="2661"/>
      <c r="D9" s="2661"/>
      <c r="E9" s="1059">
        <f>G33</f>
        <v>6737500</v>
      </c>
      <c r="G9" s="2669" t="s">
        <v>1972</v>
      </c>
      <c r="H9" s="2669"/>
      <c r="I9" s="1060">
        <f>SUMIF(Application!M554:M565,"Loan, Tax-Exempt",Application!AM554:AM565)</f>
        <v>24861947</v>
      </c>
      <c r="K9" s="1061"/>
      <c r="M9" s="1062"/>
    </row>
    <row r="10" spans="1:13" ht="15" customHeight="1" thickBot="1">
      <c r="A10" s="1046"/>
      <c r="B10" s="2661" t="s">
        <v>1975</v>
      </c>
      <c r="C10" s="2661"/>
      <c r="D10" s="2661"/>
      <c r="E10" s="1060">
        <f>G47</f>
        <v>16615907.999999998</v>
      </c>
      <c r="G10" s="2673" t="s">
        <v>1943</v>
      </c>
      <c r="H10" s="2673"/>
      <c r="I10" s="1140">
        <f>'Basis &amp; Credits'!AB78</f>
        <v>2724270</v>
      </c>
      <c r="M10" s="1062"/>
    </row>
    <row r="11" spans="1:13" ht="15" customHeight="1">
      <c r="A11" s="1046"/>
      <c r="B11" s="2677" t="s">
        <v>2264</v>
      </c>
      <c r="C11" s="2678"/>
      <c r="D11" s="2679"/>
      <c r="E11" s="1060">
        <f>SUM(E12,E13)</f>
        <v>640000</v>
      </c>
      <c r="G11" s="2676" t="s">
        <v>1983</v>
      </c>
      <c r="H11" s="2676"/>
      <c r="I11" s="1139">
        <f>I9+I10</f>
        <v>27586217</v>
      </c>
      <c r="M11" s="1062"/>
    </row>
    <row r="12" spans="1:13" ht="15" customHeight="1">
      <c r="A12" s="1063"/>
      <c r="B12" s="2662" t="s">
        <v>2266</v>
      </c>
      <c r="C12" s="2662"/>
      <c r="D12" s="2662"/>
      <c r="E12" s="1165">
        <f>G56</f>
        <v>0</v>
      </c>
      <c r="M12" s="1062"/>
    </row>
    <row r="13" spans="1:13" ht="15" customHeight="1">
      <c r="A13" s="1049"/>
      <c r="B13" s="2662" t="s">
        <v>2267</v>
      </c>
      <c r="C13" s="2662"/>
      <c r="D13" s="2662"/>
      <c r="E13" s="1165">
        <f>G65</f>
        <v>640000</v>
      </c>
      <c r="G13" s="2666" t="s">
        <v>2006</v>
      </c>
      <c r="H13" s="2667"/>
      <c r="I13" s="2668"/>
      <c r="M13" s="1062"/>
    </row>
    <row r="14" spans="1:13" ht="15" customHeight="1">
      <c r="A14" s="1049"/>
      <c r="B14" s="2677" t="s">
        <v>2265</v>
      </c>
      <c r="C14" s="2678"/>
      <c r="D14" s="2679"/>
      <c r="E14" s="1167">
        <f>MAX(E15,E16)+E17</f>
        <v>10375750</v>
      </c>
      <c r="G14" s="2669" t="s">
        <v>139</v>
      </c>
      <c r="H14" s="2669"/>
      <c r="I14" s="1064">
        <f>15%*(AND(G120="Yes",G122&lt;&gt;""))</f>
        <v>0</v>
      </c>
      <c r="M14" s="1062"/>
    </row>
    <row r="15" spans="1:13" ht="15" customHeight="1">
      <c r="A15" s="1049"/>
      <c r="B15" s="2680" t="s">
        <v>2271</v>
      </c>
      <c r="C15" s="2681"/>
      <c r="D15" s="2682"/>
      <c r="E15" s="1165">
        <f>G80</f>
        <v>1347500</v>
      </c>
      <c r="G15" s="1137" t="s">
        <v>1984</v>
      </c>
      <c r="H15" s="1137"/>
      <c r="I15" s="1064">
        <f>IF(Application!AJ1032&gt;0,10%,IF(Application!AJ1036&gt;0,5%,0))</f>
        <v>0</v>
      </c>
      <c r="M15" s="1062"/>
    </row>
    <row r="16" spans="1:13" ht="15" customHeight="1">
      <c r="A16" s="1049"/>
      <c r="B16" s="2680" t="s">
        <v>2270</v>
      </c>
      <c r="C16" s="2681"/>
      <c r="D16" s="2682"/>
      <c r="E16" s="1165">
        <f>G90</f>
        <v>2695000</v>
      </c>
      <c r="G16" s="2669" t="s">
        <v>1985</v>
      </c>
      <c r="H16" s="2669"/>
      <c r="I16" s="1064">
        <f>G132</f>
        <v>3.7173202614379085E-2</v>
      </c>
    </row>
    <row r="17" spans="1:21" ht="15" customHeight="1" thickBot="1">
      <c r="A17" s="1049"/>
      <c r="B17" s="2680" t="s">
        <v>2269</v>
      </c>
      <c r="C17" s="2681"/>
      <c r="D17" s="2682"/>
      <c r="E17" s="1165">
        <f>G115</f>
        <v>7680750</v>
      </c>
      <c r="G17" s="2669" t="s">
        <v>2279</v>
      </c>
      <c r="H17" s="2669"/>
      <c r="I17" s="1064">
        <f>IF(AND(G139="Yes",OR(G136,G137)),IF(G143&gt;15%,15%,G143),0)</f>
        <v>0</v>
      </c>
    </row>
    <row r="18" spans="1:21" ht="15" customHeight="1">
      <c r="A18" s="1046"/>
      <c r="B18" s="2672" t="s">
        <v>1939</v>
      </c>
      <c r="C18" s="2672"/>
      <c r="D18" s="2672"/>
      <c r="E18" s="1111">
        <f>SUM(E9:E11,E14)</f>
        <v>34369158</v>
      </c>
      <c r="G18" s="1138" t="s">
        <v>1973</v>
      </c>
      <c r="H18" s="1138"/>
      <c r="I18" s="1112">
        <f>I11-((I11*I14)+(I11*I15)+(I11*I16)+(I11*I17))</f>
        <v>26560748.96609477</v>
      </c>
      <c r="M18" s="1065">
        <f>SUM(Cdlac[Quantity])</f>
        <v>103</v>
      </c>
      <c r="O18" s="1084" t="s">
        <v>582</v>
      </c>
      <c r="P18" s="1044">
        <f>MATCH(Application!T189,Application!CB160:CB217,0)</f>
        <v>56</v>
      </c>
      <c r="T18" s="1065">
        <f>SUM(Cdlac[Population])</f>
        <v>0</v>
      </c>
    </row>
    <row r="19" spans="1:21" ht="15" customHeight="1">
      <c r="A19" s="1046"/>
      <c r="B19" s="1046"/>
      <c r="C19" s="1046"/>
      <c r="D19" s="1046"/>
      <c r="E19" s="1046"/>
      <c r="L19" s="1044" t="s">
        <v>1935</v>
      </c>
      <c r="M19" s="1044" t="s">
        <v>1934</v>
      </c>
      <c r="N19" s="1044" t="s">
        <v>1946</v>
      </c>
      <c r="O19" s="1044" t="s">
        <v>1947</v>
      </c>
      <c r="P19" s="1044" t="s">
        <v>1936</v>
      </c>
      <c r="Q19" s="1044" t="s">
        <v>2262</v>
      </c>
      <c r="R19" s="1044" t="s">
        <v>1937</v>
      </c>
      <c r="S19" s="1044" t="s">
        <v>1948</v>
      </c>
      <c r="T19" s="1044" t="s">
        <v>1954</v>
      </c>
      <c r="U19" s="1044" t="s">
        <v>384</v>
      </c>
    </row>
    <row r="20" spans="1:21" ht="15" customHeight="1">
      <c r="B20" s="1066" t="str">
        <f>B9</f>
        <v>A. Unit Production Benefit</v>
      </c>
      <c r="C20" s="1067"/>
      <c r="D20" s="1067"/>
      <c r="E20" s="1067"/>
      <c r="F20" s="1067"/>
      <c r="G20" s="1067"/>
      <c r="H20" s="1067"/>
      <c r="I20" s="1068"/>
      <c r="L20" s="1044">
        <f>IFERROR(MIN(4,MATCH(Application!B718,UnitSizes,0)-1),"")</f>
        <v>1</v>
      </c>
      <c r="M20" s="1065">
        <f>Application!G718</f>
        <v>10</v>
      </c>
      <c r="N20" s="1071">
        <f>Application!AC718</f>
        <v>0.3</v>
      </c>
      <c r="O20" s="1071">
        <f>IF(Cdlac[[#This Row],[Quantity]]&gt;0,IF(Cdlac[[#This Row],[Federal]],30%,IF(AND(OR(NOT($G$38),$G$38=""),$G$43),40%,Cdlac[[#This Row],[iAMI]])),"")</f>
        <v>0.3</v>
      </c>
      <c r="P20" s="1065" cm="1">
        <f t="array" ref="P20">IF(Cdlac[[#This Row],[Quantity]]&gt;0,INDEX(TcacRents,$P$18,Cdlac[[#This Row],[Bedrooms]]+1)*Cdlac[[#This Row],[AMI]],"")</f>
        <v>841.8</v>
      </c>
      <c r="Q20" s="1164"/>
      <c r="R20" s="1065" cm="1">
        <f t="array" ref="R20">IF(Cdlac[[#This Row],[Quantity]]&gt;0,INDEX(HudFmrs,$P$18,Cdlac[[#This Row],[Bedrooms]]+1),"")</f>
        <v>2147</v>
      </c>
      <c r="S20" s="1065">
        <f>IF(Cdlac[[#This Row],[Quantity]]&gt;0,MAX(0,Cdlac[[#This Row],[Fair Market Rent]]-IF(AND($G$37,$G$38,$G$38&lt;&gt;"",NOT(Cdlac[[#This Row],[Federal]]),Cdlac[[#This Row],[Preservation Rent]]&lt;&gt;""),Cdlac[[#This Row],[Preservation Rent]],Cdlac[[#This Row],[Restricted Rent]])),"")</f>
        <v>1305.2</v>
      </c>
      <c r="T20" s="1044">
        <f>IF(Cdlac[[#This Row],[Quantity]]&gt;0,AND(Application!AK718&lt;&gt;"N/A",Application!AK718&lt;&gt;"")*Cdlac[[#This Row],[Quantity]],"")</f>
        <v>0</v>
      </c>
      <c r="U20" s="1044" t="b">
        <f>AND('Subsidy Contract Calculation'!F4&gt;0,OR('Subsidy Contract Calculation'!C4="Federal",'Subsidy Contract Calculation'!C4="Local - Approved by ED"),Cdlac[[#This Row],[Quantity]]&gt;0)</f>
        <v>0</v>
      </c>
    </row>
    <row r="21" spans="1:21" ht="15" customHeight="1">
      <c r="A21" s="1046"/>
      <c r="B21" s="1046"/>
      <c r="I21" s="1069"/>
      <c r="L21" s="1044">
        <f>IFERROR(MIN(4,MATCH(Application!B719,UnitSizes,0)-1),"")</f>
        <v>1</v>
      </c>
      <c r="M21" s="1065">
        <f>Application!G719</f>
        <v>2</v>
      </c>
      <c r="N21" s="1071">
        <f>Application!AC719</f>
        <v>0.4</v>
      </c>
      <c r="O21" s="1071">
        <f>IF(Cdlac[[#This Row],[Quantity]]&gt;0,IF(Cdlac[[#This Row],[Federal]],30%,IF(AND(OR(NOT($G$38),$G$38=""),$G$43),40%,Cdlac[[#This Row],[iAMI]])),"")</f>
        <v>0.4</v>
      </c>
      <c r="P21" s="1065" cm="1">
        <f t="array" ref="P21">IF(Cdlac[[#This Row],[Quantity]]&gt;0,INDEX(TcacRents,$P$18,Cdlac[[#This Row],[Bedrooms]]+1)*Cdlac[[#This Row],[AMI]],"")</f>
        <v>1122.4000000000001</v>
      </c>
      <c r="Q21" s="1164"/>
      <c r="R21" s="1065" cm="1">
        <f t="array" ref="R21">IF(Cdlac[[#This Row],[Quantity]]&gt;0,INDEX(HudFmrs,$P$18,Cdlac[[#This Row],[Bedrooms]]+1),"")</f>
        <v>2147</v>
      </c>
      <c r="S21" s="1065">
        <f>IF(Cdlac[[#This Row],[Quantity]]&gt;0,MAX(0,Cdlac[[#This Row],[Fair Market Rent]]-IF(AND($G$37,$G$38,$G$38&lt;&gt;"",NOT(Cdlac[[#This Row],[Federal]]),Cdlac[[#This Row],[Preservation Rent]]&lt;&gt;""),Cdlac[[#This Row],[Preservation Rent]],Cdlac[[#This Row],[Restricted Rent]])),"")</f>
        <v>1024.5999999999999</v>
      </c>
      <c r="T21" s="1044">
        <f>IF(Cdlac[[#This Row],[Quantity]]&gt;0,AND(Application!AK719&lt;&gt;"N/A",Application!AK719&lt;&gt;"")*Cdlac[[#This Row],[Quantity]],"")</f>
        <v>0</v>
      </c>
      <c r="U21" s="1044" t="b">
        <f>AND('Subsidy Contract Calculation'!F5&gt;0,OR('Subsidy Contract Calculation'!C5="Federal",'Subsidy Contract Calculation'!C5="Local - Approved by ED"),Cdlac[[#This Row],[Quantity]]&gt;0)</f>
        <v>0</v>
      </c>
    </row>
    <row r="22" spans="1:21" ht="15" customHeight="1">
      <c r="A22" s="1049"/>
      <c r="C22" s="2670" t="s">
        <v>1987</v>
      </c>
      <c r="D22" s="2670" t="s">
        <v>1988</v>
      </c>
      <c r="E22" s="2670" t="s">
        <v>1989</v>
      </c>
      <c r="F22" s="2670" t="s">
        <v>2606</v>
      </c>
      <c r="G22" s="2670" t="s">
        <v>1986</v>
      </c>
      <c r="H22" s="1070"/>
      <c r="I22" s="1069"/>
      <c r="L22" s="1044">
        <f>IFERROR(MIN(4,MATCH(Application!B720,UnitSizes,0)-1),"")</f>
        <v>1</v>
      </c>
      <c r="M22" s="1065">
        <f>Application!G720</f>
        <v>2</v>
      </c>
      <c r="N22" s="1071">
        <f>Application!AC720</f>
        <v>0.5</v>
      </c>
      <c r="O22" s="1071">
        <f>IF(Cdlac[[#This Row],[Quantity]]&gt;0,IF(Cdlac[[#This Row],[Federal]],30%,IF(AND(OR(NOT($G$38),$G$38=""),$G$43),40%,Cdlac[[#This Row],[iAMI]])),"")</f>
        <v>0.5</v>
      </c>
      <c r="P22" s="1065" cm="1">
        <f t="array" ref="P22">IF(Cdlac[[#This Row],[Quantity]]&gt;0,INDEX(TcacRents,$P$18,Cdlac[[#This Row],[Bedrooms]]+1)*Cdlac[[#This Row],[AMI]],"")</f>
        <v>1403</v>
      </c>
      <c r="Q22" s="1164"/>
      <c r="R22" s="1065" cm="1">
        <f t="array" ref="R22">IF(Cdlac[[#This Row],[Quantity]]&gt;0,INDEX(HudFmrs,$P$18,Cdlac[[#This Row],[Bedrooms]]+1),"")</f>
        <v>2147</v>
      </c>
      <c r="S22" s="1065">
        <f>IF(Cdlac[[#This Row],[Quantity]]&gt;0,MAX(0,Cdlac[[#This Row],[Fair Market Rent]]-IF(AND($G$37,$G$38,$G$38&lt;&gt;"",NOT(Cdlac[[#This Row],[Federal]]),Cdlac[[#This Row],[Preservation Rent]]&lt;&gt;""),Cdlac[[#This Row],[Preservation Rent]],Cdlac[[#This Row],[Restricted Rent]])),"")</f>
        <v>744</v>
      </c>
      <c r="T22" s="1044">
        <f>IF(Cdlac[[#This Row],[Quantity]]&gt;0,AND(Application!AK720&lt;&gt;"N/A",Application!AK720&lt;&gt;"")*Cdlac[[#This Row],[Quantity]],"")</f>
        <v>0</v>
      </c>
      <c r="U22" s="1044" t="b">
        <f>AND('Subsidy Contract Calculation'!F6&gt;0,OR('Subsidy Contract Calculation'!C6="Federal",'Subsidy Contract Calculation'!C6="Local - Approved by ED"),Cdlac[[#This Row],[Quantity]]&gt;0)</f>
        <v>0</v>
      </c>
    </row>
    <row r="23" spans="1:21" ht="15" customHeight="1">
      <c r="A23" s="1049"/>
      <c r="C23" s="2671"/>
      <c r="D23" s="2671"/>
      <c r="E23" s="2671"/>
      <c r="F23" s="2671"/>
      <c r="G23" s="2671"/>
      <c r="H23" s="1070"/>
      <c r="I23" s="1069"/>
      <c r="L23" s="1044">
        <f>IFERROR(MIN(4,MATCH(Application!B721,UnitSizes,0)-1),"")</f>
        <v>1</v>
      </c>
      <c r="M23" s="1065">
        <f>Application!G721</f>
        <v>2</v>
      </c>
      <c r="N23" s="1071">
        <f>Application!AC721</f>
        <v>0.6</v>
      </c>
      <c r="O23" s="1071">
        <f>IF(Cdlac[[#This Row],[Quantity]]&gt;0,IF(Cdlac[[#This Row],[Federal]],30%,IF(AND(OR(NOT($G$38),$G$38=""),$G$43),40%,Cdlac[[#This Row],[iAMI]])),"")</f>
        <v>0.6</v>
      </c>
      <c r="P23" s="1065" cm="1">
        <f t="array" ref="P23">IF(Cdlac[[#This Row],[Quantity]]&gt;0,INDEX(TcacRents,$P$18,Cdlac[[#This Row],[Bedrooms]]+1)*Cdlac[[#This Row],[AMI]],"")</f>
        <v>1683.6</v>
      </c>
      <c r="Q23" s="1164"/>
      <c r="R23" s="1065" cm="1">
        <f t="array" ref="R23">IF(Cdlac[[#This Row],[Quantity]]&gt;0,INDEX(HudFmrs,$P$18,Cdlac[[#This Row],[Bedrooms]]+1),"")</f>
        <v>2147</v>
      </c>
      <c r="S23" s="1065">
        <f>IF(Cdlac[[#This Row],[Quantity]]&gt;0,MAX(0,Cdlac[[#This Row],[Fair Market Rent]]-IF(AND($G$37,$G$38,$G$38&lt;&gt;"",NOT(Cdlac[[#This Row],[Federal]]),Cdlac[[#This Row],[Preservation Rent]]&lt;&gt;""),Cdlac[[#This Row],[Preservation Rent]],Cdlac[[#This Row],[Restricted Rent]])),"")</f>
        <v>463.40000000000009</v>
      </c>
      <c r="T23" s="1044">
        <f>IF(Cdlac[[#This Row],[Quantity]]&gt;0,AND(Application!AK721&lt;&gt;"N/A",Application!AK721&lt;&gt;"")*Cdlac[[#This Row],[Quantity]],"")</f>
        <v>0</v>
      </c>
      <c r="U23" s="1044" t="b">
        <f>AND('Subsidy Contract Calculation'!F7&gt;0,OR('Subsidy Contract Calculation'!C7="Federal",'Subsidy Contract Calculation'!C7="Local - Approved by ED"),Cdlac[[#This Row],[Quantity]]&gt;0)</f>
        <v>0</v>
      </c>
    </row>
    <row r="24" spans="1:21" ht="15" customHeight="1">
      <c r="C24" s="1072">
        <v>0</v>
      </c>
      <c r="D24" s="1073">
        <v>0.9</v>
      </c>
      <c r="E24" s="1072">
        <f>SUMIFS(Cdlac[Quantity],Cdlac[Bedrooms],C24)</f>
        <v>0</v>
      </c>
      <c r="F24" s="1072">
        <f>E24</f>
        <v>0</v>
      </c>
      <c r="G24" s="1072">
        <f>D24*F24</f>
        <v>0</v>
      </c>
      <c r="L24" s="1044">
        <f>IFERROR(MIN(4,MATCH(Application!B722,UnitSizes,0)-1),"")</f>
        <v>1</v>
      </c>
      <c r="M24" s="1065">
        <f>Application!G722</f>
        <v>10</v>
      </c>
      <c r="N24" s="1071">
        <f>Application!AC722</f>
        <v>0.8</v>
      </c>
      <c r="O24" s="1071">
        <f>IF(Cdlac[[#This Row],[Quantity]]&gt;0,IF(Cdlac[[#This Row],[Federal]],30%,IF(AND(OR(NOT($G$38),$G$38=""),$G$43),40%,Cdlac[[#This Row],[iAMI]])),"")</f>
        <v>0.8</v>
      </c>
      <c r="P24" s="1065" cm="1">
        <f t="array" ref="P24">IF(Cdlac[[#This Row],[Quantity]]&gt;0,INDEX(TcacRents,$P$18,Cdlac[[#This Row],[Bedrooms]]+1)*Cdlac[[#This Row],[AMI]],"")</f>
        <v>2244.8000000000002</v>
      </c>
      <c r="Q24" s="1164"/>
      <c r="R24" s="1065" cm="1">
        <f t="array" ref="R24">IF(Cdlac[[#This Row],[Quantity]]&gt;0,INDEX(HudFmrs,$P$18,Cdlac[[#This Row],[Bedrooms]]+1),"")</f>
        <v>2147</v>
      </c>
      <c r="S24" s="1065">
        <f>IF(Cdlac[[#This Row],[Quantity]]&gt;0,MAX(0,Cdlac[[#This Row],[Fair Market Rent]]-IF(AND($G$37,$G$38,$G$38&lt;&gt;"",NOT(Cdlac[[#This Row],[Federal]]),Cdlac[[#This Row],[Preservation Rent]]&lt;&gt;""),Cdlac[[#This Row],[Preservation Rent]],Cdlac[[#This Row],[Restricted Rent]])),"")</f>
        <v>0</v>
      </c>
      <c r="T24" s="1044">
        <f>IF(Cdlac[[#This Row],[Quantity]]&gt;0,AND(Application!AK722&lt;&gt;"N/A",Application!AK722&lt;&gt;"")*Cdlac[[#This Row],[Quantity]],"")</f>
        <v>0</v>
      </c>
      <c r="U24" s="1044" t="b">
        <f>AND('Subsidy Contract Calculation'!F8&gt;0,OR('Subsidy Contract Calculation'!C8="Federal",'Subsidy Contract Calculation'!C8="Local - Approved by ED"),Cdlac[[#This Row],[Quantity]]&gt;0)</f>
        <v>0</v>
      </c>
    </row>
    <row r="25" spans="1:21" ht="15" customHeight="1">
      <c r="C25" s="1072">
        <v>1</v>
      </c>
      <c r="D25" s="1073">
        <v>1</v>
      </c>
      <c r="E25" s="1072">
        <f>SUMIFS(Cdlac[Quantity],Cdlac[Bedrooms],C25)</f>
        <v>26</v>
      </c>
      <c r="F25" s="1072">
        <f>E25</f>
        <v>26</v>
      </c>
      <c r="G25" s="1072">
        <f>D25*F25</f>
        <v>26</v>
      </c>
      <c r="L25" s="1044">
        <f>IFERROR(MIN(4,MATCH(Application!B723,UnitSizes,0)-1),"")</f>
        <v>2</v>
      </c>
      <c r="M25" s="1065">
        <f>Application!G723</f>
        <v>10</v>
      </c>
      <c r="N25" s="1071">
        <f>Application!AC723</f>
        <v>0.3</v>
      </c>
      <c r="O25" s="1071">
        <f>IF(Cdlac[[#This Row],[Quantity]]&gt;0,IF(Cdlac[[#This Row],[Federal]],30%,IF(AND(OR(NOT($G$38),$G$38=""),$G$43),40%,Cdlac[[#This Row],[iAMI]])),"")</f>
        <v>0.3</v>
      </c>
      <c r="P25" s="1065" cm="1">
        <f t="array" ref="P25">IF(Cdlac[[#This Row],[Quantity]]&gt;0,INDEX(TcacRents,$P$18,Cdlac[[#This Row],[Bedrooms]]+1)*Cdlac[[#This Row],[AMI]],"")</f>
        <v>1011</v>
      </c>
      <c r="Q25" s="1164"/>
      <c r="R25" s="1065" cm="1">
        <f t="array" ref="R25">IF(Cdlac[[#This Row],[Quantity]]&gt;0,INDEX(HudFmrs,$P$18,Cdlac[[#This Row],[Bedrooms]]+1),"")</f>
        <v>2569</v>
      </c>
      <c r="S25" s="1065">
        <f>IF(Cdlac[[#This Row],[Quantity]]&gt;0,MAX(0,Cdlac[[#This Row],[Fair Market Rent]]-IF(AND($G$37,$G$38,$G$38&lt;&gt;"",NOT(Cdlac[[#This Row],[Federal]]),Cdlac[[#This Row],[Preservation Rent]]&lt;&gt;""),Cdlac[[#This Row],[Preservation Rent]],Cdlac[[#This Row],[Restricted Rent]])),"")</f>
        <v>1558</v>
      </c>
      <c r="T25" s="1044">
        <f>IF(Cdlac[[#This Row],[Quantity]]&gt;0,AND(Application!AK723&lt;&gt;"N/A",Application!AK723&lt;&gt;"")*Cdlac[[#This Row],[Quantity]],"")</f>
        <v>0</v>
      </c>
      <c r="U25" s="1044" t="b">
        <f>AND('Subsidy Contract Calculation'!F9&gt;0,OR('Subsidy Contract Calculation'!C9="Federal",'Subsidy Contract Calculation'!C9="Local - Approved by ED"),Cdlac[[#This Row],[Quantity]]&gt;0)</f>
        <v>0</v>
      </c>
    </row>
    <row r="26" spans="1:21" ht="15" customHeight="1">
      <c r="A26" s="1074"/>
      <c r="C26" s="1075">
        <v>2</v>
      </c>
      <c r="D26" s="1073">
        <v>1.25</v>
      </c>
      <c r="E26" s="1072">
        <f>SUMIFS(Cdlac[Quantity],Cdlac[Bedrooms],C26)</f>
        <v>34</v>
      </c>
      <c r="F26" s="1075">
        <f>SUM(E26:E28)-SUM(F27:F28)</f>
        <v>37</v>
      </c>
      <c r="G26" s="1072">
        <f>D26*F26</f>
        <v>46.25</v>
      </c>
      <c r="H26" s="1074"/>
      <c r="I26" s="1074"/>
      <c r="L26" s="1044">
        <f>IFERROR(MIN(4,MATCH(Application!B724,UnitSizes,0)-1),"")</f>
        <v>2</v>
      </c>
      <c r="M26" s="1065">
        <f>Application!G724</f>
        <v>2</v>
      </c>
      <c r="N26" s="1071">
        <f>Application!AC724</f>
        <v>0.4</v>
      </c>
      <c r="O26" s="1071">
        <f>IF(Cdlac[[#This Row],[Quantity]]&gt;0,IF(Cdlac[[#This Row],[Federal]],30%,IF(AND(OR(NOT($G$38),$G$38=""),$G$43),40%,Cdlac[[#This Row],[iAMI]])),"")</f>
        <v>0.4</v>
      </c>
      <c r="P26" s="1065" cm="1">
        <f t="array" ref="P26">IF(Cdlac[[#This Row],[Quantity]]&gt;0,INDEX(TcacRents,$P$18,Cdlac[[#This Row],[Bedrooms]]+1)*Cdlac[[#This Row],[AMI]],"")</f>
        <v>1348</v>
      </c>
      <c r="Q26" s="1164"/>
      <c r="R26" s="1065" cm="1">
        <f t="array" ref="R26">IF(Cdlac[[#This Row],[Quantity]]&gt;0,INDEX(HudFmrs,$P$18,Cdlac[[#This Row],[Bedrooms]]+1),"")</f>
        <v>2569</v>
      </c>
      <c r="S26" s="1065">
        <f>IF(Cdlac[[#This Row],[Quantity]]&gt;0,MAX(0,Cdlac[[#This Row],[Fair Market Rent]]-IF(AND($G$37,$G$38,$G$38&lt;&gt;"",NOT(Cdlac[[#This Row],[Federal]]),Cdlac[[#This Row],[Preservation Rent]]&lt;&gt;""),Cdlac[[#This Row],[Preservation Rent]],Cdlac[[#This Row],[Restricted Rent]])),"")</f>
        <v>1221</v>
      </c>
      <c r="T26" s="1044">
        <f>IF(Cdlac[[#This Row],[Quantity]]&gt;0,AND(Application!AK724&lt;&gt;"N/A",Application!AK724&lt;&gt;"")*Cdlac[[#This Row],[Quantity]],"")</f>
        <v>0</v>
      </c>
      <c r="U26" s="1044" t="b">
        <f>AND('Subsidy Contract Calculation'!F10&gt;0,OR('Subsidy Contract Calculation'!C10="Federal",'Subsidy Contract Calculation'!C10="Local - Approved by ED"),Cdlac[[#This Row],[Quantity]]&gt;0)</f>
        <v>0</v>
      </c>
    </row>
    <row r="27" spans="1:21" ht="15" customHeight="1">
      <c r="A27" s="1074"/>
      <c r="C27" s="1075">
        <v>3</v>
      </c>
      <c r="D27" s="1073">
        <f>1.5+0.25*0</f>
        <v>1.5</v>
      </c>
      <c r="E27" s="1072">
        <f>SUMIFS(Cdlac[Quantity],Cdlac[Bedrooms],C27)</f>
        <v>32</v>
      </c>
      <c r="F27" s="1075">
        <f>MIN(E27,ROUNDDOWN(E29*30%,0))</f>
        <v>30</v>
      </c>
      <c r="G27" s="1072">
        <f>D27*F27</f>
        <v>45</v>
      </c>
      <c r="H27" s="1074"/>
      <c r="I27" s="1074"/>
      <c r="L27" s="1044">
        <f>IFERROR(MIN(4,MATCH(Application!B725,UnitSizes,0)-1),"")</f>
        <v>2</v>
      </c>
      <c r="M27" s="1065">
        <f>Application!G725</f>
        <v>2</v>
      </c>
      <c r="N27" s="1071">
        <f>Application!AC725</f>
        <v>0.5</v>
      </c>
      <c r="O27" s="1071">
        <f>IF(Cdlac[[#This Row],[Quantity]]&gt;0,IF(Cdlac[[#This Row],[Federal]],30%,IF(AND(OR(NOT($G$38),$G$38=""),$G$43),40%,Cdlac[[#This Row],[iAMI]])),"")</f>
        <v>0.5</v>
      </c>
      <c r="P27" s="1065" cm="1">
        <f t="array" ref="P27">IF(Cdlac[[#This Row],[Quantity]]&gt;0,INDEX(TcacRents,$P$18,Cdlac[[#This Row],[Bedrooms]]+1)*Cdlac[[#This Row],[AMI]],"")</f>
        <v>1685</v>
      </c>
      <c r="Q27" s="1164"/>
      <c r="R27" s="1065" cm="1">
        <f t="array" ref="R27">IF(Cdlac[[#This Row],[Quantity]]&gt;0,INDEX(HudFmrs,$P$18,Cdlac[[#This Row],[Bedrooms]]+1),"")</f>
        <v>2569</v>
      </c>
      <c r="S27" s="1065">
        <f>IF(Cdlac[[#This Row],[Quantity]]&gt;0,MAX(0,Cdlac[[#This Row],[Fair Market Rent]]-IF(AND($G$37,$G$38,$G$38&lt;&gt;"",NOT(Cdlac[[#This Row],[Federal]]),Cdlac[[#This Row],[Preservation Rent]]&lt;&gt;""),Cdlac[[#This Row],[Preservation Rent]],Cdlac[[#This Row],[Restricted Rent]])),"")</f>
        <v>884</v>
      </c>
      <c r="T27" s="1044">
        <f>IF(Cdlac[[#This Row],[Quantity]]&gt;0,AND(Application!AK725&lt;&gt;"N/A",Application!AK725&lt;&gt;"")*Cdlac[[#This Row],[Quantity]],"")</f>
        <v>0</v>
      </c>
      <c r="U27" s="1044" t="b">
        <f>AND('Subsidy Contract Calculation'!F11&gt;0,OR('Subsidy Contract Calculation'!C11="Federal",'Subsidy Contract Calculation'!C11="Local - Approved by ED"),Cdlac[[#This Row],[Quantity]]&gt;0)</f>
        <v>0</v>
      </c>
    </row>
    <row r="28" spans="1:21" ht="15" customHeight="1" thickBot="1">
      <c r="A28" s="1074"/>
      <c r="C28" s="1086">
        <v>4</v>
      </c>
      <c r="D28" s="1087">
        <f>1.75+0.25*0</f>
        <v>1.75</v>
      </c>
      <c r="E28" s="1088">
        <f>SUMIFS(Cdlac[Quantity],Cdlac[Bedrooms],C28)</f>
        <v>11</v>
      </c>
      <c r="F28" s="1086">
        <f>MIN(E28,ROUNDDOWN(E29*10%,0))</f>
        <v>10</v>
      </c>
      <c r="G28" s="1088">
        <f>D28*F28</f>
        <v>17.5</v>
      </c>
      <c r="H28" s="1074"/>
      <c r="I28" s="1074"/>
      <c r="L28" s="1044">
        <f>IFERROR(MIN(4,MATCH(Application!B726,UnitSizes,0)-1),"")</f>
        <v>2</v>
      </c>
      <c r="M28" s="1065">
        <f>Application!G726</f>
        <v>2</v>
      </c>
      <c r="N28" s="1071">
        <f>Application!AC726</f>
        <v>0.6</v>
      </c>
      <c r="O28" s="1071">
        <f>IF(Cdlac[[#This Row],[Quantity]]&gt;0,IF(Cdlac[[#This Row],[Federal]],30%,IF(AND(OR(NOT($G$38),$G$38=""),$G$43),40%,Cdlac[[#This Row],[iAMI]])),"")</f>
        <v>0.6</v>
      </c>
      <c r="P28" s="1065" cm="1">
        <f t="array" ref="P28">IF(Cdlac[[#This Row],[Quantity]]&gt;0,INDEX(TcacRents,$P$18,Cdlac[[#This Row],[Bedrooms]]+1)*Cdlac[[#This Row],[AMI]],"")</f>
        <v>2022</v>
      </c>
      <c r="Q28" s="1164"/>
      <c r="R28" s="1065" cm="1">
        <f t="array" ref="R28">IF(Cdlac[[#This Row],[Quantity]]&gt;0,INDEX(HudFmrs,$P$18,Cdlac[[#This Row],[Bedrooms]]+1),"")</f>
        <v>2569</v>
      </c>
      <c r="S28" s="1065">
        <f>IF(Cdlac[[#This Row],[Quantity]]&gt;0,MAX(0,Cdlac[[#This Row],[Fair Market Rent]]-IF(AND($G$37,$G$38,$G$38&lt;&gt;"",NOT(Cdlac[[#This Row],[Federal]]),Cdlac[[#This Row],[Preservation Rent]]&lt;&gt;""),Cdlac[[#This Row],[Preservation Rent]],Cdlac[[#This Row],[Restricted Rent]])),"")</f>
        <v>547</v>
      </c>
      <c r="T28" s="1044">
        <f>IF(Cdlac[[#This Row],[Quantity]]&gt;0,AND(Application!AK726&lt;&gt;"N/A",Application!AK726&lt;&gt;"")*Cdlac[[#This Row],[Quantity]],"")</f>
        <v>0</v>
      </c>
      <c r="U28" s="1044" t="b">
        <f>AND('Subsidy Contract Calculation'!F12&gt;0,OR('Subsidy Contract Calculation'!C12="Federal",'Subsidy Contract Calculation'!C12="Local - Approved by ED"),Cdlac[[#This Row],[Quantity]]&gt;0)</f>
        <v>0</v>
      </c>
    </row>
    <row r="29" spans="1:21" ht="15" customHeight="1">
      <c r="A29" s="1074"/>
      <c r="C29" s="2684" t="s">
        <v>1586</v>
      </c>
      <c r="D29" s="2685"/>
      <c r="E29" s="1089">
        <f>SUM(E24:E28)</f>
        <v>103</v>
      </c>
      <c r="F29" s="1089">
        <f>SUM(F24:F28)</f>
        <v>103</v>
      </c>
      <c r="G29" s="1090">
        <f>SUMPRODUCT(D24:D28,F24:F28)</f>
        <v>134.75</v>
      </c>
      <c r="H29" s="1074"/>
      <c r="I29" s="1074"/>
      <c r="L29" s="1044">
        <f>IFERROR(MIN(4,MATCH(Application!B727,UnitSizes,0)-1),"")</f>
        <v>2</v>
      </c>
      <c r="M29" s="1065">
        <f>Application!G727</f>
        <v>18</v>
      </c>
      <c r="N29" s="1071">
        <f>Application!AC727</f>
        <v>0.8</v>
      </c>
      <c r="O29" s="1071">
        <f>IF(Cdlac[[#This Row],[Quantity]]&gt;0,IF(Cdlac[[#This Row],[Federal]],30%,IF(AND(OR(NOT($G$38),$G$38=""),$G$43),40%,Cdlac[[#This Row],[iAMI]])),"")</f>
        <v>0.8</v>
      </c>
      <c r="P29" s="1065" cm="1">
        <f t="array" ref="P29">IF(Cdlac[[#This Row],[Quantity]]&gt;0,INDEX(TcacRents,$P$18,Cdlac[[#This Row],[Bedrooms]]+1)*Cdlac[[#This Row],[AMI]],"")</f>
        <v>2696</v>
      </c>
      <c r="Q29" s="1164"/>
      <c r="R29" s="1065" cm="1">
        <f t="array" ref="R29">IF(Cdlac[[#This Row],[Quantity]]&gt;0,INDEX(HudFmrs,$P$18,Cdlac[[#This Row],[Bedrooms]]+1),"")</f>
        <v>2569</v>
      </c>
      <c r="S29" s="1065">
        <f>IF(Cdlac[[#This Row],[Quantity]]&gt;0,MAX(0,Cdlac[[#This Row],[Fair Market Rent]]-IF(AND($G$37,$G$38,$G$38&lt;&gt;"",NOT(Cdlac[[#This Row],[Federal]]),Cdlac[[#This Row],[Preservation Rent]]&lt;&gt;""),Cdlac[[#This Row],[Preservation Rent]],Cdlac[[#This Row],[Restricted Rent]])),"")</f>
        <v>0</v>
      </c>
      <c r="T29" s="1044">
        <f>IF(Cdlac[[#This Row],[Quantity]]&gt;0,AND(Application!AK727&lt;&gt;"N/A",Application!AK727&lt;&gt;"")*Cdlac[[#This Row],[Quantity]],"")</f>
        <v>0</v>
      </c>
      <c r="U29" s="1044" t="b">
        <f>AND('Subsidy Contract Calculation'!F13&gt;0,OR('Subsidy Contract Calculation'!C13="Federal",'Subsidy Contract Calculation'!C13="Local - Approved by ED"),Cdlac[[#This Row],[Quantity]]&gt;0)</f>
        <v>0</v>
      </c>
    </row>
    <row r="30" spans="1:21" ht="15" customHeight="1">
      <c r="A30" s="1074"/>
      <c r="C30" s="1074"/>
      <c r="D30" s="1074"/>
      <c r="E30" s="1074"/>
      <c r="F30" s="1074"/>
      <c r="G30" s="1074"/>
      <c r="H30" s="1074"/>
      <c r="I30" s="1074"/>
      <c r="L30" s="1044">
        <f>IFERROR(MIN(4,MATCH(Application!B728,UnitSizes,0)-1),"")</f>
        <v>3</v>
      </c>
      <c r="M30" s="1065">
        <f>Application!G728</f>
        <v>10</v>
      </c>
      <c r="N30" s="1071">
        <f>Application!AC728</f>
        <v>0.3</v>
      </c>
      <c r="O30" s="1071">
        <f>IF(Cdlac[[#This Row],[Quantity]]&gt;0,IF(Cdlac[[#This Row],[Federal]],30%,IF(AND(OR(NOT($G$38),$G$38=""),$G$43),40%,Cdlac[[#This Row],[iAMI]])),"")</f>
        <v>0.3</v>
      </c>
      <c r="P30" s="1065" cm="1">
        <f t="array" ref="P30">IF(Cdlac[[#This Row],[Quantity]]&gt;0,INDEX(TcacRents,$P$18,Cdlac[[#This Row],[Bedrooms]]+1)*Cdlac[[#This Row],[AMI]],"")</f>
        <v>1167.5999999999999</v>
      </c>
      <c r="Q30" s="1164"/>
      <c r="R30" s="1065" cm="1">
        <f t="array" ref="R30">IF(Cdlac[[#This Row],[Quantity]]&gt;0,INDEX(HudFmrs,$P$18,Cdlac[[#This Row],[Bedrooms]]+1),"")</f>
        <v>3505</v>
      </c>
      <c r="S30" s="1065">
        <f>IF(Cdlac[[#This Row],[Quantity]]&gt;0,MAX(0,Cdlac[[#This Row],[Fair Market Rent]]-IF(AND($G$37,$G$38,$G$38&lt;&gt;"",NOT(Cdlac[[#This Row],[Federal]]),Cdlac[[#This Row],[Preservation Rent]]&lt;&gt;""),Cdlac[[#This Row],[Preservation Rent]],Cdlac[[#This Row],[Restricted Rent]])),"")</f>
        <v>2337.4</v>
      </c>
      <c r="T30" s="1044">
        <f>IF(Cdlac[[#This Row],[Quantity]]&gt;0,AND(Application!AK728&lt;&gt;"N/A",Application!AK728&lt;&gt;"")*Cdlac[[#This Row],[Quantity]],"")</f>
        <v>0</v>
      </c>
      <c r="U30" s="1044" t="b">
        <f>AND('Subsidy Contract Calculation'!F14&gt;0,OR('Subsidy Contract Calculation'!C14="Federal",'Subsidy Contract Calculation'!C14="Local - Approved by ED"),Cdlac[[#This Row],[Quantity]]&gt;0)</f>
        <v>0</v>
      </c>
    </row>
    <row r="31" spans="1:21" ht="15" customHeight="1">
      <c r="A31" s="1074"/>
      <c r="E31" s="1117" t="s">
        <v>1986</v>
      </c>
      <c r="G31" s="1114">
        <f>G29</f>
        <v>134.75</v>
      </c>
      <c r="H31" s="1074"/>
      <c r="I31" s="1074"/>
      <c r="L31" s="1044">
        <f>IFERROR(MIN(4,MATCH(Application!B729,UnitSizes,0)-1),"")</f>
        <v>3</v>
      </c>
      <c r="M31" s="1065">
        <f>Application!G729</f>
        <v>2</v>
      </c>
      <c r="N31" s="1071">
        <f>Application!AC729</f>
        <v>0.4</v>
      </c>
      <c r="O31" s="1071">
        <f>IF(Cdlac[[#This Row],[Quantity]]&gt;0,IF(Cdlac[[#This Row],[Federal]],30%,IF(AND(OR(NOT($G$38),$G$38=""),$G$43),40%,Cdlac[[#This Row],[iAMI]])),"")</f>
        <v>0.4</v>
      </c>
      <c r="P31" s="1065" cm="1">
        <f t="array" ref="P31">IF(Cdlac[[#This Row],[Quantity]]&gt;0,INDEX(TcacRents,$P$18,Cdlac[[#This Row],[Bedrooms]]+1)*Cdlac[[#This Row],[AMI]],"")</f>
        <v>1556.8000000000002</v>
      </c>
      <c r="Q31" s="1164"/>
      <c r="R31" s="1065" cm="1">
        <f t="array" ref="R31">IF(Cdlac[[#This Row],[Quantity]]&gt;0,INDEX(HudFmrs,$P$18,Cdlac[[#This Row],[Bedrooms]]+1),"")</f>
        <v>3505</v>
      </c>
      <c r="S31" s="1065">
        <f>IF(Cdlac[[#This Row],[Quantity]]&gt;0,MAX(0,Cdlac[[#This Row],[Fair Market Rent]]-IF(AND($G$37,$G$38,$G$38&lt;&gt;"",NOT(Cdlac[[#This Row],[Federal]]),Cdlac[[#This Row],[Preservation Rent]]&lt;&gt;""),Cdlac[[#This Row],[Preservation Rent]],Cdlac[[#This Row],[Restricted Rent]])),"")</f>
        <v>1948.1999999999998</v>
      </c>
      <c r="T31" s="1044">
        <f>IF(Cdlac[[#This Row],[Quantity]]&gt;0,AND(Application!AK729&lt;&gt;"N/A",Application!AK729&lt;&gt;"")*Cdlac[[#This Row],[Quantity]],"")</f>
        <v>0</v>
      </c>
      <c r="U31" s="1044" t="b">
        <f>AND('Subsidy Contract Calculation'!F15&gt;0,OR('Subsidy Contract Calculation'!C15="Federal",'Subsidy Contract Calculation'!C15="Local - Approved by ED"),Cdlac[[#This Row],[Quantity]]&gt;0)</f>
        <v>0</v>
      </c>
    </row>
    <row r="32" spans="1:21" ht="15" customHeight="1">
      <c r="A32" s="1074"/>
      <c r="E32" s="1117" t="s">
        <v>1945</v>
      </c>
      <c r="F32" s="1113" t="s">
        <v>1993</v>
      </c>
      <c r="G32" s="1115">
        <v>50000</v>
      </c>
      <c r="H32" s="1074"/>
      <c r="I32" s="1074"/>
      <c r="L32" s="1044">
        <f>IFERROR(MIN(4,MATCH(Application!B730,UnitSizes,0)-1),"")</f>
        <v>3</v>
      </c>
      <c r="M32" s="1065">
        <f>Application!G730</f>
        <v>2</v>
      </c>
      <c r="N32" s="1071">
        <f>Application!AC730</f>
        <v>0.5</v>
      </c>
      <c r="O32" s="1071">
        <f>IF(Cdlac[[#This Row],[Quantity]]&gt;0,IF(Cdlac[[#This Row],[Federal]],30%,IF(AND(OR(NOT($G$38),$G$38=""),$G$43),40%,Cdlac[[#This Row],[iAMI]])),"")</f>
        <v>0.5</v>
      </c>
      <c r="P32" s="1065" cm="1">
        <f t="array" ref="P32">IF(Cdlac[[#This Row],[Quantity]]&gt;0,INDEX(TcacRents,$P$18,Cdlac[[#This Row],[Bedrooms]]+1)*Cdlac[[#This Row],[AMI]],"")</f>
        <v>1946</v>
      </c>
      <c r="Q32" s="1164"/>
      <c r="R32" s="1065" cm="1">
        <f t="array" ref="R32">IF(Cdlac[[#This Row],[Quantity]]&gt;0,INDEX(HudFmrs,$P$18,Cdlac[[#This Row],[Bedrooms]]+1),"")</f>
        <v>3505</v>
      </c>
      <c r="S32" s="1065">
        <f>IF(Cdlac[[#This Row],[Quantity]]&gt;0,MAX(0,Cdlac[[#This Row],[Fair Market Rent]]-IF(AND($G$37,$G$38,$G$38&lt;&gt;"",NOT(Cdlac[[#This Row],[Federal]]),Cdlac[[#This Row],[Preservation Rent]]&lt;&gt;""),Cdlac[[#This Row],[Preservation Rent]],Cdlac[[#This Row],[Restricted Rent]])),"")</f>
        <v>1559</v>
      </c>
      <c r="T32" s="1044">
        <f>IF(Cdlac[[#This Row],[Quantity]]&gt;0,AND(Application!AK730&lt;&gt;"N/A",Application!AK730&lt;&gt;"")*Cdlac[[#This Row],[Quantity]],"")</f>
        <v>0</v>
      </c>
      <c r="U32" s="1044" t="b">
        <f>AND('Subsidy Contract Calculation'!F16&gt;0,OR('Subsidy Contract Calculation'!C16="Federal",'Subsidy Contract Calculation'!C16="Local - Approved by ED"),Cdlac[[#This Row],[Quantity]]&gt;0)</f>
        <v>0</v>
      </c>
    </row>
    <row r="33" spans="1:21" ht="15" customHeight="1">
      <c r="A33" s="1074"/>
      <c r="E33" s="1118" t="s">
        <v>1979</v>
      </c>
      <c r="F33" s="1046"/>
      <c r="G33" s="1119">
        <f>G32*G31</f>
        <v>6737500</v>
      </c>
      <c r="H33" s="1074"/>
      <c r="I33" s="1074"/>
      <c r="L33" s="1044">
        <f>IFERROR(MIN(4,MATCH(Application!B731,UnitSizes,0)-1),"")</f>
        <v>3</v>
      </c>
      <c r="M33" s="1065">
        <f>Application!G731</f>
        <v>2</v>
      </c>
      <c r="N33" s="1071">
        <f>Application!AC731</f>
        <v>0.6</v>
      </c>
      <c r="O33" s="1071">
        <f>IF(Cdlac[[#This Row],[Quantity]]&gt;0,IF(Cdlac[[#This Row],[Federal]],30%,IF(AND(OR(NOT($G$38),$G$38=""),$G$43),40%,Cdlac[[#This Row],[iAMI]])),"")</f>
        <v>0.6</v>
      </c>
      <c r="P33" s="1065" cm="1">
        <f t="array" ref="P33">IF(Cdlac[[#This Row],[Quantity]]&gt;0,INDEX(TcacRents,$P$18,Cdlac[[#This Row],[Bedrooms]]+1)*Cdlac[[#This Row],[AMI]],"")</f>
        <v>2335.1999999999998</v>
      </c>
      <c r="Q33" s="1164"/>
      <c r="R33" s="1065" cm="1">
        <f t="array" ref="R33">IF(Cdlac[[#This Row],[Quantity]]&gt;0,INDEX(HudFmrs,$P$18,Cdlac[[#This Row],[Bedrooms]]+1),"")</f>
        <v>3505</v>
      </c>
      <c r="S33" s="1065">
        <f>IF(Cdlac[[#This Row],[Quantity]]&gt;0,MAX(0,Cdlac[[#This Row],[Fair Market Rent]]-IF(AND($G$37,$G$38,$G$38&lt;&gt;"",NOT(Cdlac[[#This Row],[Federal]]),Cdlac[[#This Row],[Preservation Rent]]&lt;&gt;""),Cdlac[[#This Row],[Preservation Rent]],Cdlac[[#This Row],[Restricted Rent]])),"")</f>
        <v>1169.8000000000002</v>
      </c>
      <c r="T33" s="1044">
        <f>IF(Cdlac[[#This Row],[Quantity]]&gt;0,AND(Application!AK731&lt;&gt;"N/A",Application!AK731&lt;&gt;"")*Cdlac[[#This Row],[Quantity]],"")</f>
        <v>0</v>
      </c>
      <c r="U33" s="1044" t="b">
        <f>AND('Subsidy Contract Calculation'!F17&gt;0,OR('Subsidy Contract Calculation'!C17="Federal",'Subsidy Contract Calculation'!C17="Local - Approved by ED"),Cdlac[[#This Row],[Quantity]]&gt;0)</f>
        <v>0</v>
      </c>
    </row>
    <row r="34" spans="1:21" ht="15" customHeight="1">
      <c r="A34" s="1074"/>
      <c r="B34" s="1074"/>
      <c r="C34" s="1074"/>
      <c r="D34" s="1074"/>
      <c r="E34" s="1074"/>
      <c r="F34" s="1074"/>
      <c r="G34" s="1074"/>
      <c r="H34" s="1074"/>
      <c r="I34" s="1074"/>
      <c r="L34" s="1044">
        <f>IFERROR(MIN(4,MATCH(Application!B732,UnitSizes,0)-1),"")</f>
        <v>3</v>
      </c>
      <c r="M34" s="1065">
        <f>Application!G732</f>
        <v>16</v>
      </c>
      <c r="N34" s="1071">
        <f>Application!AC732</f>
        <v>0.8</v>
      </c>
      <c r="O34" s="1071">
        <f>IF(Cdlac[[#This Row],[Quantity]]&gt;0,IF(Cdlac[[#This Row],[Federal]],30%,IF(AND(OR(NOT($G$38),$G$38=""),$G$43),40%,Cdlac[[#This Row],[iAMI]])),"")</f>
        <v>0.8</v>
      </c>
      <c r="P34" s="1065" cm="1">
        <f t="array" ref="P34">IF(Cdlac[[#This Row],[Quantity]]&gt;0,INDEX(TcacRents,$P$18,Cdlac[[#This Row],[Bedrooms]]+1)*Cdlac[[#This Row],[AMI]],"")</f>
        <v>3113.6000000000004</v>
      </c>
      <c r="Q34" s="1164"/>
      <c r="R34" s="1065" cm="1">
        <f t="array" ref="R34">IF(Cdlac[[#This Row],[Quantity]]&gt;0,INDEX(HudFmrs,$P$18,Cdlac[[#This Row],[Bedrooms]]+1),"")</f>
        <v>3505</v>
      </c>
      <c r="S34" s="1065">
        <f>IF(Cdlac[[#This Row],[Quantity]]&gt;0,MAX(0,Cdlac[[#This Row],[Fair Market Rent]]-IF(AND($G$37,$G$38,$G$38&lt;&gt;"",NOT(Cdlac[[#This Row],[Federal]]),Cdlac[[#This Row],[Preservation Rent]]&lt;&gt;""),Cdlac[[#This Row],[Preservation Rent]],Cdlac[[#This Row],[Restricted Rent]])),"")</f>
        <v>391.39999999999964</v>
      </c>
      <c r="T34" s="1044">
        <f>IF(Cdlac[[#This Row],[Quantity]]&gt;0,AND(Application!AK732&lt;&gt;"N/A",Application!AK732&lt;&gt;"")*Cdlac[[#This Row],[Quantity]],"")</f>
        <v>0</v>
      </c>
      <c r="U34" s="1044" t="b">
        <f>AND('Subsidy Contract Calculation'!F18&gt;0,OR('Subsidy Contract Calculation'!C18="Federal",'Subsidy Contract Calculation'!C18="Local - Approved by ED"),Cdlac[[#This Row],[Quantity]]&gt;0)</f>
        <v>0</v>
      </c>
    </row>
    <row r="35" spans="1:21" ht="15" customHeight="1">
      <c r="B35" s="1066" t="str">
        <f>B10</f>
        <v>B. Rent Savings Benefit</v>
      </c>
      <c r="C35" s="1067"/>
      <c r="D35" s="1067"/>
      <c r="E35" s="1067"/>
      <c r="F35" s="1067"/>
      <c r="G35" s="1067"/>
      <c r="H35" s="1067"/>
      <c r="I35" s="1068"/>
      <c r="L35" s="1044">
        <f>IFERROR(MIN(4,MATCH(Application!B733,UnitSizes,0)-1),"")</f>
        <v>4</v>
      </c>
      <c r="M35" s="1065">
        <f>Application!G733</f>
        <v>2</v>
      </c>
      <c r="N35" s="1071">
        <f>Application!AC733</f>
        <v>0.3</v>
      </c>
      <c r="O35" s="1071">
        <f>IF(Cdlac[[#This Row],[Quantity]]&gt;0,IF(Cdlac[[#This Row],[Federal]],30%,IF(AND(OR(NOT($G$38),$G$38=""),$G$43),40%,Cdlac[[#This Row],[iAMI]])),"")</f>
        <v>0.3</v>
      </c>
      <c r="P35" s="1065" cm="1">
        <f t="array" ref="P35">IF(Cdlac[[#This Row],[Quantity]]&gt;0,INDEX(TcacRents,$P$18,Cdlac[[#This Row],[Bedrooms]]+1)*Cdlac[[#This Row],[AMI]],"")</f>
        <v>1302.5999999999999</v>
      </c>
      <c r="Q35" s="1164"/>
      <c r="R35" s="1065" cm="1">
        <f t="array" ref="R35">IF(Cdlac[[#This Row],[Quantity]]&gt;0,INDEX(HudFmrs,$P$18,Cdlac[[#This Row],[Bedrooms]]+1),"")</f>
        <v>4080</v>
      </c>
      <c r="S35" s="1065">
        <f>IF(Cdlac[[#This Row],[Quantity]]&gt;0,MAX(0,Cdlac[[#This Row],[Fair Market Rent]]-IF(AND($G$37,$G$38,$G$38&lt;&gt;"",NOT(Cdlac[[#This Row],[Federal]]),Cdlac[[#This Row],[Preservation Rent]]&lt;&gt;""),Cdlac[[#This Row],[Preservation Rent]],Cdlac[[#This Row],[Restricted Rent]])),"")</f>
        <v>2777.4</v>
      </c>
      <c r="T35" s="1044">
        <f>IF(Cdlac[[#This Row],[Quantity]]&gt;0,AND(Application!AK733&lt;&gt;"N/A",Application!AK733&lt;&gt;"")*Cdlac[[#This Row],[Quantity]],"")</f>
        <v>0</v>
      </c>
      <c r="U35" s="1044" t="b">
        <f>AND('Subsidy Contract Calculation'!F19&gt;0,OR('Subsidy Contract Calculation'!C19="Federal",'Subsidy Contract Calculation'!C19="Local - Approved by ED"),Cdlac[[#This Row],[Quantity]]&gt;0)</f>
        <v>0</v>
      </c>
    </row>
    <row r="36" spans="1:21" ht="15" customHeight="1">
      <c r="L36" s="1044">
        <f>IFERROR(MIN(4,MATCH(Application!B734,UnitSizes,0)-1),"")</f>
        <v>4</v>
      </c>
      <c r="M36" s="1065">
        <f>Application!G734</f>
        <v>1</v>
      </c>
      <c r="N36" s="1071">
        <f>Application!AC734</f>
        <v>0.4</v>
      </c>
      <c r="O36" s="1071">
        <f>IF(Cdlac[[#This Row],[Quantity]]&gt;0,IF(Cdlac[[#This Row],[Federal]],30%,IF(AND(OR(NOT($G$38),$G$38=""),$G$43),40%,Cdlac[[#This Row],[iAMI]])),"")</f>
        <v>0.4</v>
      </c>
      <c r="P36" s="1065" cm="1">
        <f t="array" ref="P36">IF(Cdlac[[#This Row],[Quantity]]&gt;0,INDEX(TcacRents,$P$18,Cdlac[[#This Row],[Bedrooms]]+1)*Cdlac[[#This Row],[AMI]],"")</f>
        <v>1736.8000000000002</v>
      </c>
      <c r="Q36" s="1164"/>
      <c r="R36" s="1065" cm="1">
        <f t="array" ref="R36">IF(Cdlac[[#This Row],[Quantity]]&gt;0,INDEX(HudFmrs,$P$18,Cdlac[[#This Row],[Bedrooms]]+1),"")</f>
        <v>4080</v>
      </c>
      <c r="S36" s="1065">
        <f>IF(Cdlac[[#This Row],[Quantity]]&gt;0,MAX(0,Cdlac[[#This Row],[Fair Market Rent]]-IF(AND($G$37,$G$38,$G$38&lt;&gt;"",NOT(Cdlac[[#This Row],[Federal]]),Cdlac[[#This Row],[Preservation Rent]]&lt;&gt;""),Cdlac[[#This Row],[Preservation Rent]],Cdlac[[#This Row],[Restricted Rent]])),"")</f>
        <v>2343.1999999999998</v>
      </c>
      <c r="T36" s="1044">
        <f>IF(Cdlac[[#This Row],[Quantity]]&gt;0,AND(Application!AK734&lt;&gt;"N/A",Application!AK734&lt;&gt;"")*Cdlac[[#This Row],[Quantity]],"")</f>
        <v>0</v>
      </c>
      <c r="U36" s="1044" t="b">
        <f>AND('Subsidy Contract Calculation'!F20&gt;0,OR('Subsidy Contract Calculation'!C20="Federal",'Subsidy Contract Calculation'!C20="Local - Approved by ED"),Cdlac[[#This Row],[Quantity]]&gt;0)</f>
        <v>0</v>
      </c>
    </row>
    <row r="37" spans="1:21" ht="15" customHeight="1">
      <c r="E37" s="1084" t="s">
        <v>2260</v>
      </c>
      <c r="G37" s="1044" t="b">
        <f>OR('Points System'!B13="Yes",'Points System'!B16="Yes",'Points System'!B22="Yes",'Points System'!B25="Yes",'Points System'!B28="Yes",'Points System'!B33="Yes",'Points System'!B36="Yes",'Points System'!B40="Yes",'Points System'!B45="Yes")</f>
        <v>0</v>
      </c>
      <c r="L37" s="1044">
        <f>IFERROR(MIN(4,MATCH(Application!B735,UnitSizes,0)-1),"")</f>
        <v>4</v>
      </c>
      <c r="M37" s="1065">
        <f>Application!G735</f>
        <v>1</v>
      </c>
      <c r="N37" s="1071">
        <f>Application!AC735</f>
        <v>0.5</v>
      </c>
      <c r="O37" s="1071">
        <f>IF(Cdlac[[#This Row],[Quantity]]&gt;0,IF(Cdlac[[#This Row],[Federal]],30%,IF(AND(OR(NOT($G$38),$G$38=""),$G$43),40%,Cdlac[[#This Row],[iAMI]])),"")</f>
        <v>0.5</v>
      </c>
      <c r="P37" s="1065" cm="1">
        <f t="array" ref="P37">IF(Cdlac[[#This Row],[Quantity]]&gt;0,INDEX(TcacRents,$P$18,Cdlac[[#This Row],[Bedrooms]]+1)*Cdlac[[#This Row],[AMI]],"")</f>
        <v>2171</v>
      </c>
      <c r="Q37" s="1164"/>
      <c r="R37" s="1065" cm="1">
        <f t="array" ref="R37">IF(Cdlac[[#This Row],[Quantity]]&gt;0,INDEX(HudFmrs,$P$18,Cdlac[[#This Row],[Bedrooms]]+1),"")</f>
        <v>4080</v>
      </c>
      <c r="S37" s="1065">
        <f>IF(Cdlac[[#This Row],[Quantity]]&gt;0,MAX(0,Cdlac[[#This Row],[Fair Market Rent]]-IF(AND($G$37,$G$38,$G$38&lt;&gt;"",NOT(Cdlac[[#This Row],[Federal]]),Cdlac[[#This Row],[Preservation Rent]]&lt;&gt;""),Cdlac[[#This Row],[Preservation Rent]],Cdlac[[#This Row],[Restricted Rent]])),"")</f>
        <v>1909</v>
      </c>
      <c r="T37" s="1044">
        <f>IF(Cdlac[[#This Row],[Quantity]]&gt;0,AND(Application!AK735&lt;&gt;"N/A",Application!AK735&lt;&gt;"")*Cdlac[[#This Row],[Quantity]],"")</f>
        <v>0</v>
      </c>
      <c r="U37" s="1044" t="b">
        <f>AND('Subsidy Contract Calculation'!F21&gt;0,OR('Subsidy Contract Calculation'!C21="Federal",'Subsidy Contract Calculation'!C21="Local - Approved by ED"),Cdlac[[#This Row],[Quantity]]&gt;0)</f>
        <v>0</v>
      </c>
    </row>
    <row r="38" spans="1:21" ht="15" customHeight="1">
      <c r="E38" s="1084" t="s">
        <v>2261</v>
      </c>
      <c r="G38" s="1163"/>
      <c r="L38" s="1044">
        <f>IFERROR(MIN(4,MATCH(Application!B736,UnitSizes,0)-1),"")</f>
        <v>4</v>
      </c>
      <c r="M38" s="1065">
        <f>Application!G736</f>
        <v>1</v>
      </c>
      <c r="N38" s="1071">
        <f>Application!AC736</f>
        <v>0.6</v>
      </c>
      <c r="O38" s="1071">
        <f>IF(Cdlac[[#This Row],[Quantity]]&gt;0,IF(Cdlac[[#This Row],[Federal]],30%,IF(AND(OR(NOT($G$38),$G$38=""),$G$43),40%,Cdlac[[#This Row],[iAMI]])),"")</f>
        <v>0.6</v>
      </c>
      <c r="P38" s="1065" cm="1">
        <f t="array" ref="P38">IF(Cdlac[[#This Row],[Quantity]]&gt;0,INDEX(TcacRents,$P$18,Cdlac[[#This Row],[Bedrooms]]+1)*Cdlac[[#This Row],[AMI]],"")</f>
        <v>2605.1999999999998</v>
      </c>
      <c r="Q38" s="1164"/>
      <c r="R38" s="1065" cm="1">
        <f t="array" ref="R38">IF(Cdlac[[#This Row],[Quantity]]&gt;0,INDEX(HudFmrs,$P$18,Cdlac[[#This Row],[Bedrooms]]+1),"")</f>
        <v>4080</v>
      </c>
      <c r="S38" s="1065">
        <f>IF(Cdlac[[#This Row],[Quantity]]&gt;0,MAX(0,Cdlac[[#This Row],[Fair Market Rent]]-IF(AND($G$37,$G$38,$G$38&lt;&gt;"",NOT(Cdlac[[#This Row],[Federal]]),Cdlac[[#This Row],[Preservation Rent]]&lt;&gt;""),Cdlac[[#This Row],[Preservation Rent]],Cdlac[[#This Row],[Restricted Rent]])),"")</f>
        <v>1474.8000000000002</v>
      </c>
      <c r="T38" s="1044">
        <f>IF(Cdlac[[#This Row],[Quantity]]&gt;0,AND(Application!AK736&lt;&gt;"N/A",Application!AK736&lt;&gt;"")*Cdlac[[#This Row],[Quantity]],"")</f>
        <v>0</v>
      </c>
      <c r="U38" s="1044" t="b">
        <f>AND('Subsidy Contract Calculation'!F22&gt;0,OR('Subsidy Contract Calculation'!C22="Federal",'Subsidy Contract Calculation'!C22="Local - Approved by ED"),Cdlac[[#This Row],[Quantity]]&gt;0)</f>
        <v>0</v>
      </c>
    </row>
    <row r="39" spans="1:21" ht="15" customHeight="1">
      <c r="C39" s="2687" t="str">
        <f>IF(AND(G37,G38,G38&lt;&gt;""),"Enter the average rent charged for each unit type over the last three years, as documented with rent rolls or property audits, in cells Q20:Q44","")</f>
        <v/>
      </c>
      <c r="D39" s="2687"/>
      <c r="E39" s="2687"/>
      <c r="F39" s="2687"/>
      <c r="G39" s="2687"/>
      <c r="H39" s="2687"/>
      <c r="L39" s="1044">
        <f>IFERROR(MIN(4,MATCH(Application!B737,UnitSizes,0)-1),"")</f>
        <v>4</v>
      </c>
      <c r="M39" s="1065">
        <f>Application!G737</f>
        <v>6</v>
      </c>
      <c r="N39" s="1071">
        <f>Application!AC737</f>
        <v>0.8</v>
      </c>
      <c r="O39" s="1071">
        <f>IF(Cdlac[[#This Row],[Quantity]]&gt;0,IF(Cdlac[[#This Row],[Federal]],30%,IF(AND(OR(NOT($G$38),$G$38=""),$G$43),40%,Cdlac[[#This Row],[iAMI]])),"")</f>
        <v>0.8</v>
      </c>
      <c r="P39" s="1065" cm="1">
        <f t="array" ref="P39">IF(Cdlac[[#This Row],[Quantity]]&gt;0,INDEX(TcacRents,$P$18,Cdlac[[#This Row],[Bedrooms]]+1)*Cdlac[[#This Row],[AMI]],"")</f>
        <v>3473.6000000000004</v>
      </c>
      <c r="Q39" s="1164"/>
      <c r="R39" s="1065" cm="1">
        <f t="array" ref="R39">IF(Cdlac[[#This Row],[Quantity]]&gt;0,INDEX(HudFmrs,$P$18,Cdlac[[#This Row],[Bedrooms]]+1),"")</f>
        <v>4080</v>
      </c>
      <c r="S39" s="1065">
        <f>IF(Cdlac[[#This Row],[Quantity]]&gt;0,MAX(0,Cdlac[[#This Row],[Fair Market Rent]]-IF(AND($G$37,$G$38,$G$38&lt;&gt;"",NOT(Cdlac[[#This Row],[Federal]]),Cdlac[[#This Row],[Preservation Rent]]&lt;&gt;""),Cdlac[[#This Row],[Preservation Rent]],Cdlac[[#This Row],[Restricted Rent]])),"")</f>
        <v>606.39999999999964</v>
      </c>
      <c r="T39" s="1044">
        <f>IF(Cdlac[[#This Row],[Quantity]]&gt;0,AND(Application!AK737&lt;&gt;"N/A",Application!AK737&lt;&gt;"")*Cdlac[[#This Row],[Quantity]],"")</f>
        <v>0</v>
      </c>
      <c r="U39" s="1044" t="b">
        <f>AND('Subsidy Contract Calculation'!F23&gt;0,OR('Subsidy Contract Calculation'!C23="Federal",'Subsidy Contract Calculation'!C23="Local - Approved by ED"),Cdlac[[#This Row],[Quantity]]&gt;0)</f>
        <v>0</v>
      </c>
    </row>
    <row r="40" spans="1:21" ht="15" customHeight="1">
      <c r="C40" s="2687"/>
      <c r="D40" s="2687"/>
      <c r="E40" s="2687"/>
      <c r="F40" s="2687"/>
      <c r="G40" s="2687"/>
      <c r="H40" s="2687"/>
      <c r="L40" s="1044" t="str">
        <f>IFERROR(MIN(4,MATCH(Application!B738,UnitSizes,0)-1),"")</f>
        <v/>
      </c>
      <c r="M40" s="1065">
        <f>Application!G738</f>
        <v>0</v>
      </c>
      <c r="N40" s="1071">
        <f>Application!AC738</f>
        <v>0</v>
      </c>
      <c r="O40" s="1071" t="str">
        <f>IF(Cdlac[[#This Row],[Quantity]]&gt;0,IF(Cdlac[[#This Row],[Federal]],30%,IF(AND(OR(NOT($G$38),$G$38=""),$G$43),40%,Cdlac[[#This Row],[iAMI]])),"")</f>
        <v/>
      </c>
      <c r="P40" s="1065" t="str" cm="1">
        <f t="array" ref="P40">IF(Cdlac[[#This Row],[Quantity]]&gt;0,INDEX(TcacRents,$P$18,Cdlac[[#This Row],[Bedrooms]]+1)*Cdlac[[#This Row],[AMI]],"")</f>
        <v/>
      </c>
      <c r="Q40" s="1164"/>
      <c r="R40" s="1065" t="str" cm="1">
        <f t="array" ref="R40">IF(Cdlac[[#This Row],[Quantity]]&gt;0,INDEX(HudFmrs,$P$18,Cdlac[[#This Row],[Bedrooms]]+1),"")</f>
        <v/>
      </c>
      <c r="S40" s="1065" t="str">
        <f>IF(Cdlac[[#This Row],[Quantity]]&gt;0,MAX(0,Cdlac[[#This Row],[Fair Market Rent]]-IF(AND($G$37,$G$38,$G$38&lt;&gt;"",NOT(Cdlac[[#This Row],[Federal]]),Cdlac[[#This Row],[Preservation Rent]]&lt;&gt;""),Cdlac[[#This Row],[Preservation Rent]],Cdlac[[#This Row],[Restricted Rent]])),"")</f>
        <v/>
      </c>
      <c r="T40" s="1044" t="str">
        <f>IF(Cdlac[[#This Row],[Quantity]]&gt;0,AND(Application!AK738&lt;&gt;"N/A",Application!AK738&lt;&gt;"")*Cdlac[[#This Row],[Quantity]],"")</f>
        <v/>
      </c>
      <c r="U40" s="1044" t="b">
        <f>AND('Subsidy Contract Calculation'!F24&gt;0,OR('Subsidy Contract Calculation'!C24="Federal",'Subsidy Contract Calculation'!C24="Local - Approved by ED"),Cdlac[[#This Row],[Quantity]]&gt;0)</f>
        <v>0</v>
      </c>
    </row>
    <row r="41" spans="1:21" ht="15" customHeight="1">
      <c r="C41" s="2687"/>
      <c r="D41" s="2687"/>
      <c r="E41" s="2687"/>
      <c r="F41" s="2687"/>
      <c r="G41" s="2687"/>
      <c r="H41" s="2687"/>
      <c r="L41" s="1044" t="str">
        <f>IFERROR(MIN(4,MATCH(Application!B739,UnitSizes,0)-1),"")</f>
        <v/>
      </c>
      <c r="M41" s="1065">
        <f>Application!G739</f>
        <v>0</v>
      </c>
      <c r="N41" s="1071">
        <f>Application!AC739</f>
        <v>0</v>
      </c>
      <c r="O41" s="1071" t="str">
        <f>IF(Cdlac[[#This Row],[Quantity]]&gt;0,IF(Cdlac[[#This Row],[Federal]],30%,IF(AND(OR(NOT($G$38),$G$38=""),$G$43),40%,Cdlac[[#This Row],[iAMI]])),"")</f>
        <v/>
      </c>
      <c r="P41" s="1065" t="str" cm="1">
        <f t="array" ref="P41">IF(Cdlac[[#This Row],[Quantity]]&gt;0,INDEX(TcacRents,$P$18,Cdlac[[#This Row],[Bedrooms]]+1)*Cdlac[[#This Row],[AMI]],"")</f>
        <v/>
      </c>
      <c r="Q41" s="1164"/>
      <c r="R41" s="1065" t="str" cm="1">
        <f t="array" ref="R41">IF(Cdlac[[#This Row],[Quantity]]&gt;0,INDEX(HudFmrs,$P$18,Cdlac[[#This Row],[Bedrooms]]+1),"")</f>
        <v/>
      </c>
      <c r="S41" s="1065" t="str">
        <f>IF(Cdlac[[#This Row],[Quantity]]&gt;0,MAX(0,Cdlac[[#This Row],[Fair Market Rent]]-IF(AND($G$37,$G$38,$G$38&lt;&gt;"",NOT(Cdlac[[#This Row],[Federal]]),Cdlac[[#This Row],[Preservation Rent]]&lt;&gt;""),Cdlac[[#This Row],[Preservation Rent]],Cdlac[[#This Row],[Restricted Rent]])),"")</f>
        <v/>
      </c>
      <c r="T41" s="1044" t="str">
        <f>IF(Cdlac[[#This Row],[Quantity]]&gt;0,AND(Application!AK739&lt;&gt;"N/A",Application!AK739&lt;&gt;"")*Cdlac[[#This Row],[Quantity]],"")</f>
        <v/>
      </c>
      <c r="U41" s="1044" t="b">
        <f>AND('Subsidy Contract Calculation'!F25&gt;0,OR('Subsidy Contract Calculation'!C25="Federal",'Subsidy Contract Calculation'!C25="Local - Approved by ED"),Cdlac[[#This Row],[Quantity]]&gt;0)</f>
        <v>0</v>
      </c>
    </row>
    <row r="42" spans="1:21" ht="15" customHeight="1">
      <c r="E42" s="1084" t="s">
        <v>2004</v>
      </c>
      <c r="G42" s="1120" cm="1">
        <f t="array" ref="G42">SUMPRODUCT(Cdlac[Quantity],Cdlac[iAMI],IF(Cdlac[Federal],0,1))/SUMIFS(Cdlac[Quantity],Cdlac[Federal],FALSE)</f>
        <v>0.58349514563106808</v>
      </c>
      <c r="L42" s="1044" t="str">
        <f>IFERROR(MIN(4,MATCH(Application!B740,UnitSizes,0)-1),"")</f>
        <v/>
      </c>
      <c r="M42" s="1065">
        <f>Application!G740</f>
        <v>0</v>
      </c>
      <c r="N42" s="1071">
        <f>Application!AC740</f>
        <v>0</v>
      </c>
      <c r="O42" s="1071" t="str">
        <f>IF(Cdlac[[#This Row],[Quantity]]&gt;0,IF(Cdlac[[#This Row],[Federal]],30%,IF(AND(OR(NOT($G$38),$G$38=""),$G$43),40%,Cdlac[[#This Row],[iAMI]])),"")</f>
        <v/>
      </c>
      <c r="P42" s="1065" t="str" cm="1">
        <f t="array" ref="P42">IF(Cdlac[[#This Row],[Quantity]]&gt;0,INDEX(TcacRents,$P$18,Cdlac[[#This Row],[Bedrooms]]+1)*Cdlac[[#This Row],[AMI]],"")</f>
        <v/>
      </c>
      <c r="Q42" s="1164"/>
      <c r="R42" s="1065" t="str" cm="1">
        <f t="array" ref="R42">IF(Cdlac[[#This Row],[Quantity]]&gt;0,INDEX(HudFmrs,$P$18,Cdlac[[#This Row],[Bedrooms]]+1),"")</f>
        <v/>
      </c>
      <c r="S42" s="1065" t="str">
        <f>IF(Cdlac[[#This Row],[Quantity]]&gt;0,MAX(0,Cdlac[[#This Row],[Fair Market Rent]]-IF(AND($G$37,$G$38,$G$38&lt;&gt;"",NOT(Cdlac[[#This Row],[Federal]]),Cdlac[[#This Row],[Preservation Rent]]&lt;&gt;""),Cdlac[[#This Row],[Preservation Rent]],Cdlac[[#This Row],[Restricted Rent]])),"")</f>
        <v/>
      </c>
      <c r="T42" s="1044" t="str">
        <f>IF(Cdlac[[#This Row],[Quantity]]&gt;0,AND(Application!AK740&lt;&gt;"N/A",Application!AK740&lt;&gt;"")*Cdlac[[#This Row],[Quantity]],"")</f>
        <v/>
      </c>
      <c r="U42" s="1044" t="b">
        <f>AND('Subsidy Contract Calculation'!F26&gt;0,OR('Subsidy Contract Calculation'!C26="Federal",'Subsidy Contract Calculation'!C26="Local - Approved by ED"),Cdlac[[#This Row],[Quantity]]&gt;0)</f>
        <v>0</v>
      </c>
    </row>
    <row r="43" spans="1:21" ht="15" customHeight="1">
      <c r="E43" s="1084" t="s">
        <v>1999</v>
      </c>
      <c r="G43" s="1081" t="b">
        <f>G42&lt;40%</f>
        <v>0</v>
      </c>
      <c r="L43" s="1044" t="str">
        <f>IFERROR(MIN(4,MATCH(Application!B741,UnitSizes,0)-1),"")</f>
        <v/>
      </c>
      <c r="M43" s="1065">
        <f>Application!G741</f>
        <v>0</v>
      </c>
      <c r="N43" s="1071">
        <f>Application!AC741</f>
        <v>0</v>
      </c>
      <c r="O43" s="1071" t="str">
        <f>IF(Cdlac[[#This Row],[Quantity]]&gt;0,IF(Cdlac[[#This Row],[Federal]],30%,IF(AND(OR(NOT($G$38),$G$38=""),$G$43),40%,Cdlac[[#This Row],[iAMI]])),"")</f>
        <v/>
      </c>
      <c r="P43" s="1065" t="str" cm="1">
        <f t="array" ref="P43">IF(Cdlac[[#This Row],[Quantity]]&gt;0,INDEX(TcacRents,$P$18,Cdlac[[#This Row],[Bedrooms]]+1)*Cdlac[[#This Row],[AMI]],"")</f>
        <v/>
      </c>
      <c r="Q43" s="1164"/>
      <c r="R43" s="1065" t="str" cm="1">
        <f t="array" ref="R43">IF(Cdlac[[#This Row],[Quantity]]&gt;0,INDEX(HudFmrs,$P$18,Cdlac[[#This Row],[Bedrooms]]+1),"")</f>
        <v/>
      </c>
      <c r="S43" s="1065" t="str">
        <f>IF(Cdlac[[#This Row],[Quantity]]&gt;0,MAX(0,Cdlac[[#This Row],[Fair Market Rent]]-IF(AND($G$37,$G$38,$G$38&lt;&gt;"",NOT(Cdlac[[#This Row],[Federal]]),Cdlac[[#This Row],[Preservation Rent]]&lt;&gt;""),Cdlac[[#This Row],[Preservation Rent]],Cdlac[[#This Row],[Restricted Rent]])),"")</f>
        <v/>
      </c>
      <c r="T43" s="1044" t="str">
        <f>IF(Cdlac[[#This Row],[Quantity]]&gt;0,AND(Application!AK741&lt;&gt;"N/A",Application!AK741&lt;&gt;"")*Cdlac[[#This Row],[Quantity]],"")</f>
        <v/>
      </c>
      <c r="U43" s="1044" t="b">
        <f>AND('Subsidy Contract Calculation'!F27&gt;0,OR('Subsidy Contract Calculation'!C27="Federal",'Subsidy Contract Calculation'!C27="Local - Approved by ED"),Cdlac[[#This Row],[Quantity]]&gt;0)</f>
        <v>0</v>
      </c>
    </row>
    <row r="44" spans="1:21" ht="15" customHeight="1">
      <c r="L44" s="1044" t="str">
        <f>IFERROR(MIN(4,MATCH(Application!B742,UnitSizes,0)-1),"")</f>
        <v/>
      </c>
      <c r="M44" s="1065">
        <f>Application!G742</f>
        <v>0</v>
      </c>
      <c r="N44" s="1071">
        <f>Application!AC742</f>
        <v>0</v>
      </c>
      <c r="O44" s="1071" t="str">
        <f>IF(Cdlac[[#This Row],[Quantity]]&gt;0,IF(Cdlac[[#This Row],[Federal]],30%,IF(AND(OR(NOT($G$38),$G$38=""),$G$43),40%,Cdlac[[#This Row],[iAMI]])),"")</f>
        <v/>
      </c>
      <c r="P44" s="1065" t="str" cm="1">
        <f t="array" ref="P44">IF(Cdlac[[#This Row],[Quantity]]&gt;0,INDEX(TcacRents,$P$18,Cdlac[[#This Row],[Bedrooms]]+1)*Cdlac[[#This Row],[AMI]],"")</f>
        <v/>
      </c>
      <c r="Q44" s="1164"/>
      <c r="R44" s="1065" t="str" cm="1">
        <f t="array" ref="R44">IF(Cdlac[[#This Row],[Quantity]]&gt;0,INDEX(HudFmrs,$P$18,Cdlac[[#This Row],[Bedrooms]]+1),"")</f>
        <v/>
      </c>
      <c r="S44" s="1065" t="str">
        <f>IF(Cdlac[[#This Row],[Quantity]]&gt;0,MAX(0,Cdlac[[#This Row],[Fair Market Rent]]-IF(AND($G$37,$G$38,$G$38&lt;&gt;"",NOT(Cdlac[[#This Row],[Federal]]),Cdlac[[#This Row],[Preservation Rent]]&lt;&gt;""),Cdlac[[#This Row],[Preservation Rent]],Cdlac[[#This Row],[Restricted Rent]])),"")</f>
        <v/>
      </c>
      <c r="T44" s="1044" t="str">
        <f>IF(Cdlac[[#This Row],[Quantity]]&gt;0,AND(Application!AK742&lt;&gt;"N/A",Application!AK742&lt;&gt;"")*Cdlac[[#This Row],[Quantity]],"")</f>
        <v/>
      </c>
      <c r="U44" s="1044" t="b">
        <f>AND('Subsidy Contract Calculation'!F28&gt;0,OR('Subsidy Contract Calculation'!C28="Federal",'Subsidy Contract Calculation'!C28="Local - Approved by ED"),Cdlac[[#This Row],[Quantity]]&gt;0)</f>
        <v>0</v>
      </c>
    </row>
    <row r="45" spans="1:21" ht="15" customHeight="1">
      <c r="E45" s="1084" t="s">
        <v>1949</v>
      </c>
      <c r="G45" s="1078">
        <f>IFERROR(SUMPRODUCT(Cdlac[Quantity],Cdlac[Delta]),0)</f>
        <v>92310.599999999991</v>
      </c>
      <c r="L45" s="1044" t="str">
        <f>IFERROR(MIN(4,MATCH(Application!B743,UnitSizes,0)-1),"")</f>
        <v/>
      </c>
      <c r="M45" s="1065">
        <f>Application!G743</f>
        <v>0</v>
      </c>
      <c r="N45" s="1071">
        <f>Application!AC743</f>
        <v>0</v>
      </c>
      <c r="O45" s="1071" t="str">
        <f>IF(Cdlac[[#This Row],[Quantity]]&gt;0,IF(Cdlac[[#This Row],[Federal]],30%,IF(AND(OR(NOT($G$38),$G$38=""),$G$43),40%,Cdlac[[#This Row],[iAMI]])),"")</f>
        <v/>
      </c>
      <c r="P45" s="1065" t="str" cm="1">
        <f t="array" ref="P45">IF(Cdlac[[#This Row],[Quantity]]&gt;0,INDEX(TcacRents,$P$18,Cdlac[[#This Row],[Bedrooms]]+1)*Cdlac[[#This Row],[AMI]],"")</f>
        <v/>
      </c>
      <c r="Q45" s="1164"/>
      <c r="R45" s="1065" t="str" cm="1">
        <f t="array" ref="R45">IF(Cdlac[[#This Row],[Quantity]]&gt;0,INDEX(HudFmrs,$P$18,Cdlac[[#This Row],[Bedrooms]]+1),"")</f>
        <v/>
      </c>
      <c r="S45" s="1065" t="str">
        <f>IF(Cdlac[[#This Row],[Quantity]]&gt;0,MAX(0,Cdlac[[#This Row],[Fair Market Rent]]-IF(AND($G$37,$G$38,$G$38&lt;&gt;"",NOT(Cdlac[[#This Row],[Federal]]),Cdlac[[#This Row],[Preservation Rent]]&lt;&gt;""),Cdlac[[#This Row],[Preservation Rent]],Cdlac[[#This Row],[Restricted Rent]])),"")</f>
        <v/>
      </c>
      <c r="T45" s="1044" t="str">
        <f>IF(Cdlac[[#This Row],[Quantity]]&gt;0,AND(Application!AK743&lt;&gt;"N/A",Application!AK743&lt;&gt;"")*Cdlac[[#This Row],[Quantity]],"")</f>
        <v/>
      </c>
      <c r="U45" s="1044" t="b">
        <f>AND('Subsidy Contract Calculation'!F29&gt;0,OR('Subsidy Contract Calculation'!C29="Federal",'Subsidy Contract Calculation'!C29="Local - Approved by ED"),Cdlac[[#This Row],[Quantity]]&gt;0)</f>
        <v>0</v>
      </c>
    </row>
    <row r="46" spans="1:21" ht="15" customHeight="1">
      <c r="E46" s="1117" t="s">
        <v>2005</v>
      </c>
      <c r="F46" s="1113" t="s">
        <v>1993</v>
      </c>
      <c r="G46" s="1121">
        <f>12*15</f>
        <v>180</v>
      </c>
      <c r="L46" s="1044" t="str">
        <f>IFERROR(MIN(4,MATCH(Application!B744,UnitSizes,0)-1),"")</f>
        <v/>
      </c>
      <c r="M46" s="1065">
        <f>Application!G744</f>
        <v>0</v>
      </c>
      <c r="N46" s="1071">
        <f>Application!AC744</f>
        <v>0</v>
      </c>
      <c r="O46" s="1071" t="str">
        <f>IF(Cdlac[[#This Row],[Quantity]]&gt;0,IF(Cdlac[[#This Row],[Federal]],30%,IF(AND(OR(NOT($G$38),$G$38=""),$G$43),40%,Cdlac[[#This Row],[iAMI]])),"")</f>
        <v/>
      </c>
      <c r="P46" s="1065" t="str" cm="1">
        <f t="array" ref="P46">IF(Cdlac[[#This Row],[Quantity]]&gt;0,INDEX(TcacRents,$P$18,Cdlac[[#This Row],[Bedrooms]]+1)*Cdlac[[#This Row],[AMI]],"")</f>
        <v/>
      </c>
      <c r="Q46" s="1164"/>
      <c r="R46" s="1065" t="str" cm="1">
        <f t="array" ref="R46">IF(Cdlac[[#This Row],[Quantity]]&gt;0,INDEX(HudFmrs,$P$18,Cdlac[[#This Row],[Bedrooms]]+1),"")</f>
        <v/>
      </c>
      <c r="S46" s="1065" t="str">
        <f>IF(Cdlac[[#This Row],[Quantity]]&gt;0,MAX(0,Cdlac[[#This Row],[Fair Market Rent]]-IF(AND($G$37,$G$38,$G$38&lt;&gt;"",NOT(Cdlac[[#This Row],[Federal]]),Cdlac[[#This Row],[Preservation Rent]]&lt;&gt;""),Cdlac[[#This Row],[Preservation Rent]],Cdlac[[#This Row],[Restricted Rent]])),"")</f>
        <v/>
      </c>
      <c r="T46" s="1044" t="str">
        <f>IF(Cdlac[[#This Row],[Quantity]]&gt;0,AND(Application!AK744&lt;&gt;"N/A",Application!AK744&lt;&gt;"")*Cdlac[[#This Row],[Quantity]],"")</f>
        <v/>
      </c>
      <c r="U46" s="1044" t="b">
        <f>AND('Subsidy Contract Calculation'!F30&gt;0,OR('Subsidy Contract Calculation'!C30="Federal",'Subsidy Contract Calculation'!C30="Local - Approved by ED"),Cdlac[[#This Row],[Quantity]]&gt;0)</f>
        <v>0</v>
      </c>
    </row>
    <row r="47" spans="1:21" ht="15" customHeight="1">
      <c r="E47" s="1122" t="s">
        <v>1944</v>
      </c>
      <c r="F47" s="1046"/>
      <c r="G47" s="1123">
        <f>G45*G46</f>
        <v>16615907.999999998</v>
      </c>
      <c r="L47" s="1044" t="str">
        <f>IFERROR(MIN(4,MATCH(Application!B745,UnitSizes,0)-1),"")</f>
        <v/>
      </c>
      <c r="M47" s="1065">
        <f>Application!G745</f>
        <v>0</v>
      </c>
      <c r="N47" s="1071">
        <f>Application!AC745</f>
        <v>0</v>
      </c>
      <c r="O47" s="1071" t="str">
        <f>IF(Cdlac[[#This Row],[Quantity]]&gt;0,IF(Cdlac[[#This Row],[Federal]],30%,IF(AND(OR(NOT($G$38),$G$38=""),$G$43),40%,Cdlac[[#This Row],[iAMI]])),"")</f>
        <v/>
      </c>
      <c r="P47" s="1065" t="str" cm="1">
        <f t="array" ref="P47">IF(Cdlac[[#This Row],[Quantity]]&gt;0,INDEX(TcacRents,$P$18,Cdlac[[#This Row],[Bedrooms]]+1)*Cdlac[[#This Row],[AMI]],"")</f>
        <v/>
      </c>
      <c r="Q47" s="1164"/>
      <c r="R47" s="1065" t="str" cm="1">
        <f t="array" ref="R47">IF(Cdlac[[#This Row],[Quantity]]&gt;0,INDEX(HudFmrs,$P$18,Cdlac[[#This Row],[Bedrooms]]+1),"")</f>
        <v/>
      </c>
      <c r="S47" s="1065" t="str">
        <f>IF(Cdlac[[#This Row],[Quantity]]&gt;0,MAX(0,Cdlac[[#This Row],[Fair Market Rent]]-IF(AND($G$37,$G$38,$G$38&lt;&gt;"",NOT(Cdlac[[#This Row],[Federal]]),Cdlac[[#This Row],[Preservation Rent]]&lt;&gt;""),Cdlac[[#This Row],[Preservation Rent]],Cdlac[[#This Row],[Restricted Rent]])),"")</f>
        <v/>
      </c>
      <c r="T47" s="1044" t="str">
        <f>IF(Cdlac[[#This Row],[Quantity]]&gt;0,AND(Application!AK745&lt;&gt;"N/A",Application!AK745&lt;&gt;"")*Cdlac[[#This Row],[Quantity]],"")</f>
        <v/>
      </c>
      <c r="U47" s="1044" t="b">
        <f>AND('Subsidy Contract Calculation'!F31&gt;0,OR('Subsidy Contract Calculation'!C31="Federal",'Subsidy Contract Calculation'!C31="Local - Approved by ED"),Cdlac[[#This Row],[Quantity]]&gt;0)</f>
        <v>0</v>
      </c>
    </row>
    <row r="48" spans="1:21" ht="15" customHeight="1">
      <c r="L48" s="1044" t="str">
        <f>IFERROR(MIN(4,MATCH(Application!B746,UnitSizes,0)-1),"")</f>
        <v/>
      </c>
      <c r="M48" s="1065">
        <f>Application!G746</f>
        <v>0</v>
      </c>
      <c r="N48" s="1071">
        <f>Application!AC746</f>
        <v>0</v>
      </c>
      <c r="O48" s="1071" t="str">
        <f>IF(Cdlac[[#This Row],[Quantity]]&gt;0,IF(Cdlac[[#This Row],[Federal]],30%,IF(AND(OR(NOT($G$38),$G$38=""),$G$43),40%,Cdlac[[#This Row],[iAMI]])),"")</f>
        <v/>
      </c>
      <c r="P48" s="1065" t="str" cm="1">
        <f t="array" ref="P48">IF(Cdlac[[#This Row],[Quantity]]&gt;0,INDEX(TcacRents,$P$18,Cdlac[[#This Row],[Bedrooms]]+1)*Cdlac[[#This Row],[AMI]],"")</f>
        <v/>
      </c>
      <c r="Q48" s="1164"/>
      <c r="R48" s="1065" t="str" cm="1">
        <f t="array" ref="R48">IF(Cdlac[[#This Row],[Quantity]]&gt;0,INDEX(HudFmrs,$P$18,Cdlac[[#This Row],[Bedrooms]]+1),"")</f>
        <v/>
      </c>
      <c r="S48" s="1065" t="str">
        <f>IF(Cdlac[[#This Row],[Quantity]]&gt;0,MAX(0,Cdlac[[#This Row],[Fair Market Rent]]-IF(AND($G$37,$G$38,$G$38&lt;&gt;"",NOT(Cdlac[[#This Row],[Federal]]),Cdlac[[#This Row],[Preservation Rent]]&lt;&gt;""),Cdlac[[#This Row],[Preservation Rent]],Cdlac[[#This Row],[Restricted Rent]])),"")</f>
        <v/>
      </c>
      <c r="T48" s="1044" t="str">
        <f>IF(Cdlac[[#This Row],[Quantity]]&gt;0,AND(Application!AK746&lt;&gt;"N/A",Application!AK746&lt;&gt;"")*Cdlac[[#This Row],[Quantity]],"")</f>
        <v/>
      </c>
      <c r="U48" s="1044" t="b">
        <f>AND('Subsidy Contract Calculation'!F32&gt;0,OR('Subsidy Contract Calculation'!C32="Federal",'Subsidy Contract Calculation'!C32="Local - Approved by ED"),Cdlac[[#This Row],[Quantity]]&gt;0)</f>
        <v>0</v>
      </c>
    </row>
    <row r="49" spans="2:21" ht="15" customHeight="1">
      <c r="B49" s="1066" t="str">
        <f>B11&amp;": "&amp;B12</f>
        <v>C. Population Benefit: (1) Special Needs Population Benefit</v>
      </c>
      <c r="C49" s="1067"/>
      <c r="D49" s="1067"/>
      <c r="E49" s="1067"/>
      <c r="F49" s="1067"/>
      <c r="G49" s="1067"/>
      <c r="H49" s="1067"/>
      <c r="I49" s="1068"/>
      <c r="L49" s="1044" t="str">
        <f>IFERROR(MIN(4,MATCH(Application!B747,UnitSizes,0)-1),"")</f>
        <v/>
      </c>
      <c r="M49" s="1065">
        <f>Application!G747</f>
        <v>0</v>
      </c>
      <c r="N49" s="1071">
        <f>Application!AC747</f>
        <v>0</v>
      </c>
      <c r="O49" s="1071" t="str">
        <f>IF(Cdlac[[#This Row],[Quantity]]&gt;0,IF(Cdlac[[#This Row],[Federal]],30%,IF(AND(OR(NOT($G$38),$G$38=""),$G$43),40%,Cdlac[[#This Row],[iAMI]])),"")</f>
        <v/>
      </c>
      <c r="P49" s="1065" t="str" cm="1">
        <f t="array" ref="P49">IF(Cdlac[[#This Row],[Quantity]]&gt;0,INDEX(TcacRents,$P$18,Cdlac[[#This Row],[Bedrooms]]+1)*Cdlac[[#This Row],[AMI]],"")</f>
        <v/>
      </c>
      <c r="Q49" s="1164"/>
      <c r="R49" s="1065" t="str" cm="1">
        <f t="array" ref="R49">IF(Cdlac[[#This Row],[Quantity]]&gt;0,INDEX(HudFmrs,$P$18,Cdlac[[#This Row],[Bedrooms]]+1),"")</f>
        <v/>
      </c>
      <c r="S49" s="1065" t="str">
        <f>IF(Cdlac[[#This Row],[Quantity]]&gt;0,MAX(0,Cdlac[[#This Row],[Fair Market Rent]]-IF(AND($G$37,$G$38,$G$38&lt;&gt;"",NOT(Cdlac[[#This Row],[Federal]]),Cdlac[[#This Row],[Preservation Rent]]&lt;&gt;""),Cdlac[[#This Row],[Preservation Rent]],Cdlac[[#This Row],[Restricted Rent]])),"")</f>
        <v/>
      </c>
      <c r="T49" s="1044" t="str">
        <f>IF(Cdlac[[#This Row],[Quantity]]&gt;0,AND(Application!AK747&lt;&gt;"N/A",Application!AK747&lt;&gt;"")*Cdlac[[#This Row],[Quantity]],"")</f>
        <v/>
      </c>
      <c r="U49" s="1044" t="b">
        <f>AND('Subsidy Contract Calculation'!F33&gt;0,OR('Subsidy Contract Calculation'!C33="Federal",'Subsidy Contract Calculation'!C33="Local - Approved by ED"),Cdlac[[#This Row],[Quantity]]&gt;0)</f>
        <v>0</v>
      </c>
    </row>
    <row r="50" spans="2:21" ht="15" customHeight="1">
      <c r="L50" s="1044" t="str">
        <f>IFERROR(MIN(4,MATCH(Application!B748,UnitSizes,0)-1),"")</f>
        <v/>
      </c>
      <c r="M50" s="1065">
        <f>Application!G748</f>
        <v>0</v>
      </c>
      <c r="N50" s="1071">
        <f>Application!AC748</f>
        <v>0</v>
      </c>
      <c r="O50" s="1071" t="str">
        <f>IF(Cdlac[[#This Row],[Quantity]]&gt;0,IF(Cdlac[[#This Row],[Federal]],30%,IF(AND(OR(NOT($G$38),$G$38=""),$G$43),40%,Cdlac[[#This Row],[iAMI]])),"")</f>
        <v/>
      </c>
      <c r="P50" s="1065" t="str" cm="1">
        <f t="array" ref="P50">IF(Cdlac[[#This Row],[Quantity]]&gt;0,INDEX(TcacRents,$P$18,Cdlac[[#This Row],[Bedrooms]]+1)*Cdlac[[#This Row],[AMI]],"")</f>
        <v/>
      </c>
      <c r="Q50" s="1164"/>
      <c r="R50" s="1065" t="str" cm="1">
        <f t="array" ref="R50">IF(Cdlac[[#This Row],[Quantity]]&gt;0,INDEX(HudFmrs,$P$18,Cdlac[[#This Row],[Bedrooms]]+1),"")</f>
        <v/>
      </c>
      <c r="S50" s="1065" t="str">
        <f>IF(Cdlac[[#This Row],[Quantity]]&gt;0,MAX(0,Cdlac[[#This Row],[Fair Market Rent]]-IF(AND($G$37,$G$38,$G$38&lt;&gt;"",NOT(Cdlac[[#This Row],[Federal]]),Cdlac[[#This Row],[Preservation Rent]]&lt;&gt;""),Cdlac[[#This Row],[Preservation Rent]],Cdlac[[#This Row],[Restricted Rent]])),"")</f>
        <v/>
      </c>
      <c r="T50" s="1044" t="str">
        <f>IF(Cdlac[[#This Row],[Quantity]]&gt;0,AND(Application!AK748&lt;&gt;"N/A",Application!AK748&lt;&gt;"")*Cdlac[[#This Row],[Quantity]],"")</f>
        <v/>
      </c>
      <c r="U50" s="1044" t="b">
        <f>AND('Subsidy Contract Calculation'!F34&gt;0,OR('Subsidy Contract Calculation'!C34="Federal",'Subsidy Contract Calculation'!C34="Local - Approved by ED"),Cdlac[[#This Row],[Quantity]]&gt;0)</f>
        <v>0</v>
      </c>
    </row>
    <row r="51" spans="2:21" ht="15" customHeight="1">
      <c r="E51" s="1117" t="s">
        <v>1994</v>
      </c>
      <c r="G51" s="1114">
        <f>T18</f>
        <v>0</v>
      </c>
      <c r="L51" s="1044" t="str">
        <f>IFERROR(MIN(4,MATCH(Application!B749,UnitSizes,0)-1),"")</f>
        <v/>
      </c>
      <c r="M51" s="1065">
        <f>Application!G749</f>
        <v>0</v>
      </c>
      <c r="N51" s="1071">
        <f>Application!AC749</f>
        <v>0</v>
      </c>
      <c r="O51" s="1071" t="str">
        <f>IF(Cdlac[[#This Row],[Quantity]]&gt;0,IF(Cdlac[[#This Row],[Federal]],30%,IF(AND(OR(NOT($G$38),$G$38=""),$G$43),40%,Cdlac[[#This Row],[iAMI]])),"")</f>
        <v/>
      </c>
      <c r="P51" s="1065" t="str" cm="1">
        <f t="array" ref="P51">IF(Cdlac[[#This Row],[Quantity]]&gt;0,INDEX(TcacRents,$P$18,Cdlac[[#This Row],[Bedrooms]]+1)*Cdlac[[#This Row],[AMI]],"")</f>
        <v/>
      </c>
      <c r="Q51" s="1164"/>
      <c r="R51" s="1065" t="str" cm="1">
        <f t="array" ref="R51">IF(Cdlac[[#This Row],[Quantity]]&gt;0,INDEX(HudFmrs,$P$18,Cdlac[[#This Row],[Bedrooms]]+1),"")</f>
        <v/>
      </c>
      <c r="S51" s="1065" t="str">
        <f>IF(Cdlac[[#This Row],[Quantity]]&gt;0,MAX(0,Cdlac[[#This Row],[Fair Market Rent]]-IF(AND($G$37,$G$38,$G$38&lt;&gt;"",NOT(Cdlac[[#This Row],[Federal]]),Cdlac[[#This Row],[Preservation Rent]]&lt;&gt;""),Cdlac[[#This Row],[Preservation Rent]],Cdlac[[#This Row],[Restricted Rent]])),"")</f>
        <v/>
      </c>
      <c r="T51" s="1044" t="str">
        <f>IF(Cdlac[[#This Row],[Quantity]]&gt;0,AND(Application!AK749&lt;&gt;"N/A",Application!AK749&lt;&gt;"")*Cdlac[[#This Row],[Quantity]],"")</f>
        <v/>
      </c>
      <c r="U51" s="1044" t="b">
        <f>AND('Subsidy Contract Calculation'!F35&gt;0,OR('Subsidy Contract Calculation'!C35="Federal",'Subsidy Contract Calculation'!C35="Local - Approved by ED"),Cdlac[[#This Row],[Quantity]]&gt;0)</f>
        <v>0</v>
      </c>
    </row>
    <row r="52" spans="2:21" ht="15" customHeight="1">
      <c r="E52" s="1117" t="s">
        <v>1995</v>
      </c>
      <c r="G52" s="1114">
        <f>ROUNDDOWN(E29*50%,0)</f>
        <v>51</v>
      </c>
      <c r="L52" s="1044" t="str">
        <f>IFERROR(MIN(4,MATCH(Application!B750,UnitSizes,0)-1),"")</f>
        <v/>
      </c>
      <c r="M52" s="1065">
        <f>Application!G750</f>
        <v>0</v>
      </c>
      <c r="N52" s="1071">
        <f>Application!AC750</f>
        <v>0</v>
      </c>
      <c r="O52" s="1071" t="str">
        <f>IF(Cdlac[[#This Row],[Quantity]]&gt;0,IF(Cdlac[[#This Row],[Federal]],30%,IF(AND(OR(NOT($G$38),$G$38=""),$G$43),40%,Cdlac[[#This Row],[iAMI]])),"")</f>
        <v/>
      </c>
      <c r="P52" s="1065" t="str" cm="1">
        <f t="array" ref="P52">IF(Cdlac[[#This Row],[Quantity]]&gt;0,INDEX(TcacRents,$P$18,Cdlac[[#This Row],[Bedrooms]]+1)*Cdlac[[#This Row],[AMI]],"")</f>
        <v/>
      </c>
      <c r="Q52" s="1164"/>
      <c r="R52" s="1065" t="str" cm="1">
        <f t="array" ref="R52">IF(Cdlac[[#This Row],[Quantity]]&gt;0,INDEX(HudFmrs,$P$18,Cdlac[[#This Row],[Bedrooms]]+1),"")</f>
        <v/>
      </c>
      <c r="S52" s="1065" t="str">
        <f>IF(Cdlac[[#This Row],[Quantity]]&gt;0,MAX(0,Cdlac[[#This Row],[Fair Market Rent]]-IF(AND($G$37,$G$38,$G$38&lt;&gt;"",NOT(Cdlac[[#This Row],[Federal]]),Cdlac[[#This Row],[Preservation Rent]]&lt;&gt;""),Cdlac[[#This Row],[Preservation Rent]],Cdlac[[#This Row],[Restricted Rent]])),"")</f>
        <v/>
      </c>
      <c r="T52" s="1044" t="str">
        <f>IF(Cdlac[[#This Row],[Quantity]]&gt;0,AND(Application!AK750&lt;&gt;"N/A",Application!AK750&lt;&gt;"")*Cdlac[[#This Row],[Quantity]],"")</f>
        <v/>
      </c>
      <c r="U52" s="1044" t="b">
        <f>AND('Subsidy Contract Calculation'!F36&gt;0,OR('Subsidy Contract Calculation'!C36="Federal",'Subsidy Contract Calculation'!C36="Local - Approved by ED"),Cdlac[[#This Row],[Quantity]]&gt;0)</f>
        <v>0</v>
      </c>
    </row>
    <row r="53" spans="2:21" ht="15" customHeight="1">
      <c r="E53" s="1117"/>
      <c r="G53" s="1125"/>
      <c r="L53" s="1044" t="str">
        <f>IFERROR(MIN(4,MATCH(Application!B751,UnitSizes,0)-1),"")</f>
        <v/>
      </c>
      <c r="M53" s="1065">
        <f>Application!G751</f>
        <v>0</v>
      </c>
      <c r="N53" s="1071">
        <f>Application!AC751</f>
        <v>0</v>
      </c>
      <c r="O53" s="1071" t="str">
        <f>IF(Cdlac[[#This Row],[Quantity]]&gt;0,IF(Cdlac[[#This Row],[Federal]],30%,IF(AND(OR(NOT($G$38),$G$38=""),$G$43),40%,Cdlac[[#This Row],[iAMI]])),"")</f>
        <v/>
      </c>
      <c r="P53" s="1065" t="str" cm="1">
        <f t="array" ref="P53">IF(Cdlac[[#This Row],[Quantity]]&gt;0,INDEX(TcacRents,$P$18,Cdlac[[#This Row],[Bedrooms]]+1)*Cdlac[[#This Row],[AMI]],"")</f>
        <v/>
      </c>
      <c r="Q53" s="1164"/>
      <c r="R53" s="1065" t="str" cm="1">
        <f t="array" ref="R53">IF(Cdlac[[#This Row],[Quantity]]&gt;0,INDEX(HudFmrs,$P$18,Cdlac[[#This Row],[Bedrooms]]+1),"")</f>
        <v/>
      </c>
      <c r="S53" s="1065" t="str">
        <f>IF(Cdlac[[#This Row],[Quantity]]&gt;0,MAX(0,Cdlac[[#This Row],[Fair Market Rent]]-IF(AND($G$37,$G$38,$G$38&lt;&gt;"",NOT(Cdlac[[#This Row],[Federal]]),Cdlac[[#This Row],[Preservation Rent]]&lt;&gt;""),Cdlac[[#This Row],[Preservation Rent]],Cdlac[[#This Row],[Restricted Rent]])),"")</f>
        <v/>
      </c>
      <c r="T53" s="1044" t="str">
        <f>IF(Cdlac[[#This Row],[Quantity]]&gt;0,AND(Application!AK751&lt;&gt;"N/A",Application!AK751&lt;&gt;"")*Cdlac[[#This Row],[Quantity]],"")</f>
        <v/>
      </c>
      <c r="U53" s="1044" t="b">
        <f>AND('Subsidy Contract Calculation'!F37&gt;0,OR('Subsidy Contract Calculation'!C37="Federal",'Subsidy Contract Calculation'!C37="Local - Approved by ED"),Cdlac[[#This Row],[Quantity]]&gt;0)</f>
        <v>0</v>
      </c>
    </row>
    <row r="54" spans="2:21" ht="15" customHeight="1">
      <c r="E54" s="1117" t="s">
        <v>1955</v>
      </c>
      <c r="G54" s="1114">
        <f>MIN(G51:G52)</f>
        <v>0</v>
      </c>
      <c r="L54" s="1044" t="str">
        <f>IFERROR(MIN(4,MATCH(Application!B752,UnitSizes,0)-1),"")</f>
        <v/>
      </c>
      <c r="M54" s="1065">
        <f>Application!G752</f>
        <v>0</v>
      </c>
      <c r="N54" s="1071">
        <f>Application!AC752</f>
        <v>0</v>
      </c>
      <c r="O54" s="1071" t="str">
        <f>IF(Cdlac[[#This Row],[Quantity]]&gt;0,IF(Cdlac[[#This Row],[Federal]],30%,IF(AND(OR(NOT($G$38),$G$38=""),$G$43),40%,Cdlac[[#This Row],[iAMI]])),"")</f>
        <v/>
      </c>
      <c r="P54" s="1065" t="str" cm="1">
        <f t="array" ref="P54">IF(Cdlac[[#This Row],[Quantity]]&gt;0,INDEX(TcacRents,$P$18,Cdlac[[#This Row],[Bedrooms]]+1)*Cdlac[[#This Row],[AMI]],"")</f>
        <v/>
      </c>
      <c r="Q54" s="1164"/>
      <c r="R54" s="1065" t="str" cm="1">
        <f t="array" ref="R54">IF(Cdlac[[#This Row],[Quantity]]&gt;0,INDEX(HudFmrs,$P$18,Cdlac[[#This Row],[Bedrooms]]+1),"")</f>
        <v/>
      </c>
      <c r="S54" s="1065" t="str">
        <f>IF(Cdlac[[#This Row],[Quantity]]&gt;0,MAX(0,Cdlac[[#This Row],[Fair Market Rent]]-IF(AND($G$37,$G$38,$G$38&lt;&gt;"",NOT(Cdlac[[#This Row],[Federal]]),Cdlac[[#This Row],[Preservation Rent]]&lt;&gt;""),Cdlac[[#This Row],[Preservation Rent]],Cdlac[[#This Row],[Restricted Rent]])),"")</f>
        <v/>
      </c>
      <c r="T54" s="1044" t="str">
        <f>IF(Cdlac[[#This Row],[Quantity]]&gt;0,AND(Application!AK752&lt;&gt;"N/A",Application!AK752&lt;&gt;"")*Cdlac[[#This Row],[Quantity]],"")</f>
        <v/>
      </c>
      <c r="U54" s="1044" t="b">
        <f>AND('Subsidy Contract Calculation'!F38&gt;0,OR('Subsidy Contract Calculation'!C38="Federal",'Subsidy Contract Calculation'!C38="Local - Approved by ED"),Cdlac[[#This Row],[Quantity]]&gt;0)</f>
        <v>0</v>
      </c>
    </row>
    <row r="55" spans="2:21" ht="15" customHeight="1">
      <c r="E55" s="1117" t="s">
        <v>1945</v>
      </c>
      <c r="F55" s="1113" t="s">
        <v>1993</v>
      </c>
      <c r="G55" s="1124">
        <v>10000</v>
      </c>
      <c r="M55" s="1065"/>
      <c r="N55" s="1071"/>
      <c r="O55" s="1071"/>
      <c r="P55" s="1065"/>
      <c r="Q55" s="1164"/>
      <c r="R55" s="1065"/>
      <c r="S55" s="1065"/>
    </row>
    <row r="56" spans="2:21" ht="15" customHeight="1">
      <c r="E56" s="1118" t="s">
        <v>1978</v>
      </c>
      <c r="F56" s="1046"/>
      <c r="G56" s="1123">
        <f>G54*G55</f>
        <v>0</v>
      </c>
    </row>
    <row r="57" spans="2:21" ht="15" customHeight="1"/>
    <row r="58" spans="2:21" ht="15" customHeight="1">
      <c r="B58" s="1066" t="str">
        <f>B11&amp;": "&amp;B13</f>
        <v>C. Population Benefit: (2) Extremely Low Income Benefit</v>
      </c>
      <c r="C58" s="1067"/>
      <c r="D58" s="1067"/>
      <c r="E58" s="1067"/>
      <c r="F58" s="1067"/>
      <c r="G58" s="1067"/>
      <c r="H58" s="1067"/>
      <c r="I58" s="1068"/>
    </row>
    <row r="59" spans="2:21" ht="15" customHeight="1"/>
    <row r="60" spans="2:21" ht="15" customHeight="1">
      <c r="E60" s="1117" t="s">
        <v>1996</v>
      </c>
      <c r="G60" s="1079">
        <f>SUMIFS(Cdlac[Quantity],Cdlac[iAMI],"&lt;=30%")</f>
        <v>32</v>
      </c>
    </row>
    <row r="61" spans="2:21" ht="15" customHeight="1">
      <c r="E61" s="1117" t="s">
        <v>1995</v>
      </c>
      <c r="G61" s="1079">
        <f>ROUNDDOWN(E29*50%,0)</f>
        <v>51</v>
      </c>
    </row>
    <row r="62" spans="2:21" ht="15" customHeight="1">
      <c r="E62" s="1117"/>
      <c r="G62" s="1079"/>
    </row>
    <row r="63" spans="2:21" ht="15" customHeight="1">
      <c r="E63" s="1117" t="s">
        <v>1955</v>
      </c>
      <c r="G63" s="1114">
        <f>MIN(G60:G61)</f>
        <v>32</v>
      </c>
    </row>
    <row r="64" spans="2:21" ht="15" customHeight="1">
      <c r="E64" s="1117" t="s">
        <v>1945</v>
      </c>
      <c r="F64" s="1113" t="s">
        <v>1993</v>
      </c>
      <c r="G64" s="1124">
        <v>20000</v>
      </c>
    </row>
    <row r="65" spans="2:14" ht="15" customHeight="1">
      <c r="E65" s="1118" t="s">
        <v>1977</v>
      </c>
      <c r="F65" s="1046"/>
      <c r="G65" s="1123">
        <f>G63*G64</f>
        <v>640000</v>
      </c>
    </row>
    <row r="66" spans="2:14" ht="15" customHeight="1"/>
    <row r="67" spans="2:14" ht="15" customHeight="1">
      <c r="B67" s="1066" t="str">
        <f>B14&amp;": "&amp;B15</f>
        <v>D. Location Benefit: (1) Resource Area Benefit</v>
      </c>
      <c r="C67" s="1067"/>
      <c r="D67" s="1067"/>
      <c r="E67" s="1067"/>
      <c r="F67" s="1067"/>
      <c r="G67" s="1067"/>
      <c r="H67" s="1067"/>
      <c r="I67" s="1068"/>
    </row>
    <row r="68" spans="2:14" ht="15" customHeight="1"/>
    <row r="69" spans="2:14" ht="15" customHeight="1">
      <c r="C69" s="1077" t="s">
        <v>1981</v>
      </c>
      <c r="G69" s="1043" t="s">
        <v>545</v>
      </c>
    </row>
    <row r="70" spans="2:14" ht="15" customHeight="1">
      <c r="C70" s="1077" t="s">
        <v>1982</v>
      </c>
      <c r="G70" s="1081" t="str">
        <f>IF(Application!D211="Large Family","Yes","No")</f>
        <v>Yes</v>
      </c>
    </row>
    <row r="71" spans="2:14" ht="15" customHeight="1" thickBot="1">
      <c r="C71" s="1077" t="s">
        <v>1968</v>
      </c>
      <c r="G71" s="1043" t="s">
        <v>669</v>
      </c>
    </row>
    <row r="72" spans="2:14" ht="15" customHeight="1">
      <c r="C72" s="1077" t="s">
        <v>1969</v>
      </c>
      <c r="G72" s="1044" t="str">
        <f>Application!T193</f>
        <v>Moderate Resource</v>
      </c>
      <c r="L72" s="2657" t="s">
        <v>1970</v>
      </c>
      <c r="M72" s="2658"/>
      <c r="N72" s="1131">
        <v>30000</v>
      </c>
    </row>
    <row r="73" spans="2:14" ht="15" customHeight="1">
      <c r="C73" s="2659" t="s">
        <v>2263</v>
      </c>
      <c r="D73" s="2659"/>
      <c r="E73" s="2659"/>
      <c r="F73" s="2659"/>
      <c r="G73" s="1043" t="s">
        <v>669</v>
      </c>
      <c r="L73" s="2674" t="s">
        <v>1938</v>
      </c>
      <c r="M73" s="2675"/>
      <c r="N73" s="1132">
        <v>20000</v>
      </c>
    </row>
    <row r="74" spans="2:14" ht="15" customHeight="1" thickBot="1">
      <c r="C74" s="2659"/>
      <c r="D74" s="2659"/>
      <c r="E74" s="2659"/>
      <c r="F74" s="2659"/>
      <c r="L74" s="2649" t="s">
        <v>1971</v>
      </c>
      <c r="M74" s="2650"/>
      <c r="N74" s="1133">
        <v>10000</v>
      </c>
    </row>
    <row r="75" spans="2:14" ht="15" customHeight="1">
      <c r="C75" s="1077"/>
    </row>
    <row r="76" spans="2:14" ht="15" customHeight="1">
      <c r="E76" s="1084" t="s">
        <v>2000</v>
      </c>
      <c r="G76" s="1079" t="b">
        <f>OR(AND(COUNTIFS(G70:G71,"Yes")&gt;=1,G69="Yes"),G73="Yes")</f>
        <v>1</v>
      </c>
    </row>
    <row r="77" spans="2:14" ht="15" customHeight="1">
      <c r="E77" s="1084"/>
      <c r="G77" s="1079"/>
    </row>
    <row r="78" spans="2:14" ht="15" customHeight="1">
      <c r="E78" s="1084" t="s">
        <v>1945</v>
      </c>
      <c r="G78" s="1078">
        <f>IFERROR(IF($G$73="Yes",30000,INDEX(N72:N74,MATCH(LEFT(G72,17),L72:L74,0))),0)</f>
        <v>10000</v>
      </c>
    </row>
    <row r="79" spans="2:14" ht="15" customHeight="1">
      <c r="E79" s="1084" t="str">
        <f>E96</f>
        <v>Bedroom-Adjusted Low-Income Units</v>
      </c>
      <c r="F79" s="1113" t="s">
        <v>1993</v>
      </c>
      <c r="G79" s="1114">
        <f>G29</f>
        <v>134.75</v>
      </c>
    </row>
    <row r="80" spans="2:14" ht="15" customHeight="1">
      <c r="D80" s="1046"/>
      <c r="E80" s="1118" t="s">
        <v>2268</v>
      </c>
      <c r="F80" s="1046"/>
      <c r="G80" s="1123">
        <f>G79*G78*G76</f>
        <v>1347500</v>
      </c>
    </row>
    <row r="81" spans="2:9" ht="15" customHeight="1"/>
    <row r="82" spans="2:9" ht="15" customHeight="1">
      <c r="B82" s="1066" t="str">
        <f>B14&amp;": "&amp;B16</f>
        <v>D. Location Benefit: (2) Community Revitalization Benefit</v>
      </c>
      <c r="C82" s="1067"/>
      <c r="D82" s="1067"/>
      <c r="E82" s="1067"/>
      <c r="F82" s="1067"/>
      <c r="G82" s="1067"/>
      <c r="H82" s="1067"/>
      <c r="I82" s="1068"/>
    </row>
    <row r="83" spans="2:9" ht="15" customHeight="1"/>
    <row r="84" spans="2:9" ht="15" customHeight="1">
      <c r="F84" s="1116" t="s">
        <v>1976</v>
      </c>
      <c r="G84" s="1043" t="s">
        <v>545</v>
      </c>
    </row>
    <row r="85" spans="2:9" ht="15" customHeight="1">
      <c r="F85" s="1116"/>
    </row>
    <row r="86" spans="2:9" ht="15" customHeight="1">
      <c r="E86" s="1084" t="s">
        <v>2000</v>
      </c>
      <c r="G86" s="1079" t="b">
        <f>G84="Yes"</f>
        <v>1</v>
      </c>
    </row>
    <row r="87" spans="2:9" ht="15" customHeight="1"/>
    <row r="88" spans="2:9" ht="15" customHeight="1">
      <c r="E88" s="1084" t="str">
        <f>E96</f>
        <v>Bedroom-Adjusted Low-Income Units</v>
      </c>
      <c r="G88" s="1114">
        <f>G29</f>
        <v>134.75</v>
      </c>
    </row>
    <row r="89" spans="2:9" ht="15" customHeight="1">
      <c r="E89" s="1084" t="s">
        <v>1945</v>
      </c>
      <c r="F89" s="1113" t="s">
        <v>1993</v>
      </c>
      <c r="G89" s="1050">
        <v>20000</v>
      </c>
    </row>
    <row r="90" spans="2:9" ht="15" customHeight="1">
      <c r="E90" s="1118" t="s">
        <v>2272</v>
      </c>
      <c r="F90" s="1046"/>
      <c r="G90" s="1123">
        <f>G86*G89*G88</f>
        <v>2695000</v>
      </c>
    </row>
    <row r="91" spans="2:9" ht="15" customHeight="1"/>
    <row r="92" spans="2:9" ht="15" customHeight="1">
      <c r="B92" s="1066" t="str">
        <f>B14&amp;": "&amp;B17</f>
        <v>D. Location Benefit: (3) Transit/Walkability Benefit</v>
      </c>
      <c r="C92" s="1067"/>
      <c r="D92" s="1067"/>
      <c r="E92" s="1067"/>
      <c r="F92" s="1067"/>
      <c r="G92" s="1067"/>
      <c r="H92" s="1067"/>
      <c r="I92" s="1068"/>
    </row>
    <row r="93" spans="2:9" ht="15" customHeight="1"/>
    <row r="94" spans="2:9" ht="15" customHeight="1">
      <c r="E94" s="1084" t="s">
        <v>1956</v>
      </c>
      <c r="G94" s="1114">
        <f>VLOOKUP('Points System'!$H$606,'Points System'!$AO$586:$AP$591,2,FALSE)</f>
        <v>7</v>
      </c>
    </row>
    <row r="95" spans="2:9" ht="15" customHeight="1">
      <c r="E95" s="1084" t="s">
        <v>1945</v>
      </c>
      <c r="F95" s="1113" t="s">
        <v>1993</v>
      </c>
      <c r="G95" s="1076">
        <v>4000</v>
      </c>
    </row>
    <row r="96" spans="2:9" ht="15" customHeight="1" thickBot="1">
      <c r="E96" s="1084" t="s">
        <v>1997</v>
      </c>
      <c r="F96" s="1113" t="s">
        <v>1993</v>
      </c>
      <c r="G96" s="1126">
        <f>G29</f>
        <v>134.75</v>
      </c>
    </row>
    <row r="97" spans="2:14" ht="15" customHeight="1">
      <c r="E97" s="1118" t="s">
        <v>1962</v>
      </c>
      <c r="F97" s="1046"/>
      <c r="G97" s="1123">
        <f>G94*G95*G96</f>
        <v>3773000</v>
      </c>
      <c r="L97" s="1127" t="str">
        <f>'Points System'!H638</f>
        <v>N/A</v>
      </c>
      <c r="M97" s="2655" t="s">
        <v>1405</v>
      </c>
      <c r="N97" s="2656"/>
    </row>
    <row r="98" spans="2:14" ht="15" customHeight="1">
      <c r="C98" s="1077"/>
      <c r="G98" s="1114"/>
      <c r="L98" s="1128" t="str">
        <f>'Points System'!H650</f>
        <v>N/A</v>
      </c>
      <c r="M98" s="2651" t="s">
        <v>1957</v>
      </c>
      <c r="N98" s="2652"/>
    </row>
    <row r="99" spans="2:14" ht="15" customHeight="1">
      <c r="E99" s="1084" t="s">
        <v>1998</v>
      </c>
      <c r="G99" s="1126">
        <f>COUNTIFS(L97:L104,"(i)")</f>
        <v>1</v>
      </c>
      <c r="L99" s="1128" t="str">
        <f>'Points System'!H685</f>
        <v>(ii)</v>
      </c>
      <c r="M99" s="2651" t="s">
        <v>1958</v>
      </c>
      <c r="N99" s="2652"/>
    </row>
    <row r="100" spans="2:14" ht="15" customHeight="1">
      <c r="E100" s="1084" t="s">
        <v>1945</v>
      </c>
      <c r="F100" s="1113" t="s">
        <v>1993</v>
      </c>
      <c r="G100" s="1124">
        <v>4000</v>
      </c>
      <c r="L100" s="1128" t="str">
        <f>IF(OR('Points System'!H709="(ii)",'Points System'!H709="(i)"),"(i)","N/A")</f>
        <v>(i)</v>
      </c>
      <c r="M100" s="2651" t="s">
        <v>1959</v>
      </c>
      <c r="N100" s="2652"/>
    </row>
    <row r="101" spans="2:14" ht="15" customHeight="1">
      <c r="E101" s="1118" t="s">
        <v>1963</v>
      </c>
      <c r="F101" s="1046"/>
      <c r="G101" s="1123">
        <f>G96*G99*G100</f>
        <v>539000</v>
      </c>
      <c r="L101" s="1129" t="str">
        <f>'Points System'!H723</f>
        <v>N/A</v>
      </c>
      <c r="M101" s="2651" t="s">
        <v>1431</v>
      </c>
      <c r="N101" s="2652"/>
    </row>
    <row r="102" spans="2:14" ht="15" customHeight="1">
      <c r="L102" s="1128" t="str">
        <f>'Points System'!H735</f>
        <v>N/A</v>
      </c>
      <c r="M102" s="2651" t="s">
        <v>1960</v>
      </c>
      <c r="N102" s="2652"/>
    </row>
    <row r="103" spans="2:14" ht="15" customHeight="1">
      <c r="C103" s="1080" t="s">
        <v>1965</v>
      </c>
      <c r="L103" s="1128" t="str">
        <f>'Points System'!H751</f>
        <v>(ii)</v>
      </c>
      <c r="M103" s="2651" t="s">
        <v>1961</v>
      </c>
      <c r="N103" s="2652"/>
    </row>
    <row r="104" spans="2:14" ht="15" customHeight="1" thickBot="1">
      <c r="C104" s="1077" t="s">
        <v>1966</v>
      </c>
      <c r="G104" s="1043"/>
      <c r="L104" s="1130" t="str">
        <f>'Points System'!H763</f>
        <v>(ii)</v>
      </c>
      <c r="M104" s="2653" t="s">
        <v>1434</v>
      </c>
      <c r="N104" s="2654"/>
    </row>
    <row r="105" spans="2:14" ht="15" customHeight="1">
      <c r="C105" s="1077" t="s">
        <v>1967</v>
      </c>
      <c r="G105" s="1043"/>
    </row>
    <row r="106" spans="2:14" ht="15" customHeight="1">
      <c r="C106" s="1077" t="s">
        <v>2140</v>
      </c>
      <c r="G106" s="1043" t="s">
        <v>545</v>
      </c>
    </row>
    <row r="107" spans="2:14" ht="15" customHeight="1">
      <c r="C107" s="1077" t="s">
        <v>2141</v>
      </c>
      <c r="G107" s="1043"/>
    </row>
    <row r="108" spans="2:14" ht="15" customHeight="1"/>
    <row r="109" spans="2:14" ht="15" customHeight="1">
      <c r="B109" s="1078"/>
      <c r="C109" s="1077"/>
      <c r="E109" s="1084" t="s">
        <v>2000</v>
      </c>
      <c r="G109" s="1079" t="b">
        <f>COUNTIFS(G104:G107,"Yes")&gt;=1</f>
        <v>1</v>
      </c>
    </row>
    <row r="110" spans="2:14" ht="15" customHeight="1">
      <c r="E110" s="1077"/>
    </row>
    <row r="111" spans="2:14" ht="15" customHeight="1">
      <c r="E111" s="1084" t="s">
        <v>1997</v>
      </c>
      <c r="F111" s="1113" t="s">
        <v>1993</v>
      </c>
      <c r="G111" s="1114">
        <f>G29</f>
        <v>134.75</v>
      </c>
    </row>
    <row r="112" spans="2:14" ht="15" customHeight="1">
      <c r="E112" s="1084" t="s">
        <v>1945</v>
      </c>
      <c r="F112" s="1113" t="s">
        <v>1993</v>
      </c>
      <c r="G112" s="1124">
        <v>25000</v>
      </c>
    </row>
    <row r="113" spans="2:9" ht="15" customHeight="1">
      <c r="E113" s="1118" t="s">
        <v>1964</v>
      </c>
      <c r="F113" s="1046"/>
      <c r="G113" s="1123">
        <f>G109*G112*G96</f>
        <v>3368750</v>
      </c>
    </row>
    <row r="114" spans="2:9" ht="15" customHeight="1">
      <c r="C114" s="1077"/>
      <c r="E114" s="1077"/>
    </row>
    <row r="115" spans="2:9" ht="15" customHeight="1">
      <c r="E115" s="1118" t="s">
        <v>2273</v>
      </c>
      <c r="G115" s="1123">
        <f>G113+G101+G97</f>
        <v>7680750</v>
      </c>
    </row>
    <row r="116" spans="2:9" ht="15" customHeight="1"/>
    <row r="117" spans="2:9" ht="15" customHeight="1">
      <c r="B117" s="1066" t="s">
        <v>139</v>
      </c>
      <c r="C117" s="1067"/>
      <c r="D117" s="1067"/>
      <c r="E117" s="1067"/>
      <c r="F117" s="1067"/>
      <c r="G117" s="1067"/>
      <c r="H117" s="1067"/>
      <c r="I117" s="1068"/>
    </row>
    <row r="118" spans="2:9" ht="15" customHeight="1"/>
    <row r="119" spans="2:9" ht="15" customHeight="1">
      <c r="C119" s="2686" t="s">
        <v>2228</v>
      </c>
      <c r="D119" s="2686"/>
      <c r="E119" s="2686"/>
      <c r="F119" s="2686"/>
    </row>
    <row r="120" spans="2:9" ht="15" customHeight="1">
      <c r="C120" s="2686"/>
      <c r="D120" s="2686"/>
      <c r="E120" s="2686"/>
      <c r="F120" s="2686"/>
      <c r="G120" s="1043"/>
    </row>
    <row r="121" spans="2:9" ht="15" customHeight="1"/>
    <row r="122" spans="2:9" ht="15" customHeight="1">
      <c r="C122" s="1044" t="s">
        <v>2230</v>
      </c>
      <c r="G122" s="2688"/>
      <c r="H122" s="2688"/>
    </row>
    <row r="123" spans="2:9" ht="15" customHeight="1">
      <c r="G123" s="2688"/>
      <c r="H123" s="2688"/>
    </row>
    <row r="124" spans="2:9" ht="15" customHeight="1">
      <c r="G124" s="2689"/>
      <c r="H124" s="2689"/>
    </row>
    <row r="125" spans="2:9" ht="15" customHeight="1">
      <c r="G125" s="1160"/>
      <c r="H125" s="1160"/>
    </row>
    <row r="126" spans="2:9" ht="15" customHeight="1">
      <c r="B126" s="1066" t="s">
        <v>2002</v>
      </c>
      <c r="C126" s="1067"/>
      <c r="D126" s="1067"/>
      <c r="E126" s="1067"/>
      <c r="F126" s="1067"/>
      <c r="G126" s="1067"/>
      <c r="H126" s="1067"/>
      <c r="I126" s="1068"/>
    </row>
    <row r="128" spans="2:9">
      <c r="E128" s="1084" t="s">
        <v>582</v>
      </c>
      <c r="G128" s="1044" t="str">
        <f>IF(Application!T189="","",Application!T189)</f>
        <v>Ventura</v>
      </c>
    </row>
    <row r="129" spans="2:9">
      <c r="E129" s="1084"/>
      <c r="G129" s="1078"/>
    </row>
    <row r="130" spans="2:9">
      <c r="E130" s="1084" t="str">
        <f>"2-Bedroom "&amp;G128&amp;" County Basis Limit"</f>
        <v>2-Bedroom Ventura County Basis Limit</v>
      </c>
      <c r="G130" s="1078">
        <f>Application!R988</f>
        <v>562400</v>
      </c>
    </row>
    <row r="131" spans="2:9">
      <c r="E131" s="1084" t="s">
        <v>2001</v>
      </c>
      <c r="G131" s="1078">
        <f>MEDIAN((Application!CU160:CU217))</f>
        <v>489600</v>
      </c>
    </row>
    <row r="132" spans="2:9" ht="15">
      <c r="D132" s="1046"/>
      <c r="E132" s="1118" t="s">
        <v>2003</v>
      </c>
      <c r="F132" s="1134"/>
      <c r="G132" s="1135">
        <f>((G130-G131)/G131)*0.25</f>
        <v>3.7173202614379085E-2</v>
      </c>
      <c r="H132" s="1042"/>
      <c r="I132" s="1042"/>
    </row>
    <row r="133" spans="2:9">
      <c r="D133" s="1045"/>
      <c r="E133" s="1045"/>
    </row>
    <row r="134" spans="2:9" ht="15">
      <c r="B134" s="1066" t="s">
        <v>2274</v>
      </c>
      <c r="C134" s="1067"/>
      <c r="D134" s="1067"/>
      <c r="E134" s="1067"/>
      <c r="F134" s="1067"/>
      <c r="G134" s="1067"/>
      <c r="H134" s="1067"/>
      <c r="I134" s="1068"/>
    </row>
    <row r="136" spans="2:9">
      <c r="E136" s="1084" t="s">
        <v>2260</v>
      </c>
      <c r="G136" s="1044" t="b">
        <f>G37</f>
        <v>0</v>
      </c>
    </row>
    <row r="137" spans="2:9">
      <c r="E137" s="1084" t="s">
        <v>2275</v>
      </c>
      <c r="G137" s="1044" t="b">
        <f>OR('Points System'!B52="Yes", 'Points System'!B56="Yes",'Points System'!B58="Yes")</f>
        <v>0</v>
      </c>
    </row>
    <row r="138" spans="2:9">
      <c r="C138" s="2683" t="s">
        <v>2276</v>
      </c>
      <c r="D138" s="2683"/>
      <c r="E138" s="2683"/>
      <c r="F138" s="2683"/>
    </row>
    <row r="139" spans="2:9">
      <c r="B139" s="1045"/>
      <c r="C139" s="2683"/>
      <c r="D139" s="2683"/>
      <c r="E139" s="2683"/>
      <c r="F139" s="2683"/>
      <c r="G139" s="1043"/>
    </row>
    <row r="140" spans="2:9">
      <c r="B140" s="1045"/>
      <c r="C140" s="1045"/>
      <c r="D140" s="1045"/>
      <c r="E140" s="1045"/>
      <c r="F140" s="1045"/>
    </row>
    <row r="141" spans="2:9" ht="14.25" customHeight="1">
      <c r="E141" s="1084" t="s">
        <v>2278</v>
      </c>
      <c r="G141" s="1169"/>
    </row>
    <row r="143" spans="2:9">
      <c r="E143" s="1084" t="s">
        <v>2280</v>
      </c>
      <c r="G143" s="1168">
        <f>IF(I9=0,0,G141/I9)</f>
        <v>0</v>
      </c>
    </row>
    <row r="144" spans="2:9">
      <c r="E144" s="1084" t="s">
        <v>2277</v>
      </c>
      <c r="G144" s="1166">
        <f>I9*0.15</f>
        <v>3729292.05</v>
      </c>
    </row>
  </sheetData>
  <sheetProtection algorithmName="SHA-512" hashValue="rU9KXKr9JkEPiF7oxs+ftz7WpGECsTcsIZbS7kWG7Ek974n2Qq04jHddqY5yVDYtARcu8JfvF71XmMq3fu+t9Q==" saltValue="Ib4bdmncUcu5nyPBr/Q1fQ==" spinCount="100000" sheet="1" objects="1" scenarios="1"/>
  <mergeCells count="42">
    <mergeCell ref="B16:D16"/>
    <mergeCell ref="B17:D17"/>
    <mergeCell ref="G13:I13"/>
    <mergeCell ref="C138:F139"/>
    <mergeCell ref="C22:C23"/>
    <mergeCell ref="D22:D23"/>
    <mergeCell ref="F22:F23"/>
    <mergeCell ref="E22:E23"/>
    <mergeCell ref="C29:D29"/>
    <mergeCell ref="C119:F120"/>
    <mergeCell ref="C39:H41"/>
    <mergeCell ref="G122:H124"/>
    <mergeCell ref="G11:H11"/>
    <mergeCell ref="G14:H14"/>
    <mergeCell ref="B11:D11"/>
    <mergeCell ref="B14:D14"/>
    <mergeCell ref="B15:D15"/>
    <mergeCell ref="L72:M72"/>
    <mergeCell ref="C73:F74"/>
    <mergeCell ref="A1:J1"/>
    <mergeCell ref="B9:D9"/>
    <mergeCell ref="B10:D10"/>
    <mergeCell ref="B12:D12"/>
    <mergeCell ref="B13:D13"/>
    <mergeCell ref="B8:E8"/>
    <mergeCell ref="G8:I8"/>
    <mergeCell ref="G16:H16"/>
    <mergeCell ref="G22:G23"/>
    <mergeCell ref="G17:H17"/>
    <mergeCell ref="B18:D18"/>
    <mergeCell ref="G9:H9"/>
    <mergeCell ref="G10:H10"/>
    <mergeCell ref="L73:M73"/>
    <mergeCell ref="L74:M74"/>
    <mergeCell ref="M101:N101"/>
    <mergeCell ref="M102:N102"/>
    <mergeCell ref="M103:N103"/>
    <mergeCell ref="M104:N104"/>
    <mergeCell ref="M97:N97"/>
    <mergeCell ref="M98:N98"/>
    <mergeCell ref="M99:N99"/>
    <mergeCell ref="M100:N100"/>
  </mergeCells>
  <phoneticPr fontId="25" type="noConversion"/>
  <conditionalFormatting sqref="G38">
    <cfRule type="expression" dxfId="4" priority="1">
      <formula>NOT($G$37)</formula>
    </cfRule>
  </conditionalFormatting>
  <conditionalFormatting sqref="L20:U54">
    <cfRule type="expression" dxfId="3" priority="4">
      <formula>$M20=0</formula>
    </cfRule>
  </conditionalFormatting>
  <conditionalFormatting sqref="Q20:Q54">
    <cfRule type="expression" dxfId="2" priority="2">
      <formula>NOT($G$37)</formula>
    </cfRule>
    <cfRule type="expression" dxfId="1" priority="3">
      <formula>AND($G$37,$G$38,$G$38&lt;&gt;"")</formula>
    </cfRule>
  </conditionalFormatting>
  <conditionalFormatting sqref="U20:U54">
    <cfRule type="cellIs" dxfId="0" priority="5" operator="equal">
      <formula>FALSE</formula>
    </cfRule>
  </conditionalFormatting>
  <dataValidations count="3">
    <dataValidation type="list" allowBlank="1" showInputMessage="1" showErrorMessage="1" sqref="G104:G107 G120 G139" xr:uid="{C672C681-76A7-4CD8-8FBF-57FD42155450}">
      <formula1>"Yes"</formula1>
    </dataValidation>
    <dataValidation type="list" allowBlank="1" showInputMessage="1" showErrorMessage="1" sqref="G71 G69 G84 G73" xr:uid="{9F573AD0-8923-4080-8D12-6F8C8CA2FCC1}">
      <formula1>"Yes,No"</formula1>
    </dataValidation>
    <dataValidation type="list" allowBlank="1" showInputMessage="1" showErrorMessage="1" sqref="G38" xr:uid="{C65DDE3B-E92D-4273-ABD6-EA811664B416}">
      <formula1>"TRUE,FALSE"</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91" max="8" man="1"/>
  </rowBreaks>
  <colBreaks count="1" manualBreakCount="1">
    <brk id="9" max="1048575" man="1"/>
  </colBreaks>
  <legacy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6"/>
  <sheetViews>
    <sheetView showGridLines="0" workbookViewId="0">
      <selection activeCell="C4" sqref="C4"/>
    </sheetView>
  </sheetViews>
  <sheetFormatPr defaultColWidth="9.140625" defaultRowHeight="14.25" zeroHeight="1"/>
  <cols>
    <col min="1" max="2" width="15.7109375" style="304" customWidth="1"/>
    <col min="3" max="3" width="11" style="304" customWidth="1"/>
    <col min="4" max="4" width="15.7109375" style="304" customWidth="1"/>
    <col min="5" max="5" width="3.7109375" style="304" customWidth="1"/>
    <col min="6" max="7" width="15.7109375" style="304" customWidth="1"/>
    <col min="8" max="8" width="3.7109375" style="304" customWidth="1"/>
    <col min="9" max="10" width="15.7109375" style="304" customWidth="1"/>
    <col min="11" max="11" width="3.28515625" style="304" customWidth="1"/>
    <col min="12" max="17" width="15.7109375" style="304" customWidth="1"/>
    <col min="18" max="16384" width="9.140625" style="304"/>
  </cols>
  <sheetData>
    <row r="1" spans="1:12">
      <c r="A1" s="2690" t="s">
        <v>909</v>
      </c>
      <c r="B1" s="2690"/>
      <c r="C1" s="2690"/>
      <c r="D1" s="2690"/>
      <c r="E1" s="2690"/>
      <c r="F1" s="2690"/>
      <c r="G1" s="2690"/>
      <c r="H1" s="2690"/>
      <c r="I1" s="2690"/>
      <c r="J1" s="2690"/>
      <c r="K1" s="204"/>
      <c r="L1" s="204"/>
    </row>
    <row r="2" spans="1:12">
      <c r="A2" s="210"/>
      <c r="B2" s="210"/>
      <c r="C2" s="210"/>
      <c r="D2" s="210"/>
      <c r="E2" s="210"/>
      <c r="F2" s="210"/>
      <c r="G2" s="210"/>
      <c r="H2" s="210"/>
      <c r="I2" s="210"/>
      <c r="J2" s="210"/>
    </row>
    <row r="3" spans="1:12" ht="100.5">
      <c r="A3" s="426" t="s">
        <v>910</v>
      </c>
      <c r="B3" s="426" t="s">
        <v>2255</v>
      </c>
      <c r="C3" s="426" t="s">
        <v>2256</v>
      </c>
      <c r="D3" s="1146" t="s">
        <v>2257</v>
      </c>
      <c r="E3" s="204"/>
      <c r="F3" s="1146" t="s">
        <v>911</v>
      </c>
      <c r="G3" s="426" t="s">
        <v>912</v>
      </c>
      <c r="H3" s="427"/>
      <c r="I3" s="426" t="s">
        <v>913</v>
      </c>
      <c r="J3" s="426" t="s">
        <v>914</v>
      </c>
      <c r="K3" s="204"/>
      <c r="L3" s="305"/>
    </row>
    <row r="4" spans="1:12">
      <c r="A4" s="428" t="str">
        <f>Application!B718</f>
        <v>1 Bedroom</v>
      </c>
      <c r="B4" s="1082">
        <f>Application!G718</f>
        <v>10</v>
      </c>
      <c r="C4" s="1162"/>
      <c r="D4" s="428">
        <f>Application!O718</f>
        <v>791</v>
      </c>
      <c r="E4" s="429"/>
      <c r="F4" s="1083"/>
      <c r="G4" s="428">
        <f>F4*B4</f>
        <v>0</v>
      </c>
      <c r="H4" s="429"/>
      <c r="I4" s="428" t="str">
        <f t="shared" ref="I4:I27" si="0">IF(F4=0,"",(F4-D4))</f>
        <v/>
      </c>
      <c r="J4" s="428" t="str">
        <f t="shared" ref="J4:J27" si="1">IF(F4=0,"",(I4*B4))</f>
        <v/>
      </c>
      <c r="K4" s="204"/>
      <c r="L4" s="305"/>
    </row>
    <row r="5" spans="1:12">
      <c r="A5" s="428" t="str">
        <f>Application!B719</f>
        <v>1 Bedroom</v>
      </c>
      <c r="B5" s="1082">
        <f>Application!G719</f>
        <v>2</v>
      </c>
      <c r="C5" s="1162"/>
      <c r="D5" s="428">
        <f>Application!O719</f>
        <v>1055</v>
      </c>
      <c r="E5" s="429"/>
      <c r="F5" s="1083"/>
      <c r="G5" s="428">
        <f t="shared" ref="G5:G38" si="2">F5*B5</f>
        <v>0</v>
      </c>
      <c r="H5" s="429"/>
      <c r="I5" s="428" t="str">
        <f t="shared" si="0"/>
        <v/>
      </c>
      <c r="J5" s="428" t="str">
        <f t="shared" si="1"/>
        <v/>
      </c>
      <c r="K5" s="204"/>
      <c r="L5" s="305"/>
    </row>
    <row r="6" spans="1:12">
      <c r="A6" s="428" t="str">
        <f>Application!B720</f>
        <v>1 Bedroom</v>
      </c>
      <c r="B6" s="1082">
        <f>Application!G720</f>
        <v>2</v>
      </c>
      <c r="C6" s="1162"/>
      <c r="D6" s="428">
        <f>Application!O720</f>
        <v>1319</v>
      </c>
      <c r="E6" s="429"/>
      <c r="F6" s="1083"/>
      <c r="G6" s="428">
        <f t="shared" si="2"/>
        <v>0</v>
      </c>
      <c r="H6" s="429"/>
      <c r="I6" s="428" t="str">
        <f t="shared" si="0"/>
        <v/>
      </c>
      <c r="J6" s="428" t="str">
        <f t="shared" si="1"/>
        <v/>
      </c>
      <c r="K6" s="204"/>
      <c r="L6" s="305"/>
    </row>
    <row r="7" spans="1:12">
      <c r="A7" s="428" t="str">
        <f>Application!B721</f>
        <v>1 Bedroom</v>
      </c>
      <c r="B7" s="1082">
        <f>Application!G721</f>
        <v>2</v>
      </c>
      <c r="C7" s="1162"/>
      <c r="D7" s="428">
        <f>Application!O721</f>
        <v>1583</v>
      </c>
      <c r="E7" s="429"/>
      <c r="F7" s="1083"/>
      <c r="G7" s="428">
        <f t="shared" si="2"/>
        <v>0</v>
      </c>
      <c r="H7" s="429"/>
      <c r="I7" s="428" t="str">
        <f t="shared" si="0"/>
        <v/>
      </c>
      <c r="J7" s="428" t="str">
        <f t="shared" si="1"/>
        <v/>
      </c>
      <c r="K7" s="204"/>
      <c r="L7" s="305"/>
    </row>
    <row r="8" spans="1:12">
      <c r="A8" s="428" t="str">
        <f>Application!B722</f>
        <v>1 Bedroom</v>
      </c>
      <c r="B8" s="1082">
        <f>Application!G722</f>
        <v>10</v>
      </c>
      <c r="C8" s="1162"/>
      <c r="D8" s="428">
        <f>Application!O722</f>
        <v>2111</v>
      </c>
      <c r="E8" s="429"/>
      <c r="F8" s="1083"/>
      <c r="G8" s="428">
        <f t="shared" si="2"/>
        <v>0</v>
      </c>
      <c r="H8" s="429"/>
      <c r="I8" s="428" t="str">
        <f t="shared" si="0"/>
        <v/>
      </c>
      <c r="J8" s="428" t="str">
        <f t="shared" si="1"/>
        <v/>
      </c>
      <c r="K8" s="204"/>
      <c r="L8" s="305"/>
    </row>
    <row r="9" spans="1:12">
      <c r="A9" s="428" t="str">
        <f>Application!B723</f>
        <v>2 Bedrooms</v>
      </c>
      <c r="B9" s="1082">
        <f>Application!G723</f>
        <v>10</v>
      </c>
      <c r="C9" s="1162"/>
      <c r="D9" s="428">
        <f>Application!O723</f>
        <v>950</v>
      </c>
      <c r="E9" s="429"/>
      <c r="F9" s="1083"/>
      <c r="G9" s="428">
        <f t="shared" si="2"/>
        <v>0</v>
      </c>
      <c r="H9" s="429"/>
      <c r="I9" s="428" t="str">
        <f t="shared" si="0"/>
        <v/>
      </c>
      <c r="J9" s="428" t="str">
        <f t="shared" si="1"/>
        <v/>
      </c>
      <c r="K9" s="204"/>
      <c r="L9" s="305"/>
    </row>
    <row r="10" spans="1:12">
      <c r="A10" s="428" t="str">
        <f>Application!B724</f>
        <v>2 Bedrooms</v>
      </c>
      <c r="B10" s="1082">
        <f>Application!G724</f>
        <v>2</v>
      </c>
      <c r="C10" s="1162"/>
      <c r="D10" s="428">
        <f>Application!O724</f>
        <v>1267</v>
      </c>
      <c r="E10" s="429"/>
      <c r="F10" s="1083"/>
      <c r="G10" s="428">
        <f t="shared" si="2"/>
        <v>0</v>
      </c>
      <c r="H10" s="429"/>
      <c r="I10" s="428" t="str">
        <f t="shared" si="0"/>
        <v/>
      </c>
      <c r="J10" s="428" t="str">
        <f t="shared" si="1"/>
        <v/>
      </c>
      <c r="K10" s="204"/>
      <c r="L10" s="305"/>
    </row>
    <row r="11" spans="1:12">
      <c r="A11" s="428" t="str">
        <f>Application!B725</f>
        <v>2 Bedrooms</v>
      </c>
      <c r="B11" s="1082">
        <f>Application!G725</f>
        <v>2</v>
      </c>
      <c r="C11" s="1162"/>
      <c r="D11" s="428">
        <f>Application!O725</f>
        <v>1583</v>
      </c>
      <c r="E11" s="429"/>
      <c r="F11" s="1083"/>
      <c r="G11" s="428">
        <f t="shared" si="2"/>
        <v>0</v>
      </c>
      <c r="H11" s="429"/>
      <c r="I11" s="428" t="str">
        <f t="shared" si="0"/>
        <v/>
      </c>
      <c r="J11" s="428" t="str">
        <f t="shared" si="1"/>
        <v/>
      </c>
      <c r="K11" s="204"/>
      <c r="L11" s="305"/>
    </row>
    <row r="12" spans="1:12">
      <c r="A12" s="428" t="str">
        <f>Application!B726</f>
        <v>2 Bedrooms</v>
      </c>
      <c r="B12" s="1082">
        <f>Application!G726</f>
        <v>2</v>
      </c>
      <c r="C12" s="1162"/>
      <c r="D12" s="428">
        <f>Application!O726</f>
        <v>1900</v>
      </c>
      <c r="E12" s="429"/>
      <c r="F12" s="1083"/>
      <c r="G12" s="428">
        <f t="shared" si="2"/>
        <v>0</v>
      </c>
      <c r="H12" s="429"/>
      <c r="I12" s="428" t="str">
        <f t="shared" si="0"/>
        <v/>
      </c>
      <c r="J12" s="428" t="str">
        <f t="shared" si="1"/>
        <v/>
      </c>
      <c r="K12" s="204"/>
      <c r="L12" s="305"/>
    </row>
    <row r="13" spans="1:12">
      <c r="A13" s="428" t="str">
        <f>Application!B727</f>
        <v>2 Bedrooms</v>
      </c>
      <c r="B13" s="1082">
        <f>Application!G727</f>
        <v>18</v>
      </c>
      <c r="C13" s="1162"/>
      <c r="D13" s="428">
        <f>Application!O727</f>
        <v>2534</v>
      </c>
      <c r="E13" s="429"/>
      <c r="F13" s="1083"/>
      <c r="G13" s="428">
        <f t="shared" si="2"/>
        <v>0</v>
      </c>
      <c r="H13" s="429"/>
      <c r="I13" s="428" t="str">
        <f t="shared" si="0"/>
        <v/>
      </c>
      <c r="J13" s="428" t="str">
        <f t="shared" si="1"/>
        <v/>
      </c>
      <c r="K13" s="204"/>
      <c r="L13" s="305"/>
    </row>
    <row r="14" spans="1:12">
      <c r="A14" s="428" t="str">
        <f>Application!B728</f>
        <v>3 Bedrooms</v>
      </c>
      <c r="B14" s="1082">
        <f>Application!G728</f>
        <v>10</v>
      </c>
      <c r="C14" s="1162"/>
      <c r="D14" s="428">
        <f>Application!O728</f>
        <v>1097</v>
      </c>
      <c r="E14" s="429"/>
      <c r="F14" s="1083"/>
      <c r="G14" s="428">
        <f t="shared" si="2"/>
        <v>0</v>
      </c>
      <c r="H14" s="429"/>
      <c r="I14" s="428" t="str">
        <f t="shared" si="0"/>
        <v/>
      </c>
      <c r="J14" s="428" t="str">
        <f t="shared" si="1"/>
        <v/>
      </c>
      <c r="K14" s="204"/>
      <c r="L14" s="305"/>
    </row>
    <row r="15" spans="1:12">
      <c r="A15" s="428" t="str">
        <f>Application!B729</f>
        <v>3 Bedrooms</v>
      </c>
      <c r="B15" s="1082">
        <f>Application!G729</f>
        <v>2</v>
      </c>
      <c r="C15" s="1162"/>
      <c r="D15" s="428">
        <f>Application!O729</f>
        <v>1463</v>
      </c>
      <c r="E15" s="429"/>
      <c r="F15" s="1083"/>
      <c r="G15" s="428">
        <f t="shared" si="2"/>
        <v>0</v>
      </c>
      <c r="H15" s="429"/>
      <c r="I15" s="428" t="str">
        <f t="shared" si="0"/>
        <v/>
      </c>
      <c r="J15" s="428" t="str">
        <f t="shared" si="1"/>
        <v/>
      </c>
      <c r="K15" s="204"/>
      <c r="L15" s="305"/>
    </row>
    <row r="16" spans="1:12">
      <c r="A16" s="428" t="str">
        <f>Application!B730</f>
        <v>3 Bedrooms</v>
      </c>
      <c r="B16" s="1082">
        <f>Application!G730</f>
        <v>2</v>
      </c>
      <c r="C16" s="1162"/>
      <c r="D16" s="428">
        <f>Application!O730</f>
        <v>1829</v>
      </c>
      <c r="E16" s="429"/>
      <c r="F16" s="1083"/>
      <c r="G16" s="428">
        <f t="shared" si="2"/>
        <v>0</v>
      </c>
      <c r="H16" s="429"/>
      <c r="I16" s="428" t="str">
        <f t="shared" si="0"/>
        <v/>
      </c>
      <c r="J16" s="428" t="str">
        <f t="shared" si="1"/>
        <v/>
      </c>
      <c r="K16" s="204"/>
      <c r="L16" s="305"/>
    </row>
    <row r="17" spans="1:12">
      <c r="A17" s="428" t="str">
        <f>Application!B731</f>
        <v>3 Bedrooms</v>
      </c>
      <c r="B17" s="1082">
        <f>Application!G731</f>
        <v>2</v>
      </c>
      <c r="C17" s="1162"/>
      <c r="D17" s="428">
        <f>Application!O731</f>
        <v>2195</v>
      </c>
      <c r="E17" s="429"/>
      <c r="F17" s="1083"/>
      <c r="G17" s="428">
        <f t="shared" si="2"/>
        <v>0</v>
      </c>
      <c r="H17" s="429"/>
      <c r="I17" s="428" t="str">
        <f t="shared" si="0"/>
        <v/>
      </c>
      <c r="J17" s="428" t="str">
        <f t="shared" si="1"/>
        <v/>
      </c>
      <c r="K17" s="204"/>
      <c r="L17" s="305"/>
    </row>
    <row r="18" spans="1:12">
      <c r="A18" s="428" t="str">
        <f>Application!B732</f>
        <v>3 Bedrooms</v>
      </c>
      <c r="B18" s="1082">
        <f>Application!G732</f>
        <v>16</v>
      </c>
      <c r="C18" s="1162"/>
      <c r="D18" s="428">
        <f>Application!O732</f>
        <v>2927</v>
      </c>
      <c r="E18" s="429"/>
      <c r="F18" s="1083"/>
      <c r="G18" s="428">
        <f t="shared" si="2"/>
        <v>0</v>
      </c>
      <c r="H18" s="429"/>
      <c r="I18" s="428" t="str">
        <f t="shared" si="0"/>
        <v/>
      </c>
      <c r="J18" s="428" t="str">
        <f t="shared" si="1"/>
        <v/>
      </c>
      <c r="K18" s="204"/>
      <c r="L18" s="305"/>
    </row>
    <row r="19" spans="1:12">
      <c r="A19" s="428" t="str">
        <f>Application!B733</f>
        <v>4 Bedrooms</v>
      </c>
      <c r="B19" s="1082">
        <f>Application!G733</f>
        <v>2</v>
      </c>
      <c r="C19" s="1162"/>
      <c r="D19" s="428">
        <f>Application!O733</f>
        <v>1224</v>
      </c>
      <c r="E19" s="429"/>
      <c r="F19" s="1083"/>
      <c r="G19" s="428">
        <f t="shared" si="2"/>
        <v>0</v>
      </c>
      <c r="H19" s="429"/>
      <c r="I19" s="428" t="str">
        <f t="shared" si="0"/>
        <v/>
      </c>
      <c r="J19" s="428" t="str">
        <f t="shared" si="1"/>
        <v/>
      </c>
      <c r="K19" s="204"/>
      <c r="L19" s="305"/>
    </row>
    <row r="20" spans="1:12">
      <c r="A20" s="428" t="str">
        <f>Application!B734</f>
        <v>4 Bedrooms</v>
      </c>
      <c r="B20" s="1082">
        <f>Application!G734</f>
        <v>1</v>
      </c>
      <c r="C20" s="1162"/>
      <c r="D20" s="428">
        <f>Application!O734</f>
        <v>1633</v>
      </c>
      <c r="E20" s="429"/>
      <c r="F20" s="1083"/>
      <c r="G20" s="428">
        <f t="shared" si="2"/>
        <v>0</v>
      </c>
      <c r="H20" s="429"/>
      <c r="I20" s="428" t="str">
        <f t="shared" si="0"/>
        <v/>
      </c>
      <c r="J20" s="428" t="str">
        <f t="shared" si="1"/>
        <v/>
      </c>
      <c r="K20" s="204"/>
      <c r="L20" s="305"/>
    </row>
    <row r="21" spans="1:12">
      <c r="A21" s="428" t="str">
        <f>Application!B735</f>
        <v>4 Bedrooms</v>
      </c>
      <c r="B21" s="1082">
        <f>Application!G735</f>
        <v>1</v>
      </c>
      <c r="C21" s="1162"/>
      <c r="D21" s="428">
        <f>Application!O735</f>
        <v>2041</v>
      </c>
      <c r="E21" s="429"/>
      <c r="F21" s="1083"/>
      <c r="G21" s="428">
        <f t="shared" si="2"/>
        <v>0</v>
      </c>
      <c r="H21" s="429"/>
      <c r="I21" s="428" t="str">
        <f t="shared" si="0"/>
        <v/>
      </c>
      <c r="J21" s="428" t="str">
        <f t="shared" si="1"/>
        <v/>
      </c>
      <c r="K21" s="204"/>
      <c r="L21" s="305"/>
    </row>
    <row r="22" spans="1:12">
      <c r="A22" s="428" t="str">
        <f>Application!B736</f>
        <v>4 Bedrooms</v>
      </c>
      <c r="B22" s="1082">
        <f>Application!G736</f>
        <v>1</v>
      </c>
      <c r="C22" s="1162"/>
      <c r="D22" s="428">
        <f>Application!O736</f>
        <v>2449</v>
      </c>
      <c r="E22" s="429"/>
      <c r="F22" s="1083"/>
      <c r="G22" s="428">
        <f t="shared" si="2"/>
        <v>0</v>
      </c>
      <c r="H22" s="429"/>
      <c r="I22" s="428" t="str">
        <f t="shared" si="0"/>
        <v/>
      </c>
      <c r="J22" s="428" t="str">
        <f t="shared" si="1"/>
        <v/>
      </c>
      <c r="K22" s="204"/>
      <c r="L22" s="305"/>
    </row>
    <row r="23" spans="1:12">
      <c r="A23" s="428" t="str">
        <f>Application!B737</f>
        <v>4 Bedrooms</v>
      </c>
      <c r="B23" s="1082">
        <f>Application!G737</f>
        <v>6</v>
      </c>
      <c r="C23" s="1162"/>
      <c r="D23" s="428">
        <f>Application!O737</f>
        <v>3266</v>
      </c>
      <c r="E23" s="429"/>
      <c r="F23" s="1083"/>
      <c r="G23" s="428">
        <f t="shared" si="2"/>
        <v>0</v>
      </c>
      <c r="H23" s="429"/>
      <c r="I23" s="428" t="str">
        <f t="shared" si="0"/>
        <v/>
      </c>
      <c r="J23" s="428" t="str">
        <f t="shared" si="1"/>
        <v/>
      </c>
      <c r="K23" s="204"/>
      <c r="L23" s="305"/>
    </row>
    <row r="24" spans="1:12">
      <c r="A24" s="428">
        <f>Application!B738</f>
        <v>0</v>
      </c>
      <c r="B24" s="1082">
        <f>Application!G738</f>
        <v>0</v>
      </c>
      <c r="C24" s="1162"/>
      <c r="D24" s="428">
        <f>Application!O738</f>
        <v>0</v>
      </c>
      <c r="E24" s="429"/>
      <c r="F24" s="1083"/>
      <c r="G24" s="428">
        <f t="shared" si="2"/>
        <v>0</v>
      </c>
      <c r="H24" s="429"/>
      <c r="I24" s="428" t="str">
        <f t="shared" si="0"/>
        <v/>
      </c>
      <c r="J24" s="428" t="str">
        <f t="shared" si="1"/>
        <v/>
      </c>
      <c r="K24" s="204"/>
      <c r="L24" s="305"/>
    </row>
    <row r="25" spans="1:12">
      <c r="A25" s="428">
        <f>Application!B739</f>
        <v>0</v>
      </c>
      <c r="B25" s="1082">
        <f>Application!G739</f>
        <v>0</v>
      </c>
      <c r="C25" s="1162"/>
      <c r="D25" s="428">
        <f>Application!O739</f>
        <v>0</v>
      </c>
      <c r="E25" s="429"/>
      <c r="F25" s="1083"/>
      <c r="G25" s="428">
        <f t="shared" si="2"/>
        <v>0</v>
      </c>
      <c r="H25" s="429"/>
      <c r="I25" s="428" t="str">
        <f t="shared" si="0"/>
        <v/>
      </c>
      <c r="J25" s="428" t="str">
        <f t="shared" si="1"/>
        <v/>
      </c>
      <c r="K25" s="204"/>
      <c r="L25" s="305"/>
    </row>
    <row r="26" spans="1:12">
      <c r="A26" s="428">
        <f>Application!B740</f>
        <v>0</v>
      </c>
      <c r="B26" s="1082">
        <f>Application!G740</f>
        <v>0</v>
      </c>
      <c r="C26" s="1162"/>
      <c r="D26" s="428">
        <f>Application!O740</f>
        <v>0</v>
      </c>
      <c r="E26" s="429"/>
      <c r="F26" s="1083"/>
      <c r="G26" s="428">
        <f t="shared" si="2"/>
        <v>0</v>
      </c>
      <c r="H26" s="429"/>
      <c r="I26" s="428" t="str">
        <f t="shared" si="0"/>
        <v/>
      </c>
      <c r="J26" s="428" t="str">
        <f t="shared" si="1"/>
        <v/>
      </c>
      <c r="K26" s="204"/>
      <c r="L26" s="305"/>
    </row>
    <row r="27" spans="1:12">
      <c r="A27" s="428">
        <f>Application!B741</f>
        <v>0</v>
      </c>
      <c r="B27" s="1082">
        <f>Application!G741</f>
        <v>0</v>
      </c>
      <c r="C27" s="1162"/>
      <c r="D27" s="428">
        <f>Application!O741</f>
        <v>0</v>
      </c>
      <c r="E27" s="429"/>
      <c r="F27" s="1083"/>
      <c r="G27" s="428">
        <f t="shared" si="2"/>
        <v>0</v>
      </c>
      <c r="H27" s="429"/>
      <c r="I27" s="428" t="str">
        <f t="shared" si="0"/>
        <v/>
      </c>
      <c r="J27" s="428" t="str">
        <f t="shared" si="1"/>
        <v/>
      </c>
      <c r="K27" s="204"/>
      <c r="L27" s="305"/>
    </row>
    <row r="28" spans="1:12">
      <c r="A28" s="428">
        <f>Application!B742</f>
        <v>0</v>
      </c>
      <c r="B28" s="1082">
        <f>Application!G742</f>
        <v>0</v>
      </c>
      <c r="C28" s="1162"/>
      <c r="D28" s="428">
        <f>Application!O742</f>
        <v>0</v>
      </c>
      <c r="E28" s="429"/>
      <c r="F28" s="1083"/>
      <c r="G28" s="428">
        <f t="shared" si="2"/>
        <v>0</v>
      </c>
      <c r="H28" s="429"/>
      <c r="I28" s="428" t="str">
        <f t="shared" ref="I28:I37" si="3">IF(F28=0,"",(F28-D28))</f>
        <v/>
      </c>
      <c r="J28" s="428" t="str">
        <f t="shared" ref="J28:J37" si="4">IF(F28=0,"",(I28*B28))</f>
        <v/>
      </c>
      <c r="K28" s="204"/>
      <c r="L28" s="305"/>
    </row>
    <row r="29" spans="1:12">
      <c r="A29" s="428">
        <f>Application!B743</f>
        <v>0</v>
      </c>
      <c r="B29" s="1082">
        <f>Application!G743</f>
        <v>0</v>
      </c>
      <c r="C29" s="1162"/>
      <c r="D29" s="428">
        <f>Application!O743</f>
        <v>0</v>
      </c>
      <c r="E29" s="429"/>
      <c r="F29" s="1083"/>
      <c r="G29" s="428">
        <f t="shared" si="2"/>
        <v>0</v>
      </c>
      <c r="H29" s="429"/>
      <c r="I29" s="428" t="str">
        <f t="shared" si="3"/>
        <v/>
      </c>
      <c r="J29" s="428" t="str">
        <f t="shared" si="4"/>
        <v/>
      </c>
      <c r="K29" s="204"/>
      <c r="L29" s="305"/>
    </row>
    <row r="30" spans="1:12">
      <c r="A30" s="428">
        <f>Application!B744</f>
        <v>0</v>
      </c>
      <c r="B30" s="1082">
        <f>Application!G744</f>
        <v>0</v>
      </c>
      <c r="C30" s="1162"/>
      <c r="D30" s="428">
        <f>Application!O744</f>
        <v>0</v>
      </c>
      <c r="E30" s="429"/>
      <c r="F30" s="1083"/>
      <c r="G30" s="428">
        <f t="shared" si="2"/>
        <v>0</v>
      </c>
      <c r="H30" s="429"/>
      <c r="I30" s="428" t="str">
        <f t="shared" si="3"/>
        <v/>
      </c>
      <c r="J30" s="428" t="str">
        <f t="shared" si="4"/>
        <v/>
      </c>
      <c r="K30" s="204"/>
      <c r="L30" s="305"/>
    </row>
    <row r="31" spans="1:12">
      <c r="A31" s="428">
        <f>Application!B745</f>
        <v>0</v>
      </c>
      <c r="B31" s="1082">
        <f>Application!G745</f>
        <v>0</v>
      </c>
      <c r="C31" s="1162"/>
      <c r="D31" s="428">
        <f>Application!O745</f>
        <v>0</v>
      </c>
      <c r="E31" s="429"/>
      <c r="F31" s="1083"/>
      <c r="G31" s="428">
        <f t="shared" si="2"/>
        <v>0</v>
      </c>
      <c r="H31" s="429"/>
      <c r="I31" s="428" t="str">
        <f t="shared" si="3"/>
        <v/>
      </c>
      <c r="J31" s="428" t="str">
        <f t="shared" si="4"/>
        <v/>
      </c>
      <c r="K31" s="204"/>
      <c r="L31" s="305"/>
    </row>
    <row r="32" spans="1:12">
      <c r="A32" s="428">
        <f>Application!B746</f>
        <v>0</v>
      </c>
      <c r="B32" s="1082">
        <f>Application!G746</f>
        <v>0</v>
      </c>
      <c r="C32" s="1162"/>
      <c r="D32" s="428">
        <f>Application!O746</f>
        <v>0</v>
      </c>
      <c r="E32" s="429"/>
      <c r="F32" s="1083"/>
      <c r="G32" s="428">
        <f t="shared" si="2"/>
        <v>0</v>
      </c>
      <c r="H32" s="429"/>
      <c r="I32" s="428" t="str">
        <f t="shared" si="3"/>
        <v/>
      </c>
      <c r="J32" s="428" t="str">
        <f t="shared" si="4"/>
        <v/>
      </c>
      <c r="K32" s="204"/>
      <c r="L32" s="305"/>
    </row>
    <row r="33" spans="1:12">
      <c r="A33" s="428">
        <f>Application!B747</f>
        <v>0</v>
      </c>
      <c r="B33" s="1082">
        <f>Application!G747</f>
        <v>0</v>
      </c>
      <c r="C33" s="1162"/>
      <c r="D33" s="428">
        <f>Application!O747</f>
        <v>0</v>
      </c>
      <c r="E33" s="429"/>
      <c r="F33" s="1083"/>
      <c r="G33" s="428">
        <f t="shared" si="2"/>
        <v>0</v>
      </c>
      <c r="H33" s="429"/>
      <c r="I33" s="428" t="str">
        <f t="shared" si="3"/>
        <v/>
      </c>
      <c r="J33" s="428" t="str">
        <f t="shared" si="4"/>
        <v/>
      </c>
      <c r="K33" s="204"/>
      <c r="L33" s="305"/>
    </row>
    <row r="34" spans="1:12">
      <c r="A34" s="428">
        <f>Application!B748</f>
        <v>0</v>
      </c>
      <c r="B34" s="1082">
        <f>Application!G748</f>
        <v>0</v>
      </c>
      <c r="C34" s="1162"/>
      <c r="D34" s="428">
        <f>Application!O748</f>
        <v>0</v>
      </c>
      <c r="E34" s="429"/>
      <c r="F34" s="1083"/>
      <c r="G34" s="428">
        <f t="shared" si="2"/>
        <v>0</v>
      </c>
      <c r="H34" s="429"/>
      <c r="I34" s="428" t="str">
        <f t="shared" si="3"/>
        <v/>
      </c>
      <c r="J34" s="428" t="str">
        <f t="shared" si="4"/>
        <v/>
      </c>
      <c r="K34" s="204"/>
      <c r="L34" s="305"/>
    </row>
    <row r="35" spans="1:12">
      <c r="A35" s="428">
        <f>Application!B749</f>
        <v>0</v>
      </c>
      <c r="B35" s="1082">
        <f>Application!G749</f>
        <v>0</v>
      </c>
      <c r="C35" s="1162"/>
      <c r="D35" s="428">
        <f>Application!O749</f>
        <v>0</v>
      </c>
      <c r="E35" s="429"/>
      <c r="F35" s="1083"/>
      <c r="G35" s="428">
        <f t="shared" si="2"/>
        <v>0</v>
      </c>
      <c r="H35" s="429"/>
      <c r="I35" s="428" t="str">
        <f t="shared" si="3"/>
        <v/>
      </c>
      <c r="J35" s="428" t="str">
        <f t="shared" si="4"/>
        <v/>
      </c>
      <c r="K35" s="204"/>
      <c r="L35" s="305"/>
    </row>
    <row r="36" spans="1:12">
      <c r="A36" s="428">
        <f>Application!B750</f>
        <v>0</v>
      </c>
      <c r="B36" s="1082">
        <f>Application!G750</f>
        <v>0</v>
      </c>
      <c r="C36" s="1162"/>
      <c r="D36" s="428">
        <f>Application!O750</f>
        <v>0</v>
      </c>
      <c r="E36" s="429"/>
      <c r="F36" s="1083"/>
      <c r="G36" s="428">
        <f t="shared" si="2"/>
        <v>0</v>
      </c>
      <c r="H36" s="429"/>
      <c r="I36" s="428" t="str">
        <f t="shared" si="3"/>
        <v/>
      </c>
      <c r="J36" s="428" t="str">
        <f t="shared" si="4"/>
        <v/>
      </c>
      <c r="K36" s="204"/>
      <c r="L36" s="305"/>
    </row>
    <row r="37" spans="1:12">
      <c r="A37" s="428">
        <f>Application!B751</f>
        <v>0</v>
      </c>
      <c r="B37" s="1082">
        <f>Application!G751</f>
        <v>0</v>
      </c>
      <c r="C37" s="1162"/>
      <c r="D37" s="428">
        <f>Application!O751</f>
        <v>0</v>
      </c>
      <c r="E37" s="429"/>
      <c r="F37" s="1083"/>
      <c r="G37" s="428">
        <f t="shared" si="2"/>
        <v>0</v>
      </c>
      <c r="H37" s="429"/>
      <c r="I37" s="428" t="str">
        <f t="shared" si="3"/>
        <v/>
      </c>
      <c r="J37" s="428" t="str">
        <f t="shared" si="4"/>
        <v/>
      </c>
      <c r="K37" s="204"/>
      <c r="L37" s="305"/>
    </row>
    <row r="38" spans="1:12">
      <c r="A38" s="428">
        <f>Application!B752</f>
        <v>0</v>
      </c>
      <c r="B38" s="1082">
        <f>Application!G752</f>
        <v>0</v>
      </c>
      <c r="C38" s="1162"/>
      <c r="D38" s="428">
        <f>Application!O752</f>
        <v>0</v>
      </c>
      <c r="E38" s="429"/>
      <c r="F38" s="1083"/>
      <c r="G38" s="428">
        <f t="shared" si="2"/>
        <v>0</v>
      </c>
      <c r="H38" s="429"/>
      <c r="I38" s="428" t="str">
        <f>IF(F38=0,"",(F38-D38))</f>
        <v/>
      </c>
      <c r="J38" s="428" t="str">
        <f>IF(F38=0,"",(I38*B38))</f>
        <v/>
      </c>
      <c r="K38" s="204"/>
      <c r="L38" s="305"/>
    </row>
    <row r="39" spans="1:12">
      <c r="A39" s="204"/>
      <c r="B39" s="204"/>
      <c r="C39" s="204"/>
      <c r="D39" s="429"/>
      <c r="E39" s="429"/>
      <c r="F39" s="429"/>
      <c r="G39" s="429"/>
      <c r="H39" s="429"/>
      <c r="I39" s="429"/>
      <c r="J39" s="204"/>
      <c r="K39" s="204"/>
      <c r="L39" s="305"/>
    </row>
    <row r="40" spans="1:12" ht="15">
      <c r="A40" s="430" t="s">
        <v>915</v>
      </c>
      <c r="B40" s="431"/>
      <c r="C40" s="431"/>
      <c r="D40" s="432">
        <f>Application!O753</f>
        <v>198489</v>
      </c>
      <c r="E40" s="429"/>
      <c r="F40" s="429"/>
      <c r="G40" s="432">
        <f>SUM(G4:G38)*12</f>
        <v>0</v>
      </c>
      <c r="H40" s="433"/>
      <c r="I40" s="431"/>
      <c r="J40" s="432">
        <f>SUM(J4:J38)*12</f>
        <v>0</v>
      </c>
      <c r="K40" s="204"/>
      <c r="L40" s="306"/>
    </row>
    <row r="41" spans="1:12" ht="15">
      <c r="A41" s="430"/>
      <c r="B41" s="431"/>
      <c r="C41" s="431"/>
      <c r="D41" s="433"/>
      <c r="E41" s="429"/>
      <c r="F41" s="429"/>
      <c r="G41" s="433"/>
      <c r="H41" s="433"/>
      <c r="I41" s="431"/>
      <c r="J41" s="433"/>
      <c r="K41" s="204"/>
      <c r="L41" s="306"/>
    </row>
    <row r="42" spans="1:12">
      <c r="A42" s="304" t="s">
        <v>2258</v>
      </c>
    </row>
    <row r="43" spans="1:12">
      <c r="A43" s="2691" t="s">
        <v>2493</v>
      </c>
      <c r="B43" s="2691"/>
      <c r="C43" s="2691"/>
      <c r="D43" s="2691"/>
      <c r="E43" s="2691"/>
      <c r="F43" s="2691"/>
      <c r="G43" s="2691"/>
      <c r="H43" s="2691"/>
      <c r="I43" s="2691"/>
      <c r="J43" s="2691"/>
    </row>
    <row r="44" spans="1:12">
      <c r="A44" s="2691"/>
      <c r="B44" s="2691"/>
      <c r="C44" s="2691"/>
      <c r="D44" s="2691"/>
      <c r="E44" s="2691"/>
      <c r="F44" s="2691"/>
      <c r="G44" s="2691"/>
      <c r="H44" s="2691"/>
      <c r="I44" s="2691"/>
      <c r="J44" s="2691"/>
    </row>
    <row r="45" spans="1:12">
      <c r="A45" s="2691" t="s">
        <v>2259</v>
      </c>
      <c r="B45" s="2691"/>
      <c r="C45" s="2691"/>
      <c r="D45" s="2691"/>
      <c r="E45" s="2691"/>
      <c r="F45" s="2691"/>
      <c r="G45" s="2691"/>
      <c r="H45" s="2691"/>
      <c r="I45" s="2691"/>
      <c r="J45" s="2691"/>
    </row>
    <row r="46" spans="1:12">
      <c r="A46" s="2691"/>
      <c r="B46" s="2691"/>
      <c r="C46" s="2691"/>
      <c r="D46" s="2691"/>
      <c r="E46" s="2691"/>
      <c r="F46" s="2691"/>
      <c r="G46" s="2691"/>
      <c r="H46" s="2691"/>
      <c r="I46" s="2691"/>
      <c r="J46" s="2691"/>
    </row>
  </sheetData>
  <sheetProtection algorithmName="SHA-512" hashValue="ARD+xqYyguXDHL50cIzKzJ6SKJjU+MTJqTFQfdJigifZQEHyZm03DUo98DZE4+VJyIyoclEhqnWMA4kZE0VVjA==" saltValue="Unf4NIXk3/L41XYbzA3tlw=="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3">
    <mergeCell ref="A1:J1"/>
    <mergeCell ref="A45:J46"/>
    <mergeCell ref="A43:J44"/>
  </mergeCells>
  <dataValidations count="1">
    <dataValidation type="list" allowBlank="1" showInputMessage="1" showErrorMessage="1" sqref="C4:C38" xr:uid="{52C38E86-538D-4F36-B4B3-F4D1C6856868}">
      <formula1>"Federal,Local - Approved by ED, Other"</formula1>
    </dataValidation>
  </dataValidations>
  <printOptions horizontalCentered="1"/>
  <pageMargins left="0.7" right="0.7" top="0.75" bottom="0.75" header="0.3" footer="0.3"/>
  <pageSetup scale="69" firstPageNumber="48"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XFC77"/>
  <sheetViews>
    <sheetView topLeftCell="A36" workbookViewId="0">
      <selection activeCell="E19" sqref="E19"/>
    </sheetView>
  </sheetViews>
  <sheetFormatPr defaultColWidth="0" defaultRowHeight="12.75" zeroHeight="1"/>
  <cols>
    <col min="1" max="1" width="3.7109375" customWidth="1"/>
    <col min="2" max="2" width="30.5703125" customWidth="1"/>
    <col min="3" max="3" width="9.140625" style="214"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211" t="s">
        <v>2094</v>
      </c>
      <c r="B1" s="211"/>
    </row>
    <row r="2" spans="1:34"/>
    <row r="3" spans="1:34" ht="15.75">
      <c r="A3" s="212" t="s">
        <v>819</v>
      </c>
      <c r="B3" s="212"/>
      <c r="C3" s="235" t="s">
        <v>820</v>
      </c>
      <c r="D3" s="13"/>
      <c r="E3" s="236" t="s">
        <v>821</v>
      </c>
      <c r="F3" s="203"/>
      <c r="G3" s="236" t="s">
        <v>822</v>
      </c>
      <c r="H3" s="203"/>
      <c r="I3" s="236" t="s">
        <v>823</v>
      </c>
      <c r="J3" s="203"/>
      <c r="K3" s="236" t="s">
        <v>824</v>
      </c>
      <c r="L3" s="203"/>
      <c r="M3" s="236" t="s">
        <v>825</v>
      </c>
      <c r="N3" s="203"/>
      <c r="O3" s="236" t="s">
        <v>826</v>
      </c>
      <c r="P3" s="203"/>
      <c r="Q3" s="236" t="s">
        <v>827</v>
      </c>
      <c r="R3" s="203"/>
      <c r="S3" s="236" t="s">
        <v>828</v>
      </c>
      <c r="T3" s="203"/>
      <c r="U3" s="236" t="s">
        <v>829</v>
      </c>
      <c r="V3" s="203"/>
      <c r="W3" s="236" t="s">
        <v>830</v>
      </c>
      <c r="X3" s="203"/>
      <c r="Y3" s="236" t="s">
        <v>831</v>
      </c>
      <c r="Z3" s="203"/>
      <c r="AA3" s="236" t="s">
        <v>832</v>
      </c>
      <c r="AB3" s="203"/>
      <c r="AC3" s="236" t="s">
        <v>833</v>
      </c>
      <c r="AD3" s="203"/>
      <c r="AE3" s="236" t="s">
        <v>834</v>
      </c>
      <c r="AF3" s="203"/>
      <c r="AG3" s="236" t="s">
        <v>835</v>
      </c>
      <c r="AH3" s="13"/>
    </row>
    <row r="4" spans="1:34" s="219" customFormat="1" ht="14.25">
      <c r="A4" s="219" t="s">
        <v>837</v>
      </c>
      <c r="C4" s="237">
        <v>1.0249999999999999</v>
      </c>
      <c r="E4" s="219">
        <f>Application!Y801</f>
        <v>2381868</v>
      </c>
      <c r="G4" s="219">
        <f>E4*$C$4</f>
        <v>2441414.6999999997</v>
      </c>
      <c r="I4" s="219">
        <f>G4*$C$4</f>
        <v>2502450.0674999994</v>
      </c>
      <c r="K4" s="219">
        <f>I4*$C$4</f>
        <v>2565011.3191874991</v>
      </c>
      <c r="M4" s="219">
        <f>K4*$C$4</f>
        <v>2629136.6021671863</v>
      </c>
      <c r="O4" s="219">
        <f>M4*$C$4</f>
        <v>2694865.0172213656</v>
      </c>
      <c r="Q4" s="219">
        <f>O4*$C$4</f>
        <v>2762236.6426518997</v>
      </c>
      <c r="S4" s="219">
        <f>Q4*$C$4</f>
        <v>2831292.558718197</v>
      </c>
      <c r="U4" s="219">
        <f>S4*$C$4</f>
        <v>2902074.8726861519</v>
      </c>
      <c r="W4" s="219">
        <f>U4*$C$4</f>
        <v>2974626.7445033053</v>
      </c>
      <c r="Y4" s="219">
        <f>W4*$C$4</f>
        <v>3048992.4131158874</v>
      </c>
      <c r="AA4" s="219">
        <f>Y4*$C$4</f>
        <v>3125217.2234437843</v>
      </c>
      <c r="AC4" s="219">
        <f>AA4*$C$4</f>
        <v>3203347.6540298788</v>
      </c>
      <c r="AE4" s="219">
        <f>AC4*$C$4</f>
        <v>3283431.3453806257</v>
      </c>
      <c r="AG4" s="219">
        <f>AE4*$C$4</f>
        <v>3365517.1290151412</v>
      </c>
    </row>
    <row r="5" spans="1:34" s="210" customFormat="1" ht="14.25">
      <c r="B5" s="210" t="s">
        <v>838</v>
      </c>
      <c r="C5" s="238">
        <f>IF(Application!$D$211="Special Needs",(((0.1*Application!$T$212)+(0.05*(1-Application!$T$212)))),0.05)</f>
        <v>0.05</v>
      </c>
      <c r="E5" s="221">
        <f>-E4*$C$5</f>
        <v>-119093.40000000001</v>
      </c>
      <c r="F5" s="221"/>
      <c r="G5" s="221">
        <f>-G4*$C$5</f>
        <v>-122070.73499999999</v>
      </c>
      <c r="H5" s="221"/>
      <c r="I5" s="221">
        <f>-I4*$C$5</f>
        <v>-125122.50337499997</v>
      </c>
      <c r="J5" s="221"/>
      <c r="K5" s="221">
        <f>-K4*$C$5</f>
        <v>-128250.56595937496</v>
      </c>
      <c r="L5" s="221"/>
      <c r="M5" s="221">
        <f>-M4*$C$5</f>
        <v>-131456.83010835931</v>
      </c>
      <c r="N5" s="221"/>
      <c r="O5" s="221">
        <f>-O4*$C$5</f>
        <v>-134743.25086106829</v>
      </c>
      <c r="P5" s="221"/>
      <c r="Q5" s="221">
        <f>-Q4*$C$5</f>
        <v>-138111.83213259498</v>
      </c>
      <c r="R5" s="221"/>
      <c r="S5" s="221">
        <f>-S4*$C$5</f>
        <v>-141564.62793590987</v>
      </c>
      <c r="T5" s="221"/>
      <c r="U5" s="221">
        <f>-U4*$C$5</f>
        <v>-145103.74363430761</v>
      </c>
      <c r="V5" s="221"/>
      <c r="W5" s="221">
        <f>-W4*$C$5</f>
        <v>-148731.33722516528</v>
      </c>
      <c r="X5" s="221"/>
      <c r="Y5" s="221">
        <f>-Y4*$C$5</f>
        <v>-152449.62065579437</v>
      </c>
      <c r="Z5" s="221"/>
      <c r="AA5" s="221">
        <f>-AA4*$C$5</f>
        <v>-156260.86117218921</v>
      </c>
      <c r="AB5" s="221"/>
      <c r="AC5" s="221">
        <f>-AC4*$C$5</f>
        <v>-160167.38270149395</v>
      </c>
      <c r="AD5" s="221"/>
      <c r="AE5" s="221">
        <f>-AE4*$C$5</f>
        <v>-164171.56726903131</v>
      </c>
      <c r="AF5" s="221"/>
      <c r="AG5" s="221">
        <f>-AG4*$C$5</f>
        <v>-168275.85645075707</v>
      </c>
    </row>
    <row r="6" spans="1:34" s="210" customFormat="1" ht="14.25">
      <c r="A6" s="210" t="s">
        <v>836</v>
      </c>
      <c r="C6" s="237">
        <v>1.0249999999999999</v>
      </c>
      <c r="E6" s="222">
        <f>Application!Z809</f>
        <v>0</v>
      </c>
      <c r="F6" s="222"/>
      <c r="G6" s="222">
        <f>E6*$C$6</f>
        <v>0</v>
      </c>
      <c r="H6" s="222"/>
      <c r="I6" s="222">
        <f>G6*$C$6</f>
        <v>0</v>
      </c>
      <c r="J6" s="222"/>
      <c r="K6" s="222">
        <f>I6*$C$6</f>
        <v>0</v>
      </c>
      <c r="L6" s="222"/>
      <c r="M6" s="222">
        <f>K6*$C$6</f>
        <v>0</v>
      </c>
      <c r="N6" s="222"/>
      <c r="O6" s="222">
        <f>M6*$C$6</f>
        <v>0</v>
      </c>
      <c r="P6" s="222"/>
      <c r="Q6" s="222">
        <f>O6*$C$6</f>
        <v>0</v>
      </c>
      <c r="R6" s="222"/>
      <c r="S6" s="222">
        <f>Q6*$C$6</f>
        <v>0</v>
      </c>
      <c r="T6" s="222"/>
      <c r="U6" s="222">
        <f>S6*$C$6</f>
        <v>0</v>
      </c>
      <c r="V6" s="222"/>
      <c r="W6" s="222">
        <f>U6*$C$6</f>
        <v>0</v>
      </c>
      <c r="X6" s="222"/>
      <c r="Y6" s="222">
        <f>W6*$C$6</f>
        <v>0</v>
      </c>
      <c r="Z6" s="222"/>
      <c r="AA6" s="222">
        <f>Y6*$C$6</f>
        <v>0</v>
      </c>
      <c r="AB6" s="222"/>
      <c r="AC6" s="222">
        <f>AA6*$C$6</f>
        <v>0</v>
      </c>
      <c r="AD6" s="222"/>
      <c r="AE6" s="222">
        <f>AC6*$C$6</f>
        <v>0</v>
      </c>
      <c r="AF6" s="222"/>
      <c r="AG6" s="222">
        <f>AE6*$C$6</f>
        <v>0</v>
      </c>
    </row>
    <row r="7" spans="1:34" s="210" customFormat="1" ht="14.25">
      <c r="B7" s="210" t="s">
        <v>838</v>
      </c>
      <c r="C7" s="238">
        <f>IF(Application!$D$211="Special Needs",(((0.1*Application!$T$212)+(0.05*(1-Application!$T$212)))),0.05)</f>
        <v>0.05</v>
      </c>
      <c r="E7" s="221">
        <f>-E6*$C$7</f>
        <v>0</v>
      </c>
      <c r="F7" s="221"/>
      <c r="G7" s="221">
        <f>-G6*$C$7</f>
        <v>0</v>
      </c>
      <c r="H7" s="221"/>
      <c r="I7" s="221">
        <f>-I6*$C$7</f>
        <v>0</v>
      </c>
      <c r="J7" s="221"/>
      <c r="K7" s="221">
        <f>-K6*$C$7</f>
        <v>0</v>
      </c>
      <c r="L7" s="221"/>
      <c r="M7" s="221">
        <f>-M6*$C$7</f>
        <v>0</v>
      </c>
      <c r="N7" s="221"/>
      <c r="O7" s="221">
        <f>-O6*$C$7</f>
        <v>0</v>
      </c>
      <c r="P7" s="221"/>
      <c r="Q7" s="221">
        <f>-Q6*$C$7</f>
        <v>0</v>
      </c>
      <c r="R7" s="221"/>
      <c r="S7" s="221">
        <f>-S6*$C$7</f>
        <v>0</v>
      </c>
      <c r="T7" s="221"/>
      <c r="U7" s="221">
        <f>-U6*$C$7</f>
        <v>0</v>
      </c>
      <c r="V7" s="221"/>
      <c r="W7" s="221">
        <f>-W6*$C$7</f>
        <v>0</v>
      </c>
      <c r="X7" s="221"/>
      <c r="Y7" s="221">
        <f>-Y6*$C$7</f>
        <v>0</v>
      </c>
      <c r="Z7" s="221"/>
      <c r="AA7" s="221">
        <f>-AA6*$C$7</f>
        <v>0</v>
      </c>
      <c r="AB7" s="221"/>
      <c r="AC7" s="221">
        <f>-AC6*$C$7</f>
        <v>0</v>
      </c>
      <c r="AD7" s="221"/>
      <c r="AE7" s="221">
        <f>-AE6*$C$7</f>
        <v>0</v>
      </c>
      <c r="AF7" s="221"/>
      <c r="AG7" s="221">
        <f>-AG6*$C$7</f>
        <v>0</v>
      </c>
    </row>
    <row r="8" spans="1:34" s="210" customFormat="1" ht="14.25">
      <c r="A8" s="210" t="s">
        <v>287</v>
      </c>
      <c r="C8" s="237">
        <v>1.0249999999999999</v>
      </c>
      <c r="E8" s="222">
        <f>Application!Z817</f>
        <v>15450</v>
      </c>
      <c r="F8" s="222"/>
      <c r="G8" s="222">
        <f>E8*$C$8</f>
        <v>15836.249999999998</v>
      </c>
      <c r="H8" s="222"/>
      <c r="I8" s="222">
        <f>G8*$C$8</f>
        <v>16232.156249999996</v>
      </c>
      <c r="J8" s="222"/>
      <c r="K8" s="222">
        <f>I8*$C$8</f>
        <v>16637.960156249996</v>
      </c>
      <c r="L8" s="222"/>
      <c r="M8" s="222">
        <f>K8*$C$8</f>
        <v>17053.909160156243</v>
      </c>
      <c r="N8" s="222"/>
      <c r="O8" s="222">
        <f>M8*$C$8</f>
        <v>17480.256889160148</v>
      </c>
      <c r="P8" s="222"/>
      <c r="Q8" s="222">
        <f>O8*$C$8</f>
        <v>17917.26331138915</v>
      </c>
      <c r="R8" s="222"/>
      <c r="S8" s="222">
        <f>Q8*$C$8</f>
        <v>18365.194894173877</v>
      </c>
      <c r="T8" s="222"/>
      <c r="U8" s="222">
        <f>S8*$C$8</f>
        <v>18824.324766528222</v>
      </c>
      <c r="V8" s="222"/>
      <c r="W8" s="222">
        <f>U8*$C$8</f>
        <v>19294.932885691425</v>
      </c>
      <c r="X8" s="222"/>
      <c r="Y8" s="222">
        <f>W8*$C$8</f>
        <v>19777.30620783371</v>
      </c>
      <c r="Z8" s="222"/>
      <c r="AA8" s="222">
        <f>Y8*$C$8</f>
        <v>20271.73886302955</v>
      </c>
      <c r="AB8" s="222"/>
      <c r="AC8" s="222">
        <f>AA8*$C$8</f>
        <v>20778.532334605286</v>
      </c>
      <c r="AD8" s="222"/>
      <c r="AE8" s="222">
        <f>AC8*$C$8</f>
        <v>21297.995642970418</v>
      </c>
      <c r="AF8" s="222"/>
      <c r="AG8" s="222">
        <f>AE8*$C$8</f>
        <v>21830.445534044677</v>
      </c>
    </row>
    <row r="9" spans="1:34" s="210" customFormat="1" ht="14.25">
      <c r="B9" s="210" t="s">
        <v>838</v>
      </c>
      <c r="C9" s="238">
        <f>IF(Application!$D$211="Special Needs",(((0.1*Application!$T$212)+(0.05*(1-Application!$T$212)))),0.05)</f>
        <v>0.05</v>
      </c>
      <c r="E9" s="221">
        <f>-E8*$C$9</f>
        <v>-772.5</v>
      </c>
      <c r="F9" s="221"/>
      <c r="G9" s="221">
        <f>-G8*$C$9</f>
        <v>-791.8125</v>
      </c>
      <c r="H9" s="221"/>
      <c r="I9" s="221">
        <f>-I8*$C$9</f>
        <v>-811.60781249999991</v>
      </c>
      <c r="J9" s="221"/>
      <c r="K9" s="221">
        <f>-K8*$C$9</f>
        <v>-831.89800781249983</v>
      </c>
      <c r="L9" s="221"/>
      <c r="M9" s="221">
        <f>-M8*$C$9</f>
        <v>-852.69545800781225</v>
      </c>
      <c r="N9" s="221"/>
      <c r="O9" s="221">
        <f>-O8*$C$9</f>
        <v>-874.01284445800741</v>
      </c>
      <c r="P9" s="221"/>
      <c r="Q9" s="221">
        <f>-Q8*$C$9</f>
        <v>-895.86316556945758</v>
      </c>
      <c r="R9" s="221"/>
      <c r="S9" s="221">
        <f>-S8*$C$9</f>
        <v>-918.25974470869392</v>
      </c>
      <c r="T9" s="221"/>
      <c r="U9" s="221">
        <f>-U8*$C$9</f>
        <v>-941.21623832641114</v>
      </c>
      <c r="V9" s="221"/>
      <c r="W9" s="221">
        <f>-W8*$C$9</f>
        <v>-964.74664428457129</v>
      </c>
      <c r="X9" s="221"/>
      <c r="Y9" s="221">
        <f>-Y8*$C$9</f>
        <v>-988.86531039168551</v>
      </c>
      <c r="Z9" s="221"/>
      <c r="AA9" s="221">
        <f>-AA8*$C$9</f>
        <v>-1013.5869431514775</v>
      </c>
      <c r="AB9" s="221"/>
      <c r="AC9" s="221">
        <f>-AC8*$C$9</f>
        <v>-1038.9266167302644</v>
      </c>
      <c r="AD9" s="221"/>
      <c r="AE9" s="221">
        <f>-AE8*$C$9</f>
        <v>-1064.8997821485209</v>
      </c>
      <c r="AF9" s="221"/>
      <c r="AG9" s="221">
        <f>-AG8*$C$9</f>
        <v>-1091.522276702234</v>
      </c>
    </row>
    <row r="10" spans="1:34" s="210" customFormat="1" ht="14.25">
      <c r="A10" s="1143" t="s">
        <v>2223</v>
      </c>
      <c r="B10" s="1143"/>
      <c r="C10" s="238"/>
      <c r="E10" s="1144"/>
      <c r="F10" s="222"/>
      <c r="G10" s="1144"/>
      <c r="H10" s="222"/>
      <c r="I10" s="1144"/>
      <c r="J10" s="222"/>
      <c r="K10" s="1144"/>
      <c r="L10" s="222"/>
      <c r="M10" s="1144"/>
      <c r="N10" s="222"/>
      <c r="O10" s="1144"/>
      <c r="P10" s="222"/>
      <c r="Q10" s="1144"/>
      <c r="R10" s="222"/>
      <c r="S10" s="1144"/>
      <c r="T10" s="222"/>
      <c r="U10" s="1144"/>
      <c r="V10" s="222"/>
      <c r="W10" s="1144"/>
      <c r="X10" s="222"/>
      <c r="Y10" s="1144"/>
      <c r="Z10" s="222"/>
      <c r="AA10" s="1144"/>
      <c r="AB10" s="222"/>
      <c r="AC10" s="1144"/>
      <c r="AD10" s="222"/>
      <c r="AE10" s="1144"/>
      <c r="AF10" s="222"/>
      <c r="AG10" s="1144"/>
    </row>
    <row r="11" spans="1:34" s="223" customFormat="1" ht="15">
      <c r="A11" s="223" t="s">
        <v>859</v>
      </c>
      <c r="C11" s="216"/>
      <c r="E11" s="223">
        <f>SUM(E4:E10)</f>
        <v>2277452.1</v>
      </c>
      <c r="G11" s="223">
        <f>SUM(G4:G10)</f>
        <v>2334388.4024999999</v>
      </c>
      <c r="I11" s="223">
        <f>SUM(I4:I10)</f>
        <v>2392748.1125624995</v>
      </c>
      <c r="K11" s="223">
        <f>SUM(K4:K10)</f>
        <v>2452566.8153765616</v>
      </c>
      <c r="M11" s="223">
        <f>SUM(M4:M10)</f>
        <v>2513880.9857609752</v>
      </c>
      <c r="O11" s="223">
        <f>SUM(O4:O10)</f>
        <v>2576728.0104049994</v>
      </c>
      <c r="Q11" s="223">
        <f>SUM(Q4:Q10)</f>
        <v>2641146.2106651245</v>
      </c>
      <c r="S11" s="223">
        <f>SUM(S4:S10)</f>
        <v>2707174.8659317521</v>
      </c>
      <c r="U11" s="223">
        <f>SUM(U4:U10)</f>
        <v>2774854.2375800461</v>
      </c>
      <c r="W11" s="223">
        <f>SUM(W4:W10)</f>
        <v>2844225.593519547</v>
      </c>
      <c r="Y11" s="223">
        <f>SUM(Y4:Y10)</f>
        <v>2915331.2333575352</v>
      </c>
      <c r="AA11" s="223">
        <f>SUM(AA4:AA10)</f>
        <v>2988214.5141914734</v>
      </c>
      <c r="AC11" s="223">
        <f>SUM(AC4:AC10)</f>
        <v>3062919.8770462601</v>
      </c>
      <c r="AE11" s="223">
        <f>SUM(AE4:AE10)</f>
        <v>3139492.8739724159</v>
      </c>
      <c r="AG11" s="223">
        <f>SUM(AG4:AG10)</f>
        <v>3217980.1958217267</v>
      </c>
    </row>
    <row r="12" spans="1:34">
      <c r="C12" s="233"/>
      <c r="E12" s="215"/>
      <c r="F12" s="215"/>
      <c r="G12" s="215"/>
      <c r="H12" s="215"/>
      <c r="I12" s="215"/>
      <c r="J12" s="215"/>
      <c r="K12" s="215"/>
      <c r="L12" s="215"/>
      <c r="M12" s="215"/>
      <c r="N12" s="215"/>
      <c r="O12" s="215"/>
      <c r="P12" s="215"/>
      <c r="Q12" s="215"/>
      <c r="R12" s="215"/>
      <c r="S12" s="215"/>
      <c r="T12" s="215"/>
      <c r="U12" s="215"/>
      <c r="V12" s="215"/>
      <c r="W12" s="215"/>
      <c r="X12" s="215"/>
      <c r="Y12" s="215"/>
      <c r="Z12" s="215"/>
      <c r="AA12" s="215"/>
      <c r="AB12" s="215"/>
      <c r="AC12" s="215"/>
      <c r="AD12" s="215"/>
      <c r="AE12" s="215"/>
      <c r="AF12" s="215"/>
      <c r="AG12" s="215"/>
    </row>
    <row r="13" spans="1:34" ht="15.75">
      <c r="A13" s="212" t="s">
        <v>839</v>
      </c>
      <c r="C13" s="233"/>
      <c r="E13" s="215"/>
      <c r="F13" s="215"/>
      <c r="G13" s="215"/>
      <c r="H13" s="215"/>
      <c r="I13" s="215"/>
      <c r="J13" s="215"/>
      <c r="K13" s="215"/>
      <c r="L13" s="215"/>
      <c r="M13" s="215"/>
      <c r="N13" s="215"/>
      <c r="O13" s="215"/>
      <c r="P13" s="215"/>
      <c r="Q13" s="215"/>
      <c r="R13" s="215"/>
      <c r="S13" s="215"/>
      <c r="T13" s="215"/>
      <c r="U13" s="215"/>
      <c r="V13" s="215"/>
      <c r="W13" s="215"/>
      <c r="X13" s="215"/>
      <c r="Y13" s="215"/>
      <c r="Z13" s="215"/>
      <c r="AA13" s="215"/>
      <c r="AB13" s="215"/>
      <c r="AC13" s="215"/>
      <c r="AD13" s="215"/>
      <c r="AE13" s="215"/>
      <c r="AF13" s="215"/>
      <c r="AG13" s="215"/>
    </row>
    <row r="14" spans="1:34" s="210" customFormat="1" ht="14.25">
      <c r="A14" s="210" t="s">
        <v>840</v>
      </c>
      <c r="C14" s="237">
        <v>1.0349999999999999</v>
      </c>
      <c r="E14" s="222"/>
      <c r="F14" s="222"/>
      <c r="G14" s="222"/>
      <c r="H14" s="222"/>
      <c r="I14" s="222"/>
      <c r="J14" s="222"/>
      <c r="K14" s="222"/>
      <c r="L14" s="222"/>
      <c r="M14" s="222"/>
      <c r="N14" s="222"/>
      <c r="O14" s="222"/>
      <c r="P14" s="222"/>
      <c r="Q14" s="222"/>
      <c r="R14" s="222"/>
      <c r="S14" s="222"/>
      <c r="T14" s="222"/>
      <c r="U14" s="222"/>
      <c r="V14" s="222"/>
      <c r="W14" s="222"/>
      <c r="X14" s="222"/>
      <c r="Y14" s="222"/>
      <c r="Z14" s="222"/>
      <c r="AA14" s="222"/>
      <c r="AB14" s="222"/>
      <c r="AC14" s="222"/>
      <c r="AD14" s="222"/>
      <c r="AE14" s="222"/>
      <c r="AF14" s="222"/>
      <c r="AG14" s="222"/>
    </row>
    <row r="15" spans="1:34" s="219" customFormat="1" ht="14.25">
      <c r="A15" s="219" t="s">
        <v>841</v>
      </c>
      <c r="C15" s="176"/>
      <c r="E15" s="219">
        <f>Application!W847</f>
        <v>57000</v>
      </c>
      <c r="G15" s="219">
        <f>E15*$C$14</f>
        <v>58994.999999999993</v>
      </c>
      <c r="I15" s="219">
        <f>G15*$C$14</f>
        <v>61059.82499999999</v>
      </c>
      <c r="K15" s="219">
        <f>I15*$C$14</f>
        <v>63196.918874999981</v>
      </c>
      <c r="M15" s="219">
        <f>K15*$C$14</f>
        <v>65408.811035624974</v>
      </c>
      <c r="O15" s="219">
        <f>M15*$C$14</f>
        <v>67698.119421871845</v>
      </c>
      <c r="Q15" s="219">
        <f>O15*$C$14</f>
        <v>70067.553601637352</v>
      </c>
      <c r="S15" s="219">
        <f>Q15*$C$14</f>
        <v>72519.917977694655</v>
      </c>
      <c r="U15" s="219">
        <f>S15*$C$14</f>
        <v>75058.11510691396</v>
      </c>
      <c r="W15" s="219">
        <f>U15*$C$14</f>
        <v>77685.149135655942</v>
      </c>
      <c r="Y15" s="219">
        <f>W15*$C$14</f>
        <v>80404.1293554039</v>
      </c>
      <c r="AA15" s="219">
        <f>Y15*$C$14</f>
        <v>83218.27388284303</v>
      </c>
      <c r="AC15" s="219">
        <f>AA15*$C$14</f>
        <v>86130.913468742525</v>
      </c>
      <c r="AE15" s="219">
        <f>AC15*$C$14</f>
        <v>89145.495440148501</v>
      </c>
      <c r="AG15" s="219">
        <f>AE15*$C$14</f>
        <v>92265.587780553687</v>
      </c>
    </row>
    <row r="16" spans="1:34" s="210" customFormat="1" ht="14.25">
      <c r="A16" s="210" t="s">
        <v>343</v>
      </c>
      <c r="C16" s="233"/>
      <c r="E16" s="222">
        <f>Application!W849</f>
        <v>96877</v>
      </c>
      <c r="F16" s="222"/>
      <c r="G16" s="222">
        <f t="shared" ref="G16:AG21" si="0">E16*$C$14</f>
        <v>100267.69499999999</v>
      </c>
      <c r="H16" s="222"/>
      <c r="I16" s="222">
        <f t="shared" si="0"/>
        <v>103777.06432499998</v>
      </c>
      <c r="J16" s="222"/>
      <c r="K16" s="222">
        <f t="shared" si="0"/>
        <v>107409.26157637498</v>
      </c>
      <c r="L16" s="222"/>
      <c r="M16" s="222">
        <f t="shared" si="0"/>
        <v>111168.5857315481</v>
      </c>
      <c r="N16" s="222"/>
      <c r="O16" s="222">
        <f t="shared" si="0"/>
        <v>115059.48623215227</v>
      </c>
      <c r="P16" s="222"/>
      <c r="Q16" s="222">
        <f t="shared" si="0"/>
        <v>119086.56825027759</v>
      </c>
      <c r="R16" s="222"/>
      <c r="S16" s="222">
        <f t="shared" si="0"/>
        <v>123254.59813903729</v>
      </c>
      <c r="T16" s="222"/>
      <c r="U16" s="222">
        <f t="shared" si="0"/>
        <v>127568.50907390358</v>
      </c>
      <c r="V16" s="222"/>
      <c r="W16" s="222">
        <f t="shared" si="0"/>
        <v>132033.40689149019</v>
      </c>
      <c r="X16" s="222"/>
      <c r="Y16" s="222">
        <f t="shared" si="0"/>
        <v>136654.57613269234</v>
      </c>
      <c r="Z16" s="222"/>
      <c r="AA16" s="222">
        <f t="shared" si="0"/>
        <v>141437.48629733655</v>
      </c>
      <c r="AB16" s="222"/>
      <c r="AC16" s="222">
        <f t="shared" si="0"/>
        <v>146387.79831774332</v>
      </c>
      <c r="AD16" s="222"/>
      <c r="AE16" s="222">
        <f t="shared" si="0"/>
        <v>151511.37125886432</v>
      </c>
      <c r="AF16" s="222"/>
      <c r="AG16" s="222">
        <f t="shared" si="0"/>
        <v>156814.26925292457</v>
      </c>
    </row>
    <row r="17" spans="1:33" s="210" customFormat="1" ht="14.25">
      <c r="A17" s="210" t="s">
        <v>561</v>
      </c>
      <c r="C17" s="233"/>
      <c r="E17" s="222">
        <f>Application!W855</f>
        <v>121200</v>
      </c>
      <c r="F17" s="222"/>
      <c r="G17" s="222">
        <f t="shared" si="0"/>
        <v>125441.99999999999</v>
      </c>
      <c r="H17" s="222"/>
      <c r="I17" s="222">
        <f t="shared" si="0"/>
        <v>129832.46999999997</v>
      </c>
      <c r="J17" s="222"/>
      <c r="K17" s="222">
        <f t="shared" si="0"/>
        <v>134376.60644999996</v>
      </c>
      <c r="L17" s="222"/>
      <c r="M17" s="222">
        <f t="shared" si="0"/>
        <v>139079.78767574995</v>
      </c>
      <c r="N17" s="222"/>
      <c r="O17" s="222">
        <f t="shared" si="0"/>
        <v>143947.58024440118</v>
      </c>
      <c r="P17" s="222"/>
      <c r="Q17" s="222">
        <f t="shared" si="0"/>
        <v>148985.7455529552</v>
      </c>
      <c r="R17" s="222"/>
      <c r="S17" s="222">
        <f t="shared" si="0"/>
        <v>154200.24664730861</v>
      </c>
      <c r="T17" s="222"/>
      <c r="U17" s="222">
        <f t="shared" si="0"/>
        <v>159597.25527996439</v>
      </c>
      <c r="V17" s="222"/>
      <c r="W17" s="222">
        <f t="shared" si="0"/>
        <v>165183.15921476312</v>
      </c>
      <c r="X17" s="222"/>
      <c r="Y17" s="222">
        <f t="shared" si="0"/>
        <v>170964.56978727982</v>
      </c>
      <c r="Z17" s="222"/>
      <c r="AA17" s="222">
        <f t="shared" si="0"/>
        <v>176948.3297298346</v>
      </c>
      <c r="AB17" s="222"/>
      <c r="AC17" s="222">
        <f t="shared" si="0"/>
        <v>183141.52127037878</v>
      </c>
      <c r="AD17" s="222"/>
      <c r="AE17" s="222">
        <f t="shared" si="0"/>
        <v>189551.47451484203</v>
      </c>
      <c r="AF17" s="222"/>
      <c r="AG17" s="222">
        <f t="shared" si="0"/>
        <v>196185.77612286148</v>
      </c>
    </row>
    <row r="18" spans="1:33" s="210" customFormat="1" ht="14.25">
      <c r="A18" s="210" t="s">
        <v>842</v>
      </c>
      <c r="C18" s="233"/>
      <c r="E18" s="222">
        <f>Application!W862</f>
        <v>171021</v>
      </c>
      <c r="F18" s="222"/>
      <c r="G18" s="222">
        <f t="shared" si="0"/>
        <v>177006.73499999999</v>
      </c>
      <c r="H18" s="222"/>
      <c r="I18" s="222">
        <f t="shared" si="0"/>
        <v>183201.97072499996</v>
      </c>
      <c r="J18" s="222"/>
      <c r="K18" s="222">
        <f t="shared" si="0"/>
        <v>189614.03970037494</v>
      </c>
      <c r="L18" s="222"/>
      <c r="M18" s="222">
        <f t="shared" si="0"/>
        <v>196250.53108988804</v>
      </c>
      <c r="N18" s="222"/>
      <c r="O18" s="222">
        <f t="shared" si="0"/>
        <v>203119.29967803412</v>
      </c>
      <c r="P18" s="222"/>
      <c r="Q18" s="222">
        <f t="shared" si="0"/>
        <v>210228.4751667653</v>
      </c>
      <c r="R18" s="222"/>
      <c r="S18" s="222">
        <f t="shared" si="0"/>
        <v>217586.47179760208</v>
      </c>
      <c r="T18" s="222"/>
      <c r="U18" s="222">
        <f t="shared" si="0"/>
        <v>225201.99831051813</v>
      </c>
      <c r="V18" s="222"/>
      <c r="W18" s="222">
        <f t="shared" si="0"/>
        <v>233084.06825138626</v>
      </c>
      <c r="X18" s="222"/>
      <c r="Y18" s="222">
        <f t="shared" si="0"/>
        <v>241242.01064018474</v>
      </c>
      <c r="Z18" s="222"/>
      <c r="AA18" s="222">
        <f t="shared" si="0"/>
        <v>249685.48101259119</v>
      </c>
      <c r="AB18" s="222"/>
      <c r="AC18" s="222">
        <f t="shared" si="0"/>
        <v>258424.47284803187</v>
      </c>
      <c r="AD18" s="222"/>
      <c r="AE18" s="222">
        <f t="shared" si="0"/>
        <v>267469.32939771295</v>
      </c>
      <c r="AF18" s="222"/>
      <c r="AG18" s="222">
        <f t="shared" si="0"/>
        <v>276830.7559266329</v>
      </c>
    </row>
    <row r="19" spans="1:33" s="210" customFormat="1" ht="14.25">
      <c r="A19" s="210" t="s">
        <v>155</v>
      </c>
      <c r="C19" s="233"/>
      <c r="E19" s="222">
        <f>Application!W863</f>
        <v>83200</v>
      </c>
      <c r="F19" s="222"/>
      <c r="G19" s="222">
        <f t="shared" si="0"/>
        <v>86112</v>
      </c>
      <c r="H19" s="222"/>
      <c r="I19" s="222">
        <f t="shared" si="0"/>
        <v>89125.92</v>
      </c>
      <c r="J19" s="222"/>
      <c r="K19" s="222">
        <f t="shared" si="0"/>
        <v>92245.327199999985</v>
      </c>
      <c r="L19" s="222"/>
      <c r="M19" s="222">
        <f t="shared" si="0"/>
        <v>95473.913651999974</v>
      </c>
      <c r="N19" s="222"/>
      <c r="O19" s="222">
        <f t="shared" si="0"/>
        <v>98815.500629819959</v>
      </c>
      <c r="P19" s="222"/>
      <c r="Q19" s="222">
        <f t="shared" si="0"/>
        <v>102274.04315186365</v>
      </c>
      <c r="R19" s="222"/>
      <c r="S19" s="222">
        <f t="shared" si="0"/>
        <v>105853.63466217887</v>
      </c>
      <c r="T19" s="222"/>
      <c r="U19" s="222">
        <f t="shared" si="0"/>
        <v>109558.51187535512</v>
      </c>
      <c r="V19" s="222"/>
      <c r="W19" s="222">
        <f t="shared" si="0"/>
        <v>113393.05979099254</v>
      </c>
      <c r="X19" s="222"/>
      <c r="Y19" s="222">
        <f t="shared" si="0"/>
        <v>117361.81688367727</v>
      </c>
      <c r="Z19" s="222"/>
      <c r="AA19" s="222">
        <f t="shared" si="0"/>
        <v>121469.48047460597</v>
      </c>
      <c r="AB19" s="222"/>
      <c r="AC19" s="222">
        <f t="shared" si="0"/>
        <v>125720.91229121717</v>
      </c>
      <c r="AD19" s="222"/>
      <c r="AE19" s="222">
        <f t="shared" si="0"/>
        <v>130121.14422140976</v>
      </c>
      <c r="AF19" s="222"/>
      <c r="AG19" s="222">
        <f t="shared" si="0"/>
        <v>134675.38426915908</v>
      </c>
    </row>
    <row r="20" spans="1:33" s="210" customFormat="1" ht="14.25">
      <c r="A20" s="210" t="s">
        <v>389</v>
      </c>
      <c r="C20" s="233"/>
      <c r="E20" s="222">
        <f>Application!W872</f>
        <v>135960</v>
      </c>
      <c r="F20" s="222"/>
      <c r="G20" s="222">
        <f t="shared" si="0"/>
        <v>140718.59999999998</v>
      </c>
      <c r="H20" s="222"/>
      <c r="I20" s="222">
        <f t="shared" si="0"/>
        <v>145643.75099999996</v>
      </c>
      <c r="J20" s="222"/>
      <c r="K20" s="222">
        <f t="shared" si="0"/>
        <v>150741.28228499994</v>
      </c>
      <c r="L20" s="222"/>
      <c r="M20" s="222">
        <f t="shared" si="0"/>
        <v>156017.22716497493</v>
      </c>
      <c r="N20" s="222"/>
      <c r="O20" s="222">
        <f t="shared" si="0"/>
        <v>161477.83011574904</v>
      </c>
      <c r="P20" s="222"/>
      <c r="Q20" s="222">
        <f t="shared" si="0"/>
        <v>167129.55416980025</v>
      </c>
      <c r="R20" s="222"/>
      <c r="S20" s="222">
        <f t="shared" si="0"/>
        <v>172979.08856574324</v>
      </c>
      <c r="T20" s="222"/>
      <c r="U20" s="222">
        <f t="shared" si="0"/>
        <v>179033.35666554424</v>
      </c>
      <c r="V20" s="222"/>
      <c r="W20" s="222">
        <f t="shared" si="0"/>
        <v>185299.52414883827</v>
      </c>
      <c r="X20" s="222"/>
      <c r="Y20" s="222">
        <f t="shared" si="0"/>
        <v>191785.0074940476</v>
      </c>
      <c r="Z20" s="222"/>
      <c r="AA20" s="222">
        <f t="shared" si="0"/>
        <v>198497.48275633925</v>
      </c>
      <c r="AB20" s="222"/>
      <c r="AC20" s="222">
        <f t="shared" si="0"/>
        <v>205444.89465281111</v>
      </c>
      <c r="AD20" s="222"/>
      <c r="AE20" s="222">
        <f t="shared" si="0"/>
        <v>212635.46596565947</v>
      </c>
      <c r="AF20" s="222"/>
      <c r="AG20" s="222">
        <f t="shared" si="0"/>
        <v>220077.70727445753</v>
      </c>
    </row>
    <row r="21" spans="1:33" s="210" customFormat="1" ht="14.25">
      <c r="A21" s="226" t="s">
        <v>962</v>
      </c>
      <c r="B21" s="226"/>
      <c r="C21" s="233"/>
      <c r="E21" s="232">
        <f>Application!W879</f>
        <v>8000</v>
      </c>
      <c r="F21" s="222"/>
      <c r="G21" s="232">
        <f t="shared" si="0"/>
        <v>8280</v>
      </c>
      <c r="H21" s="222"/>
      <c r="I21" s="232">
        <f t="shared" si="0"/>
        <v>8569.7999999999993</v>
      </c>
      <c r="J21" s="222"/>
      <c r="K21" s="232">
        <f t="shared" si="0"/>
        <v>8869.7429999999986</v>
      </c>
      <c r="L21" s="222"/>
      <c r="M21" s="232">
        <f t="shared" si="0"/>
        <v>9180.1840049999973</v>
      </c>
      <c r="N21" s="222"/>
      <c r="O21" s="232">
        <f t="shared" si="0"/>
        <v>9501.4904451749971</v>
      </c>
      <c r="P21" s="222"/>
      <c r="Q21" s="232">
        <f t="shared" si="0"/>
        <v>9834.0426107561216</v>
      </c>
      <c r="R21" s="222"/>
      <c r="S21" s="232">
        <f t="shared" si="0"/>
        <v>10178.234102132585</v>
      </c>
      <c r="T21" s="222"/>
      <c r="U21" s="232">
        <f t="shared" si="0"/>
        <v>10534.472295707224</v>
      </c>
      <c r="V21" s="222"/>
      <c r="W21" s="232">
        <f t="shared" si="0"/>
        <v>10903.178826056976</v>
      </c>
      <c r="X21" s="222"/>
      <c r="Y21" s="232">
        <f t="shared" si="0"/>
        <v>11284.790084968969</v>
      </c>
      <c r="Z21" s="222"/>
      <c r="AA21" s="232">
        <f t="shared" si="0"/>
        <v>11679.757737942882</v>
      </c>
      <c r="AB21" s="222"/>
      <c r="AC21" s="232">
        <f t="shared" si="0"/>
        <v>12088.549258770881</v>
      </c>
      <c r="AD21" s="222"/>
      <c r="AE21" s="232">
        <f t="shared" si="0"/>
        <v>12511.648482827861</v>
      </c>
      <c r="AF21" s="222"/>
      <c r="AG21" s="232">
        <f t="shared" si="0"/>
        <v>12949.556179726835</v>
      </c>
    </row>
    <row r="22" spans="1:33" s="223" customFormat="1" ht="15">
      <c r="A22" s="223" t="s">
        <v>843</v>
      </c>
      <c r="C22" s="233"/>
      <c r="E22" s="223">
        <f>SUM(E15:E21)</f>
        <v>673258</v>
      </c>
      <c r="G22" s="223">
        <f>SUM(G15:G21)</f>
        <v>696822.02999999991</v>
      </c>
      <c r="I22" s="223">
        <f>SUM(I15:I21)</f>
        <v>721210.80104999989</v>
      </c>
      <c r="K22" s="223">
        <f>SUM(K15:K21)</f>
        <v>746453.17908674979</v>
      </c>
      <c r="M22" s="223">
        <f>SUM(M15:M21)</f>
        <v>772579.04035478609</v>
      </c>
      <c r="O22" s="223">
        <f>SUM(O15:O21)</f>
        <v>799619.30676720338</v>
      </c>
      <c r="Q22" s="223">
        <f>SUM(Q15:Q21)</f>
        <v>827605.98250405537</v>
      </c>
      <c r="S22" s="223">
        <f>SUM(S15:S21)</f>
        <v>856572.19189169735</v>
      </c>
      <c r="U22" s="223">
        <f>SUM(U15:U21)</f>
        <v>886552.2186079066</v>
      </c>
      <c r="W22" s="223">
        <f>SUM(W15:W21)</f>
        <v>917581.54625918332</v>
      </c>
      <c r="Y22" s="223">
        <f>SUM(Y15:Y21)</f>
        <v>949696.90037825471</v>
      </c>
      <c r="AA22" s="223">
        <f>SUM(AA15:AA21)</f>
        <v>982936.29189149337</v>
      </c>
      <c r="AC22" s="223">
        <f>SUM(AC15:AC21)</f>
        <v>1017339.0621076956</v>
      </c>
      <c r="AE22" s="223">
        <f>SUM(AE15:AE21)</f>
        <v>1052945.929281465</v>
      </c>
      <c r="AG22" s="223">
        <f>SUM(AG15:AG21)</f>
        <v>1089799.0368063159</v>
      </c>
    </row>
    <row r="23" spans="1:33" s="210" customFormat="1" ht="14.25">
      <c r="C23" s="233"/>
      <c r="E23" s="222"/>
      <c r="F23" s="222"/>
      <c r="G23" s="222"/>
      <c r="H23" s="222"/>
      <c r="I23" s="222"/>
      <c r="J23" s="222"/>
      <c r="K23" s="222"/>
      <c r="L23" s="222"/>
      <c r="M23" s="222"/>
      <c r="N23" s="222"/>
      <c r="O23" s="222"/>
      <c r="P23" s="222"/>
      <c r="Q23" s="222"/>
      <c r="R23" s="222"/>
      <c r="S23" s="222"/>
      <c r="T23" s="222"/>
      <c r="U23" s="222"/>
      <c r="V23" s="222"/>
      <c r="W23" s="222"/>
      <c r="X23" s="222"/>
      <c r="Y23" s="222"/>
      <c r="Z23" s="222"/>
      <c r="AA23" s="222"/>
      <c r="AB23" s="222"/>
      <c r="AC23" s="222"/>
      <c r="AD23" s="222"/>
      <c r="AE23" s="222"/>
      <c r="AF23" s="222"/>
      <c r="AG23" s="222"/>
    </row>
    <row r="24" spans="1:33" s="210" customFormat="1" ht="14.25">
      <c r="A24" s="210" t="s">
        <v>1682</v>
      </c>
      <c r="C24" s="233"/>
      <c r="E24" s="910"/>
      <c r="F24" s="222"/>
      <c r="G24" s="222">
        <f>E24*$C$24</f>
        <v>0</v>
      </c>
      <c r="H24" s="222"/>
      <c r="I24" s="222">
        <f>G24*$C$24</f>
        <v>0</v>
      </c>
      <c r="J24" s="222"/>
      <c r="K24" s="222">
        <f>I24*$C$24</f>
        <v>0</v>
      </c>
      <c r="L24" s="222"/>
      <c r="M24" s="222">
        <f>K24*$C$24</f>
        <v>0</v>
      </c>
      <c r="N24" s="222"/>
      <c r="O24" s="222">
        <f>M24*$C$24</f>
        <v>0</v>
      </c>
      <c r="P24" s="222"/>
      <c r="Q24" s="222">
        <f>O24*$C$24</f>
        <v>0</v>
      </c>
      <c r="R24" s="222"/>
      <c r="S24" s="222">
        <f>Q24*$C$24</f>
        <v>0</v>
      </c>
      <c r="T24" s="222"/>
      <c r="U24" s="222">
        <f>S24*$C$24</f>
        <v>0</v>
      </c>
      <c r="V24" s="222"/>
      <c r="W24" s="222">
        <f>U24*$C$24</f>
        <v>0</v>
      </c>
      <c r="X24" s="222"/>
      <c r="Y24" s="222">
        <f>W24*$C$24</f>
        <v>0</v>
      </c>
      <c r="Z24" s="222"/>
      <c r="AA24" s="222">
        <f>Y24*$C$24</f>
        <v>0</v>
      </c>
      <c r="AB24" s="222"/>
      <c r="AC24" s="222">
        <f>AA24*$C$24</f>
        <v>0</v>
      </c>
      <c r="AD24" s="222"/>
      <c r="AE24" s="222">
        <f>AC24*$C$24</f>
        <v>0</v>
      </c>
      <c r="AF24" s="222"/>
      <c r="AG24" s="222">
        <f>AE24*$C$24</f>
        <v>0</v>
      </c>
    </row>
    <row r="25" spans="1:33" s="210" customFormat="1" ht="14.25">
      <c r="C25" s="233"/>
      <c r="E25" s="222"/>
      <c r="F25" s="222"/>
      <c r="G25" s="222"/>
      <c r="H25" s="222"/>
      <c r="I25" s="222"/>
      <c r="J25" s="222"/>
      <c r="K25" s="222"/>
      <c r="L25" s="222"/>
      <c r="M25" s="222"/>
      <c r="N25" s="222"/>
      <c r="O25" s="222"/>
      <c r="P25" s="222"/>
      <c r="Q25" s="222"/>
      <c r="R25" s="222"/>
      <c r="S25" s="222"/>
      <c r="T25" s="222"/>
      <c r="U25" s="222"/>
      <c r="V25" s="222"/>
      <c r="W25" s="222"/>
      <c r="X25" s="222"/>
      <c r="Y25" s="222"/>
      <c r="Z25" s="222"/>
      <c r="AA25" s="222"/>
      <c r="AB25" s="222"/>
      <c r="AC25" s="222"/>
      <c r="AD25" s="222"/>
      <c r="AE25" s="222"/>
      <c r="AF25" s="222"/>
      <c r="AG25" s="222"/>
    </row>
    <row r="26" spans="1:33" s="210" customFormat="1" ht="14.25">
      <c r="A26" s="210" t="s">
        <v>1159</v>
      </c>
      <c r="C26" s="237">
        <v>1.0349999999999999</v>
      </c>
      <c r="E26" s="222">
        <f>Application!AC887</f>
        <v>0</v>
      </c>
      <c r="F26" s="222"/>
      <c r="G26" s="222">
        <f>E26*$C$26</f>
        <v>0</v>
      </c>
      <c r="H26" s="222"/>
      <c r="I26" s="222">
        <f>G26*$C$26</f>
        <v>0</v>
      </c>
      <c r="J26" s="222"/>
      <c r="K26" s="222">
        <f>I26*$C$26</f>
        <v>0</v>
      </c>
      <c r="L26" s="222"/>
      <c r="M26" s="222">
        <f>K26*$C$26</f>
        <v>0</v>
      </c>
      <c r="N26" s="222"/>
      <c r="O26" s="222">
        <f>M26*$C$26</f>
        <v>0</v>
      </c>
      <c r="P26" s="222"/>
      <c r="Q26" s="222">
        <f>O26*$C$26</f>
        <v>0</v>
      </c>
      <c r="R26" s="222"/>
      <c r="S26" s="222">
        <f>Q26*$C$26</f>
        <v>0</v>
      </c>
      <c r="T26" s="222"/>
      <c r="U26" s="222">
        <f>S26*$C$26</f>
        <v>0</v>
      </c>
      <c r="V26" s="222"/>
      <c r="W26" s="222">
        <f>U26*$C$26</f>
        <v>0</v>
      </c>
      <c r="X26" s="222"/>
      <c r="Y26" s="222">
        <f>W26*$C$26</f>
        <v>0</v>
      </c>
      <c r="Z26" s="222"/>
      <c r="AA26" s="222">
        <f>Y26*$C$26</f>
        <v>0</v>
      </c>
      <c r="AB26" s="222"/>
      <c r="AC26" s="222">
        <f>AA26*$C$26</f>
        <v>0</v>
      </c>
      <c r="AD26" s="222"/>
      <c r="AE26" s="222">
        <f>AC26*$C$26</f>
        <v>0</v>
      </c>
      <c r="AF26" s="222"/>
      <c r="AG26" s="222">
        <f>AE26*$C$26</f>
        <v>0</v>
      </c>
    </row>
    <row r="27" spans="1:33" s="210" customFormat="1" ht="14.25">
      <c r="A27" s="210" t="s">
        <v>845</v>
      </c>
      <c r="C27" s="237">
        <v>1.0349999999999999</v>
      </c>
      <c r="E27" s="222">
        <f>Application!AC888</f>
        <v>24600</v>
      </c>
      <c r="F27" s="222"/>
      <c r="G27" s="222">
        <f>E27*$C$27</f>
        <v>25460.999999999996</v>
      </c>
      <c r="H27" s="222"/>
      <c r="I27" s="222">
        <f>G27*$C$27</f>
        <v>26352.134999999995</v>
      </c>
      <c r="J27" s="222"/>
      <c r="K27" s="222">
        <f>I27*$C$27</f>
        <v>27274.459724999993</v>
      </c>
      <c r="L27" s="222"/>
      <c r="M27" s="222">
        <f>K27*$C$27</f>
        <v>28229.06581537499</v>
      </c>
      <c r="N27" s="222"/>
      <c r="O27" s="222">
        <f>M27*$C$27</f>
        <v>29217.083118913113</v>
      </c>
      <c r="P27" s="222"/>
      <c r="Q27" s="222">
        <f>O27*$C$27</f>
        <v>30239.681028075069</v>
      </c>
      <c r="R27" s="222"/>
      <c r="S27" s="222">
        <f>Q27*$C$27</f>
        <v>31298.069864057692</v>
      </c>
      <c r="T27" s="222"/>
      <c r="U27" s="222">
        <f>S27*$C$27</f>
        <v>32393.502309299707</v>
      </c>
      <c r="V27" s="222"/>
      <c r="W27" s="222">
        <f>U27*$C$27</f>
        <v>33527.274890125191</v>
      </c>
      <c r="X27" s="222"/>
      <c r="Y27" s="222">
        <f>W27*$C$27</f>
        <v>34700.729511279569</v>
      </c>
      <c r="Z27" s="222"/>
      <c r="AA27" s="222">
        <f>Y27*$C$27</f>
        <v>35915.255044174351</v>
      </c>
      <c r="AB27" s="222"/>
      <c r="AC27" s="222">
        <f>AA27*$C$27</f>
        <v>37172.288970720452</v>
      </c>
      <c r="AD27" s="222"/>
      <c r="AE27" s="222">
        <f>AC27*$C$27</f>
        <v>38473.319084695664</v>
      </c>
      <c r="AF27" s="222"/>
      <c r="AG27" s="222">
        <f>AE27*$C$27</f>
        <v>39819.885252660009</v>
      </c>
    </row>
    <row r="28" spans="1:33" s="210" customFormat="1" ht="14.25">
      <c r="A28" s="210" t="s">
        <v>846</v>
      </c>
      <c r="C28" s="237"/>
      <c r="E28" s="222">
        <f>Application!AC889</f>
        <v>26000</v>
      </c>
      <c r="F28" s="222"/>
      <c r="G28" s="222">
        <f>$E$28</f>
        <v>26000</v>
      </c>
      <c r="H28" s="222"/>
      <c r="I28" s="222">
        <f>$E$28</f>
        <v>26000</v>
      </c>
      <c r="J28" s="222"/>
      <c r="K28" s="222">
        <f>$E$28</f>
        <v>26000</v>
      </c>
      <c r="L28" s="222"/>
      <c r="M28" s="222">
        <f>$E$28</f>
        <v>26000</v>
      </c>
      <c r="N28" s="222"/>
      <c r="O28" s="222">
        <f>$E$28</f>
        <v>26000</v>
      </c>
      <c r="P28" s="222"/>
      <c r="Q28" s="222">
        <f>$E$28</f>
        <v>26000</v>
      </c>
      <c r="R28" s="222"/>
      <c r="S28" s="222">
        <f>$E$28</f>
        <v>26000</v>
      </c>
      <c r="T28" s="222"/>
      <c r="U28" s="222">
        <f>$E$28</f>
        <v>26000</v>
      </c>
      <c r="V28" s="222"/>
      <c r="W28" s="222">
        <f>$E$28</f>
        <v>26000</v>
      </c>
      <c r="X28" s="222"/>
      <c r="Y28" s="222">
        <f>$E$28</f>
        <v>26000</v>
      </c>
      <c r="Z28" s="222"/>
      <c r="AA28" s="222">
        <f>$E$28</f>
        <v>26000</v>
      </c>
      <c r="AB28" s="222"/>
      <c r="AC28" s="222">
        <f>$E$28</f>
        <v>26000</v>
      </c>
      <c r="AD28" s="222"/>
      <c r="AE28" s="222">
        <f>$E$28</f>
        <v>26000</v>
      </c>
      <c r="AF28" s="222"/>
      <c r="AG28" s="222">
        <f>$E$28</f>
        <v>26000</v>
      </c>
    </row>
    <row r="29" spans="1:33" s="210" customFormat="1" ht="14.25">
      <c r="A29" s="210" t="s">
        <v>1680</v>
      </c>
      <c r="C29" s="237"/>
      <c r="E29" s="222">
        <f>Application!AC890</f>
        <v>0</v>
      </c>
      <c r="F29" s="222"/>
      <c r="G29" s="222">
        <f>$E$29</f>
        <v>0</v>
      </c>
      <c r="H29" s="222"/>
      <c r="I29" s="222">
        <f>$E$29</f>
        <v>0</v>
      </c>
      <c r="J29" s="222"/>
      <c r="K29" s="222">
        <f>$E$29</f>
        <v>0</v>
      </c>
      <c r="L29" s="222"/>
      <c r="M29" s="222">
        <f>$E$29</f>
        <v>0</v>
      </c>
      <c r="N29" s="222"/>
      <c r="O29" s="222">
        <f>$E$29</f>
        <v>0</v>
      </c>
      <c r="P29" s="222"/>
      <c r="Q29" s="222">
        <f>$E$29</f>
        <v>0</v>
      </c>
      <c r="R29" s="222"/>
      <c r="S29" s="222">
        <f>$E$29</f>
        <v>0</v>
      </c>
      <c r="T29" s="222"/>
      <c r="U29" s="222">
        <f>$E$29</f>
        <v>0</v>
      </c>
      <c r="V29" s="222"/>
      <c r="W29" s="222">
        <f>$E$29</f>
        <v>0</v>
      </c>
      <c r="X29" s="222"/>
      <c r="Y29" s="222">
        <f>$E$29</f>
        <v>0</v>
      </c>
      <c r="Z29" s="222"/>
      <c r="AA29" s="222">
        <f>$E$29</f>
        <v>0</v>
      </c>
      <c r="AB29" s="222"/>
      <c r="AC29" s="222">
        <f>$E$29</f>
        <v>0</v>
      </c>
      <c r="AD29" s="222"/>
      <c r="AE29" s="222">
        <f>$E$29</f>
        <v>0</v>
      </c>
      <c r="AF29" s="222"/>
      <c r="AG29" s="222">
        <f>$E$29</f>
        <v>0</v>
      </c>
    </row>
    <row r="30" spans="1:33" s="210" customFormat="1" ht="14.25">
      <c r="A30" s="210" t="s">
        <v>844</v>
      </c>
      <c r="C30" s="237">
        <v>1.02</v>
      </c>
      <c r="E30" s="222">
        <f>Application!AC891</f>
        <v>1500</v>
      </c>
      <c r="F30" s="222"/>
      <c r="G30" s="222">
        <f>E30*$C$30</f>
        <v>1530</v>
      </c>
      <c r="H30" s="222"/>
      <c r="I30" s="222">
        <f>G30*$C$30</f>
        <v>1560.6000000000001</v>
      </c>
      <c r="J30" s="222"/>
      <c r="K30" s="222">
        <f>I30*$C$30</f>
        <v>1591.8120000000001</v>
      </c>
      <c r="L30" s="222"/>
      <c r="M30" s="222">
        <f>K30*$C$30</f>
        <v>1623.6482400000002</v>
      </c>
      <c r="N30" s="222"/>
      <c r="O30" s="222">
        <f>M30*$C$30</f>
        <v>1656.1212048000002</v>
      </c>
      <c r="P30" s="222"/>
      <c r="Q30" s="222">
        <f>O30*$C$30</f>
        <v>1689.2436288960002</v>
      </c>
      <c r="R30" s="222"/>
      <c r="S30" s="222">
        <f>Q30*$C$30</f>
        <v>1723.0285014739202</v>
      </c>
      <c r="T30" s="222"/>
      <c r="U30" s="222">
        <f>S30*$C$30</f>
        <v>1757.4890715033987</v>
      </c>
      <c r="V30" s="222"/>
      <c r="W30" s="222">
        <f>U30*$C$30</f>
        <v>1792.6388529334668</v>
      </c>
      <c r="X30" s="222"/>
      <c r="Y30" s="222">
        <f>W30*$C$30</f>
        <v>1828.491629992136</v>
      </c>
      <c r="Z30" s="222"/>
      <c r="AA30" s="222">
        <f>Y30*$C$30</f>
        <v>1865.0614625919789</v>
      </c>
      <c r="AB30" s="222"/>
      <c r="AC30" s="222">
        <f>AA30*$C$30</f>
        <v>1902.3626918438185</v>
      </c>
      <c r="AD30" s="222"/>
      <c r="AE30" s="222">
        <f>AC30*$C$30</f>
        <v>1940.409945680695</v>
      </c>
      <c r="AF30" s="222"/>
      <c r="AG30" s="222">
        <f>AE30*$C$30</f>
        <v>1979.218144594309</v>
      </c>
    </row>
    <row r="31" spans="1:33" s="210" customFormat="1" ht="14.25">
      <c r="A31" s="210" t="s">
        <v>1681</v>
      </c>
      <c r="C31" s="237">
        <v>1.02</v>
      </c>
      <c r="E31" s="222">
        <f>Application!AC893</f>
        <v>0</v>
      </c>
      <c r="F31" s="222"/>
      <c r="G31" s="222">
        <f>E31*$C$31</f>
        <v>0</v>
      </c>
      <c r="H31" s="222"/>
      <c r="I31" s="222">
        <f>G31*$C$31</f>
        <v>0</v>
      </c>
      <c r="J31" s="222"/>
      <c r="K31" s="222">
        <f>I31*$C$31</f>
        <v>0</v>
      </c>
      <c r="L31" s="222"/>
      <c r="M31" s="222">
        <f>K31*$C$31</f>
        <v>0</v>
      </c>
      <c r="N31" s="222"/>
      <c r="O31" s="222">
        <f>M31*$C$31</f>
        <v>0</v>
      </c>
      <c r="P31" s="222"/>
      <c r="Q31" s="222">
        <f>O31*$C$31</f>
        <v>0</v>
      </c>
      <c r="R31" s="222"/>
      <c r="S31" s="222">
        <f>Q31*$C$31</f>
        <v>0</v>
      </c>
      <c r="T31" s="222"/>
      <c r="U31" s="222">
        <f>S31*$C$31</f>
        <v>0</v>
      </c>
      <c r="V31" s="222"/>
      <c r="W31" s="222">
        <f>U31*$C$31</f>
        <v>0</v>
      </c>
      <c r="X31" s="222"/>
      <c r="Y31" s="222">
        <f>W31*$C$31</f>
        <v>0</v>
      </c>
      <c r="Z31" s="222"/>
      <c r="AA31" s="222">
        <f>Y31*$C$31</f>
        <v>0</v>
      </c>
      <c r="AB31" s="222"/>
      <c r="AC31" s="222">
        <f>AA31*$C$31</f>
        <v>0</v>
      </c>
      <c r="AD31" s="222"/>
      <c r="AE31" s="222">
        <f>AC31*$C$31</f>
        <v>0</v>
      </c>
      <c r="AF31" s="222"/>
      <c r="AG31" s="222">
        <f>AE31*$C$31</f>
        <v>0</v>
      </c>
    </row>
    <row r="32" spans="1:33" s="210" customFormat="1" ht="14.25">
      <c r="A32" s="210" t="str">
        <f>Application!C894</f>
        <v>Bond Issuer Fees</v>
      </c>
      <c r="C32" s="316">
        <v>1.0349999999999999</v>
      </c>
      <c r="E32" s="222">
        <f>Application!AC894</f>
        <v>12500</v>
      </c>
      <c r="F32" s="222"/>
      <c r="G32" s="222">
        <f>E32*$C$32</f>
        <v>12937.499999999998</v>
      </c>
      <c r="H32" s="222"/>
      <c r="I32" s="222">
        <f>G32*$C$32</f>
        <v>13390.312499999996</v>
      </c>
      <c r="J32" s="222"/>
      <c r="K32" s="222">
        <f>I32*$C$32</f>
        <v>13858.973437499995</v>
      </c>
      <c r="L32" s="222"/>
      <c r="M32" s="222">
        <f>K32*$C$32</f>
        <v>14344.037507812494</v>
      </c>
      <c r="N32" s="222"/>
      <c r="O32" s="222">
        <f>M32*$C$32</f>
        <v>14846.07882058593</v>
      </c>
      <c r="P32" s="222"/>
      <c r="Q32" s="222">
        <f>O32*$C$32</f>
        <v>15365.691579306436</v>
      </c>
      <c r="R32" s="222"/>
      <c r="S32" s="222">
        <f>Q32*$C$32</f>
        <v>15903.49078458216</v>
      </c>
      <c r="T32" s="222"/>
      <c r="U32" s="222">
        <f>S32*$C$32</f>
        <v>16460.112962042534</v>
      </c>
      <c r="V32" s="222"/>
      <c r="W32" s="222">
        <f>U32*$C$32</f>
        <v>17036.216915714023</v>
      </c>
      <c r="X32" s="222"/>
      <c r="Y32" s="222">
        <f>W32*$C$32</f>
        <v>17632.484507764013</v>
      </c>
      <c r="Z32" s="222"/>
      <c r="AA32" s="222">
        <f>Y32*$C$32</f>
        <v>18249.621465535751</v>
      </c>
      <c r="AB32" s="222"/>
      <c r="AC32" s="222">
        <f>AA32*$C$32</f>
        <v>18888.3582168295</v>
      </c>
      <c r="AD32" s="222"/>
      <c r="AE32" s="222">
        <f>AC32*$C$32</f>
        <v>19549.450754418529</v>
      </c>
      <c r="AF32" s="222"/>
      <c r="AG32" s="222">
        <f>AE32*$C$32</f>
        <v>20233.681530823174</v>
      </c>
    </row>
    <row r="33" spans="1:33" s="210" customFormat="1" ht="14.25">
      <c r="A33" s="210" t="str">
        <f>Application!C895</f>
        <v>Other (Specify):</v>
      </c>
      <c r="C33" s="316">
        <v>1.0349999999999999</v>
      </c>
      <c r="E33" s="222">
        <f>Application!AC895</f>
        <v>0</v>
      </c>
      <c r="F33" s="222"/>
      <c r="G33" s="222">
        <f>E33*$C$33</f>
        <v>0</v>
      </c>
      <c r="H33" s="222"/>
      <c r="I33" s="222">
        <f>G33*$C$33</f>
        <v>0</v>
      </c>
      <c r="J33" s="222"/>
      <c r="K33" s="222">
        <f>I33*$C$33</f>
        <v>0</v>
      </c>
      <c r="L33" s="222"/>
      <c r="M33" s="222">
        <f>K33*$C$33</f>
        <v>0</v>
      </c>
      <c r="N33" s="222"/>
      <c r="O33" s="222">
        <f>M33*$C$33</f>
        <v>0</v>
      </c>
      <c r="P33" s="222"/>
      <c r="Q33" s="222">
        <f>O33*$C$33</f>
        <v>0</v>
      </c>
      <c r="R33" s="222"/>
      <c r="S33" s="222">
        <f>Q33*$C$33</f>
        <v>0</v>
      </c>
      <c r="T33" s="222"/>
      <c r="U33" s="222">
        <f>S33*$C$33</f>
        <v>0</v>
      </c>
      <c r="V33" s="222"/>
      <c r="W33" s="222">
        <f>U33*$C$33</f>
        <v>0</v>
      </c>
      <c r="X33" s="222"/>
      <c r="Y33" s="222">
        <f>W33*$C$33</f>
        <v>0</v>
      </c>
      <c r="Z33" s="222"/>
      <c r="AA33" s="222">
        <f>Y33*$C$33</f>
        <v>0</v>
      </c>
      <c r="AB33" s="222"/>
      <c r="AC33" s="222">
        <f>AA33*$C$33</f>
        <v>0</v>
      </c>
      <c r="AD33" s="222"/>
      <c r="AE33" s="222">
        <f>AC33*$C$33</f>
        <v>0</v>
      </c>
      <c r="AF33" s="222"/>
      <c r="AG33" s="222">
        <f>AE33*$C$33</f>
        <v>0</v>
      </c>
    </row>
    <row r="34" spans="1:33" s="210" customFormat="1" ht="14.25">
      <c r="C34" s="220"/>
      <c r="E34" s="222"/>
      <c r="F34" s="222"/>
      <c r="G34" s="222"/>
      <c r="H34" s="222"/>
      <c r="I34" s="222"/>
      <c r="J34" s="222"/>
      <c r="K34" s="222"/>
      <c r="L34" s="222"/>
      <c r="M34" s="222"/>
      <c r="N34" s="222"/>
      <c r="O34" s="222"/>
      <c r="P34" s="222"/>
      <c r="Q34" s="222"/>
      <c r="R34" s="222"/>
      <c r="S34" s="222"/>
      <c r="T34" s="222"/>
      <c r="U34" s="222"/>
      <c r="V34" s="222"/>
      <c r="W34" s="222"/>
      <c r="X34" s="222"/>
      <c r="Y34" s="222"/>
      <c r="Z34" s="222"/>
      <c r="AA34" s="222"/>
      <c r="AB34" s="222"/>
      <c r="AC34" s="222"/>
      <c r="AD34" s="222"/>
      <c r="AE34" s="222"/>
      <c r="AF34" s="222"/>
      <c r="AG34" s="222"/>
    </row>
    <row r="35" spans="1:33" s="223" customFormat="1" ht="15">
      <c r="A35" s="223" t="s">
        <v>177</v>
      </c>
      <c r="C35" s="224"/>
      <c r="E35" s="223">
        <f>SUM(E22:E33)</f>
        <v>737858</v>
      </c>
      <c r="G35" s="223">
        <f>SUM(G22:G33)</f>
        <v>762750.52999999991</v>
      </c>
      <c r="I35" s="223">
        <f>SUM(I22:I33)</f>
        <v>788513.84854999988</v>
      </c>
      <c r="K35" s="223">
        <f>SUM(K22:K33)</f>
        <v>815178.42424924974</v>
      </c>
      <c r="M35" s="223">
        <f>SUM(M22:M33)</f>
        <v>842775.79191797355</v>
      </c>
      <c r="O35" s="223">
        <f>SUM(O22:O33)</f>
        <v>871338.58991150244</v>
      </c>
      <c r="Q35" s="223">
        <f>SUM(Q22:Q33)</f>
        <v>900900.59874033276</v>
      </c>
      <c r="S35" s="223">
        <f>SUM(S22:S33)</f>
        <v>931496.78104181122</v>
      </c>
      <c r="U35" s="223">
        <f>SUM(U22:U33)</f>
        <v>963163.32295075222</v>
      </c>
      <c r="W35" s="223">
        <f>SUM(W22:W33)</f>
        <v>995937.67691795586</v>
      </c>
      <c r="Y35" s="223">
        <f>SUM(Y22:Y33)</f>
        <v>1029858.6060272905</v>
      </c>
      <c r="AA35" s="223">
        <f>SUM(AA22:AA33)</f>
        <v>1064966.2298637955</v>
      </c>
      <c r="AC35" s="223">
        <f>SUM(AC22:AC33)</f>
        <v>1101302.0719870895</v>
      </c>
      <c r="AE35" s="223">
        <f>SUM(AE22:AE33)</f>
        <v>1138909.10906626</v>
      </c>
      <c r="AG35" s="223">
        <f>SUM(AG22:AG33)</f>
        <v>1177831.8217343932</v>
      </c>
    </row>
    <row r="36" spans="1:33" s="210" customFormat="1" ht="14.25">
      <c r="C36" s="220"/>
      <c r="E36" s="222"/>
      <c r="F36" s="222"/>
      <c r="G36" s="222"/>
      <c r="H36" s="222"/>
      <c r="I36" s="222"/>
      <c r="J36" s="222"/>
      <c r="K36" s="222"/>
      <c r="L36" s="222"/>
      <c r="M36" s="222"/>
      <c r="N36" s="222"/>
      <c r="O36" s="222"/>
      <c r="P36" s="222"/>
      <c r="Q36" s="222"/>
      <c r="R36" s="222"/>
      <c r="S36" s="222"/>
      <c r="T36" s="222"/>
      <c r="U36" s="222"/>
      <c r="V36" s="222"/>
      <c r="W36" s="222"/>
      <c r="X36" s="222"/>
      <c r="Y36" s="222"/>
      <c r="Z36" s="222"/>
      <c r="AA36" s="222"/>
      <c r="AB36" s="222"/>
      <c r="AC36" s="222"/>
      <c r="AD36" s="222"/>
      <c r="AE36" s="222"/>
      <c r="AF36" s="222"/>
      <c r="AG36" s="222"/>
    </row>
    <row r="37" spans="1:33" s="223" customFormat="1" ht="15">
      <c r="A37" s="223" t="s">
        <v>847</v>
      </c>
      <c r="C37" s="224"/>
      <c r="E37" s="223">
        <f>E11-E35</f>
        <v>1539594.1</v>
      </c>
      <c r="G37" s="223">
        <f>G11-G35</f>
        <v>1571637.8725000001</v>
      </c>
      <c r="I37" s="223">
        <f>I11-I35</f>
        <v>1604234.2640124997</v>
      </c>
      <c r="K37" s="223">
        <f>K11-K35</f>
        <v>1637388.3911273119</v>
      </c>
      <c r="M37" s="223">
        <f>M11-M35</f>
        <v>1671105.1938430015</v>
      </c>
      <c r="O37" s="223">
        <f>O11-O35</f>
        <v>1705389.420493497</v>
      </c>
      <c r="Q37" s="223">
        <f>Q11-Q35</f>
        <v>1740245.6119247917</v>
      </c>
      <c r="S37" s="223">
        <f>S11-S35</f>
        <v>1775678.0848899409</v>
      </c>
      <c r="U37" s="223">
        <f>U11-U35</f>
        <v>1811690.9146292938</v>
      </c>
      <c r="W37" s="223">
        <f>W11-W35</f>
        <v>1848287.9166015913</v>
      </c>
      <c r="Y37" s="223">
        <f>Y11-Y35</f>
        <v>1885472.6273302448</v>
      </c>
      <c r="AA37" s="223">
        <f>AA11-AA35</f>
        <v>1923248.2843276779</v>
      </c>
      <c r="AC37" s="223">
        <f>AC11-AC35</f>
        <v>1961617.8050591706</v>
      </c>
      <c r="AE37" s="223">
        <f>AE11-AE35</f>
        <v>2000583.7649061559</v>
      </c>
      <c r="AG37" s="223">
        <f>AG11-AG35</f>
        <v>2040148.3740873334</v>
      </c>
    </row>
    <row r="38" spans="1:33" s="210" customFormat="1" ht="14.25">
      <c r="C38" s="220"/>
      <c r="E38" s="222"/>
      <c r="F38" s="222"/>
      <c r="G38" s="222"/>
      <c r="H38" s="222"/>
      <c r="I38" s="222"/>
      <c r="J38" s="222"/>
      <c r="K38" s="222"/>
      <c r="L38" s="222"/>
      <c r="M38" s="222"/>
      <c r="N38" s="222"/>
      <c r="O38" s="222"/>
      <c r="P38" s="222"/>
      <c r="Q38" s="222"/>
      <c r="R38" s="222"/>
      <c r="S38" s="222"/>
      <c r="T38" s="222"/>
      <c r="U38" s="222"/>
      <c r="V38" s="222"/>
      <c r="W38" s="222"/>
      <c r="X38" s="222"/>
      <c r="Y38" s="222"/>
      <c r="Z38" s="222"/>
      <c r="AA38" s="222"/>
      <c r="AB38" s="222"/>
      <c r="AC38" s="222"/>
      <c r="AD38" s="222"/>
      <c r="AE38" s="222"/>
      <c r="AF38" s="222"/>
      <c r="AG38" s="222"/>
    </row>
    <row r="39" spans="1:33" s="210" customFormat="1" ht="15">
      <c r="A39" s="218" t="s">
        <v>860</v>
      </c>
      <c r="C39" s="220"/>
      <c r="E39" s="222"/>
      <c r="F39" s="222"/>
      <c r="G39" s="222"/>
      <c r="H39" s="222"/>
      <c r="I39" s="222"/>
      <c r="J39" s="222"/>
      <c r="K39" s="222"/>
      <c r="L39" s="222"/>
      <c r="M39" s="222"/>
      <c r="N39" s="222"/>
      <c r="O39" s="222"/>
      <c r="P39" s="222"/>
      <c r="Q39" s="222"/>
      <c r="R39" s="222"/>
      <c r="S39" s="222"/>
      <c r="T39" s="222"/>
      <c r="U39" s="222"/>
      <c r="V39" s="222"/>
      <c r="W39" s="222"/>
      <c r="X39" s="222"/>
      <c r="Y39" s="222"/>
      <c r="Z39" s="222"/>
      <c r="AA39" s="222"/>
      <c r="AB39" s="222"/>
      <c r="AC39" s="222"/>
      <c r="AD39" s="222"/>
      <c r="AE39" s="222"/>
      <c r="AF39" s="222"/>
      <c r="AG39" s="222"/>
    </row>
    <row r="40" spans="1:33" s="210" customFormat="1" ht="14.25">
      <c r="A40" s="225" t="str">
        <f>Application!C627</f>
        <v>CalHFA</v>
      </c>
      <c r="B40" s="226"/>
      <c r="C40" s="220"/>
      <c r="E40" s="222">
        <f>Application!AF627</f>
        <v>1338754.5581181864</v>
      </c>
      <c r="F40" s="222"/>
      <c r="G40" s="222">
        <f>$E$40</f>
        <v>1338754.5581181864</v>
      </c>
      <c r="H40" s="222"/>
      <c r="I40" s="222">
        <f>$E$40</f>
        <v>1338754.5581181864</v>
      </c>
      <c r="J40" s="222"/>
      <c r="K40" s="222">
        <f>$E$40</f>
        <v>1338754.5581181864</v>
      </c>
      <c r="L40" s="222"/>
      <c r="M40" s="222">
        <f>$E$40</f>
        <v>1338754.5581181864</v>
      </c>
      <c r="N40" s="222"/>
      <c r="O40" s="222">
        <f>$E$40</f>
        <v>1338754.5581181864</v>
      </c>
      <c r="P40" s="222"/>
      <c r="Q40" s="222">
        <f>$E$40</f>
        <v>1338754.5581181864</v>
      </c>
      <c r="R40" s="222"/>
      <c r="S40" s="222">
        <f>$E$40</f>
        <v>1338754.5581181864</v>
      </c>
      <c r="T40" s="222"/>
      <c r="U40" s="222">
        <f>$E$40</f>
        <v>1338754.5581181864</v>
      </c>
      <c r="V40" s="222"/>
      <c r="W40" s="222">
        <f>$E$40</f>
        <v>1338754.5581181864</v>
      </c>
      <c r="X40" s="222"/>
      <c r="Y40" s="222">
        <f>$E$40</f>
        <v>1338754.5581181864</v>
      </c>
      <c r="Z40" s="222"/>
      <c r="AA40" s="222">
        <f>$E$40</f>
        <v>1338754.5581181864</v>
      </c>
      <c r="AB40" s="222"/>
      <c r="AC40" s="222">
        <f>$E$40</f>
        <v>1338754.5581181864</v>
      </c>
      <c r="AD40" s="222"/>
      <c r="AE40" s="222">
        <f>$E$40</f>
        <v>1338754.5581181864</v>
      </c>
      <c r="AF40" s="222"/>
      <c r="AG40" s="222">
        <f>$E$40</f>
        <v>1338754.5581181864</v>
      </c>
    </row>
    <row r="41" spans="1:33" s="210" customFormat="1" ht="14.25">
      <c r="A41" s="225"/>
      <c r="B41" s="226"/>
      <c r="C41" s="220"/>
      <c r="E41" s="222"/>
      <c r="F41" s="222"/>
      <c r="G41" s="222">
        <f>$E$41</f>
        <v>0</v>
      </c>
      <c r="H41" s="222"/>
      <c r="I41" s="222">
        <f>$E$41</f>
        <v>0</v>
      </c>
      <c r="J41" s="222"/>
      <c r="K41" s="222">
        <f>$E$41</f>
        <v>0</v>
      </c>
      <c r="L41" s="222"/>
      <c r="M41" s="222">
        <f>$E$41</f>
        <v>0</v>
      </c>
      <c r="N41" s="222"/>
      <c r="O41" s="222">
        <f>$E$41</f>
        <v>0</v>
      </c>
      <c r="P41" s="222"/>
      <c r="Q41" s="222">
        <f>$E$41</f>
        <v>0</v>
      </c>
      <c r="R41" s="222"/>
      <c r="S41" s="222">
        <f>$E$41</f>
        <v>0</v>
      </c>
      <c r="T41" s="222"/>
      <c r="U41" s="222">
        <f>$E$41</f>
        <v>0</v>
      </c>
      <c r="V41" s="222"/>
      <c r="W41" s="222">
        <f>$E$41</f>
        <v>0</v>
      </c>
      <c r="X41" s="222"/>
      <c r="Y41" s="222">
        <f>$E$41</f>
        <v>0</v>
      </c>
      <c r="Z41" s="222"/>
      <c r="AA41" s="222">
        <f>$E$41</f>
        <v>0</v>
      </c>
      <c r="AB41" s="222"/>
      <c r="AC41" s="222">
        <f>$E$41</f>
        <v>0</v>
      </c>
      <c r="AD41" s="222"/>
      <c r="AE41" s="222">
        <f>$E$41</f>
        <v>0</v>
      </c>
      <c r="AF41" s="222"/>
      <c r="AG41" s="222">
        <f>$E$41</f>
        <v>0</v>
      </c>
    </row>
    <row r="42" spans="1:33" s="210" customFormat="1" ht="14.25">
      <c r="A42" s="225"/>
      <c r="B42" s="226"/>
      <c r="C42" s="220"/>
      <c r="E42" s="232"/>
      <c r="F42" s="222"/>
      <c r="G42" s="232">
        <f>$E$42</f>
        <v>0</v>
      </c>
      <c r="H42" s="222"/>
      <c r="I42" s="232">
        <f>$E$42</f>
        <v>0</v>
      </c>
      <c r="J42" s="222"/>
      <c r="K42" s="232">
        <f>$E$42</f>
        <v>0</v>
      </c>
      <c r="L42" s="222"/>
      <c r="M42" s="232">
        <f>$E$42</f>
        <v>0</v>
      </c>
      <c r="N42" s="222"/>
      <c r="O42" s="232">
        <f>$E$42</f>
        <v>0</v>
      </c>
      <c r="P42" s="222"/>
      <c r="Q42" s="232">
        <f>$E$42</f>
        <v>0</v>
      </c>
      <c r="R42" s="222"/>
      <c r="S42" s="232">
        <f>$E$42</f>
        <v>0</v>
      </c>
      <c r="T42" s="222"/>
      <c r="U42" s="232">
        <f>$E$42</f>
        <v>0</v>
      </c>
      <c r="V42" s="222"/>
      <c r="W42" s="232">
        <f>$E$42</f>
        <v>0</v>
      </c>
      <c r="X42" s="222"/>
      <c r="Y42" s="232">
        <f>$E$42</f>
        <v>0</v>
      </c>
      <c r="Z42" s="222"/>
      <c r="AA42" s="232">
        <f>$E$42</f>
        <v>0</v>
      </c>
      <c r="AB42" s="222"/>
      <c r="AC42" s="232">
        <f>$E$42</f>
        <v>0</v>
      </c>
      <c r="AD42" s="222"/>
      <c r="AE42" s="232">
        <f>$E$42</f>
        <v>0</v>
      </c>
      <c r="AF42" s="222"/>
      <c r="AG42" s="232">
        <f>$E$42</f>
        <v>0</v>
      </c>
    </row>
    <row r="43" spans="1:33" s="223" customFormat="1" ht="15">
      <c r="A43" s="223" t="s">
        <v>848</v>
      </c>
      <c r="C43" s="224"/>
      <c r="E43" s="223">
        <f>SUM(E40:E42)</f>
        <v>1338754.5581181864</v>
      </c>
      <c r="G43" s="223">
        <f>SUM(G40:G42)</f>
        <v>1338754.5581181864</v>
      </c>
      <c r="I43" s="223">
        <f>SUM(I40:I42)</f>
        <v>1338754.5581181864</v>
      </c>
      <c r="K43" s="223">
        <f>SUM(K40:K42)</f>
        <v>1338754.5581181864</v>
      </c>
      <c r="M43" s="223">
        <f>SUM(M40:M42)</f>
        <v>1338754.5581181864</v>
      </c>
      <c r="O43" s="223">
        <f>SUM(O40:O42)</f>
        <v>1338754.5581181864</v>
      </c>
      <c r="Q43" s="223">
        <f>SUM(Q40:Q42)</f>
        <v>1338754.5581181864</v>
      </c>
      <c r="S43" s="223">
        <f>SUM(S40:S42)</f>
        <v>1338754.5581181864</v>
      </c>
      <c r="U43" s="223">
        <f>SUM(U40:U42)</f>
        <v>1338754.5581181864</v>
      </c>
      <c r="W43" s="223">
        <f>SUM(W40:W42)</f>
        <v>1338754.5581181864</v>
      </c>
      <c r="Y43" s="223">
        <f>SUM(Y40:Y42)</f>
        <v>1338754.5581181864</v>
      </c>
      <c r="AA43" s="223">
        <f>SUM(AA40:AA42)</f>
        <v>1338754.5581181864</v>
      </c>
      <c r="AC43" s="223">
        <f>SUM(AC40:AC42)</f>
        <v>1338754.5581181864</v>
      </c>
      <c r="AE43" s="223">
        <f>SUM(AE40:AE42)</f>
        <v>1338754.5581181864</v>
      </c>
      <c r="AG43" s="223">
        <f>SUM(AG40:AG42)</f>
        <v>1338754.5581181864</v>
      </c>
    </row>
    <row r="44" spans="1:33" s="210" customFormat="1" ht="14.25">
      <c r="C44" s="220"/>
      <c r="E44" s="222"/>
      <c r="F44" s="222"/>
      <c r="G44" s="222"/>
      <c r="H44" s="222"/>
      <c r="I44" s="222"/>
      <c r="J44" s="222"/>
      <c r="K44" s="222"/>
      <c r="L44" s="222"/>
      <c r="M44" s="222"/>
      <c r="N44" s="222"/>
      <c r="O44" s="222"/>
      <c r="P44" s="222"/>
      <c r="Q44" s="222"/>
      <c r="R44" s="222"/>
      <c r="S44" s="222"/>
      <c r="T44" s="222"/>
      <c r="U44" s="222"/>
      <c r="V44" s="222"/>
      <c r="W44" s="222"/>
      <c r="X44" s="222"/>
      <c r="Y44" s="222"/>
      <c r="Z44" s="222"/>
      <c r="AA44" s="222"/>
      <c r="AB44" s="222"/>
      <c r="AC44" s="222"/>
      <c r="AD44" s="222"/>
      <c r="AE44" s="222"/>
      <c r="AF44" s="222"/>
      <c r="AG44" s="222"/>
    </row>
    <row r="45" spans="1:33" s="223" customFormat="1" ht="15">
      <c r="A45" s="223" t="s">
        <v>849</v>
      </c>
      <c r="C45" s="224"/>
      <c r="E45" s="223">
        <f>E37-E43</f>
        <v>200839.54188181367</v>
      </c>
      <c r="G45" s="223">
        <f>G37-G43</f>
        <v>232883.31438181363</v>
      </c>
      <c r="I45" s="223">
        <f>I37-I43</f>
        <v>265479.70589431329</v>
      </c>
      <c r="K45" s="223">
        <f>K37-K43</f>
        <v>298633.83300912543</v>
      </c>
      <c r="M45" s="223">
        <f>M37-M43</f>
        <v>332350.63572481507</v>
      </c>
      <c r="O45" s="223">
        <f>O37-O43</f>
        <v>366634.86237531062</v>
      </c>
      <c r="Q45" s="223">
        <f>Q37-Q43</f>
        <v>401491.05380660528</v>
      </c>
      <c r="S45" s="223">
        <f>S37-S43</f>
        <v>436923.52677175449</v>
      </c>
      <c r="U45" s="223">
        <f>U37-U43</f>
        <v>472936.35651110741</v>
      </c>
      <c r="W45" s="223">
        <f>W37-W43</f>
        <v>509533.35848340485</v>
      </c>
      <c r="Y45" s="223">
        <f>Y37-Y43</f>
        <v>546718.06921205833</v>
      </c>
      <c r="AA45" s="223">
        <f>AA37-AA43</f>
        <v>584493.72620949149</v>
      </c>
      <c r="AC45" s="223">
        <f>AC37-AC43</f>
        <v>622863.24694098416</v>
      </c>
      <c r="AE45" s="223">
        <f>AE37-AE43</f>
        <v>661829.20678796945</v>
      </c>
      <c r="AG45" s="223">
        <f>AG37-AG43</f>
        <v>701393.81596914702</v>
      </c>
    </row>
    <row r="46" spans="1:33" s="210" customFormat="1" ht="14.25">
      <c r="C46" s="220"/>
      <c r="E46" s="222"/>
      <c r="F46" s="222"/>
      <c r="G46" s="222"/>
      <c r="H46" s="222"/>
      <c r="I46" s="222"/>
      <c r="J46" s="222"/>
      <c r="K46" s="222"/>
      <c r="L46" s="222"/>
      <c r="M46" s="222"/>
      <c r="N46" s="222"/>
      <c r="O46" s="222"/>
      <c r="P46" s="222"/>
      <c r="Q46" s="222"/>
      <c r="R46" s="222"/>
      <c r="S46" s="222"/>
      <c r="T46" s="222"/>
      <c r="U46" s="222"/>
      <c r="V46" s="222"/>
      <c r="W46" s="222"/>
      <c r="X46" s="222"/>
      <c r="Y46" s="222"/>
      <c r="Z46" s="222"/>
      <c r="AA46" s="222"/>
      <c r="AB46" s="222"/>
      <c r="AC46" s="222"/>
      <c r="AD46" s="222"/>
      <c r="AE46" s="222"/>
      <c r="AF46" s="222"/>
      <c r="AG46" s="222"/>
    </row>
    <row r="47" spans="1:33" s="227" customFormat="1" ht="14.25">
      <c r="A47" s="227" t="s">
        <v>851</v>
      </c>
      <c r="C47" s="220"/>
      <c r="E47" s="227">
        <f>E45/(E4+E6+E8)</f>
        <v>8.3776762983389638E-2</v>
      </c>
      <c r="G47" s="227">
        <f>G45/(G4+G6+G8)</f>
        <v>9.4773923836234009E-2</v>
      </c>
      <c r="I47" s="227">
        <f>I45/(I4+I6+I8)</f>
        <v>0.10540420835584711</v>
      </c>
      <c r="K47" s="227">
        <f>K45/(K4+K6+K8)</f>
        <v>0.11567560140664718</v>
      </c>
      <c r="M47" s="227">
        <f>M45/(M4+M6+M8)</f>
        <v>0.12559588370608521</v>
      </c>
      <c r="O47" s="227">
        <f>O45/(O4+O6+O8)</f>
        <v>0.13517263671216903</v>
      </c>
      <c r="Q47" s="227">
        <f>Q45/(Q4+Q6+Q8)</f>
        <v>0.14441324739088268</v>
      </c>
      <c r="S47" s="227">
        <f>S45/(S4+S6+S8)</f>
        <v>0.15332491286642688</v>
      </c>
      <c r="U47" s="227">
        <f>U45/(U4+U6+U8)</f>
        <v>0.16191464495712682</v>
      </c>
      <c r="W47" s="227">
        <f>W45/(W4+W6+W8)</f>
        <v>0.17018927459978497</v>
      </c>
      <c r="Y47" s="227">
        <f>Y45/(Y4+Y6+Y8)</f>
        <v>0.1781554561651961</v>
      </c>
      <c r="AA47" s="227">
        <f>AA45/(AA4+AA6+AA8)</f>
        <v>0.18581967166746632</v>
      </c>
      <c r="AC47" s="227">
        <f>AC45/(AC4+AC6+AC8)</f>
        <v>0.19318823486971615</v>
      </c>
      <c r="AE47" s="227">
        <f>AE45/(AE4+AE6+AE8)</f>
        <v>0.2002672952886897</v>
      </c>
      <c r="AG47" s="227">
        <f>AG45/(AG4+AG6+AG8)</f>
        <v>0.20706284210072357</v>
      </c>
    </row>
    <row r="48" spans="1:33" s="227" customFormat="1" ht="14.25">
      <c r="A48" s="227" t="s">
        <v>852</v>
      </c>
      <c r="C48" s="220"/>
      <c r="E48" s="227">
        <f>E45/E43</f>
        <v>0.15001968857093773</v>
      </c>
      <c r="G48" s="227">
        <f>G45/G43</f>
        <v>0.17395519811276303</v>
      </c>
      <c r="I48" s="227">
        <f>I45/I43</f>
        <v>0.19830349356007684</v>
      </c>
      <c r="K48" s="227">
        <f>K45/K43</f>
        <v>0.22306839681569307</v>
      </c>
      <c r="M48" s="227">
        <f>M45/M43</f>
        <v>0.24825359787531334</v>
      </c>
      <c r="O48" s="227">
        <f>O45/O43</f>
        <v>0.27386264356826473</v>
      </c>
      <c r="Q48" s="227">
        <f>Q45/Q43</f>
        <v>0.29989892573808236</v>
      </c>
      <c r="S48" s="227">
        <f>S45/S43</f>
        <v>0.32636566883918877</v>
      </c>
      <c r="U48" s="227">
        <f>U45/U43</f>
        <v>0.35326591692497245</v>
      </c>
      <c r="W48" s="227">
        <f>W45/W43</f>
        <v>0.380602520001596</v>
      </c>
      <c r="Y48" s="227">
        <f>Y45/Y43</f>
        <v>0.40837811972087684</v>
      </c>
      <c r="AA48" s="227">
        <f>AA45/AA43</f>
        <v>0.43659513438451492</v>
      </c>
      <c r="AC48" s="227">
        <f>AC45/AC43</f>
        <v>0.46525574323086433</v>
      </c>
      <c r="AE48" s="227">
        <f>AE45/AE43</f>
        <v>0.49436186997433368</v>
      </c>
      <c r="AG48" s="227">
        <f>AG45/AG43</f>
        <v>0.5239151655663139</v>
      </c>
    </row>
    <row r="49" spans="1:1023 1025:2047 2049:3071 3073:4095 4097:5119 5121:6143 6145:7167 7169:8191 8193:9215 9217:10239 10241:11263 11265:12287 12289:13311 13313:14335 14337:15359 15361:16383" s="228" customFormat="1" ht="14.25">
      <c r="A49" s="228" t="s">
        <v>850</v>
      </c>
      <c r="C49" s="229"/>
      <c r="E49" s="228">
        <f>E37/E43</f>
        <v>1.1500196885709377</v>
      </c>
      <c r="G49" s="228">
        <f>G37/G43</f>
        <v>1.1739551981127629</v>
      </c>
      <c r="I49" s="228">
        <f>I37/I43</f>
        <v>1.1983034935600769</v>
      </c>
      <c r="K49" s="228">
        <f>K37/K43</f>
        <v>1.223068396815693</v>
      </c>
      <c r="M49" s="228">
        <f>M37/M43</f>
        <v>1.2482535978753133</v>
      </c>
      <c r="O49" s="228">
        <f>O37/O43</f>
        <v>1.2738626435682647</v>
      </c>
      <c r="Q49" s="228">
        <f>Q37/Q43</f>
        <v>1.2998989257380824</v>
      </c>
      <c r="S49" s="228">
        <f>S37/S43</f>
        <v>1.3263656688391887</v>
      </c>
      <c r="U49" s="228">
        <f>U37/U43</f>
        <v>1.3532659169249723</v>
      </c>
      <c r="W49" s="228">
        <f>W37/W43</f>
        <v>1.3806025200015959</v>
      </c>
      <c r="Y49" s="228">
        <f>Y37/Y43</f>
        <v>1.4083781197208769</v>
      </c>
      <c r="AA49" s="228">
        <f>AA37/AA43</f>
        <v>1.4365951343845149</v>
      </c>
      <c r="AC49" s="228">
        <f>AC37/AC43</f>
        <v>1.4652557432308644</v>
      </c>
      <c r="AE49" s="228">
        <f>AE37/AE43</f>
        <v>1.4943618699743337</v>
      </c>
      <c r="AG49" s="228">
        <f>AG37/AG43</f>
        <v>1.5239151655663139</v>
      </c>
    </row>
    <row r="50" spans="1:1023 1025:2047 2049:3071 3073:4095 4097:5119 5121:6143 6145:7167 7169:8191 8193:9215 9217:10239 10241:11263 11265:12287 12289:13311 13313:14335 14337:15359 15361:16383" s="210" customFormat="1" ht="14.25">
      <c r="A50" s="230"/>
      <c r="B50" s="230"/>
      <c r="C50" s="231"/>
      <c r="D50" s="230"/>
      <c r="E50" s="232"/>
      <c r="F50" s="232"/>
      <c r="G50" s="232"/>
      <c r="H50" s="232"/>
      <c r="I50" s="232"/>
      <c r="J50" s="232"/>
      <c r="K50" s="232"/>
      <c r="L50" s="232"/>
      <c r="M50" s="232"/>
      <c r="N50" s="232"/>
      <c r="O50" s="232"/>
      <c r="P50" s="232"/>
      <c r="Q50" s="232"/>
      <c r="R50" s="232"/>
      <c r="S50" s="232"/>
      <c r="T50" s="232"/>
      <c r="U50" s="232"/>
      <c r="V50" s="232"/>
      <c r="W50" s="232"/>
      <c r="X50" s="232"/>
      <c r="Y50" s="232"/>
      <c r="Z50" s="232"/>
      <c r="AA50" s="232"/>
      <c r="AB50" s="232"/>
      <c r="AC50" s="232"/>
      <c r="AD50" s="232"/>
      <c r="AE50" s="232"/>
      <c r="AF50" s="232"/>
      <c r="AG50" s="232"/>
    </row>
    <row r="51" spans="1:1023 1025:2047 2049:3071 3073:4095 4097:5119 5121:6143 6145:7167 7169:8191 8193:9215 9217:10239 10241:11263 11265:12287 12289:13311 13313:14335 14337:15359 15361:16383" s="3" customFormat="1">
      <c r="A51" s="3" t="s">
        <v>862</v>
      </c>
      <c r="C51" s="961"/>
      <c r="E51" s="960"/>
      <c r="F51" s="960"/>
      <c r="G51" s="960"/>
      <c r="H51" s="960"/>
      <c r="I51" s="960"/>
      <c r="J51" s="960"/>
      <c r="K51" s="960"/>
      <c r="L51" s="960"/>
      <c r="M51" s="960"/>
      <c r="N51" s="960"/>
      <c r="O51" s="960"/>
      <c r="P51" s="960"/>
      <c r="Q51" s="960"/>
      <c r="R51" s="960"/>
      <c r="S51" s="960"/>
      <c r="T51" s="960"/>
      <c r="U51" s="960"/>
      <c r="V51" s="960"/>
      <c r="W51" s="960"/>
      <c r="X51" s="960"/>
      <c r="Y51" s="960"/>
      <c r="Z51" s="960"/>
      <c r="AA51" s="960"/>
      <c r="AB51" s="960"/>
      <c r="AC51" s="960"/>
      <c r="AD51" s="960"/>
      <c r="AE51" s="960"/>
      <c r="AF51" s="960"/>
      <c r="AG51" s="960"/>
    </row>
    <row r="52" spans="1:1023 1025:2047 2049:3071 3073:4095 4097:5119 5121:6143 6145:7167 7169:8191 8193:9215 9217:10239 10241:11263 11265:12287 12289:13311 13313:14335 14337:15359 15361:16383" s="3" customFormat="1">
      <c r="A52" s="2694" t="s">
        <v>2729</v>
      </c>
      <c r="B52" s="2694"/>
      <c r="C52" s="2694"/>
      <c r="D52" s="960"/>
      <c r="E52" s="960"/>
      <c r="F52" s="960"/>
      <c r="G52" s="960"/>
      <c r="H52" s="960"/>
      <c r="I52" s="960"/>
      <c r="J52" s="960"/>
      <c r="K52" s="960"/>
      <c r="L52" s="960"/>
      <c r="M52" s="960"/>
      <c r="N52" s="960"/>
      <c r="O52" s="960"/>
      <c r="P52" s="960"/>
      <c r="Q52" s="960"/>
      <c r="R52" s="960"/>
      <c r="S52" s="960"/>
      <c r="T52" s="960"/>
      <c r="U52" s="960"/>
      <c r="V52" s="960"/>
      <c r="W52" s="960"/>
      <c r="X52" s="960"/>
      <c r="Y52" s="960"/>
      <c r="Z52" s="960"/>
      <c r="AA52" s="960"/>
      <c r="AB52" s="960"/>
      <c r="AC52" s="960"/>
      <c r="AD52" s="960"/>
      <c r="AE52" s="960"/>
      <c r="AF52" s="960"/>
      <c r="AG52" s="960"/>
    </row>
    <row r="53" spans="1:1023 1025:2047 2049:3071 3073:4095 4097:5119 5121:6143 6145:7167 7169:8191 8193:9215 9217:10239 10241:11263 11265:12287 12289:13311 13313:14335 14337:15359 15361:16383" s="962" customFormat="1">
      <c r="A53" s="962" t="s">
        <v>854</v>
      </c>
      <c r="C53" s="963">
        <v>1.03</v>
      </c>
      <c r="E53" s="964">
        <v>5000</v>
      </c>
      <c r="G53" s="960">
        <f>E53*$C$53</f>
        <v>5150</v>
      </c>
      <c r="I53" s="960">
        <f>G53*$C$53</f>
        <v>5304.5</v>
      </c>
      <c r="K53" s="960">
        <f>I53*$C$53</f>
        <v>5463.6350000000002</v>
      </c>
      <c r="M53" s="960">
        <f>K53*$C$53</f>
        <v>5627.5440500000004</v>
      </c>
      <c r="O53" s="960">
        <f>M53*$C$53</f>
        <v>5796.3703715000001</v>
      </c>
      <c r="Q53" s="960">
        <f>O53*$C$53</f>
        <v>5970.2614826449999</v>
      </c>
      <c r="S53" s="960">
        <f>Q53*$C$53</f>
        <v>6149.3693271243501</v>
      </c>
      <c r="U53" s="960">
        <f>S53*$C$53</f>
        <v>6333.8504069380806</v>
      </c>
      <c r="W53" s="960">
        <f>U53*$C$53</f>
        <v>6523.865919146223</v>
      </c>
      <c r="Y53" s="960">
        <f>W53*$C$53</f>
        <v>6719.5818967206096</v>
      </c>
      <c r="AA53" s="960">
        <f>Y53*$C$53</f>
        <v>6921.1693536222283</v>
      </c>
      <c r="AC53" s="960">
        <f>AA53*$C$53</f>
        <v>7128.8044342308949</v>
      </c>
      <c r="AE53" s="960">
        <f>AC53*$C$53</f>
        <v>7342.6685672578224</v>
      </c>
      <c r="AG53" s="960">
        <f>AE53*$C$53</f>
        <v>7562.9486242755574</v>
      </c>
    </row>
    <row r="54" spans="1:1023 1025:2047 2049:3071 3073:4095 4097:5119 5121:6143 6145:7167 7169:8191 8193:9215 9217:10239 10241:11263 11265:12287 12289:13311 13313:14335 14337:15359 15361:16383" s="3" customFormat="1">
      <c r="A54" s="3" t="s">
        <v>855</v>
      </c>
      <c r="C54" s="958">
        <v>1.03</v>
      </c>
      <c r="E54" s="965">
        <v>16000</v>
      </c>
      <c r="F54" s="960"/>
      <c r="G54" s="960">
        <f t="shared" ref="G54:AG57" si="1">E54*$C$53</f>
        <v>16480</v>
      </c>
      <c r="H54" s="960"/>
      <c r="I54" s="960">
        <f t="shared" si="1"/>
        <v>16974.400000000001</v>
      </c>
      <c r="J54" s="960"/>
      <c r="K54" s="960">
        <f t="shared" si="1"/>
        <v>17483.632000000001</v>
      </c>
      <c r="L54" s="960"/>
      <c r="M54" s="960">
        <f t="shared" si="1"/>
        <v>18008.140960000001</v>
      </c>
      <c r="N54" s="960"/>
      <c r="O54" s="960">
        <f t="shared" si="1"/>
        <v>18548.385188800003</v>
      </c>
      <c r="P54" s="960"/>
      <c r="Q54" s="960">
        <f t="shared" si="1"/>
        <v>19104.836744464003</v>
      </c>
      <c r="R54" s="960"/>
      <c r="S54" s="960">
        <f t="shared" si="1"/>
        <v>19677.981846797924</v>
      </c>
      <c r="T54" s="960"/>
      <c r="U54" s="960">
        <f t="shared" si="1"/>
        <v>20268.321302201861</v>
      </c>
      <c r="V54" s="960"/>
      <c r="W54" s="960">
        <f t="shared" si="1"/>
        <v>20876.370941267916</v>
      </c>
      <c r="X54" s="960"/>
      <c r="Y54" s="960">
        <f t="shared" si="1"/>
        <v>21502.662069505954</v>
      </c>
      <c r="Z54" s="960"/>
      <c r="AA54" s="960">
        <f t="shared" si="1"/>
        <v>22147.741931591132</v>
      </c>
      <c r="AB54" s="960"/>
      <c r="AC54" s="960">
        <f t="shared" si="1"/>
        <v>22812.174189538866</v>
      </c>
      <c r="AD54" s="960"/>
      <c r="AE54" s="960">
        <f t="shared" si="1"/>
        <v>23496.539415225034</v>
      </c>
      <c r="AF54" s="960"/>
      <c r="AG54" s="960">
        <f t="shared" si="1"/>
        <v>24201.435597681786</v>
      </c>
      <c r="AH54" s="960"/>
    </row>
    <row r="55" spans="1:1023 1025:2047 2049:3071 3073:4095 4097:5119 5121:6143 6145:7167 7169:8191 8193:9215 9217:10239 10241:11263 11265:12287 12289:13311 13313:14335 14337:15359 15361:16383" s="3" customFormat="1">
      <c r="A55" s="3" t="s">
        <v>856</v>
      </c>
      <c r="C55" s="958"/>
      <c r="E55" s="965"/>
      <c r="F55" s="960"/>
      <c r="G55" s="960">
        <f t="shared" si="1"/>
        <v>0</v>
      </c>
      <c r="H55" s="960"/>
      <c r="I55" s="960">
        <f t="shared" si="1"/>
        <v>0</v>
      </c>
      <c r="J55" s="960"/>
      <c r="K55" s="960">
        <f t="shared" si="1"/>
        <v>0</v>
      </c>
      <c r="L55" s="960"/>
      <c r="M55" s="960">
        <f t="shared" si="1"/>
        <v>0</v>
      </c>
      <c r="N55" s="960"/>
      <c r="O55" s="960">
        <f t="shared" si="1"/>
        <v>0</v>
      </c>
      <c r="P55" s="960"/>
      <c r="Q55" s="960">
        <f t="shared" si="1"/>
        <v>0</v>
      </c>
      <c r="R55" s="960"/>
      <c r="S55" s="960">
        <f t="shared" si="1"/>
        <v>0</v>
      </c>
      <c r="T55" s="960"/>
      <c r="U55" s="960">
        <f t="shared" si="1"/>
        <v>0</v>
      </c>
      <c r="V55" s="960"/>
      <c r="W55" s="960">
        <f t="shared" si="1"/>
        <v>0</v>
      </c>
      <c r="X55" s="960"/>
      <c r="Y55" s="960">
        <f t="shared" si="1"/>
        <v>0</v>
      </c>
      <c r="Z55" s="960"/>
      <c r="AA55" s="960">
        <f t="shared" si="1"/>
        <v>0</v>
      </c>
      <c r="AB55" s="960"/>
      <c r="AC55" s="960">
        <f t="shared" si="1"/>
        <v>0</v>
      </c>
      <c r="AD55" s="960"/>
      <c r="AE55" s="960">
        <f t="shared" si="1"/>
        <v>0</v>
      </c>
      <c r="AF55" s="960"/>
      <c r="AG55" s="960">
        <f t="shared" si="1"/>
        <v>0</v>
      </c>
      <c r="AH55" s="960"/>
    </row>
    <row r="56" spans="1:1023 1025:2047 2049:3071 3073:4095 4097:5119 5121:6143 6145:7167 7169:8191 8193:9215 9217:10239 10241:11263 11265:12287 12289:13311 13313:14335 14337:15359 15361:16383" s="3" customFormat="1">
      <c r="A56" s="966"/>
      <c r="B56" s="966"/>
      <c r="C56" s="958"/>
      <c r="E56" s="965"/>
      <c r="F56" s="960"/>
      <c r="G56" s="960">
        <f t="shared" si="1"/>
        <v>0</v>
      </c>
      <c r="H56" s="960"/>
      <c r="I56" s="960">
        <f t="shared" si="1"/>
        <v>0</v>
      </c>
      <c r="J56" s="960"/>
      <c r="K56" s="960">
        <f t="shared" si="1"/>
        <v>0</v>
      </c>
      <c r="L56" s="960"/>
      <c r="M56" s="960">
        <f t="shared" si="1"/>
        <v>0</v>
      </c>
      <c r="N56" s="960"/>
      <c r="O56" s="960">
        <f t="shared" si="1"/>
        <v>0</v>
      </c>
      <c r="P56" s="960"/>
      <c r="Q56" s="960">
        <f t="shared" si="1"/>
        <v>0</v>
      </c>
      <c r="R56" s="960"/>
      <c r="S56" s="960">
        <f t="shared" si="1"/>
        <v>0</v>
      </c>
      <c r="T56" s="960"/>
      <c r="U56" s="960">
        <f t="shared" si="1"/>
        <v>0</v>
      </c>
      <c r="V56" s="960"/>
      <c r="W56" s="960">
        <f t="shared" si="1"/>
        <v>0</v>
      </c>
      <c r="X56" s="960"/>
      <c r="Y56" s="960">
        <f t="shared" si="1"/>
        <v>0</v>
      </c>
      <c r="Z56" s="960"/>
      <c r="AA56" s="960">
        <f t="shared" si="1"/>
        <v>0</v>
      </c>
      <c r="AB56" s="960"/>
      <c r="AC56" s="960">
        <f t="shared" si="1"/>
        <v>0</v>
      </c>
      <c r="AD56" s="960"/>
      <c r="AE56" s="960">
        <f t="shared" si="1"/>
        <v>0</v>
      </c>
      <c r="AF56" s="960"/>
      <c r="AG56" s="960">
        <f t="shared" si="1"/>
        <v>0</v>
      </c>
      <c r="AH56" s="960"/>
    </row>
    <row r="57" spans="1:1023 1025:2047 2049:3071 3073:4095 4097:5119 5121:6143 6145:7167 7169:8191 8193:9215 9217:10239 10241:11263 11265:12287 12289:13311 13313:14335 14337:15359 15361:16383" s="3" customFormat="1">
      <c r="A57" s="966"/>
      <c r="B57" s="966"/>
      <c r="C57" s="958"/>
      <c r="E57" s="967"/>
      <c r="F57" s="960"/>
      <c r="G57" s="968">
        <f t="shared" si="1"/>
        <v>0</v>
      </c>
      <c r="H57" s="960"/>
      <c r="I57" s="968">
        <f t="shared" si="1"/>
        <v>0</v>
      </c>
      <c r="J57" s="960"/>
      <c r="K57" s="968">
        <f t="shared" si="1"/>
        <v>0</v>
      </c>
      <c r="L57" s="960"/>
      <c r="M57" s="968">
        <f t="shared" si="1"/>
        <v>0</v>
      </c>
      <c r="N57" s="960"/>
      <c r="O57" s="968">
        <f t="shared" si="1"/>
        <v>0</v>
      </c>
      <c r="P57" s="960"/>
      <c r="Q57" s="968">
        <f t="shared" si="1"/>
        <v>0</v>
      </c>
      <c r="R57" s="960"/>
      <c r="S57" s="968">
        <f t="shared" si="1"/>
        <v>0</v>
      </c>
      <c r="T57" s="960"/>
      <c r="U57" s="968">
        <f t="shared" si="1"/>
        <v>0</v>
      </c>
      <c r="V57" s="960"/>
      <c r="W57" s="968">
        <f t="shared" si="1"/>
        <v>0</v>
      </c>
      <c r="X57" s="960"/>
      <c r="Y57" s="968">
        <f t="shared" si="1"/>
        <v>0</v>
      </c>
      <c r="Z57" s="960"/>
      <c r="AA57" s="968">
        <f t="shared" si="1"/>
        <v>0</v>
      </c>
      <c r="AB57" s="960"/>
      <c r="AC57" s="968">
        <f t="shared" si="1"/>
        <v>0</v>
      </c>
      <c r="AD57" s="960"/>
      <c r="AE57" s="968">
        <f t="shared" si="1"/>
        <v>0</v>
      </c>
      <c r="AF57" s="960"/>
      <c r="AG57" s="968">
        <f t="shared" si="1"/>
        <v>0</v>
      </c>
      <c r="AH57" s="960"/>
    </row>
    <row r="58" spans="1:1023 1025:2047 2049:3071 3073:4095 4097:5119 5121:6143 6145:7167 7169:8191 8193:9215 9217:10239 10241:11263 11265:12287 12289:13311 13313:14335 14337:15359 15361:16383" s="3" customFormat="1">
      <c r="A58" s="962" t="s">
        <v>853</v>
      </c>
      <c r="C58" s="961"/>
      <c r="E58" s="960">
        <f>SUM(E53:E57)</f>
        <v>21000</v>
      </c>
      <c r="F58" s="960"/>
      <c r="G58" s="960">
        <f>SUM(G53:G57)</f>
        <v>21630</v>
      </c>
      <c r="H58" s="960"/>
      <c r="I58" s="960">
        <f>SUM(I53:I57)</f>
        <v>22278.9</v>
      </c>
      <c r="J58" s="960"/>
      <c r="K58" s="960">
        <f>SUM(K53:K57)</f>
        <v>22947.267</v>
      </c>
      <c r="L58" s="960"/>
      <c r="M58" s="960">
        <f>SUM(M53:M57)</f>
        <v>23635.685010000001</v>
      </c>
      <c r="N58" s="960"/>
      <c r="O58" s="960">
        <f>SUM(O53:O57)</f>
        <v>24344.755560300004</v>
      </c>
      <c r="P58" s="960"/>
      <c r="Q58" s="960">
        <f>SUM(Q53:Q57)</f>
        <v>25075.098227109003</v>
      </c>
      <c r="R58" s="960"/>
      <c r="S58" s="960">
        <f>SUM(S53:S57)</f>
        <v>25827.351173922274</v>
      </c>
      <c r="T58" s="960"/>
      <c r="U58" s="960">
        <f>SUM(U53:U57)</f>
        <v>26602.171709139941</v>
      </c>
      <c r="V58" s="960"/>
      <c r="W58" s="960">
        <f>SUM(W53:W57)</f>
        <v>27400.236860414137</v>
      </c>
      <c r="X58" s="960"/>
      <c r="Y58" s="960">
        <f>SUM(Y53:Y57)</f>
        <v>28222.243966226564</v>
      </c>
      <c r="Z58" s="960"/>
      <c r="AA58" s="960">
        <f>SUM(AA53:AA57)</f>
        <v>29068.911285213362</v>
      </c>
      <c r="AB58" s="960"/>
      <c r="AC58" s="960">
        <f>SUM(AC53:AC57)</f>
        <v>29940.978623769763</v>
      </c>
      <c r="AD58" s="960"/>
      <c r="AE58" s="960">
        <f>SUM(AE53:AE57)</f>
        <v>30839.207982482854</v>
      </c>
      <c r="AF58" s="960"/>
      <c r="AG58" s="960">
        <f>SUM(AG53:AG57)</f>
        <v>31764.384221957342</v>
      </c>
      <c r="AH58" s="960"/>
    </row>
    <row r="59" spans="1:1023 1025:2047 2049:3071 3073:4095 4097:5119 5121:6143 6145:7167 7169:8191 8193:9215 9217:10239 10241:11263 11265:12287 12289:13311 13313:14335 14337:15359 15361:16383" s="3" customFormat="1" ht="12.75" customHeight="1">
      <c r="A59" s="962"/>
      <c r="C59" s="961"/>
      <c r="E59" s="960"/>
      <c r="F59" s="960"/>
      <c r="G59" s="960"/>
      <c r="H59" s="960"/>
      <c r="I59" s="960"/>
      <c r="J59" s="960"/>
      <c r="K59" s="960"/>
      <c r="L59" s="960"/>
      <c r="M59" s="960"/>
      <c r="N59" s="960"/>
      <c r="O59" s="960"/>
      <c r="P59" s="960"/>
      <c r="Q59" s="960"/>
      <c r="R59" s="960"/>
      <c r="S59" s="960"/>
      <c r="T59" s="960"/>
      <c r="U59" s="960"/>
      <c r="V59" s="960"/>
      <c r="W59" s="960"/>
      <c r="X59" s="960"/>
      <c r="Y59" s="960"/>
      <c r="Z59" s="960"/>
      <c r="AA59" s="960"/>
      <c r="AB59" s="960"/>
      <c r="AC59" s="960"/>
      <c r="AD59" s="960"/>
      <c r="AE59" s="960"/>
      <c r="AF59" s="960"/>
      <c r="AG59" s="960"/>
      <c r="AH59" s="960"/>
    </row>
    <row r="60" spans="1:1023 1025:2047 2049:3071 3073:4095 4097:5119 5121:6143 6145:7167 7169:8191 8193:9215 9217:10239 10241:11263 11265:12287 12289:13311 13313:14335 14337:15359 15361:16383" s="962" customFormat="1">
      <c r="A60" s="962" t="s">
        <v>858</v>
      </c>
      <c r="C60" s="969"/>
      <c r="E60" s="962">
        <f>E45-E58</f>
        <v>179839.54188181367</v>
      </c>
      <c r="G60" s="962">
        <f>G45-G58</f>
        <v>211253.31438181363</v>
      </c>
      <c r="I60" s="962">
        <f>I45-I58</f>
        <v>243200.80589431329</v>
      </c>
      <c r="K60" s="962">
        <f>K45-K58</f>
        <v>275686.56600912544</v>
      </c>
      <c r="M60" s="962">
        <f>M45-M58</f>
        <v>308714.95071481506</v>
      </c>
      <c r="O60" s="962">
        <f>O45-O58</f>
        <v>342290.1068150106</v>
      </c>
      <c r="Q60" s="962">
        <f>Q45-Q58</f>
        <v>376415.95557949628</v>
      </c>
      <c r="S60" s="962">
        <f>S45-S58</f>
        <v>411096.17559783219</v>
      </c>
      <c r="U60" s="962">
        <f>U45-U58</f>
        <v>446334.18480196747</v>
      </c>
      <c r="W60" s="962">
        <f>W45-W58</f>
        <v>482133.1216229907</v>
      </c>
      <c r="Y60" s="962">
        <f>Y45-Y58</f>
        <v>518495.82524583174</v>
      </c>
      <c r="AA60" s="962">
        <f>AA45-AA58</f>
        <v>555424.81492427818</v>
      </c>
      <c r="AC60" s="962">
        <f>AC45-AC58</f>
        <v>592922.26831721445</v>
      </c>
      <c r="AE60" s="962">
        <f>AE45-AE58</f>
        <v>630989.9988054866</v>
      </c>
      <c r="AG60" s="962">
        <f>AG45-AG58</f>
        <v>669629.43174718972</v>
      </c>
    </row>
    <row r="61" spans="1:1023 1025:2047 2049:3071 3073:4095 4097:5119 5121:6143 6145:7167 7169:8191 8193:9215 9217:10239 10241:11263 11265:12287 12289:13311 13313:14335 14337:15359 15361:16383" s="3" customFormat="1" ht="8.25" customHeight="1">
      <c r="C61" s="961"/>
      <c r="E61" s="960"/>
      <c r="F61" s="960"/>
      <c r="G61" s="960"/>
      <c r="H61" s="960"/>
      <c r="I61" s="960"/>
      <c r="J61" s="960"/>
      <c r="K61" s="960"/>
      <c r="L61" s="960"/>
      <c r="M61" s="960"/>
      <c r="N61" s="960"/>
      <c r="O61" s="960"/>
      <c r="P61" s="960"/>
      <c r="Q61" s="960"/>
      <c r="R61" s="960"/>
      <c r="S61" s="960"/>
      <c r="T61" s="960"/>
      <c r="U61" s="960"/>
      <c r="V61" s="960"/>
      <c r="W61" s="960"/>
      <c r="X61" s="960"/>
      <c r="Y61" s="960"/>
      <c r="Z61" s="960"/>
      <c r="AA61" s="960"/>
      <c r="AB61" s="960"/>
      <c r="AC61" s="960"/>
      <c r="AD61" s="960"/>
      <c r="AE61" s="960"/>
      <c r="AF61" s="960"/>
      <c r="AG61" s="960"/>
      <c r="AH61" s="960"/>
    </row>
    <row r="62" spans="1:1023 1025:2047 2049:3071 3073:4095 4097:5119 5121:6143 6145:7167 7169:8191 8193:9215 9217:10239 10241:11263 11265:12287 12289:13311 13313:14335 14337:15359 15361:16383" s="962" customFormat="1">
      <c r="A62" s="962" t="s">
        <v>857</v>
      </c>
      <c r="C62" s="959">
        <v>0.75</v>
      </c>
      <c r="E62" s="964">
        <f>E60*$C$62</f>
        <v>134879.65641136025</v>
      </c>
      <c r="G62" s="962">
        <f>MIN(G60*$C$62,'Sources and Uses Budget'!$J$99-SUM('15 Year Pro Forma'!$E$62:F62))</f>
        <v>158439.98578636022</v>
      </c>
      <c r="I62" s="962">
        <f>MIN(I60*$C$62,'Sources and Uses Budget'!$J$99-SUM('15 Year Pro Forma'!$E$62:H62))</f>
        <v>182400.60442073498</v>
      </c>
      <c r="K62" s="962">
        <f>MIN(K60*$C$62,'Sources and Uses Budget'!$J$99-SUM('15 Year Pro Forma'!$E$62:J62))</f>
        <v>206764.92450684408</v>
      </c>
      <c r="M62" s="962">
        <f>MIN(M60*$C$62,'Sources and Uses Budget'!$J$99-SUM('15 Year Pro Forma'!$E$62:L62))</f>
        <v>231536.21303611129</v>
      </c>
      <c r="O62" s="962">
        <f>MIN(O60*$C$62,'Sources and Uses Budget'!$J$99-SUM('15 Year Pro Forma'!$E$62:N62))</f>
        <v>256717.58011125796</v>
      </c>
      <c r="Q62" s="962">
        <f>MIN(Q60*$C$62,'Sources and Uses Budget'!$J$99-SUM('15 Year Pro Forma'!$E$62:P62))</f>
        <v>282311.96668462222</v>
      </c>
      <c r="S62" s="962">
        <f>MIN(S60*$C$62,'Sources and Uses Budget'!$J$99-SUM('15 Year Pro Forma'!$E$62:R62))</f>
        <v>308322.13169837417</v>
      </c>
      <c r="U62" s="962">
        <f>MIN(U60*$C$62,'Sources and Uses Budget'!$J$99-SUM('15 Year Pro Forma'!$E$62:T62))</f>
        <v>334750.63860147563</v>
      </c>
      <c r="W62" s="962">
        <f>MIN(W60*$C$62,'Sources and Uses Budget'!$J$99-SUM('15 Year Pro Forma'!$E$62:V62))</f>
        <v>361599.841217243</v>
      </c>
      <c r="Y62" s="962">
        <f>MIN(Y60*$C$62,'Sources and Uses Budget'!$J$99-SUM('15 Year Pro Forma'!$E$62:X62))</f>
        <v>388871.86893437384</v>
      </c>
      <c r="AA62" s="962">
        <f>MIN(AA60*$C$62,'Sources and Uses Budget'!$J$99-SUM('15 Year Pro Forma'!$E$62:Z62))</f>
        <v>416568.61119320861</v>
      </c>
      <c r="AC62" s="962">
        <f>MIN(AC60*$C$62,'Sources and Uses Budget'!$J$99-SUM('15 Year Pro Forma'!$E$62:AB62))</f>
        <v>444691.70123791083</v>
      </c>
      <c r="AE62" s="962">
        <f>MIN(AE60*$C$62,'Sources and Uses Budget'!$J$99-SUM('15 Year Pro Forma'!$E$62:AD62))</f>
        <v>473242.49910411495</v>
      </c>
      <c r="AG62" s="962">
        <f>MIN(AG60*$C$62,'Sources and Uses Budget'!$J$99-SUM('15 Year Pro Forma'!$E$62:AF62))</f>
        <v>502222.07381039229</v>
      </c>
      <c r="AI62" s="962">
        <f>MIN(AI60*$C$62,'Sources and Uses Budget'!$J$99-SUM('15 Year Pro Forma'!$E$62:AH62))</f>
        <v>0</v>
      </c>
      <c r="AK62" s="962">
        <f>MIN(AK60*$C$62,'Sources and Uses Budget'!$J$99-SUM('15 Year Pro Forma'!$E$62:AJ62))</f>
        <v>0</v>
      </c>
      <c r="AM62" s="962">
        <f>MIN(AM60*$C$62,'Sources and Uses Budget'!$J$99-SUM('15 Year Pro Forma'!$E$62:AL62))</f>
        <v>0</v>
      </c>
      <c r="AO62" s="962">
        <f>MIN(AO60*$C$62,'Sources and Uses Budget'!$J$99-SUM('15 Year Pro Forma'!$E$62:AN62))</f>
        <v>0</v>
      </c>
      <c r="AQ62" s="962">
        <f>MIN(AQ60*$C$62,'Sources and Uses Budget'!$J$99-SUM('15 Year Pro Forma'!$E$62:AP62))</f>
        <v>0</v>
      </c>
      <c r="AS62" s="962">
        <f>MIN(AS60*$C$62,'Sources and Uses Budget'!$J$99-SUM('15 Year Pro Forma'!$E$62:AR62))</f>
        <v>0</v>
      </c>
      <c r="AU62" s="962">
        <f>MIN(AU60*$C$62,'Sources and Uses Budget'!$J$99-SUM('15 Year Pro Forma'!$E$62:AT62))</f>
        <v>0</v>
      </c>
      <c r="AW62" s="962">
        <f>MIN(AW60*$C$62,'Sources and Uses Budget'!$J$99-SUM('15 Year Pro Forma'!$E$62:AV62))</f>
        <v>0</v>
      </c>
      <c r="AY62" s="962">
        <f>MIN(AY60*$C$62,'Sources and Uses Budget'!$J$99-SUM('15 Year Pro Forma'!$E$62:AX62))</f>
        <v>0</v>
      </c>
      <c r="BA62" s="962">
        <f>MIN(BA60*$C$62,'Sources and Uses Budget'!$J$99-SUM('15 Year Pro Forma'!$E$62:AZ62))</f>
        <v>0</v>
      </c>
      <c r="BC62" s="962">
        <f>MIN(BC60*$C$62,'Sources and Uses Budget'!$J$99-SUM('15 Year Pro Forma'!$E$62:BB62))</f>
        <v>0</v>
      </c>
      <c r="BE62" s="962">
        <f>MIN(BE60*$C$62,'Sources and Uses Budget'!$J$99-SUM('15 Year Pro Forma'!$E$62:BD62))</f>
        <v>0</v>
      </c>
      <c r="BG62" s="962">
        <f>MIN(BG60*$C$62,'Sources and Uses Budget'!$J$99-SUM('15 Year Pro Forma'!$E$62:BF62))</f>
        <v>0</v>
      </c>
      <c r="BI62" s="962">
        <f>MIN(BI60*$C$62,'Sources and Uses Budget'!$J$99-SUM('15 Year Pro Forma'!$E$62:BH62))</f>
        <v>0</v>
      </c>
      <c r="BK62" s="962">
        <f>MIN(BK60*$C$62,'Sources and Uses Budget'!$J$99-SUM('15 Year Pro Forma'!$E$62:BJ62))</f>
        <v>0</v>
      </c>
      <c r="BM62" s="962">
        <f>MIN(BM60*$C$62,'Sources and Uses Budget'!$J$99-SUM('15 Year Pro Forma'!$E$62:BL62))</f>
        <v>0</v>
      </c>
      <c r="BO62" s="962">
        <f>MIN(BO60*$C$62,'Sources and Uses Budget'!$J$99-SUM('15 Year Pro Forma'!$E$62:BN62))</f>
        <v>0</v>
      </c>
      <c r="BQ62" s="962">
        <f>MIN(BQ60*$C$62,'Sources and Uses Budget'!$J$99-SUM('15 Year Pro Forma'!$E$62:BP62))</f>
        <v>0</v>
      </c>
      <c r="BS62" s="962">
        <f>MIN(BS60*$C$62,'Sources and Uses Budget'!$J$99-SUM('15 Year Pro Forma'!$E$62:BR62))</f>
        <v>0</v>
      </c>
      <c r="BU62" s="962">
        <f>MIN(BU60*$C$62,'Sources and Uses Budget'!$J$99-SUM('15 Year Pro Forma'!$E$62:BT62))</f>
        <v>0</v>
      </c>
      <c r="BW62" s="962">
        <f>MIN(BW60*$C$62,'Sources and Uses Budget'!$J$99-SUM('15 Year Pro Forma'!$E$62:BV62))</f>
        <v>0</v>
      </c>
      <c r="BY62" s="962">
        <f>MIN(BY60*$C$62,'Sources and Uses Budget'!$J$99-SUM('15 Year Pro Forma'!$E$62:BX62))</f>
        <v>0</v>
      </c>
      <c r="CA62" s="962">
        <f>MIN(CA60*$C$62,'Sources and Uses Budget'!$J$99-SUM('15 Year Pro Forma'!$E$62:BZ62))</f>
        <v>0</v>
      </c>
      <c r="CC62" s="962">
        <f>MIN(CC60*$C$62,'Sources and Uses Budget'!$J$99-SUM('15 Year Pro Forma'!$E$62:CB62))</f>
        <v>0</v>
      </c>
      <c r="CE62" s="962">
        <f>MIN(CE60*$C$62,'Sources and Uses Budget'!$J$99-SUM('15 Year Pro Forma'!$E$62:CD62))</f>
        <v>0</v>
      </c>
      <c r="CG62" s="962">
        <f>MIN(CG60*$C$62,'Sources and Uses Budget'!$J$99-SUM('15 Year Pro Forma'!$E$62:CF62))</f>
        <v>0</v>
      </c>
      <c r="CI62" s="962">
        <f>MIN(CI60*$C$62,'Sources and Uses Budget'!$J$99-SUM('15 Year Pro Forma'!$E$62:CH62))</f>
        <v>0</v>
      </c>
      <c r="CK62" s="962">
        <f>MIN(CK60*$C$62,'Sources and Uses Budget'!$J$99-SUM('15 Year Pro Forma'!$E$62:CJ62))</f>
        <v>0</v>
      </c>
      <c r="CM62" s="962">
        <f>MIN(CM60*$C$62,'Sources and Uses Budget'!$J$99-SUM('15 Year Pro Forma'!$E$62:CL62))</f>
        <v>0</v>
      </c>
      <c r="CO62" s="962">
        <f>MIN(CO60*$C$62,'Sources and Uses Budget'!$J$99-SUM('15 Year Pro Forma'!$E$62:CN62))</f>
        <v>0</v>
      </c>
      <c r="CQ62" s="962">
        <f>MIN(CQ60*$C$62,'Sources and Uses Budget'!$J$99-SUM('15 Year Pro Forma'!$E$62:CP62))</f>
        <v>0</v>
      </c>
      <c r="CS62" s="962">
        <f>MIN(CS60*$C$62,'Sources and Uses Budget'!$J$99-SUM('15 Year Pro Forma'!$E$62:CR62))</f>
        <v>0</v>
      </c>
      <c r="CU62" s="962">
        <f>MIN(CU60*$C$62,'Sources and Uses Budget'!$J$99-SUM('15 Year Pro Forma'!$E$62:CT62))</f>
        <v>0</v>
      </c>
      <c r="CW62" s="962">
        <f>MIN(CW60*$C$62,'Sources and Uses Budget'!$J$99-SUM('15 Year Pro Forma'!$E$62:CV62))</f>
        <v>0</v>
      </c>
      <c r="CY62" s="962">
        <f>MIN(CY60*$C$62,'Sources and Uses Budget'!$J$99-SUM('15 Year Pro Forma'!$E$62:CX62))</f>
        <v>0</v>
      </c>
      <c r="DA62" s="962">
        <f>MIN(DA60*$C$62,'Sources and Uses Budget'!$J$99-SUM('15 Year Pro Forma'!$E$62:CZ62))</f>
        <v>0</v>
      </c>
      <c r="DC62" s="962">
        <f>MIN(DC60*$C$62,'Sources and Uses Budget'!$J$99-SUM('15 Year Pro Forma'!$E$62:DB62))</f>
        <v>0</v>
      </c>
      <c r="DE62" s="962">
        <f>MIN(DE60*$C$62,'Sources and Uses Budget'!$J$99-SUM('15 Year Pro Forma'!$E$62:DD62))</f>
        <v>0</v>
      </c>
      <c r="DG62" s="962">
        <f>MIN(DG60*$C$62,'Sources and Uses Budget'!$J$99-SUM('15 Year Pro Forma'!$E$62:DF62))</f>
        <v>0</v>
      </c>
      <c r="DI62" s="962">
        <f>MIN(DI60*$C$62,'Sources and Uses Budget'!$J$99-SUM('15 Year Pro Forma'!$E$62:DH62))</f>
        <v>0</v>
      </c>
      <c r="DK62" s="962">
        <f>MIN(DK60*$C$62,'Sources and Uses Budget'!$J$99-SUM('15 Year Pro Forma'!$E$62:DJ62))</f>
        <v>0</v>
      </c>
      <c r="DM62" s="962">
        <f>MIN(DM60*$C$62,'Sources and Uses Budget'!$J$99-SUM('15 Year Pro Forma'!$E$62:DL62))</f>
        <v>0</v>
      </c>
      <c r="DO62" s="962">
        <f>MIN(DO60*$C$62,'Sources and Uses Budget'!$J$99-SUM('15 Year Pro Forma'!$E$62:DN62))</f>
        <v>0</v>
      </c>
      <c r="DQ62" s="962">
        <f>MIN(DQ60*$C$62,'Sources and Uses Budget'!$J$99-SUM('15 Year Pro Forma'!$E$62:DP62))</f>
        <v>0</v>
      </c>
      <c r="DS62" s="962">
        <f>MIN(DS60*$C$62,'Sources and Uses Budget'!$J$99-SUM('15 Year Pro Forma'!$E$62:DR62))</f>
        <v>0</v>
      </c>
      <c r="DU62" s="962">
        <f>MIN(DU60*$C$62,'Sources and Uses Budget'!$J$99-SUM('15 Year Pro Forma'!$E$62:DT62))</f>
        <v>0</v>
      </c>
      <c r="DW62" s="962">
        <f>MIN(DW60*$C$62,'Sources and Uses Budget'!$J$99-SUM('15 Year Pro Forma'!$E$62:DV62))</f>
        <v>0</v>
      </c>
      <c r="DY62" s="962">
        <f>MIN(DY60*$C$62,'Sources and Uses Budget'!$J$99-SUM('15 Year Pro Forma'!$E$62:DX62))</f>
        <v>0</v>
      </c>
      <c r="EA62" s="962">
        <f>MIN(EA60*$C$62,'Sources and Uses Budget'!$J$99-SUM('15 Year Pro Forma'!$E$62:DZ62))</f>
        <v>0</v>
      </c>
      <c r="EC62" s="962">
        <f>MIN(EC60*$C$62,'Sources and Uses Budget'!$J$99-SUM('15 Year Pro Forma'!$E$62:EB62))</f>
        <v>0</v>
      </c>
      <c r="EE62" s="962">
        <f>MIN(EE60*$C$62,'Sources and Uses Budget'!$J$99-SUM('15 Year Pro Forma'!$E$62:ED62))</f>
        <v>0</v>
      </c>
      <c r="EG62" s="962">
        <f>MIN(EG60*$C$62,'Sources and Uses Budget'!$J$99-SUM('15 Year Pro Forma'!$E$62:EF62))</f>
        <v>0</v>
      </c>
      <c r="EI62" s="962">
        <f>MIN(EI60*$C$62,'Sources and Uses Budget'!$J$99-SUM('15 Year Pro Forma'!$E$62:EH62))</f>
        <v>0</v>
      </c>
      <c r="EK62" s="962">
        <f>MIN(EK60*$C$62,'Sources and Uses Budget'!$J$99-SUM('15 Year Pro Forma'!$E$62:EJ62))</f>
        <v>0</v>
      </c>
      <c r="EM62" s="962">
        <f>MIN(EM60*$C$62,'Sources and Uses Budget'!$J$99-SUM('15 Year Pro Forma'!$E$62:EL62))</f>
        <v>0</v>
      </c>
      <c r="EO62" s="962">
        <f>MIN(EO60*$C$62,'Sources and Uses Budget'!$J$99-SUM('15 Year Pro Forma'!$E$62:EN62))</f>
        <v>0</v>
      </c>
      <c r="EQ62" s="962">
        <f>MIN(EQ60*$C$62,'Sources and Uses Budget'!$J$99-SUM('15 Year Pro Forma'!$E$62:EP62))</f>
        <v>0</v>
      </c>
      <c r="ES62" s="962">
        <f>MIN(ES60*$C$62,'Sources and Uses Budget'!$J$99-SUM('15 Year Pro Forma'!$E$62:ER62))</f>
        <v>0</v>
      </c>
      <c r="EU62" s="962">
        <f>MIN(EU60*$C$62,'Sources and Uses Budget'!$J$99-SUM('15 Year Pro Forma'!$E$62:ET62))</f>
        <v>0</v>
      </c>
      <c r="EW62" s="962">
        <f>MIN(EW60*$C$62,'Sources and Uses Budget'!$J$99-SUM('15 Year Pro Forma'!$E$62:EV62))</f>
        <v>0</v>
      </c>
      <c r="EY62" s="962">
        <f>MIN(EY60*$C$62,'Sources and Uses Budget'!$J$99-SUM('15 Year Pro Forma'!$E$62:EX62))</f>
        <v>0</v>
      </c>
      <c r="FA62" s="962">
        <f>MIN(FA60*$C$62,'Sources and Uses Budget'!$J$99-SUM('15 Year Pro Forma'!$E$62:EZ62))</f>
        <v>0</v>
      </c>
      <c r="FC62" s="962">
        <f>MIN(FC60*$C$62,'Sources and Uses Budget'!$J$99-SUM('15 Year Pro Forma'!$E$62:FB62))</f>
        <v>0</v>
      </c>
      <c r="FE62" s="962">
        <f>MIN(FE60*$C$62,'Sources and Uses Budget'!$J$99-SUM('15 Year Pro Forma'!$E$62:FD62))</f>
        <v>0</v>
      </c>
      <c r="FG62" s="962">
        <f>MIN(FG60*$C$62,'Sources and Uses Budget'!$J$99-SUM('15 Year Pro Forma'!$E$62:FF62))</f>
        <v>0</v>
      </c>
      <c r="FI62" s="962">
        <f>MIN(FI60*$C$62,'Sources and Uses Budget'!$J$99-SUM('15 Year Pro Forma'!$E$62:FH62))</f>
        <v>0</v>
      </c>
      <c r="FK62" s="962">
        <f>MIN(FK60*$C$62,'Sources and Uses Budget'!$J$99-SUM('15 Year Pro Forma'!$E$62:FJ62))</f>
        <v>0</v>
      </c>
      <c r="FM62" s="962">
        <f>MIN(FM60*$C$62,'Sources and Uses Budget'!$J$99-SUM('15 Year Pro Forma'!$E$62:FL62))</f>
        <v>0</v>
      </c>
      <c r="FO62" s="962">
        <f>MIN(FO60*$C$62,'Sources and Uses Budget'!$J$99-SUM('15 Year Pro Forma'!$E$62:FN62))</f>
        <v>0</v>
      </c>
      <c r="FQ62" s="962">
        <f>MIN(FQ60*$C$62,'Sources and Uses Budget'!$J$99-SUM('15 Year Pro Forma'!$E$62:FP62))</f>
        <v>0</v>
      </c>
      <c r="FS62" s="962">
        <f>MIN(FS60*$C$62,'Sources and Uses Budget'!$J$99-SUM('15 Year Pro Forma'!$E$62:FR62))</f>
        <v>0</v>
      </c>
      <c r="FU62" s="962">
        <f>MIN(FU60*$C$62,'Sources and Uses Budget'!$J$99-SUM('15 Year Pro Forma'!$E$62:FT62))</f>
        <v>0</v>
      </c>
      <c r="FW62" s="962">
        <f>MIN(FW60*$C$62,'Sources and Uses Budget'!$J$99-SUM('15 Year Pro Forma'!$E$62:FV62))</f>
        <v>0</v>
      </c>
      <c r="FY62" s="962">
        <f>MIN(FY60*$C$62,'Sources and Uses Budget'!$J$99-SUM('15 Year Pro Forma'!$E$62:FX62))</f>
        <v>0</v>
      </c>
      <c r="GA62" s="962">
        <f>MIN(GA60*$C$62,'Sources and Uses Budget'!$J$99-SUM('15 Year Pro Forma'!$E$62:FZ62))</f>
        <v>0</v>
      </c>
      <c r="GC62" s="962">
        <f>MIN(GC60*$C$62,'Sources and Uses Budget'!$J$99-SUM('15 Year Pro Forma'!$E$62:GB62))</f>
        <v>0</v>
      </c>
      <c r="GE62" s="962">
        <f>MIN(GE60*$C$62,'Sources and Uses Budget'!$J$99-SUM('15 Year Pro Forma'!$E$62:GD62))</f>
        <v>0</v>
      </c>
      <c r="GG62" s="962">
        <f>MIN(GG60*$C$62,'Sources and Uses Budget'!$J$99-SUM('15 Year Pro Forma'!$E$62:GF62))</f>
        <v>0</v>
      </c>
      <c r="GI62" s="962">
        <f>MIN(GI60*$C$62,'Sources and Uses Budget'!$J$99-SUM('15 Year Pro Forma'!$E$62:GH62))</f>
        <v>0</v>
      </c>
      <c r="GK62" s="962">
        <f>MIN(GK60*$C$62,'Sources and Uses Budget'!$J$99-SUM('15 Year Pro Forma'!$E$62:GJ62))</f>
        <v>0</v>
      </c>
      <c r="GM62" s="962">
        <f>MIN(GM60*$C$62,'Sources and Uses Budget'!$J$99-SUM('15 Year Pro Forma'!$E$62:GL62))</f>
        <v>0</v>
      </c>
      <c r="GO62" s="962">
        <f>MIN(GO60*$C$62,'Sources and Uses Budget'!$J$99-SUM('15 Year Pro Forma'!$E$62:GN62))</f>
        <v>0</v>
      </c>
      <c r="GQ62" s="962">
        <f>MIN(GQ60*$C$62,'Sources and Uses Budget'!$J$99-SUM('15 Year Pro Forma'!$E$62:GP62))</f>
        <v>0</v>
      </c>
      <c r="GS62" s="962">
        <f>MIN(GS60*$C$62,'Sources and Uses Budget'!$J$99-SUM('15 Year Pro Forma'!$E$62:GR62))</f>
        <v>0</v>
      </c>
      <c r="GU62" s="962">
        <f>MIN(GU60*$C$62,'Sources and Uses Budget'!$J$99-SUM('15 Year Pro Forma'!$E$62:GT62))</f>
        <v>0</v>
      </c>
      <c r="GW62" s="962">
        <f>MIN(GW60*$C$62,'Sources and Uses Budget'!$J$99-SUM('15 Year Pro Forma'!$E$62:GV62))</f>
        <v>0</v>
      </c>
      <c r="GY62" s="962">
        <f>MIN(GY60*$C$62,'Sources and Uses Budget'!$J$99-SUM('15 Year Pro Forma'!$E$62:GX62))</f>
        <v>0</v>
      </c>
      <c r="HA62" s="962">
        <f>MIN(HA60*$C$62,'Sources and Uses Budget'!$J$99-SUM('15 Year Pro Forma'!$E$62:GZ62))</f>
        <v>0</v>
      </c>
      <c r="HC62" s="962">
        <f>MIN(HC60*$C$62,'Sources and Uses Budget'!$J$99-SUM('15 Year Pro Forma'!$E$62:HB62))</f>
        <v>0</v>
      </c>
      <c r="HE62" s="962">
        <f>MIN(HE60*$C$62,'Sources and Uses Budget'!$J$99-SUM('15 Year Pro Forma'!$E$62:HD62))</f>
        <v>0</v>
      </c>
      <c r="HG62" s="962">
        <f>MIN(HG60*$C$62,'Sources and Uses Budget'!$J$99-SUM('15 Year Pro Forma'!$E$62:HF62))</f>
        <v>0</v>
      </c>
      <c r="HI62" s="962">
        <f>MIN(HI60*$C$62,'Sources and Uses Budget'!$J$99-SUM('15 Year Pro Forma'!$E$62:HH62))</f>
        <v>0</v>
      </c>
      <c r="HK62" s="962">
        <f>MIN(HK60*$C$62,'Sources and Uses Budget'!$J$99-SUM('15 Year Pro Forma'!$E$62:HJ62))</f>
        <v>0</v>
      </c>
      <c r="HM62" s="962">
        <f>MIN(HM60*$C$62,'Sources and Uses Budget'!$J$99-SUM('15 Year Pro Forma'!$E$62:HL62))</f>
        <v>0</v>
      </c>
      <c r="HO62" s="962">
        <f>MIN(HO60*$C$62,'Sources and Uses Budget'!$J$99-SUM('15 Year Pro Forma'!$E$62:HN62))</f>
        <v>0</v>
      </c>
      <c r="HQ62" s="962">
        <f>MIN(HQ60*$C$62,'Sources and Uses Budget'!$J$99-SUM('15 Year Pro Forma'!$E$62:HP62))</f>
        <v>0</v>
      </c>
      <c r="HS62" s="962">
        <f>MIN(HS60*$C$62,'Sources and Uses Budget'!$J$99-SUM('15 Year Pro Forma'!$E$62:HR62))</f>
        <v>0</v>
      </c>
      <c r="HU62" s="962">
        <f>MIN(HU60*$C$62,'Sources and Uses Budget'!$J$99-SUM('15 Year Pro Forma'!$E$62:HT62))</f>
        <v>0</v>
      </c>
      <c r="HW62" s="962">
        <f>MIN(HW60*$C$62,'Sources and Uses Budget'!$J$99-SUM('15 Year Pro Forma'!$E$62:HV62))</f>
        <v>0</v>
      </c>
      <c r="HY62" s="962">
        <f>MIN(HY60*$C$62,'Sources and Uses Budget'!$J$99-SUM('15 Year Pro Forma'!$E$62:HX62))</f>
        <v>0</v>
      </c>
      <c r="IA62" s="962">
        <f>MIN(IA60*$C$62,'Sources and Uses Budget'!$J$99-SUM('15 Year Pro Forma'!$E$62:HZ62))</f>
        <v>0</v>
      </c>
      <c r="IC62" s="962">
        <f>MIN(IC60*$C$62,'Sources and Uses Budget'!$J$99-SUM('15 Year Pro Forma'!$E$62:IB62))</f>
        <v>0</v>
      </c>
      <c r="IE62" s="962">
        <f>MIN(IE60*$C$62,'Sources and Uses Budget'!$J$99-SUM('15 Year Pro Forma'!$E$62:ID62))</f>
        <v>0</v>
      </c>
      <c r="IG62" s="962">
        <f>MIN(IG60*$C$62,'Sources and Uses Budget'!$J$99-SUM('15 Year Pro Forma'!$E$62:IF62))</f>
        <v>0</v>
      </c>
      <c r="II62" s="962">
        <f>MIN(II60*$C$62,'Sources and Uses Budget'!$J$99-SUM('15 Year Pro Forma'!$E$62:IH62))</f>
        <v>0</v>
      </c>
      <c r="IK62" s="962">
        <f>MIN(IK60*$C$62,'Sources and Uses Budget'!$J$99-SUM('15 Year Pro Forma'!$E$62:IJ62))</f>
        <v>0</v>
      </c>
      <c r="IM62" s="962">
        <f>MIN(IM60*$C$62,'Sources and Uses Budget'!$J$99-SUM('15 Year Pro Forma'!$E$62:IL62))</f>
        <v>0</v>
      </c>
      <c r="IO62" s="962">
        <f>MIN(IO60*$C$62,'Sources and Uses Budget'!$J$99-SUM('15 Year Pro Forma'!$E$62:IN62))</f>
        <v>0</v>
      </c>
      <c r="IQ62" s="962">
        <f>MIN(IQ60*$C$62,'Sources and Uses Budget'!$J$99-SUM('15 Year Pro Forma'!$E$62:IP62))</f>
        <v>0</v>
      </c>
      <c r="IS62" s="962">
        <f>MIN(IS60*$C$62,'Sources and Uses Budget'!$J$99-SUM('15 Year Pro Forma'!$E$62:IR62))</f>
        <v>0</v>
      </c>
      <c r="IU62" s="962">
        <f>MIN(IU60*$C$62,'Sources and Uses Budget'!$J$99-SUM('15 Year Pro Forma'!$E$62:IT62))</f>
        <v>0</v>
      </c>
      <c r="IW62" s="962">
        <f>MIN(IW60*$C$62,'Sources and Uses Budget'!$J$99-SUM('15 Year Pro Forma'!$E$62:IV62))</f>
        <v>0</v>
      </c>
      <c r="IY62" s="962">
        <f>MIN(IY60*$C$62,'Sources and Uses Budget'!$J$99-SUM('15 Year Pro Forma'!$E$62:IX62))</f>
        <v>0</v>
      </c>
      <c r="JA62" s="962">
        <f>MIN(JA60*$C$62,'Sources and Uses Budget'!$J$99-SUM('15 Year Pro Forma'!$E$62:IZ62))</f>
        <v>0</v>
      </c>
      <c r="JC62" s="962">
        <f>MIN(JC60*$C$62,'Sources and Uses Budget'!$J$99-SUM('15 Year Pro Forma'!$E$62:JB62))</f>
        <v>0</v>
      </c>
      <c r="JE62" s="962">
        <f>MIN(JE60*$C$62,'Sources and Uses Budget'!$J$99-SUM('15 Year Pro Forma'!$E$62:JD62))</f>
        <v>0</v>
      </c>
      <c r="JG62" s="962">
        <f>MIN(JG60*$C$62,'Sources and Uses Budget'!$J$99-SUM('15 Year Pro Forma'!$E$62:JF62))</f>
        <v>0</v>
      </c>
      <c r="JI62" s="962">
        <f>MIN(JI60*$C$62,'Sources and Uses Budget'!$J$99-SUM('15 Year Pro Forma'!$E$62:JH62))</f>
        <v>0</v>
      </c>
      <c r="JK62" s="962">
        <f>MIN(JK60*$C$62,'Sources and Uses Budget'!$J$99-SUM('15 Year Pro Forma'!$E$62:JJ62))</f>
        <v>0</v>
      </c>
      <c r="JM62" s="962">
        <f>MIN(JM60*$C$62,'Sources and Uses Budget'!$J$99-SUM('15 Year Pro Forma'!$E$62:JL62))</f>
        <v>0</v>
      </c>
      <c r="JO62" s="962">
        <f>MIN(JO60*$C$62,'Sources and Uses Budget'!$J$99-SUM('15 Year Pro Forma'!$E$62:JN62))</f>
        <v>0</v>
      </c>
      <c r="JQ62" s="962">
        <f>MIN(JQ60*$C$62,'Sources and Uses Budget'!$J$99-SUM('15 Year Pro Forma'!$E$62:JP62))</f>
        <v>0</v>
      </c>
      <c r="JS62" s="962">
        <f>MIN(JS60*$C$62,'Sources and Uses Budget'!$J$99-SUM('15 Year Pro Forma'!$E$62:JR62))</f>
        <v>0</v>
      </c>
      <c r="JU62" s="962">
        <f>MIN(JU60*$C$62,'Sources and Uses Budget'!$J$99-SUM('15 Year Pro Forma'!$E$62:JT62))</f>
        <v>0</v>
      </c>
      <c r="JW62" s="962">
        <f>MIN(JW60*$C$62,'Sources and Uses Budget'!$J$99-SUM('15 Year Pro Forma'!$E$62:JV62))</f>
        <v>0</v>
      </c>
      <c r="JY62" s="962">
        <f>MIN(JY60*$C$62,'Sources and Uses Budget'!$J$99-SUM('15 Year Pro Forma'!$E$62:JX62))</f>
        <v>0</v>
      </c>
      <c r="KA62" s="962">
        <f>MIN(KA60*$C$62,'Sources and Uses Budget'!$J$99-SUM('15 Year Pro Forma'!$E$62:JZ62))</f>
        <v>0</v>
      </c>
      <c r="KC62" s="962">
        <f>MIN(KC60*$C$62,'Sources and Uses Budget'!$J$99-SUM('15 Year Pro Forma'!$E$62:KB62))</f>
        <v>0</v>
      </c>
      <c r="KE62" s="962">
        <f>MIN(KE60*$C$62,'Sources and Uses Budget'!$J$99-SUM('15 Year Pro Forma'!$E$62:KD62))</f>
        <v>0</v>
      </c>
      <c r="KG62" s="962">
        <f>MIN(KG60*$C$62,'Sources and Uses Budget'!$J$99-SUM('15 Year Pro Forma'!$E$62:KF62))</f>
        <v>0</v>
      </c>
      <c r="KI62" s="962">
        <f>MIN(KI60*$C$62,'Sources and Uses Budget'!$J$99-SUM('15 Year Pro Forma'!$E$62:KH62))</f>
        <v>0</v>
      </c>
      <c r="KK62" s="962">
        <f>MIN(KK60*$C$62,'Sources and Uses Budget'!$J$99-SUM('15 Year Pro Forma'!$E$62:KJ62))</f>
        <v>0</v>
      </c>
      <c r="KM62" s="962">
        <f>MIN(KM60*$C$62,'Sources and Uses Budget'!$J$99-SUM('15 Year Pro Forma'!$E$62:KL62))</f>
        <v>0</v>
      </c>
      <c r="KO62" s="962">
        <f>MIN(KO60*$C$62,'Sources and Uses Budget'!$J$99-SUM('15 Year Pro Forma'!$E$62:KN62))</f>
        <v>0</v>
      </c>
      <c r="KQ62" s="962">
        <f>MIN(KQ60*$C$62,'Sources and Uses Budget'!$J$99-SUM('15 Year Pro Forma'!$E$62:KP62))</f>
        <v>0</v>
      </c>
      <c r="KS62" s="962">
        <f>MIN(KS60*$C$62,'Sources and Uses Budget'!$J$99-SUM('15 Year Pro Forma'!$E$62:KR62))</f>
        <v>0</v>
      </c>
      <c r="KU62" s="962">
        <f>MIN(KU60*$C$62,'Sources and Uses Budget'!$J$99-SUM('15 Year Pro Forma'!$E$62:KT62))</f>
        <v>0</v>
      </c>
      <c r="KW62" s="962">
        <f>MIN(KW60*$C$62,'Sources and Uses Budget'!$J$99-SUM('15 Year Pro Forma'!$E$62:KV62))</f>
        <v>0</v>
      </c>
      <c r="KY62" s="962">
        <f>MIN(KY60*$C$62,'Sources and Uses Budget'!$J$99-SUM('15 Year Pro Forma'!$E$62:KX62))</f>
        <v>0</v>
      </c>
      <c r="LA62" s="962">
        <f>MIN(LA60*$C$62,'Sources and Uses Budget'!$J$99-SUM('15 Year Pro Forma'!$E$62:KZ62))</f>
        <v>0</v>
      </c>
      <c r="LC62" s="962">
        <f>MIN(LC60*$C$62,'Sources and Uses Budget'!$J$99-SUM('15 Year Pro Forma'!$E$62:LB62))</f>
        <v>0</v>
      </c>
      <c r="LE62" s="962">
        <f>MIN(LE60*$C$62,'Sources and Uses Budget'!$J$99-SUM('15 Year Pro Forma'!$E$62:LD62))</f>
        <v>0</v>
      </c>
      <c r="LG62" s="962">
        <f>MIN(LG60*$C$62,'Sources and Uses Budget'!$J$99-SUM('15 Year Pro Forma'!$E$62:LF62))</f>
        <v>0</v>
      </c>
      <c r="LI62" s="962">
        <f>MIN(LI60*$C$62,'Sources and Uses Budget'!$J$99-SUM('15 Year Pro Forma'!$E$62:LH62))</f>
        <v>0</v>
      </c>
      <c r="LK62" s="962">
        <f>MIN(LK60*$C$62,'Sources and Uses Budget'!$J$99-SUM('15 Year Pro Forma'!$E$62:LJ62))</f>
        <v>0</v>
      </c>
      <c r="LM62" s="962">
        <f>MIN(LM60*$C$62,'Sources and Uses Budget'!$J$99-SUM('15 Year Pro Forma'!$E$62:LL62))</f>
        <v>0</v>
      </c>
      <c r="LO62" s="962">
        <f>MIN(LO60*$C$62,'Sources and Uses Budget'!$J$99-SUM('15 Year Pro Forma'!$E$62:LN62))</f>
        <v>0</v>
      </c>
      <c r="LQ62" s="962">
        <f>MIN(LQ60*$C$62,'Sources and Uses Budget'!$J$99-SUM('15 Year Pro Forma'!$E$62:LP62))</f>
        <v>0</v>
      </c>
      <c r="LS62" s="962">
        <f>MIN(LS60*$C$62,'Sources and Uses Budget'!$J$99-SUM('15 Year Pro Forma'!$E$62:LR62))</f>
        <v>0</v>
      </c>
      <c r="LU62" s="962">
        <f>MIN(LU60*$C$62,'Sources and Uses Budget'!$J$99-SUM('15 Year Pro Forma'!$E$62:LT62))</f>
        <v>0</v>
      </c>
      <c r="LW62" s="962">
        <f>MIN(LW60*$C$62,'Sources and Uses Budget'!$J$99-SUM('15 Year Pro Forma'!$E$62:LV62))</f>
        <v>0</v>
      </c>
      <c r="LY62" s="962">
        <f>MIN(LY60*$C$62,'Sources and Uses Budget'!$J$99-SUM('15 Year Pro Forma'!$E$62:LX62))</f>
        <v>0</v>
      </c>
      <c r="MA62" s="962">
        <f>MIN(MA60*$C$62,'Sources and Uses Budget'!$J$99-SUM('15 Year Pro Forma'!$E$62:LZ62))</f>
        <v>0</v>
      </c>
      <c r="MC62" s="962">
        <f>MIN(MC60*$C$62,'Sources and Uses Budget'!$J$99-SUM('15 Year Pro Forma'!$E$62:MB62))</f>
        <v>0</v>
      </c>
      <c r="ME62" s="962">
        <f>MIN(ME60*$C$62,'Sources and Uses Budget'!$J$99-SUM('15 Year Pro Forma'!$E$62:MD62))</f>
        <v>0</v>
      </c>
      <c r="MG62" s="962">
        <f>MIN(MG60*$C$62,'Sources and Uses Budget'!$J$99-SUM('15 Year Pro Forma'!$E$62:MF62))</f>
        <v>0</v>
      </c>
      <c r="MI62" s="962">
        <f>MIN(MI60*$C$62,'Sources and Uses Budget'!$J$99-SUM('15 Year Pro Forma'!$E$62:MH62))</f>
        <v>0</v>
      </c>
      <c r="MK62" s="962">
        <f>MIN(MK60*$C$62,'Sources and Uses Budget'!$J$99-SUM('15 Year Pro Forma'!$E$62:MJ62))</f>
        <v>0</v>
      </c>
      <c r="MM62" s="962">
        <f>MIN(MM60*$C$62,'Sources and Uses Budget'!$J$99-SUM('15 Year Pro Forma'!$E$62:ML62))</f>
        <v>0</v>
      </c>
      <c r="MO62" s="962">
        <f>MIN(MO60*$C$62,'Sources and Uses Budget'!$J$99-SUM('15 Year Pro Forma'!$E$62:MN62))</f>
        <v>0</v>
      </c>
      <c r="MQ62" s="962">
        <f>MIN(MQ60*$C$62,'Sources and Uses Budget'!$J$99-SUM('15 Year Pro Forma'!$E$62:MP62))</f>
        <v>0</v>
      </c>
      <c r="MS62" s="962">
        <f>MIN(MS60*$C$62,'Sources and Uses Budget'!$J$99-SUM('15 Year Pro Forma'!$E$62:MR62))</f>
        <v>0</v>
      </c>
      <c r="MU62" s="962">
        <f>MIN(MU60*$C$62,'Sources and Uses Budget'!$J$99-SUM('15 Year Pro Forma'!$E$62:MT62))</f>
        <v>0</v>
      </c>
      <c r="MW62" s="962">
        <f>MIN(MW60*$C$62,'Sources and Uses Budget'!$J$99-SUM('15 Year Pro Forma'!$E$62:MV62))</f>
        <v>0</v>
      </c>
      <c r="MY62" s="962">
        <f>MIN(MY60*$C$62,'Sources and Uses Budget'!$J$99-SUM('15 Year Pro Forma'!$E$62:MX62))</f>
        <v>0</v>
      </c>
      <c r="NA62" s="962">
        <f>MIN(NA60*$C$62,'Sources and Uses Budget'!$J$99-SUM('15 Year Pro Forma'!$E$62:MZ62))</f>
        <v>0</v>
      </c>
      <c r="NC62" s="962">
        <f>MIN(NC60*$C$62,'Sources and Uses Budget'!$J$99-SUM('15 Year Pro Forma'!$E$62:NB62))</f>
        <v>0</v>
      </c>
      <c r="NE62" s="962">
        <f>MIN(NE60*$C$62,'Sources and Uses Budget'!$J$99-SUM('15 Year Pro Forma'!$E$62:ND62))</f>
        <v>0</v>
      </c>
      <c r="NG62" s="962">
        <f>MIN(NG60*$C$62,'Sources and Uses Budget'!$J$99-SUM('15 Year Pro Forma'!$E$62:NF62))</f>
        <v>0</v>
      </c>
      <c r="NI62" s="962">
        <f>MIN(NI60*$C$62,'Sources and Uses Budget'!$J$99-SUM('15 Year Pro Forma'!$E$62:NH62))</f>
        <v>0</v>
      </c>
      <c r="NK62" s="962">
        <f>MIN(NK60*$C$62,'Sources and Uses Budget'!$J$99-SUM('15 Year Pro Forma'!$E$62:NJ62))</f>
        <v>0</v>
      </c>
      <c r="NM62" s="962">
        <f>MIN(NM60*$C$62,'Sources and Uses Budget'!$J$99-SUM('15 Year Pro Forma'!$E$62:NL62))</f>
        <v>0</v>
      </c>
      <c r="NO62" s="962">
        <f>MIN(NO60*$C$62,'Sources and Uses Budget'!$J$99-SUM('15 Year Pro Forma'!$E$62:NN62))</f>
        <v>0</v>
      </c>
      <c r="NQ62" s="962">
        <f>MIN(NQ60*$C$62,'Sources and Uses Budget'!$J$99-SUM('15 Year Pro Forma'!$E$62:NP62))</f>
        <v>0</v>
      </c>
      <c r="NS62" s="962">
        <f>MIN(NS60*$C$62,'Sources and Uses Budget'!$J$99-SUM('15 Year Pro Forma'!$E$62:NR62))</f>
        <v>0</v>
      </c>
      <c r="NU62" s="962">
        <f>MIN(NU60*$C$62,'Sources and Uses Budget'!$J$99-SUM('15 Year Pro Forma'!$E$62:NT62))</f>
        <v>0</v>
      </c>
      <c r="NW62" s="962">
        <f>MIN(NW60*$C$62,'Sources and Uses Budget'!$J$99-SUM('15 Year Pro Forma'!$E$62:NV62))</f>
        <v>0</v>
      </c>
      <c r="NY62" s="962">
        <f>MIN(NY60*$C$62,'Sources and Uses Budget'!$J$99-SUM('15 Year Pro Forma'!$E$62:NX62))</f>
        <v>0</v>
      </c>
      <c r="OA62" s="962">
        <f>MIN(OA60*$C$62,'Sources and Uses Budget'!$J$99-SUM('15 Year Pro Forma'!$E$62:NZ62))</f>
        <v>0</v>
      </c>
      <c r="OC62" s="962">
        <f>MIN(OC60*$C$62,'Sources and Uses Budget'!$J$99-SUM('15 Year Pro Forma'!$E$62:OB62))</f>
        <v>0</v>
      </c>
      <c r="OE62" s="962">
        <f>MIN(OE60*$C$62,'Sources and Uses Budget'!$J$99-SUM('15 Year Pro Forma'!$E$62:OD62))</f>
        <v>0</v>
      </c>
      <c r="OG62" s="962">
        <f>MIN(OG60*$C$62,'Sources and Uses Budget'!$J$99-SUM('15 Year Pro Forma'!$E$62:OF62))</f>
        <v>0</v>
      </c>
      <c r="OI62" s="962">
        <f>MIN(OI60*$C$62,'Sources and Uses Budget'!$J$99-SUM('15 Year Pro Forma'!$E$62:OH62))</f>
        <v>0</v>
      </c>
      <c r="OK62" s="962">
        <f>MIN(OK60*$C$62,'Sources and Uses Budget'!$J$99-SUM('15 Year Pro Forma'!$E$62:OJ62))</f>
        <v>0</v>
      </c>
      <c r="OM62" s="962">
        <f>MIN(OM60*$C$62,'Sources and Uses Budget'!$J$99-SUM('15 Year Pro Forma'!$E$62:OL62))</f>
        <v>0</v>
      </c>
      <c r="OO62" s="962">
        <f>MIN(OO60*$C$62,'Sources and Uses Budget'!$J$99-SUM('15 Year Pro Forma'!$E$62:ON62))</f>
        <v>0</v>
      </c>
      <c r="OQ62" s="962">
        <f>MIN(OQ60*$C$62,'Sources and Uses Budget'!$J$99-SUM('15 Year Pro Forma'!$E$62:OP62))</f>
        <v>0</v>
      </c>
      <c r="OS62" s="962">
        <f>MIN(OS60*$C$62,'Sources and Uses Budget'!$J$99-SUM('15 Year Pro Forma'!$E$62:OR62))</f>
        <v>0</v>
      </c>
      <c r="OU62" s="962">
        <f>MIN(OU60*$C$62,'Sources and Uses Budget'!$J$99-SUM('15 Year Pro Forma'!$E$62:OT62))</f>
        <v>0</v>
      </c>
      <c r="OW62" s="962">
        <f>MIN(OW60*$C$62,'Sources and Uses Budget'!$J$99-SUM('15 Year Pro Forma'!$E$62:OV62))</f>
        <v>0</v>
      </c>
      <c r="OY62" s="962">
        <f>MIN(OY60*$C$62,'Sources and Uses Budget'!$J$99-SUM('15 Year Pro Forma'!$E$62:OX62))</f>
        <v>0</v>
      </c>
      <c r="PA62" s="962">
        <f>MIN(PA60*$C$62,'Sources and Uses Budget'!$J$99-SUM('15 Year Pro Forma'!$E$62:OZ62))</f>
        <v>0</v>
      </c>
      <c r="PC62" s="962">
        <f>MIN(PC60*$C$62,'Sources and Uses Budget'!$J$99-SUM('15 Year Pro Forma'!$E$62:PB62))</f>
        <v>0</v>
      </c>
      <c r="PE62" s="962">
        <f>MIN(PE60*$C$62,'Sources and Uses Budget'!$J$99-SUM('15 Year Pro Forma'!$E$62:PD62))</f>
        <v>0</v>
      </c>
      <c r="PG62" s="962">
        <f>MIN(PG60*$C$62,'Sources and Uses Budget'!$J$99-SUM('15 Year Pro Forma'!$E$62:PF62))</f>
        <v>0</v>
      </c>
      <c r="PI62" s="962">
        <f>MIN(PI60*$C$62,'Sources and Uses Budget'!$J$99-SUM('15 Year Pro Forma'!$E$62:PH62))</f>
        <v>0</v>
      </c>
      <c r="PK62" s="962">
        <f>MIN(PK60*$C$62,'Sources and Uses Budget'!$J$99-SUM('15 Year Pro Forma'!$E$62:PJ62))</f>
        <v>0</v>
      </c>
      <c r="PM62" s="962">
        <f>MIN(PM60*$C$62,'Sources and Uses Budget'!$J$99-SUM('15 Year Pro Forma'!$E$62:PL62))</f>
        <v>0</v>
      </c>
      <c r="PO62" s="962">
        <f>MIN(PO60*$C$62,'Sources and Uses Budget'!$J$99-SUM('15 Year Pro Forma'!$E$62:PN62))</f>
        <v>0</v>
      </c>
      <c r="PQ62" s="962">
        <f>MIN(PQ60*$C$62,'Sources and Uses Budget'!$J$99-SUM('15 Year Pro Forma'!$E$62:PP62))</f>
        <v>0</v>
      </c>
      <c r="PS62" s="962">
        <f>MIN(PS60*$C$62,'Sources and Uses Budget'!$J$99-SUM('15 Year Pro Forma'!$E$62:PR62))</f>
        <v>0</v>
      </c>
      <c r="PU62" s="962">
        <f>MIN(PU60*$C$62,'Sources and Uses Budget'!$J$99-SUM('15 Year Pro Forma'!$E$62:PT62))</f>
        <v>0</v>
      </c>
      <c r="PW62" s="962">
        <f>MIN(PW60*$C$62,'Sources and Uses Budget'!$J$99-SUM('15 Year Pro Forma'!$E$62:PV62))</f>
        <v>0</v>
      </c>
      <c r="PY62" s="962">
        <f>MIN(PY60*$C$62,'Sources and Uses Budget'!$J$99-SUM('15 Year Pro Forma'!$E$62:PX62))</f>
        <v>0</v>
      </c>
      <c r="QA62" s="962">
        <f>MIN(QA60*$C$62,'Sources and Uses Budget'!$J$99-SUM('15 Year Pro Forma'!$E$62:PZ62))</f>
        <v>0</v>
      </c>
      <c r="QC62" s="962">
        <f>MIN(QC60*$C$62,'Sources and Uses Budget'!$J$99-SUM('15 Year Pro Forma'!$E$62:QB62))</f>
        <v>0</v>
      </c>
      <c r="QE62" s="962">
        <f>MIN(QE60*$C$62,'Sources and Uses Budget'!$J$99-SUM('15 Year Pro Forma'!$E$62:QD62))</f>
        <v>0</v>
      </c>
      <c r="QG62" s="962">
        <f>MIN(QG60*$C$62,'Sources and Uses Budget'!$J$99-SUM('15 Year Pro Forma'!$E$62:QF62))</f>
        <v>0</v>
      </c>
      <c r="QI62" s="962">
        <f>MIN(QI60*$C$62,'Sources and Uses Budget'!$J$99-SUM('15 Year Pro Forma'!$E$62:QH62))</f>
        <v>0</v>
      </c>
      <c r="QK62" s="962">
        <f>MIN(QK60*$C$62,'Sources and Uses Budget'!$J$99-SUM('15 Year Pro Forma'!$E$62:QJ62))</f>
        <v>0</v>
      </c>
      <c r="QM62" s="962">
        <f>MIN(QM60*$C$62,'Sources and Uses Budget'!$J$99-SUM('15 Year Pro Forma'!$E$62:QL62))</f>
        <v>0</v>
      </c>
      <c r="QO62" s="962">
        <f>MIN(QO60*$C$62,'Sources and Uses Budget'!$J$99-SUM('15 Year Pro Forma'!$E$62:QN62))</f>
        <v>0</v>
      </c>
      <c r="QQ62" s="962">
        <f>MIN(QQ60*$C$62,'Sources and Uses Budget'!$J$99-SUM('15 Year Pro Forma'!$E$62:QP62))</f>
        <v>0</v>
      </c>
      <c r="QS62" s="962">
        <f>MIN(QS60*$C$62,'Sources and Uses Budget'!$J$99-SUM('15 Year Pro Forma'!$E$62:QR62))</f>
        <v>0</v>
      </c>
      <c r="QU62" s="962">
        <f>MIN(QU60*$C$62,'Sources and Uses Budget'!$J$99-SUM('15 Year Pro Forma'!$E$62:QT62))</f>
        <v>0</v>
      </c>
      <c r="QW62" s="962">
        <f>MIN(QW60*$C$62,'Sources and Uses Budget'!$J$99-SUM('15 Year Pro Forma'!$E$62:QV62))</f>
        <v>0</v>
      </c>
      <c r="QY62" s="962">
        <f>MIN(QY60*$C$62,'Sources and Uses Budget'!$J$99-SUM('15 Year Pro Forma'!$E$62:QX62))</f>
        <v>0</v>
      </c>
      <c r="RA62" s="962">
        <f>MIN(RA60*$C$62,'Sources and Uses Budget'!$J$99-SUM('15 Year Pro Forma'!$E$62:QZ62))</f>
        <v>0</v>
      </c>
      <c r="RC62" s="962">
        <f>MIN(RC60*$C$62,'Sources and Uses Budget'!$J$99-SUM('15 Year Pro Forma'!$E$62:RB62))</f>
        <v>0</v>
      </c>
      <c r="RE62" s="962">
        <f>MIN(RE60*$C$62,'Sources and Uses Budget'!$J$99-SUM('15 Year Pro Forma'!$E$62:RD62))</f>
        <v>0</v>
      </c>
      <c r="RG62" s="962">
        <f>MIN(RG60*$C$62,'Sources and Uses Budget'!$J$99-SUM('15 Year Pro Forma'!$E$62:RF62))</f>
        <v>0</v>
      </c>
      <c r="RI62" s="962">
        <f>MIN(RI60*$C$62,'Sources and Uses Budget'!$J$99-SUM('15 Year Pro Forma'!$E$62:RH62))</f>
        <v>0</v>
      </c>
      <c r="RK62" s="962">
        <f>MIN(RK60*$C$62,'Sources and Uses Budget'!$J$99-SUM('15 Year Pro Forma'!$E$62:RJ62))</f>
        <v>0</v>
      </c>
      <c r="RM62" s="962">
        <f>MIN(RM60*$C$62,'Sources and Uses Budget'!$J$99-SUM('15 Year Pro Forma'!$E$62:RL62))</f>
        <v>0</v>
      </c>
      <c r="RO62" s="962">
        <f>MIN(RO60*$C$62,'Sources and Uses Budget'!$J$99-SUM('15 Year Pro Forma'!$E$62:RN62))</f>
        <v>0</v>
      </c>
      <c r="RQ62" s="962">
        <f>MIN(RQ60*$C$62,'Sources and Uses Budget'!$J$99-SUM('15 Year Pro Forma'!$E$62:RP62))</f>
        <v>0</v>
      </c>
      <c r="RS62" s="962">
        <f>MIN(RS60*$C$62,'Sources and Uses Budget'!$J$99-SUM('15 Year Pro Forma'!$E$62:RR62))</f>
        <v>0</v>
      </c>
      <c r="RU62" s="962">
        <f>MIN(RU60*$C$62,'Sources and Uses Budget'!$J$99-SUM('15 Year Pro Forma'!$E$62:RT62))</f>
        <v>0</v>
      </c>
      <c r="RW62" s="962">
        <f>MIN(RW60*$C$62,'Sources and Uses Budget'!$J$99-SUM('15 Year Pro Forma'!$E$62:RV62))</f>
        <v>0</v>
      </c>
      <c r="RY62" s="962">
        <f>MIN(RY60*$C$62,'Sources and Uses Budget'!$J$99-SUM('15 Year Pro Forma'!$E$62:RX62))</f>
        <v>0</v>
      </c>
      <c r="SA62" s="962">
        <f>MIN(SA60*$C$62,'Sources and Uses Budget'!$J$99-SUM('15 Year Pro Forma'!$E$62:RZ62))</f>
        <v>0</v>
      </c>
      <c r="SC62" s="962">
        <f>MIN(SC60*$C$62,'Sources and Uses Budget'!$J$99-SUM('15 Year Pro Forma'!$E$62:SB62))</f>
        <v>0</v>
      </c>
      <c r="SE62" s="962">
        <f>MIN(SE60*$C$62,'Sources and Uses Budget'!$J$99-SUM('15 Year Pro Forma'!$E$62:SD62))</f>
        <v>0</v>
      </c>
      <c r="SG62" s="962">
        <f>MIN(SG60*$C$62,'Sources and Uses Budget'!$J$99-SUM('15 Year Pro Forma'!$E$62:SF62))</f>
        <v>0</v>
      </c>
      <c r="SI62" s="962">
        <f>MIN(SI60*$C$62,'Sources and Uses Budget'!$J$99-SUM('15 Year Pro Forma'!$E$62:SH62))</f>
        <v>0</v>
      </c>
      <c r="SK62" s="962">
        <f>MIN(SK60*$C$62,'Sources and Uses Budget'!$J$99-SUM('15 Year Pro Forma'!$E$62:SJ62))</f>
        <v>0</v>
      </c>
      <c r="SM62" s="962">
        <f>MIN(SM60*$C$62,'Sources and Uses Budget'!$J$99-SUM('15 Year Pro Forma'!$E$62:SL62))</f>
        <v>0</v>
      </c>
      <c r="SO62" s="962">
        <f>MIN(SO60*$C$62,'Sources and Uses Budget'!$J$99-SUM('15 Year Pro Forma'!$E$62:SN62))</f>
        <v>0</v>
      </c>
      <c r="SQ62" s="962">
        <f>MIN(SQ60*$C$62,'Sources and Uses Budget'!$J$99-SUM('15 Year Pro Forma'!$E$62:SP62))</f>
        <v>0</v>
      </c>
      <c r="SS62" s="962">
        <f>MIN(SS60*$C$62,'Sources and Uses Budget'!$J$99-SUM('15 Year Pro Forma'!$E$62:SR62))</f>
        <v>0</v>
      </c>
      <c r="SU62" s="962">
        <f>MIN(SU60*$C$62,'Sources and Uses Budget'!$J$99-SUM('15 Year Pro Forma'!$E$62:ST62))</f>
        <v>0</v>
      </c>
      <c r="SW62" s="962">
        <f>MIN(SW60*$C$62,'Sources and Uses Budget'!$J$99-SUM('15 Year Pro Forma'!$E$62:SV62))</f>
        <v>0</v>
      </c>
      <c r="SY62" s="962">
        <f>MIN(SY60*$C$62,'Sources and Uses Budget'!$J$99-SUM('15 Year Pro Forma'!$E$62:SX62))</f>
        <v>0</v>
      </c>
      <c r="TA62" s="962">
        <f>MIN(TA60*$C$62,'Sources and Uses Budget'!$J$99-SUM('15 Year Pro Forma'!$E$62:SZ62))</f>
        <v>0</v>
      </c>
      <c r="TC62" s="962">
        <f>MIN(TC60*$C$62,'Sources and Uses Budget'!$J$99-SUM('15 Year Pro Forma'!$E$62:TB62))</f>
        <v>0</v>
      </c>
      <c r="TE62" s="962">
        <f>MIN(TE60*$C$62,'Sources and Uses Budget'!$J$99-SUM('15 Year Pro Forma'!$E$62:TD62))</f>
        <v>0</v>
      </c>
      <c r="TG62" s="962">
        <f>MIN(TG60*$C$62,'Sources and Uses Budget'!$J$99-SUM('15 Year Pro Forma'!$E$62:TF62))</f>
        <v>0</v>
      </c>
      <c r="TI62" s="962">
        <f>MIN(TI60*$C$62,'Sources and Uses Budget'!$J$99-SUM('15 Year Pro Forma'!$E$62:TH62))</f>
        <v>0</v>
      </c>
      <c r="TK62" s="962">
        <f>MIN(TK60*$C$62,'Sources and Uses Budget'!$J$99-SUM('15 Year Pro Forma'!$E$62:TJ62))</f>
        <v>0</v>
      </c>
      <c r="TM62" s="962">
        <f>MIN(TM60*$C$62,'Sources and Uses Budget'!$J$99-SUM('15 Year Pro Forma'!$E$62:TL62))</f>
        <v>0</v>
      </c>
      <c r="TO62" s="962">
        <f>MIN(TO60*$C$62,'Sources and Uses Budget'!$J$99-SUM('15 Year Pro Forma'!$E$62:TN62))</f>
        <v>0</v>
      </c>
      <c r="TQ62" s="962">
        <f>MIN(TQ60*$C$62,'Sources and Uses Budget'!$J$99-SUM('15 Year Pro Forma'!$E$62:TP62))</f>
        <v>0</v>
      </c>
      <c r="TS62" s="962">
        <f>MIN(TS60*$C$62,'Sources and Uses Budget'!$J$99-SUM('15 Year Pro Forma'!$E$62:TR62))</f>
        <v>0</v>
      </c>
      <c r="TU62" s="962">
        <f>MIN(TU60*$C$62,'Sources and Uses Budget'!$J$99-SUM('15 Year Pro Forma'!$E$62:TT62))</f>
        <v>0</v>
      </c>
      <c r="TW62" s="962">
        <f>MIN(TW60*$C$62,'Sources and Uses Budget'!$J$99-SUM('15 Year Pro Forma'!$E$62:TV62))</f>
        <v>0</v>
      </c>
      <c r="TY62" s="962">
        <f>MIN(TY60*$C$62,'Sources and Uses Budget'!$J$99-SUM('15 Year Pro Forma'!$E$62:TX62))</f>
        <v>0</v>
      </c>
      <c r="UA62" s="962">
        <f>MIN(UA60*$C$62,'Sources and Uses Budget'!$J$99-SUM('15 Year Pro Forma'!$E$62:TZ62))</f>
        <v>0</v>
      </c>
      <c r="UC62" s="962">
        <f>MIN(UC60*$C$62,'Sources and Uses Budget'!$J$99-SUM('15 Year Pro Forma'!$E$62:UB62))</f>
        <v>0</v>
      </c>
      <c r="UE62" s="962">
        <f>MIN(UE60*$C$62,'Sources and Uses Budget'!$J$99-SUM('15 Year Pro Forma'!$E$62:UD62))</f>
        <v>0</v>
      </c>
      <c r="UG62" s="962">
        <f>MIN(UG60*$C$62,'Sources and Uses Budget'!$J$99-SUM('15 Year Pro Forma'!$E$62:UF62))</f>
        <v>0</v>
      </c>
      <c r="UI62" s="962">
        <f>MIN(UI60*$C$62,'Sources and Uses Budget'!$J$99-SUM('15 Year Pro Forma'!$E$62:UH62))</f>
        <v>0</v>
      </c>
      <c r="UK62" s="962">
        <f>MIN(UK60*$C$62,'Sources and Uses Budget'!$J$99-SUM('15 Year Pro Forma'!$E$62:UJ62))</f>
        <v>0</v>
      </c>
      <c r="UM62" s="962">
        <f>MIN(UM60*$C$62,'Sources and Uses Budget'!$J$99-SUM('15 Year Pro Forma'!$E$62:UL62))</f>
        <v>0</v>
      </c>
      <c r="UO62" s="962">
        <f>MIN(UO60*$C$62,'Sources and Uses Budget'!$J$99-SUM('15 Year Pro Forma'!$E$62:UN62))</f>
        <v>0</v>
      </c>
      <c r="UQ62" s="962">
        <f>MIN(UQ60*$C$62,'Sources and Uses Budget'!$J$99-SUM('15 Year Pro Forma'!$E$62:UP62))</f>
        <v>0</v>
      </c>
      <c r="US62" s="962">
        <f>MIN(US60*$C$62,'Sources and Uses Budget'!$J$99-SUM('15 Year Pro Forma'!$E$62:UR62))</f>
        <v>0</v>
      </c>
      <c r="UU62" s="962">
        <f>MIN(UU60*$C$62,'Sources and Uses Budget'!$J$99-SUM('15 Year Pro Forma'!$E$62:UT62))</f>
        <v>0</v>
      </c>
      <c r="UW62" s="962">
        <f>MIN(UW60*$C$62,'Sources and Uses Budget'!$J$99-SUM('15 Year Pro Forma'!$E$62:UV62))</f>
        <v>0</v>
      </c>
      <c r="UY62" s="962">
        <f>MIN(UY60*$C$62,'Sources and Uses Budget'!$J$99-SUM('15 Year Pro Forma'!$E$62:UX62))</f>
        <v>0</v>
      </c>
      <c r="VA62" s="962">
        <f>MIN(VA60*$C$62,'Sources and Uses Budget'!$J$99-SUM('15 Year Pro Forma'!$E$62:UZ62))</f>
        <v>0</v>
      </c>
      <c r="VC62" s="962">
        <f>MIN(VC60*$C$62,'Sources and Uses Budget'!$J$99-SUM('15 Year Pro Forma'!$E$62:VB62))</f>
        <v>0</v>
      </c>
      <c r="VE62" s="962">
        <f>MIN(VE60*$C$62,'Sources and Uses Budget'!$J$99-SUM('15 Year Pro Forma'!$E$62:VD62))</f>
        <v>0</v>
      </c>
      <c r="VG62" s="962">
        <f>MIN(VG60*$C$62,'Sources and Uses Budget'!$J$99-SUM('15 Year Pro Forma'!$E$62:VF62))</f>
        <v>0</v>
      </c>
      <c r="VI62" s="962">
        <f>MIN(VI60*$C$62,'Sources and Uses Budget'!$J$99-SUM('15 Year Pro Forma'!$E$62:VH62))</f>
        <v>0</v>
      </c>
      <c r="VK62" s="962">
        <f>MIN(VK60*$C$62,'Sources and Uses Budget'!$J$99-SUM('15 Year Pro Forma'!$E$62:VJ62))</f>
        <v>0</v>
      </c>
      <c r="VM62" s="962">
        <f>MIN(VM60*$C$62,'Sources and Uses Budget'!$J$99-SUM('15 Year Pro Forma'!$E$62:VL62))</f>
        <v>0</v>
      </c>
      <c r="VO62" s="962">
        <f>MIN(VO60*$C$62,'Sources and Uses Budget'!$J$99-SUM('15 Year Pro Forma'!$E$62:VN62))</f>
        <v>0</v>
      </c>
      <c r="VQ62" s="962">
        <f>MIN(VQ60*$C$62,'Sources and Uses Budget'!$J$99-SUM('15 Year Pro Forma'!$E$62:VP62))</f>
        <v>0</v>
      </c>
      <c r="VS62" s="962">
        <f>MIN(VS60*$C$62,'Sources and Uses Budget'!$J$99-SUM('15 Year Pro Forma'!$E$62:VR62))</f>
        <v>0</v>
      </c>
      <c r="VU62" s="962">
        <f>MIN(VU60*$C$62,'Sources and Uses Budget'!$J$99-SUM('15 Year Pro Forma'!$E$62:VT62))</f>
        <v>0</v>
      </c>
      <c r="VW62" s="962">
        <f>MIN(VW60*$C$62,'Sources and Uses Budget'!$J$99-SUM('15 Year Pro Forma'!$E$62:VV62))</f>
        <v>0</v>
      </c>
      <c r="VY62" s="962">
        <f>MIN(VY60*$C$62,'Sources and Uses Budget'!$J$99-SUM('15 Year Pro Forma'!$E$62:VX62))</f>
        <v>0</v>
      </c>
      <c r="WA62" s="962">
        <f>MIN(WA60*$C$62,'Sources and Uses Budget'!$J$99-SUM('15 Year Pro Forma'!$E$62:VZ62))</f>
        <v>0</v>
      </c>
      <c r="WC62" s="962">
        <f>MIN(WC60*$C$62,'Sources and Uses Budget'!$J$99-SUM('15 Year Pro Forma'!$E$62:WB62))</f>
        <v>0</v>
      </c>
      <c r="WE62" s="962">
        <f>MIN(WE60*$C$62,'Sources and Uses Budget'!$J$99-SUM('15 Year Pro Forma'!$E$62:WD62))</f>
        <v>0</v>
      </c>
      <c r="WG62" s="962">
        <f>MIN(WG60*$C$62,'Sources and Uses Budget'!$J$99-SUM('15 Year Pro Forma'!$E$62:WF62))</f>
        <v>0</v>
      </c>
      <c r="WI62" s="962">
        <f>MIN(WI60*$C$62,'Sources and Uses Budget'!$J$99-SUM('15 Year Pro Forma'!$E$62:WH62))</f>
        <v>0</v>
      </c>
      <c r="WK62" s="962">
        <f>MIN(WK60*$C$62,'Sources and Uses Budget'!$J$99-SUM('15 Year Pro Forma'!$E$62:WJ62))</f>
        <v>0</v>
      </c>
      <c r="WM62" s="962">
        <f>MIN(WM60*$C$62,'Sources and Uses Budget'!$J$99-SUM('15 Year Pro Forma'!$E$62:WL62))</f>
        <v>0</v>
      </c>
      <c r="WO62" s="962">
        <f>MIN(WO60*$C$62,'Sources and Uses Budget'!$J$99-SUM('15 Year Pro Forma'!$E$62:WN62))</f>
        <v>0</v>
      </c>
      <c r="WQ62" s="962">
        <f>MIN(WQ60*$C$62,'Sources and Uses Budget'!$J$99-SUM('15 Year Pro Forma'!$E$62:WP62))</f>
        <v>0</v>
      </c>
      <c r="WS62" s="962">
        <f>MIN(WS60*$C$62,'Sources and Uses Budget'!$J$99-SUM('15 Year Pro Forma'!$E$62:WR62))</f>
        <v>0</v>
      </c>
      <c r="WU62" s="962">
        <f>MIN(WU60*$C$62,'Sources and Uses Budget'!$J$99-SUM('15 Year Pro Forma'!$E$62:WT62))</f>
        <v>0</v>
      </c>
      <c r="WW62" s="962">
        <f>MIN(WW60*$C$62,'Sources and Uses Budget'!$J$99-SUM('15 Year Pro Forma'!$E$62:WV62))</f>
        <v>0</v>
      </c>
      <c r="WY62" s="962">
        <f>MIN(WY60*$C$62,'Sources and Uses Budget'!$J$99-SUM('15 Year Pro Forma'!$E$62:WX62))</f>
        <v>0</v>
      </c>
      <c r="XA62" s="962">
        <f>MIN(XA60*$C$62,'Sources and Uses Budget'!$J$99-SUM('15 Year Pro Forma'!$E$62:WZ62))</f>
        <v>0</v>
      </c>
      <c r="XC62" s="962">
        <f>MIN(XC60*$C$62,'Sources and Uses Budget'!$J$99-SUM('15 Year Pro Forma'!$E$62:XB62))</f>
        <v>0</v>
      </c>
      <c r="XE62" s="962">
        <f>MIN(XE60*$C$62,'Sources and Uses Budget'!$J$99-SUM('15 Year Pro Forma'!$E$62:XD62))</f>
        <v>0</v>
      </c>
      <c r="XG62" s="962">
        <f>MIN(XG60*$C$62,'Sources and Uses Budget'!$J$99-SUM('15 Year Pro Forma'!$E$62:XF62))</f>
        <v>0</v>
      </c>
      <c r="XI62" s="962">
        <f>MIN(XI60*$C$62,'Sources and Uses Budget'!$J$99-SUM('15 Year Pro Forma'!$E$62:XH62))</f>
        <v>0</v>
      </c>
      <c r="XK62" s="962">
        <f>MIN(XK60*$C$62,'Sources and Uses Budget'!$J$99-SUM('15 Year Pro Forma'!$E$62:XJ62))</f>
        <v>0</v>
      </c>
      <c r="XM62" s="962">
        <f>MIN(XM60*$C$62,'Sources and Uses Budget'!$J$99-SUM('15 Year Pro Forma'!$E$62:XL62))</f>
        <v>0</v>
      </c>
      <c r="XO62" s="962">
        <f>MIN(XO60*$C$62,'Sources and Uses Budget'!$J$99-SUM('15 Year Pro Forma'!$E$62:XN62))</f>
        <v>0</v>
      </c>
      <c r="XQ62" s="962">
        <f>MIN(XQ60*$C$62,'Sources and Uses Budget'!$J$99-SUM('15 Year Pro Forma'!$E$62:XP62))</f>
        <v>0</v>
      </c>
      <c r="XS62" s="962">
        <f>MIN(XS60*$C$62,'Sources and Uses Budget'!$J$99-SUM('15 Year Pro Forma'!$E$62:XR62))</f>
        <v>0</v>
      </c>
      <c r="XU62" s="962">
        <f>MIN(XU60*$C$62,'Sources and Uses Budget'!$J$99-SUM('15 Year Pro Forma'!$E$62:XT62))</f>
        <v>0</v>
      </c>
      <c r="XW62" s="962">
        <f>MIN(XW60*$C$62,'Sources and Uses Budget'!$J$99-SUM('15 Year Pro Forma'!$E$62:XV62))</f>
        <v>0</v>
      </c>
      <c r="XY62" s="962">
        <f>MIN(XY60*$C$62,'Sources and Uses Budget'!$J$99-SUM('15 Year Pro Forma'!$E$62:XX62))</f>
        <v>0</v>
      </c>
      <c r="YA62" s="962">
        <f>MIN(YA60*$C$62,'Sources and Uses Budget'!$J$99-SUM('15 Year Pro Forma'!$E$62:XZ62))</f>
        <v>0</v>
      </c>
      <c r="YC62" s="962">
        <f>MIN(YC60*$C$62,'Sources and Uses Budget'!$J$99-SUM('15 Year Pro Forma'!$E$62:YB62))</f>
        <v>0</v>
      </c>
      <c r="YE62" s="962">
        <f>MIN(YE60*$C$62,'Sources and Uses Budget'!$J$99-SUM('15 Year Pro Forma'!$E$62:YD62))</f>
        <v>0</v>
      </c>
      <c r="YG62" s="962">
        <f>MIN(YG60*$C$62,'Sources and Uses Budget'!$J$99-SUM('15 Year Pro Forma'!$E$62:YF62))</f>
        <v>0</v>
      </c>
      <c r="YI62" s="962">
        <f>MIN(YI60*$C$62,'Sources and Uses Budget'!$J$99-SUM('15 Year Pro Forma'!$E$62:YH62))</f>
        <v>0</v>
      </c>
      <c r="YK62" s="962">
        <f>MIN(YK60*$C$62,'Sources and Uses Budget'!$J$99-SUM('15 Year Pro Forma'!$E$62:YJ62))</f>
        <v>0</v>
      </c>
      <c r="YM62" s="962">
        <f>MIN(YM60*$C$62,'Sources and Uses Budget'!$J$99-SUM('15 Year Pro Forma'!$E$62:YL62))</f>
        <v>0</v>
      </c>
      <c r="YO62" s="962">
        <f>MIN(YO60*$C$62,'Sources and Uses Budget'!$J$99-SUM('15 Year Pro Forma'!$E$62:YN62))</f>
        <v>0</v>
      </c>
      <c r="YQ62" s="962">
        <f>MIN(YQ60*$C$62,'Sources and Uses Budget'!$J$99-SUM('15 Year Pro Forma'!$E$62:YP62))</f>
        <v>0</v>
      </c>
      <c r="YS62" s="962">
        <f>MIN(YS60*$C$62,'Sources and Uses Budget'!$J$99-SUM('15 Year Pro Forma'!$E$62:YR62))</f>
        <v>0</v>
      </c>
      <c r="YU62" s="962">
        <f>MIN(YU60*$C$62,'Sources and Uses Budget'!$J$99-SUM('15 Year Pro Forma'!$E$62:YT62))</f>
        <v>0</v>
      </c>
      <c r="YW62" s="962">
        <f>MIN(YW60*$C$62,'Sources and Uses Budget'!$J$99-SUM('15 Year Pro Forma'!$E$62:YV62))</f>
        <v>0</v>
      </c>
      <c r="YY62" s="962">
        <f>MIN(YY60*$C$62,'Sources and Uses Budget'!$J$99-SUM('15 Year Pro Forma'!$E$62:YX62))</f>
        <v>0</v>
      </c>
      <c r="ZA62" s="962">
        <f>MIN(ZA60*$C$62,'Sources and Uses Budget'!$J$99-SUM('15 Year Pro Forma'!$E$62:YZ62))</f>
        <v>0</v>
      </c>
      <c r="ZC62" s="962">
        <f>MIN(ZC60*$C$62,'Sources and Uses Budget'!$J$99-SUM('15 Year Pro Forma'!$E$62:ZB62))</f>
        <v>0</v>
      </c>
      <c r="ZE62" s="962">
        <f>MIN(ZE60*$C$62,'Sources and Uses Budget'!$J$99-SUM('15 Year Pro Forma'!$E$62:ZD62))</f>
        <v>0</v>
      </c>
      <c r="ZG62" s="962">
        <f>MIN(ZG60*$C$62,'Sources and Uses Budget'!$J$99-SUM('15 Year Pro Forma'!$E$62:ZF62))</f>
        <v>0</v>
      </c>
      <c r="ZI62" s="962">
        <f>MIN(ZI60*$C$62,'Sources and Uses Budget'!$J$99-SUM('15 Year Pro Forma'!$E$62:ZH62))</f>
        <v>0</v>
      </c>
      <c r="ZK62" s="962">
        <f>MIN(ZK60*$C$62,'Sources and Uses Budget'!$J$99-SUM('15 Year Pro Forma'!$E$62:ZJ62))</f>
        <v>0</v>
      </c>
      <c r="ZM62" s="962">
        <f>MIN(ZM60*$C$62,'Sources and Uses Budget'!$J$99-SUM('15 Year Pro Forma'!$E$62:ZL62))</f>
        <v>0</v>
      </c>
      <c r="ZO62" s="962">
        <f>MIN(ZO60*$C$62,'Sources and Uses Budget'!$J$99-SUM('15 Year Pro Forma'!$E$62:ZN62))</f>
        <v>0</v>
      </c>
      <c r="ZQ62" s="962">
        <f>MIN(ZQ60*$C$62,'Sources and Uses Budget'!$J$99-SUM('15 Year Pro Forma'!$E$62:ZP62))</f>
        <v>0</v>
      </c>
      <c r="ZS62" s="962">
        <f>MIN(ZS60*$C$62,'Sources and Uses Budget'!$J$99-SUM('15 Year Pro Forma'!$E$62:ZR62))</f>
        <v>0</v>
      </c>
      <c r="ZU62" s="962">
        <f>MIN(ZU60*$C$62,'Sources and Uses Budget'!$J$99-SUM('15 Year Pro Forma'!$E$62:ZT62))</f>
        <v>0</v>
      </c>
      <c r="ZW62" s="962">
        <f>MIN(ZW60*$C$62,'Sources and Uses Budget'!$J$99-SUM('15 Year Pro Forma'!$E$62:ZV62))</f>
        <v>0</v>
      </c>
      <c r="ZY62" s="962">
        <f>MIN(ZY60*$C$62,'Sources and Uses Budget'!$J$99-SUM('15 Year Pro Forma'!$E$62:ZX62))</f>
        <v>0</v>
      </c>
      <c r="AAA62" s="962">
        <f>MIN(AAA60*$C$62,'Sources and Uses Budget'!$J$99-SUM('15 Year Pro Forma'!$E$62:ZZ62))</f>
        <v>0</v>
      </c>
      <c r="AAC62" s="962">
        <f>MIN(AAC60*$C$62,'Sources and Uses Budget'!$J$99-SUM('15 Year Pro Forma'!$E$62:AAB62))</f>
        <v>0</v>
      </c>
      <c r="AAE62" s="962">
        <f>MIN(AAE60*$C$62,'Sources and Uses Budget'!$J$99-SUM('15 Year Pro Forma'!$E$62:AAD62))</f>
        <v>0</v>
      </c>
      <c r="AAG62" s="962">
        <f>MIN(AAG60*$C$62,'Sources and Uses Budget'!$J$99-SUM('15 Year Pro Forma'!$E$62:AAF62))</f>
        <v>0</v>
      </c>
      <c r="AAI62" s="962">
        <f>MIN(AAI60*$C$62,'Sources and Uses Budget'!$J$99-SUM('15 Year Pro Forma'!$E$62:AAH62))</f>
        <v>0</v>
      </c>
      <c r="AAK62" s="962">
        <f>MIN(AAK60*$C$62,'Sources and Uses Budget'!$J$99-SUM('15 Year Pro Forma'!$E$62:AAJ62))</f>
        <v>0</v>
      </c>
      <c r="AAM62" s="962">
        <f>MIN(AAM60*$C$62,'Sources and Uses Budget'!$J$99-SUM('15 Year Pro Forma'!$E$62:AAL62))</f>
        <v>0</v>
      </c>
      <c r="AAO62" s="962">
        <f>MIN(AAO60*$C$62,'Sources and Uses Budget'!$J$99-SUM('15 Year Pro Forma'!$E$62:AAN62))</f>
        <v>0</v>
      </c>
      <c r="AAQ62" s="962">
        <f>MIN(AAQ60*$C$62,'Sources and Uses Budget'!$J$99-SUM('15 Year Pro Forma'!$E$62:AAP62))</f>
        <v>0</v>
      </c>
      <c r="AAS62" s="962">
        <f>MIN(AAS60*$C$62,'Sources and Uses Budget'!$J$99-SUM('15 Year Pro Forma'!$E$62:AAR62))</f>
        <v>0</v>
      </c>
      <c r="AAU62" s="962">
        <f>MIN(AAU60*$C$62,'Sources and Uses Budget'!$J$99-SUM('15 Year Pro Forma'!$E$62:AAT62))</f>
        <v>0</v>
      </c>
      <c r="AAW62" s="962">
        <f>MIN(AAW60*$C$62,'Sources and Uses Budget'!$J$99-SUM('15 Year Pro Forma'!$E$62:AAV62))</f>
        <v>0</v>
      </c>
      <c r="AAY62" s="962">
        <f>MIN(AAY60*$C$62,'Sources and Uses Budget'!$J$99-SUM('15 Year Pro Forma'!$E$62:AAX62))</f>
        <v>0</v>
      </c>
      <c r="ABA62" s="962">
        <f>MIN(ABA60*$C$62,'Sources and Uses Budget'!$J$99-SUM('15 Year Pro Forma'!$E$62:AAZ62))</f>
        <v>0</v>
      </c>
      <c r="ABC62" s="962">
        <f>MIN(ABC60*$C$62,'Sources and Uses Budget'!$J$99-SUM('15 Year Pro Forma'!$E$62:ABB62))</f>
        <v>0</v>
      </c>
      <c r="ABE62" s="962">
        <f>MIN(ABE60*$C$62,'Sources and Uses Budget'!$J$99-SUM('15 Year Pro Forma'!$E$62:ABD62))</f>
        <v>0</v>
      </c>
      <c r="ABG62" s="962">
        <f>MIN(ABG60*$C$62,'Sources and Uses Budget'!$J$99-SUM('15 Year Pro Forma'!$E$62:ABF62))</f>
        <v>0</v>
      </c>
      <c r="ABI62" s="962">
        <f>MIN(ABI60*$C$62,'Sources and Uses Budget'!$J$99-SUM('15 Year Pro Forma'!$E$62:ABH62))</f>
        <v>0</v>
      </c>
      <c r="ABK62" s="962">
        <f>MIN(ABK60*$C$62,'Sources and Uses Budget'!$J$99-SUM('15 Year Pro Forma'!$E$62:ABJ62))</f>
        <v>0</v>
      </c>
      <c r="ABM62" s="962">
        <f>MIN(ABM60*$C$62,'Sources and Uses Budget'!$J$99-SUM('15 Year Pro Forma'!$E$62:ABL62))</f>
        <v>0</v>
      </c>
      <c r="ABO62" s="962">
        <f>MIN(ABO60*$C$62,'Sources and Uses Budget'!$J$99-SUM('15 Year Pro Forma'!$E$62:ABN62))</f>
        <v>0</v>
      </c>
      <c r="ABQ62" s="962">
        <f>MIN(ABQ60*$C$62,'Sources and Uses Budget'!$J$99-SUM('15 Year Pro Forma'!$E$62:ABP62))</f>
        <v>0</v>
      </c>
      <c r="ABS62" s="962">
        <f>MIN(ABS60*$C$62,'Sources and Uses Budget'!$J$99-SUM('15 Year Pro Forma'!$E$62:ABR62))</f>
        <v>0</v>
      </c>
      <c r="ABU62" s="962">
        <f>MIN(ABU60*$C$62,'Sources and Uses Budget'!$J$99-SUM('15 Year Pro Forma'!$E$62:ABT62))</f>
        <v>0</v>
      </c>
      <c r="ABW62" s="962">
        <f>MIN(ABW60*$C$62,'Sources and Uses Budget'!$J$99-SUM('15 Year Pro Forma'!$E$62:ABV62))</f>
        <v>0</v>
      </c>
      <c r="ABY62" s="962">
        <f>MIN(ABY60*$C$62,'Sources and Uses Budget'!$J$99-SUM('15 Year Pro Forma'!$E$62:ABX62))</f>
        <v>0</v>
      </c>
      <c r="ACA62" s="962">
        <f>MIN(ACA60*$C$62,'Sources and Uses Budget'!$J$99-SUM('15 Year Pro Forma'!$E$62:ABZ62))</f>
        <v>0</v>
      </c>
      <c r="ACC62" s="962">
        <f>MIN(ACC60*$C$62,'Sources and Uses Budget'!$J$99-SUM('15 Year Pro Forma'!$E$62:ACB62))</f>
        <v>0</v>
      </c>
      <c r="ACE62" s="962">
        <f>MIN(ACE60*$C$62,'Sources and Uses Budget'!$J$99-SUM('15 Year Pro Forma'!$E$62:ACD62))</f>
        <v>0</v>
      </c>
      <c r="ACG62" s="962">
        <f>MIN(ACG60*$C$62,'Sources and Uses Budget'!$J$99-SUM('15 Year Pro Forma'!$E$62:ACF62))</f>
        <v>0</v>
      </c>
      <c r="ACI62" s="962">
        <f>MIN(ACI60*$C$62,'Sources and Uses Budget'!$J$99-SUM('15 Year Pro Forma'!$E$62:ACH62))</f>
        <v>0</v>
      </c>
      <c r="ACK62" s="962">
        <f>MIN(ACK60*$C$62,'Sources and Uses Budget'!$J$99-SUM('15 Year Pro Forma'!$E$62:ACJ62))</f>
        <v>0</v>
      </c>
      <c r="ACM62" s="962">
        <f>MIN(ACM60*$C$62,'Sources and Uses Budget'!$J$99-SUM('15 Year Pro Forma'!$E$62:ACL62))</f>
        <v>0</v>
      </c>
      <c r="ACO62" s="962">
        <f>MIN(ACO60*$C$62,'Sources and Uses Budget'!$J$99-SUM('15 Year Pro Forma'!$E$62:ACN62))</f>
        <v>0</v>
      </c>
      <c r="ACQ62" s="962">
        <f>MIN(ACQ60*$C$62,'Sources and Uses Budget'!$J$99-SUM('15 Year Pro Forma'!$E$62:ACP62))</f>
        <v>0</v>
      </c>
      <c r="ACS62" s="962">
        <f>MIN(ACS60*$C$62,'Sources and Uses Budget'!$J$99-SUM('15 Year Pro Forma'!$E$62:ACR62))</f>
        <v>0</v>
      </c>
      <c r="ACU62" s="962">
        <f>MIN(ACU60*$C$62,'Sources and Uses Budget'!$J$99-SUM('15 Year Pro Forma'!$E$62:ACT62))</f>
        <v>0</v>
      </c>
      <c r="ACW62" s="962">
        <f>MIN(ACW60*$C$62,'Sources and Uses Budget'!$J$99-SUM('15 Year Pro Forma'!$E$62:ACV62))</f>
        <v>0</v>
      </c>
      <c r="ACY62" s="962">
        <f>MIN(ACY60*$C$62,'Sources and Uses Budget'!$J$99-SUM('15 Year Pro Forma'!$E$62:ACX62))</f>
        <v>0</v>
      </c>
      <c r="ADA62" s="962">
        <f>MIN(ADA60*$C$62,'Sources and Uses Budget'!$J$99-SUM('15 Year Pro Forma'!$E$62:ACZ62))</f>
        <v>0</v>
      </c>
      <c r="ADC62" s="962">
        <f>MIN(ADC60*$C$62,'Sources and Uses Budget'!$J$99-SUM('15 Year Pro Forma'!$E$62:ADB62))</f>
        <v>0</v>
      </c>
      <c r="ADE62" s="962">
        <f>MIN(ADE60*$C$62,'Sources and Uses Budget'!$J$99-SUM('15 Year Pro Forma'!$E$62:ADD62))</f>
        <v>0</v>
      </c>
      <c r="ADG62" s="962">
        <f>MIN(ADG60*$C$62,'Sources and Uses Budget'!$J$99-SUM('15 Year Pro Forma'!$E$62:ADF62))</f>
        <v>0</v>
      </c>
      <c r="ADI62" s="962">
        <f>MIN(ADI60*$C$62,'Sources and Uses Budget'!$J$99-SUM('15 Year Pro Forma'!$E$62:ADH62))</f>
        <v>0</v>
      </c>
      <c r="ADK62" s="962">
        <f>MIN(ADK60*$C$62,'Sources and Uses Budget'!$J$99-SUM('15 Year Pro Forma'!$E$62:ADJ62))</f>
        <v>0</v>
      </c>
      <c r="ADM62" s="962">
        <f>MIN(ADM60*$C$62,'Sources and Uses Budget'!$J$99-SUM('15 Year Pro Forma'!$E$62:ADL62))</f>
        <v>0</v>
      </c>
      <c r="ADO62" s="962">
        <f>MIN(ADO60*$C$62,'Sources and Uses Budget'!$J$99-SUM('15 Year Pro Forma'!$E$62:ADN62))</f>
        <v>0</v>
      </c>
      <c r="ADQ62" s="962">
        <f>MIN(ADQ60*$C$62,'Sources and Uses Budget'!$J$99-SUM('15 Year Pro Forma'!$E$62:ADP62))</f>
        <v>0</v>
      </c>
      <c r="ADS62" s="962">
        <f>MIN(ADS60*$C$62,'Sources and Uses Budget'!$J$99-SUM('15 Year Pro Forma'!$E$62:ADR62))</f>
        <v>0</v>
      </c>
      <c r="ADU62" s="962">
        <f>MIN(ADU60*$C$62,'Sources and Uses Budget'!$J$99-SUM('15 Year Pro Forma'!$E$62:ADT62))</f>
        <v>0</v>
      </c>
      <c r="ADW62" s="962">
        <f>MIN(ADW60*$C$62,'Sources and Uses Budget'!$J$99-SUM('15 Year Pro Forma'!$E$62:ADV62))</f>
        <v>0</v>
      </c>
      <c r="ADY62" s="962">
        <f>MIN(ADY60*$C$62,'Sources and Uses Budget'!$J$99-SUM('15 Year Pro Forma'!$E$62:ADX62))</f>
        <v>0</v>
      </c>
      <c r="AEA62" s="962">
        <f>MIN(AEA60*$C$62,'Sources and Uses Budget'!$J$99-SUM('15 Year Pro Forma'!$E$62:ADZ62))</f>
        <v>0</v>
      </c>
      <c r="AEC62" s="962">
        <f>MIN(AEC60*$C$62,'Sources and Uses Budget'!$J$99-SUM('15 Year Pro Forma'!$E$62:AEB62))</f>
        <v>0</v>
      </c>
      <c r="AEE62" s="962">
        <f>MIN(AEE60*$C$62,'Sources and Uses Budget'!$J$99-SUM('15 Year Pro Forma'!$E$62:AED62))</f>
        <v>0</v>
      </c>
      <c r="AEG62" s="962">
        <f>MIN(AEG60*$C$62,'Sources and Uses Budget'!$J$99-SUM('15 Year Pro Forma'!$E$62:AEF62))</f>
        <v>0</v>
      </c>
      <c r="AEI62" s="962">
        <f>MIN(AEI60*$C$62,'Sources and Uses Budget'!$J$99-SUM('15 Year Pro Forma'!$E$62:AEH62))</f>
        <v>0</v>
      </c>
      <c r="AEK62" s="962">
        <f>MIN(AEK60*$C$62,'Sources and Uses Budget'!$J$99-SUM('15 Year Pro Forma'!$E$62:AEJ62))</f>
        <v>0</v>
      </c>
      <c r="AEM62" s="962">
        <f>MIN(AEM60*$C$62,'Sources and Uses Budget'!$J$99-SUM('15 Year Pro Forma'!$E$62:AEL62))</f>
        <v>0</v>
      </c>
      <c r="AEO62" s="962">
        <f>MIN(AEO60*$C$62,'Sources and Uses Budget'!$J$99-SUM('15 Year Pro Forma'!$E$62:AEN62))</f>
        <v>0</v>
      </c>
      <c r="AEQ62" s="962">
        <f>MIN(AEQ60*$C$62,'Sources and Uses Budget'!$J$99-SUM('15 Year Pro Forma'!$E$62:AEP62))</f>
        <v>0</v>
      </c>
      <c r="AES62" s="962">
        <f>MIN(AES60*$C$62,'Sources and Uses Budget'!$J$99-SUM('15 Year Pro Forma'!$E$62:AER62))</f>
        <v>0</v>
      </c>
      <c r="AEU62" s="962">
        <f>MIN(AEU60*$C$62,'Sources and Uses Budget'!$J$99-SUM('15 Year Pro Forma'!$E$62:AET62))</f>
        <v>0</v>
      </c>
      <c r="AEW62" s="962">
        <f>MIN(AEW60*$C$62,'Sources and Uses Budget'!$J$99-SUM('15 Year Pro Forma'!$E$62:AEV62))</f>
        <v>0</v>
      </c>
      <c r="AEY62" s="962">
        <f>MIN(AEY60*$C$62,'Sources and Uses Budget'!$J$99-SUM('15 Year Pro Forma'!$E$62:AEX62))</f>
        <v>0</v>
      </c>
      <c r="AFA62" s="962">
        <f>MIN(AFA60*$C$62,'Sources and Uses Budget'!$J$99-SUM('15 Year Pro Forma'!$E$62:AEZ62))</f>
        <v>0</v>
      </c>
      <c r="AFC62" s="962">
        <f>MIN(AFC60*$C$62,'Sources and Uses Budget'!$J$99-SUM('15 Year Pro Forma'!$E$62:AFB62))</f>
        <v>0</v>
      </c>
      <c r="AFE62" s="962">
        <f>MIN(AFE60*$C$62,'Sources and Uses Budget'!$J$99-SUM('15 Year Pro Forma'!$E$62:AFD62))</f>
        <v>0</v>
      </c>
      <c r="AFG62" s="962">
        <f>MIN(AFG60*$C$62,'Sources and Uses Budget'!$J$99-SUM('15 Year Pro Forma'!$E$62:AFF62))</f>
        <v>0</v>
      </c>
      <c r="AFI62" s="962">
        <f>MIN(AFI60*$C$62,'Sources and Uses Budget'!$J$99-SUM('15 Year Pro Forma'!$E$62:AFH62))</f>
        <v>0</v>
      </c>
      <c r="AFK62" s="962">
        <f>MIN(AFK60*$C$62,'Sources and Uses Budget'!$J$99-SUM('15 Year Pro Forma'!$E$62:AFJ62))</f>
        <v>0</v>
      </c>
      <c r="AFM62" s="962">
        <f>MIN(AFM60*$C$62,'Sources and Uses Budget'!$J$99-SUM('15 Year Pro Forma'!$E$62:AFL62))</f>
        <v>0</v>
      </c>
      <c r="AFO62" s="962">
        <f>MIN(AFO60*$C$62,'Sources and Uses Budget'!$J$99-SUM('15 Year Pro Forma'!$E$62:AFN62))</f>
        <v>0</v>
      </c>
      <c r="AFQ62" s="962">
        <f>MIN(AFQ60*$C$62,'Sources and Uses Budget'!$J$99-SUM('15 Year Pro Forma'!$E$62:AFP62))</f>
        <v>0</v>
      </c>
      <c r="AFS62" s="962">
        <f>MIN(AFS60*$C$62,'Sources and Uses Budget'!$J$99-SUM('15 Year Pro Forma'!$E$62:AFR62))</f>
        <v>0</v>
      </c>
      <c r="AFU62" s="962">
        <f>MIN(AFU60*$C$62,'Sources and Uses Budget'!$J$99-SUM('15 Year Pro Forma'!$E$62:AFT62))</f>
        <v>0</v>
      </c>
      <c r="AFW62" s="962">
        <f>MIN(AFW60*$C$62,'Sources and Uses Budget'!$J$99-SUM('15 Year Pro Forma'!$E$62:AFV62))</f>
        <v>0</v>
      </c>
      <c r="AFY62" s="962">
        <f>MIN(AFY60*$C$62,'Sources and Uses Budget'!$J$99-SUM('15 Year Pro Forma'!$E$62:AFX62))</f>
        <v>0</v>
      </c>
      <c r="AGA62" s="962">
        <f>MIN(AGA60*$C$62,'Sources and Uses Budget'!$J$99-SUM('15 Year Pro Forma'!$E$62:AFZ62))</f>
        <v>0</v>
      </c>
      <c r="AGC62" s="962">
        <f>MIN(AGC60*$C$62,'Sources and Uses Budget'!$J$99-SUM('15 Year Pro Forma'!$E$62:AGB62))</f>
        <v>0</v>
      </c>
      <c r="AGE62" s="962">
        <f>MIN(AGE60*$C$62,'Sources and Uses Budget'!$J$99-SUM('15 Year Pro Forma'!$E$62:AGD62))</f>
        <v>0</v>
      </c>
      <c r="AGG62" s="962">
        <f>MIN(AGG60*$C$62,'Sources and Uses Budget'!$J$99-SUM('15 Year Pro Forma'!$E$62:AGF62))</f>
        <v>0</v>
      </c>
      <c r="AGI62" s="962">
        <f>MIN(AGI60*$C$62,'Sources and Uses Budget'!$J$99-SUM('15 Year Pro Forma'!$E$62:AGH62))</f>
        <v>0</v>
      </c>
      <c r="AGK62" s="962">
        <f>MIN(AGK60*$C$62,'Sources and Uses Budget'!$J$99-SUM('15 Year Pro Forma'!$E$62:AGJ62))</f>
        <v>0</v>
      </c>
      <c r="AGM62" s="962">
        <f>MIN(AGM60*$C$62,'Sources and Uses Budget'!$J$99-SUM('15 Year Pro Forma'!$E$62:AGL62))</f>
        <v>0</v>
      </c>
      <c r="AGO62" s="962">
        <f>MIN(AGO60*$C$62,'Sources and Uses Budget'!$J$99-SUM('15 Year Pro Forma'!$E$62:AGN62))</f>
        <v>0</v>
      </c>
      <c r="AGQ62" s="962">
        <f>MIN(AGQ60*$C$62,'Sources and Uses Budget'!$J$99-SUM('15 Year Pro Forma'!$E$62:AGP62))</f>
        <v>0</v>
      </c>
      <c r="AGS62" s="962">
        <f>MIN(AGS60*$C$62,'Sources and Uses Budget'!$J$99-SUM('15 Year Pro Forma'!$E$62:AGR62))</f>
        <v>0</v>
      </c>
      <c r="AGU62" s="962">
        <f>MIN(AGU60*$C$62,'Sources and Uses Budget'!$J$99-SUM('15 Year Pro Forma'!$E$62:AGT62))</f>
        <v>0</v>
      </c>
      <c r="AGW62" s="962">
        <f>MIN(AGW60*$C$62,'Sources and Uses Budget'!$J$99-SUM('15 Year Pro Forma'!$E$62:AGV62))</f>
        <v>0</v>
      </c>
      <c r="AGY62" s="962">
        <f>MIN(AGY60*$C$62,'Sources and Uses Budget'!$J$99-SUM('15 Year Pro Forma'!$E$62:AGX62))</f>
        <v>0</v>
      </c>
      <c r="AHA62" s="962">
        <f>MIN(AHA60*$C$62,'Sources and Uses Budget'!$J$99-SUM('15 Year Pro Forma'!$E$62:AGZ62))</f>
        <v>0</v>
      </c>
      <c r="AHC62" s="962">
        <f>MIN(AHC60*$C$62,'Sources and Uses Budget'!$J$99-SUM('15 Year Pro Forma'!$E$62:AHB62))</f>
        <v>0</v>
      </c>
      <c r="AHE62" s="962">
        <f>MIN(AHE60*$C$62,'Sources and Uses Budget'!$J$99-SUM('15 Year Pro Forma'!$E$62:AHD62))</f>
        <v>0</v>
      </c>
      <c r="AHG62" s="962">
        <f>MIN(AHG60*$C$62,'Sources and Uses Budget'!$J$99-SUM('15 Year Pro Forma'!$E$62:AHF62))</f>
        <v>0</v>
      </c>
      <c r="AHI62" s="962">
        <f>MIN(AHI60*$C$62,'Sources and Uses Budget'!$J$99-SUM('15 Year Pro Forma'!$E$62:AHH62))</f>
        <v>0</v>
      </c>
      <c r="AHK62" s="962">
        <f>MIN(AHK60*$C$62,'Sources and Uses Budget'!$J$99-SUM('15 Year Pro Forma'!$E$62:AHJ62))</f>
        <v>0</v>
      </c>
      <c r="AHM62" s="962">
        <f>MIN(AHM60*$C$62,'Sources and Uses Budget'!$J$99-SUM('15 Year Pro Forma'!$E$62:AHL62))</f>
        <v>0</v>
      </c>
      <c r="AHO62" s="962">
        <f>MIN(AHO60*$C$62,'Sources and Uses Budget'!$J$99-SUM('15 Year Pro Forma'!$E$62:AHN62))</f>
        <v>0</v>
      </c>
      <c r="AHQ62" s="962">
        <f>MIN(AHQ60*$C$62,'Sources and Uses Budget'!$J$99-SUM('15 Year Pro Forma'!$E$62:AHP62))</f>
        <v>0</v>
      </c>
      <c r="AHS62" s="962">
        <f>MIN(AHS60*$C$62,'Sources and Uses Budget'!$J$99-SUM('15 Year Pro Forma'!$E$62:AHR62))</f>
        <v>0</v>
      </c>
      <c r="AHU62" s="962">
        <f>MIN(AHU60*$C$62,'Sources and Uses Budget'!$J$99-SUM('15 Year Pro Forma'!$E$62:AHT62))</f>
        <v>0</v>
      </c>
      <c r="AHW62" s="962">
        <f>MIN(AHW60*$C$62,'Sources and Uses Budget'!$J$99-SUM('15 Year Pro Forma'!$E$62:AHV62))</f>
        <v>0</v>
      </c>
      <c r="AHY62" s="962">
        <f>MIN(AHY60*$C$62,'Sources and Uses Budget'!$J$99-SUM('15 Year Pro Forma'!$E$62:AHX62))</f>
        <v>0</v>
      </c>
      <c r="AIA62" s="962">
        <f>MIN(AIA60*$C$62,'Sources and Uses Budget'!$J$99-SUM('15 Year Pro Forma'!$E$62:AHZ62))</f>
        <v>0</v>
      </c>
      <c r="AIC62" s="962">
        <f>MIN(AIC60*$C$62,'Sources and Uses Budget'!$J$99-SUM('15 Year Pro Forma'!$E$62:AIB62))</f>
        <v>0</v>
      </c>
      <c r="AIE62" s="962">
        <f>MIN(AIE60*$C$62,'Sources and Uses Budget'!$J$99-SUM('15 Year Pro Forma'!$E$62:AID62))</f>
        <v>0</v>
      </c>
      <c r="AIG62" s="962">
        <f>MIN(AIG60*$C$62,'Sources and Uses Budget'!$J$99-SUM('15 Year Pro Forma'!$E$62:AIF62))</f>
        <v>0</v>
      </c>
      <c r="AII62" s="962">
        <f>MIN(AII60*$C$62,'Sources and Uses Budget'!$J$99-SUM('15 Year Pro Forma'!$E$62:AIH62))</f>
        <v>0</v>
      </c>
      <c r="AIK62" s="962">
        <f>MIN(AIK60*$C$62,'Sources and Uses Budget'!$J$99-SUM('15 Year Pro Forma'!$E$62:AIJ62))</f>
        <v>0</v>
      </c>
      <c r="AIM62" s="962">
        <f>MIN(AIM60*$C$62,'Sources and Uses Budget'!$J$99-SUM('15 Year Pro Forma'!$E$62:AIL62))</f>
        <v>0</v>
      </c>
      <c r="AIO62" s="962">
        <f>MIN(AIO60*$C$62,'Sources and Uses Budget'!$J$99-SUM('15 Year Pro Forma'!$E$62:AIN62))</f>
        <v>0</v>
      </c>
      <c r="AIQ62" s="962">
        <f>MIN(AIQ60*$C$62,'Sources and Uses Budget'!$J$99-SUM('15 Year Pro Forma'!$E$62:AIP62))</f>
        <v>0</v>
      </c>
      <c r="AIS62" s="962">
        <f>MIN(AIS60*$C$62,'Sources and Uses Budget'!$J$99-SUM('15 Year Pro Forma'!$E$62:AIR62))</f>
        <v>0</v>
      </c>
      <c r="AIU62" s="962">
        <f>MIN(AIU60*$C$62,'Sources and Uses Budget'!$J$99-SUM('15 Year Pro Forma'!$E$62:AIT62))</f>
        <v>0</v>
      </c>
      <c r="AIW62" s="962">
        <f>MIN(AIW60*$C$62,'Sources and Uses Budget'!$J$99-SUM('15 Year Pro Forma'!$E$62:AIV62))</f>
        <v>0</v>
      </c>
      <c r="AIY62" s="962">
        <f>MIN(AIY60*$C$62,'Sources and Uses Budget'!$J$99-SUM('15 Year Pro Forma'!$E$62:AIX62))</f>
        <v>0</v>
      </c>
      <c r="AJA62" s="962">
        <f>MIN(AJA60*$C$62,'Sources and Uses Budget'!$J$99-SUM('15 Year Pro Forma'!$E$62:AIZ62))</f>
        <v>0</v>
      </c>
      <c r="AJC62" s="962">
        <f>MIN(AJC60*$C$62,'Sources and Uses Budget'!$J$99-SUM('15 Year Pro Forma'!$E$62:AJB62))</f>
        <v>0</v>
      </c>
      <c r="AJE62" s="962">
        <f>MIN(AJE60*$C$62,'Sources and Uses Budget'!$J$99-SUM('15 Year Pro Forma'!$E$62:AJD62))</f>
        <v>0</v>
      </c>
      <c r="AJG62" s="962">
        <f>MIN(AJG60*$C$62,'Sources and Uses Budget'!$J$99-SUM('15 Year Pro Forma'!$E$62:AJF62))</f>
        <v>0</v>
      </c>
      <c r="AJI62" s="962">
        <f>MIN(AJI60*$C$62,'Sources and Uses Budget'!$J$99-SUM('15 Year Pro Forma'!$E$62:AJH62))</f>
        <v>0</v>
      </c>
      <c r="AJK62" s="962">
        <f>MIN(AJK60*$C$62,'Sources and Uses Budget'!$J$99-SUM('15 Year Pro Forma'!$E$62:AJJ62))</f>
        <v>0</v>
      </c>
      <c r="AJM62" s="962">
        <f>MIN(AJM60*$C$62,'Sources and Uses Budget'!$J$99-SUM('15 Year Pro Forma'!$E$62:AJL62))</f>
        <v>0</v>
      </c>
      <c r="AJO62" s="962">
        <f>MIN(AJO60*$C$62,'Sources and Uses Budget'!$J$99-SUM('15 Year Pro Forma'!$E$62:AJN62))</f>
        <v>0</v>
      </c>
      <c r="AJQ62" s="962">
        <f>MIN(AJQ60*$C$62,'Sources and Uses Budget'!$J$99-SUM('15 Year Pro Forma'!$E$62:AJP62))</f>
        <v>0</v>
      </c>
      <c r="AJS62" s="962">
        <f>MIN(AJS60*$C$62,'Sources and Uses Budget'!$J$99-SUM('15 Year Pro Forma'!$E$62:AJR62))</f>
        <v>0</v>
      </c>
      <c r="AJU62" s="962">
        <f>MIN(AJU60*$C$62,'Sources and Uses Budget'!$J$99-SUM('15 Year Pro Forma'!$E$62:AJT62))</f>
        <v>0</v>
      </c>
      <c r="AJW62" s="962">
        <f>MIN(AJW60*$C$62,'Sources and Uses Budget'!$J$99-SUM('15 Year Pro Forma'!$E$62:AJV62))</f>
        <v>0</v>
      </c>
      <c r="AJY62" s="962">
        <f>MIN(AJY60*$C$62,'Sources and Uses Budget'!$J$99-SUM('15 Year Pro Forma'!$E$62:AJX62))</f>
        <v>0</v>
      </c>
      <c r="AKA62" s="962">
        <f>MIN(AKA60*$C$62,'Sources and Uses Budget'!$J$99-SUM('15 Year Pro Forma'!$E$62:AJZ62))</f>
        <v>0</v>
      </c>
      <c r="AKC62" s="962">
        <f>MIN(AKC60*$C$62,'Sources and Uses Budget'!$J$99-SUM('15 Year Pro Forma'!$E$62:AKB62))</f>
        <v>0</v>
      </c>
      <c r="AKE62" s="962">
        <f>MIN(AKE60*$C$62,'Sources and Uses Budget'!$J$99-SUM('15 Year Pro Forma'!$E$62:AKD62))</f>
        <v>0</v>
      </c>
      <c r="AKG62" s="962">
        <f>MIN(AKG60*$C$62,'Sources and Uses Budget'!$J$99-SUM('15 Year Pro Forma'!$E$62:AKF62))</f>
        <v>0</v>
      </c>
      <c r="AKI62" s="962">
        <f>MIN(AKI60*$C$62,'Sources and Uses Budget'!$J$99-SUM('15 Year Pro Forma'!$E$62:AKH62))</f>
        <v>0</v>
      </c>
      <c r="AKK62" s="962">
        <f>MIN(AKK60*$C$62,'Sources and Uses Budget'!$J$99-SUM('15 Year Pro Forma'!$E$62:AKJ62))</f>
        <v>0</v>
      </c>
      <c r="AKM62" s="962">
        <f>MIN(AKM60*$C$62,'Sources and Uses Budget'!$J$99-SUM('15 Year Pro Forma'!$E$62:AKL62))</f>
        <v>0</v>
      </c>
      <c r="AKO62" s="962">
        <f>MIN(AKO60*$C$62,'Sources and Uses Budget'!$J$99-SUM('15 Year Pro Forma'!$E$62:AKN62))</f>
        <v>0</v>
      </c>
      <c r="AKQ62" s="962">
        <f>MIN(AKQ60*$C$62,'Sources and Uses Budget'!$J$99-SUM('15 Year Pro Forma'!$E$62:AKP62))</f>
        <v>0</v>
      </c>
      <c r="AKS62" s="962">
        <f>MIN(AKS60*$C$62,'Sources and Uses Budget'!$J$99-SUM('15 Year Pro Forma'!$E$62:AKR62))</f>
        <v>0</v>
      </c>
      <c r="AKU62" s="962">
        <f>MIN(AKU60*$C$62,'Sources and Uses Budget'!$J$99-SUM('15 Year Pro Forma'!$E$62:AKT62))</f>
        <v>0</v>
      </c>
      <c r="AKW62" s="962">
        <f>MIN(AKW60*$C$62,'Sources and Uses Budget'!$J$99-SUM('15 Year Pro Forma'!$E$62:AKV62))</f>
        <v>0</v>
      </c>
      <c r="AKY62" s="962">
        <f>MIN(AKY60*$C$62,'Sources and Uses Budget'!$J$99-SUM('15 Year Pro Forma'!$E$62:AKX62))</f>
        <v>0</v>
      </c>
      <c r="ALA62" s="962">
        <f>MIN(ALA60*$C$62,'Sources and Uses Budget'!$J$99-SUM('15 Year Pro Forma'!$E$62:AKZ62))</f>
        <v>0</v>
      </c>
      <c r="ALC62" s="962">
        <f>MIN(ALC60*$C$62,'Sources and Uses Budget'!$J$99-SUM('15 Year Pro Forma'!$E$62:ALB62))</f>
        <v>0</v>
      </c>
      <c r="ALE62" s="962">
        <f>MIN(ALE60*$C$62,'Sources and Uses Budget'!$J$99-SUM('15 Year Pro Forma'!$E$62:ALD62))</f>
        <v>0</v>
      </c>
      <c r="ALG62" s="962">
        <f>MIN(ALG60*$C$62,'Sources and Uses Budget'!$J$99-SUM('15 Year Pro Forma'!$E$62:ALF62))</f>
        <v>0</v>
      </c>
      <c r="ALI62" s="962">
        <f>MIN(ALI60*$C$62,'Sources and Uses Budget'!$J$99-SUM('15 Year Pro Forma'!$E$62:ALH62))</f>
        <v>0</v>
      </c>
      <c r="ALK62" s="962">
        <f>MIN(ALK60*$C$62,'Sources and Uses Budget'!$J$99-SUM('15 Year Pro Forma'!$E$62:ALJ62))</f>
        <v>0</v>
      </c>
      <c r="ALM62" s="962">
        <f>MIN(ALM60*$C$62,'Sources and Uses Budget'!$J$99-SUM('15 Year Pro Forma'!$E$62:ALL62))</f>
        <v>0</v>
      </c>
      <c r="ALO62" s="962">
        <f>MIN(ALO60*$C$62,'Sources and Uses Budget'!$J$99-SUM('15 Year Pro Forma'!$E$62:ALN62))</f>
        <v>0</v>
      </c>
      <c r="ALQ62" s="962">
        <f>MIN(ALQ60*$C$62,'Sources and Uses Budget'!$J$99-SUM('15 Year Pro Forma'!$E$62:ALP62))</f>
        <v>0</v>
      </c>
      <c r="ALS62" s="962">
        <f>MIN(ALS60*$C$62,'Sources and Uses Budget'!$J$99-SUM('15 Year Pro Forma'!$E$62:ALR62))</f>
        <v>0</v>
      </c>
      <c r="ALU62" s="962">
        <f>MIN(ALU60*$C$62,'Sources and Uses Budget'!$J$99-SUM('15 Year Pro Forma'!$E$62:ALT62))</f>
        <v>0</v>
      </c>
      <c r="ALW62" s="962">
        <f>MIN(ALW60*$C$62,'Sources and Uses Budget'!$J$99-SUM('15 Year Pro Forma'!$E$62:ALV62))</f>
        <v>0</v>
      </c>
      <c r="ALY62" s="962">
        <f>MIN(ALY60*$C$62,'Sources and Uses Budget'!$J$99-SUM('15 Year Pro Forma'!$E$62:ALX62))</f>
        <v>0</v>
      </c>
      <c r="AMA62" s="962">
        <f>MIN(AMA60*$C$62,'Sources and Uses Budget'!$J$99-SUM('15 Year Pro Forma'!$E$62:ALZ62))</f>
        <v>0</v>
      </c>
      <c r="AMC62" s="962">
        <f>MIN(AMC60*$C$62,'Sources and Uses Budget'!$J$99-SUM('15 Year Pro Forma'!$E$62:AMB62))</f>
        <v>0</v>
      </c>
      <c r="AME62" s="962">
        <f>MIN(AME60*$C$62,'Sources and Uses Budget'!$J$99-SUM('15 Year Pro Forma'!$E$62:AMD62))</f>
        <v>0</v>
      </c>
      <c r="AMG62" s="962">
        <f>MIN(AMG60*$C$62,'Sources and Uses Budget'!$J$99-SUM('15 Year Pro Forma'!$E$62:AMF62))</f>
        <v>0</v>
      </c>
      <c r="AMI62" s="962">
        <f>MIN(AMI60*$C$62,'Sources and Uses Budget'!$J$99-SUM('15 Year Pro Forma'!$E$62:AMH62))</f>
        <v>0</v>
      </c>
      <c r="AMK62" s="962">
        <f>MIN(AMK60*$C$62,'Sources and Uses Budget'!$J$99-SUM('15 Year Pro Forma'!$E$62:AMJ62))</f>
        <v>0</v>
      </c>
      <c r="AMM62" s="962">
        <f>MIN(AMM60*$C$62,'Sources and Uses Budget'!$J$99-SUM('15 Year Pro Forma'!$E$62:AML62))</f>
        <v>0</v>
      </c>
      <c r="AMO62" s="962">
        <f>MIN(AMO60*$C$62,'Sources and Uses Budget'!$J$99-SUM('15 Year Pro Forma'!$E$62:AMN62))</f>
        <v>0</v>
      </c>
      <c r="AMQ62" s="962">
        <f>MIN(AMQ60*$C$62,'Sources and Uses Budget'!$J$99-SUM('15 Year Pro Forma'!$E$62:AMP62))</f>
        <v>0</v>
      </c>
      <c r="AMS62" s="962">
        <f>MIN(AMS60*$C$62,'Sources and Uses Budget'!$J$99-SUM('15 Year Pro Forma'!$E$62:AMR62))</f>
        <v>0</v>
      </c>
      <c r="AMU62" s="962">
        <f>MIN(AMU60*$C$62,'Sources and Uses Budget'!$J$99-SUM('15 Year Pro Forma'!$E$62:AMT62))</f>
        <v>0</v>
      </c>
      <c r="AMW62" s="962">
        <f>MIN(AMW60*$C$62,'Sources and Uses Budget'!$J$99-SUM('15 Year Pro Forma'!$E$62:AMV62))</f>
        <v>0</v>
      </c>
      <c r="AMY62" s="962">
        <f>MIN(AMY60*$C$62,'Sources and Uses Budget'!$J$99-SUM('15 Year Pro Forma'!$E$62:AMX62))</f>
        <v>0</v>
      </c>
      <c r="ANA62" s="962">
        <f>MIN(ANA60*$C$62,'Sources and Uses Budget'!$J$99-SUM('15 Year Pro Forma'!$E$62:AMZ62))</f>
        <v>0</v>
      </c>
      <c r="ANC62" s="962">
        <f>MIN(ANC60*$C$62,'Sources and Uses Budget'!$J$99-SUM('15 Year Pro Forma'!$E$62:ANB62))</f>
        <v>0</v>
      </c>
      <c r="ANE62" s="962">
        <f>MIN(ANE60*$C$62,'Sources and Uses Budget'!$J$99-SUM('15 Year Pro Forma'!$E$62:AND62))</f>
        <v>0</v>
      </c>
      <c r="ANG62" s="962">
        <f>MIN(ANG60*$C$62,'Sources and Uses Budget'!$J$99-SUM('15 Year Pro Forma'!$E$62:ANF62))</f>
        <v>0</v>
      </c>
      <c r="ANI62" s="962">
        <f>MIN(ANI60*$C$62,'Sources and Uses Budget'!$J$99-SUM('15 Year Pro Forma'!$E$62:ANH62))</f>
        <v>0</v>
      </c>
      <c r="ANK62" s="962">
        <f>MIN(ANK60*$C$62,'Sources and Uses Budget'!$J$99-SUM('15 Year Pro Forma'!$E$62:ANJ62))</f>
        <v>0</v>
      </c>
      <c r="ANM62" s="962">
        <f>MIN(ANM60*$C$62,'Sources and Uses Budget'!$J$99-SUM('15 Year Pro Forma'!$E$62:ANL62))</f>
        <v>0</v>
      </c>
      <c r="ANO62" s="962">
        <f>MIN(ANO60*$C$62,'Sources and Uses Budget'!$J$99-SUM('15 Year Pro Forma'!$E$62:ANN62))</f>
        <v>0</v>
      </c>
      <c r="ANQ62" s="962">
        <f>MIN(ANQ60*$C$62,'Sources and Uses Budget'!$J$99-SUM('15 Year Pro Forma'!$E$62:ANP62))</f>
        <v>0</v>
      </c>
      <c r="ANS62" s="962">
        <f>MIN(ANS60*$C$62,'Sources and Uses Budget'!$J$99-SUM('15 Year Pro Forma'!$E$62:ANR62))</f>
        <v>0</v>
      </c>
      <c r="ANU62" s="962">
        <f>MIN(ANU60*$C$62,'Sources and Uses Budget'!$J$99-SUM('15 Year Pro Forma'!$E$62:ANT62))</f>
        <v>0</v>
      </c>
      <c r="ANW62" s="962">
        <f>MIN(ANW60*$C$62,'Sources and Uses Budget'!$J$99-SUM('15 Year Pro Forma'!$E$62:ANV62))</f>
        <v>0</v>
      </c>
      <c r="ANY62" s="962">
        <f>MIN(ANY60*$C$62,'Sources and Uses Budget'!$J$99-SUM('15 Year Pro Forma'!$E$62:ANX62))</f>
        <v>0</v>
      </c>
      <c r="AOA62" s="962">
        <f>MIN(AOA60*$C$62,'Sources and Uses Budget'!$J$99-SUM('15 Year Pro Forma'!$E$62:ANZ62))</f>
        <v>0</v>
      </c>
      <c r="AOC62" s="962">
        <f>MIN(AOC60*$C$62,'Sources and Uses Budget'!$J$99-SUM('15 Year Pro Forma'!$E$62:AOB62))</f>
        <v>0</v>
      </c>
      <c r="AOE62" s="962">
        <f>MIN(AOE60*$C$62,'Sources and Uses Budget'!$J$99-SUM('15 Year Pro Forma'!$E$62:AOD62))</f>
        <v>0</v>
      </c>
      <c r="AOG62" s="962">
        <f>MIN(AOG60*$C$62,'Sources and Uses Budget'!$J$99-SUM('15 Year Pro Forma'!$E$62:AOF62))</f>
        <v>0</v>
      </c>
      <c r="AOI62" s="962">
        <f>MIN(AOI60*$C$62,'Sources and Uses Budget'!$J$99-SUM('15 Year Pro Forma'!$E$62:AOH62))</f>
        <v>0</v>
      </c>
      <c r="AOK62" s="962">
        <f>MIN(AOK60*$C$62,'Sources and Uses Budget'!$J$99-SUM('15 Year Pro Forma'!$E$62:AOJ62))</f>
        <v>0</v>
      </c>
      <c r="AOM62" s="962">
        <f>MIN(AOM60*$C$62,'Sources and Uses Budget'!$J$99-SUM('15 Year Pro Forma'!$E$62:AOL62))</f>
        <v>0</v>
      </c>
      <c r="AOO62" s="962">
        <f>MIN(AOO60*$C$62,'Sources and Uses Budget'!$J$99-SUM('15 Year Pro Forma'!$E$62:AON62))</f>
        <v>0</v>
      </c>
      <c r="AOQ62" s="962">
        <f>MIN(AOQ60*$C$62,'Sources and Uses Budget'!$J$99-SUM('15 Year Pro Forma'!$E$62:AOP62))</f>
        <v>0</v>
      </c>
      <c r="AOS62" s="962">
        <f>MIN(AOS60*$C$62,'Sources and Uses Budget'!$J$99-SUM('15 Year Pro Forma'!$E$62:AOR62))</f>
        <v>0</v>
      </c>
      <c r="AOU62" s="962">
        <f>MIN(AOU60*$C$62,'Sources and Uses Budget'!$J$99-SUM('15 Year Pro Forma'!$E$62:AOT62))</f>
        <v>0</v>
      </c>
      <c r="AOW62" s="962">
        <f>MIN(AOW60*$C$62,'Sources and Uses Budget'!$J$99-SUM('15 Year Pro Forma'!$E$62:AOV62))</f>
        <v>0</v>
      </c>
      <c r="AOY62" s="962">
        <f>MIN(AOY60*$C$62,'Sources and Uses Budget'!$J$99-SUM('15 Year Pro Forma'!$E$62:AOX62))</f>
        <v>0</v>
      </c>
      <c r="APA62" s="962">
        <f>MIN(APA60*$C$62,'Sources and Uses Budget'!$J$99-SUM('15 Year Pro Forma'!$E$62:AOZ62))</f>
        <v>0</v>
      </c>
      <c r="APC62" s="962">
        <f>MIN(APC60*$C$62,'Sources and Uses Budget'!$J$99-SUM('15 Year Pro Forma'!$E$62:APB62))</f>
        <v>0</v>
      </c>
      <c r="APE62" s="962">
        <f>MIN(APE60*$C$62,'Sources and Uses Budget'!$J$99-SUM('15 Year Pro Forma'!$E$62:APD62))</f>
        <v>0</v>
      </c>
      <c r="APG62" s="962">
        <f>MIN(APG60*$C$62,'Sources and Uses Budget'!$J$99-SUM('15 Year Pro Forma'!$E$62:APF62))</f>
        <v>0</v>
      </c>
      <c r="API62" s="962">
        <f>MIN(API60*$C$62,'Sources and Uses Budget'!$J$99-SUM('15 Year Pro Forma'!$E$62:APH62))</f>
        <v>0</v>
      </c>
      <c r="APK62" s="962">
        <f>MIN(APK60*$C$62,'Sources and Uses Budget'!$J$99-SUM('15 Year Pro Forma'!$E$62:APJ62))</f>
        <v>0</v>
      </c>
      <c r="APM62" s="962">
        <f>MIN(APM60*$C$62,'Sources and Uses Budget'!$J$99-SUM('15 Year Pro Forma'!$E$62:APL62))</f>
        <v>0</v>
      </c>
      <c r="APO62" s="962">
        <f>MIN(APO60*$C$62,'Sources and Uses Budget'!$J$99-SUM('15 Year Pro Forma'!$E$62:APN62))</f>
        <v>0</v>
      </c>
      <c r="APQ62" s="962">
        <f>MIN(APQ60*$C$62,'Sources and Uses Budget'!$J$99-SUM('15 Year Pro Forma'!$E$62:APP62))</f>
        <v>0</v>
      </c>
      <c r="APS62" s="962">
        <f>MIN(APS60*$C$62,'Sources and Uses Budget'!$J$99-SUM('15 Year Pro Forma'!$E$62:APR62))</f>
        <v>0</v>
      </c>
      <c r="APU62" s="962">
        <f>MIN(APU60*$C$62,'Sources and Uses Budget'!$J$99-SUM('15 Year Pro Forma'!$E$62:APT62))</f>
        <v>0</v>
      </c>
      <c r="APW62" s="962">
        <f>MIN(APW60*$C$62,'Sources and Uses Budget'!$J$99-SUM('15 Year Pro Forma'!$E$62:APV62))</f>
        <v>0</v>
      </c>
      <c r="APY62" s="962">
        <f>MIN(APY60*$C$62,'Sources and Uses Budget'!$J$99-SUM('15 Year Pro Forma'!$E$62:APX62))</f>
        <v>0</v>
      </c>
      <c r="AQA62" s="962">
        <f>MIN(AQA60*$C$62,'Sources and Uses Budget'!$J$99-SUM('15 Year Pro Forma'!$E$62:APZ62))</f>
        <v>0</v>
      </c>
      <c r="AQC62" s="962">
        <f>MIN(AQC60*$C$62,'Sources and Uses Budget'!$J$99-SUM('15 Year Pro Forma'!$E$62:AQB62))</f>
        <v>0</v>
      </c>
      <c r="AQE62" s="962">
        <f>MIN(AQE60*$C$62,'Sources and Uses Budget'!$J$99-SUM('15 Year Pro Forma'!$E$62:AQD62))</f>
        <v>0</v>
      </c>
      <c r="AQG62" s="962">
        <f>MIN(AQG60*$C$62,'Sources and Uses Budget'!$J$99-SUM('15 Year Pro Forma'!$E$62:AQF62))</f>
        <v>0</v>
      </c>
      <c r="AQI62" s="962">
        <f>MIN(AQI60*$C$62,'Sources and Uses Budget'!$J$99-SUM('15 Year Pro Forma'!$E$62:AQH62))</f>
        <v>0</v>
      </c>
      <c r="AQK62" s="962">
        <f>MIN(AQK60*$C$62,'Sources and Uses Budget'!$J$99-SUM('15 Year Pro Forma'!$E$62:AQJ62))</f>
        <v>0</v>
      </c>
      <c r="AQM62" s="962">
        <f>MIN(AQM60*$C$62,'Sources and Uses Budget'!$J$99-SUM('15 Year Pro Forma'!$E$62:AQL62))</f>
        <v>0</v>
      </c>
      <c r="AQO62" s="962">
        <f>MIN(AQO60*$C$62,'Sources and Uses Budget'!$J$99-SUM('15 Year Pro Forma'!$E$62:AQN62))</f>
        <v>0</v>
      </c>
      <c r="AQQ62" s="962">
        <f>MIN(AQQ60*$C$62,'Sources and Uses Budget'!$J$99-SUM('15 Year Pro Forma'!$E$62:AQP62))</f>
        <v>0</v>
      </c>
      <c r="AQS62" s="962">
        <f>MIN(AQS60*$C$62,'Sources and Uses Budget'!$J$99-SUM('15 Year Pro Forma'!$E$62:AQR62))</f>
        <v>0</v>
      </c>
      <c r="AQU62" s="962">
        <f>MIN(AQU60*$C$62,'Sources and Uses Budget'!$J$99-SUM('15 Year Pro Forma'!$E$62:AQT62))</f>
        <v>0</v>
      </c>
      <c r="AQW62" s="962">
        <f>MIN(AQW60*$C$62,'Sources and Uses Budget'!$J$99-SUM('15 Year Pro Forma'!$E$62:AQV62))</f>
        <v>0</v>
      </c>
      <c r="AQY62" s="962">
        <f>MIN(AQY60*$C$62,'Sources and Uses Budget'!$J$99-SUM('15 Year Pro Forma'!$E$62:AQX62))</f>
        <v>0</v>
      </c>
      <c r="ARA62" s="962">
        <f>MIN(ARA60*$C$62,'Sources and Uses Budget'!$J$99-SUM('15 Year Pro Forma'!$E$62:AQZ62))</f>
        <v>0</v>
      </c>
      <c r="ARC62" s="962">
        <f>MIN(ARC60*$C$62,'Sources and Uses Budget'!$J$99-SUM('15 Year Pro Forma'!$E$62:ARB62))</f>
        <v>0</v>
      </c>
      <c r="ARE62" s="962">
        <f>MIN(ARE60*$C$62,'Sources and Uses Budget'!$J$99-SUM('15 Year Pro Forma'!$E$62:ARD62))</f>
        <v>0</v>
      </c>
      <c r="ARG62" s="962">
        <f>MIN(ARG60*$C$62,'Sources and Uses Budget'!$J$99-SUM('15 Year Pro Forma'!$E$62:ARF62))</f>
        <v>0</v>
      </c>
      <c r="ARI62" s="962">
        <f>MIN(ARI60*$C$62,'Sources and Uses Budget'!$J$99-SUM('15 Year Pro Forma'!$E$62:ARH62))</f>
        <v>0</v>
      </c>
      <c r="ARK62" s="962">
        <f>MIN(ARK60*$C$62,'Sources and Uses Budget'!$J$99-SUM('15 Year Pro Forma'!$E$62:ARJ62))</f>
        <v>0</v>
      </c>
      <c r="ARM62" s="962">
        <f>MIN(ARM60*$C$62,'Sources and Uses Budget'!$J$99-SUM('15 Year Pro Forma'!$E$62:ARL62))</f>
        <v>0</v>
      </c>
      <c r="ARO62" s="962">
        <f>MIN(ARO60*$C$62,'Sources and Uses Budget'!$J$99-SUM('15 Year Pro Forma'!$E$62:ARN62))</f>
        <v>0</v>
      </c>
      <c r="ARQ62" s="962">
        <f>MIN(ARQ60*$C$62,'Sources and Uses Budget'!$J$99-SUM('15 Year Pro Forma'!$E$62:ARP62))</f>
        <v>0</v>
      </c>
      <c r="ARS62" s="962">
        <f>MIN(ARS60*$C$62,'Sources and Uses Budget'!$J$99-SUM('15 Year Pro Forma'!$E$62:ARR62))</f>
        <v>0</v>
      </c>
      <c r="ARU62" s="962">
        <f>MIN(ARU60*$C$62,'Sources and Uses Budget'!$J$99-SUM('15 Year Pro Forma'!$E$62:ART62))</f>
        <v>0</v>
      </c>
      <c r="ARW62" s="962">
        <f>MIN(ARW60*$C$62,'Sources and Uses Budget'!$J$99-SUM('15 Year Pro Forma'!$E$62:ARV62))</f>
        <v>0</v>
      </c>
      <c r="ARY62" s="962">
        <f>MIN(ARY60*$C$62,'Sources and Uses Budget'!$J$99-SUM('15 Year Pro Forma'!$E$62:ARX62))</f>
        <v>0</v>
      </c>
      <c r="ASA62" s="962">
        <f>MIN(ASA60*$C$62,'Sources and Uses Budget'!$J$99-SUM('15 Year Pro Forma'!$E$62:ARZ62))</f>
        <v>0</v>
      </c>
      <c r="ASC62" s="962">
        <f>MIN(ASC60*$C$62,'Sources and Uses Budget'!$J$99-SUM('15 Year Pro Forma'!$E$62:ASB62))</f>
        <v>0</v>
      </c>
      <c r="ASE62" s="962">
        <f>MIN(ASE60*$C$62,'Sources and Uses Budget'!$J$99-SUM('15 Year Pro Forma'!$E$62:ASD62))</f>
        <v>0</v>
      </c>
      <c r="ASG62" s="962">
        <f>MIN(ASG60*$C$62,'Sources and Uses Budget'!$J$99-SUM('15 Year Pro Forma'!$E$62:ASF62))</f>
        <v>0</v>
      </c>
      <c r="ASI62" s="962">
        <f>MIN(ASI60*$C$62,'Sources and Uses Budget'!$J$99-SUM('15 Year Pro Forma'!$E$62:ASH62))</f>
        <v>0</v>
      </c>
      <c r="ASK62" s="962">
        <f>MIN(ASK60*$C$62,'Sources and Uses Budget'!$J$99-SUM('15 Year Pro Forma'!$E$62:ASJ62))</f>
        <v>0</v>
      </c>
      <c r="ASM62" s="962">
        <f>MIN(ASM60*$C$62,'Sources and Uses Budget'!$J$99-SUM('15 Year Pro Forma'!$E$62:ASL62))</f>
        <v>0</v>
      </c>
      <c r="ASO62" s="962">
        <f>MIN(ASO60*$C$62,'Sources and Uses Budget'!$J$99-SUM('15 Year Pro Forma'!$E$62:ASN62))</f>
        <v>0</v>
      </c>
      <c r="ASQ62" s="962">
        <f>MIN(ASQ60*$C$62,'Sources and Uses Budget'!$J$99-SUM('15 Year Pro Forma'!$E$62:ASP62))</f>
        <v>0</v>
      </c>
      <c r="ASS62" s="962">
        <f>MIN(ASS60*$C$62,'Sources and Uses Budget'!$J$99-SUM('15 Year Pro Forma'!$E$62:ASR62))</f>
        <v>0</v>
      </c>
      <c r="ASU62" s="962">
        <f>MIN(ASU60*$C$62,'Sources and Uses Budget'!$J$99-SUM('15 Year Pro Forma'!$E$62:AST62))</f>
        <v>0</v>
      </c>
      <c r="ASW62" s="962">
        <f>MIN(ASW60*$C$62,'Sources and Uses Budget'!$J$99-SUM('15 Year Pro Forma'!$E$62:ASV62))</f>
        <v>0</v>
      </c>
      <c r="ASY62" s="962">
        <f>MIN(ASY60*$C$62,'Sources and Uses Budget'!$J$99-SUM('15 Year Pro Forma'!$E$62:ASX62))</f>
        <v>0</v>
      </c>
      <c r="ATA62" s="962">
        <f>MIN(ATA60*$C$62,'Sources and Uses Budget'!$J$99-SUM('15 Year Pro Forma'!$E$62:ASZ62))</f>
        <v>0</v>
      </c>
      <c r="ATC62" s="962">
        <f>MIN(ATC60*$C$62,'Sources and Uses Budget'!$J$99-SUM('15 Year Pro Forma'!$E$62:ATB62))</f>
        <v>0</v>
      </c>
      <c r="ATE62" s="962">
        <f>MIN(ATE60*$C$62,'Sources and Uses Budget'!$J$99-SUM('15 Year Pro Forma'!$E$62:ATD62))</f>
        <v>0</v>
      </c>
      <c r="ATG62" s="962">
        <f>MIN(ATG60*$C$62,'Sources and Uses Budget'!$J$99-SUM('15 Year Pro Forma'!$E$62:ATF62))</f>
        <v>0</v>
      </c>
      <c r="ATI62" s="962">
        <f>MIN(ATI60*$C$62,'Sources and Uses Budget'!$J$99-SUM('15 Year Pro Forma'!$E$62:ATH62))</f>
        <v>0</v>
      </c>
      <c r="ATK62" s="962">
        <f>MIN(ATK60*$C$62,'Sources and Uses Budget'!$J$99-SUM('15 Year Pro Forma'!$E$62:ATJ62))</f>
        <v>0</v>
      </c>
      <c r="ATM62" s="962">
        <f>MIN(ATM60*$C$62,'Sources and Uses Budget'!$J$99-SUM('15 Year Pro Forma'!$E$62:ATL62))</f>
        <v>0</v>
      </c>
      <c r="ATO62" s="962">
        <f>MIN(ATO60*$C$62,'Sources and Uses Budget'!$J$99-SUM('15 Year Pro Forma'!$E$62:ATN62))</f>
        <v>0</v>
      </c>
      <c r="ATQ62" s="962">
        <f>MIN(ATQ60*$C$62,'Sources and Uses Budget'!$J$99-SUM('15 Year Pro Forma'!$E$62:ATP62))</f>
        <v>0</v>
      </c>
      <c r="ATS62" s="962">
        <f>MIN(ATS60*$C$62,'Sources and Uses Budget'!$J$99-SUM('15 Year Pro Forma'!$E$62:ATR62))</f>
        <v>0</v>
      </c>
      <c r="ATU62" s="962">
        <f>MIN(ATU60*$C$62,'Sources and Uses Budget'!$J$99-SUM('15 Year Pro Forma'!$E$62:ATT62))</f>
        <v>0</v>
      </c>
      <c r="ATW62" s="962">
        <f>MIN(ATW60*$C$62,'Sources and Uses Budget'!$J$99-SUM('15 Year Pro Forma'!$E$62:ATV62))</f>
        <v>0</v>
      </c>
      <c r="ATY62" s="962">
        <f>MIN(ATY60*$C$62,'Sources and Uses Budget'!$J$99-SUM('15 Year Pro Forma'!$E$62:ATX62))</f>
        <v>0</v>
      </c>
      <c r="AUA62" s="962">
        <f>MIN(AUA60*$C$62,'Sources and Uses Budget'!$J$99-SUM('15 Year Pro Forma'!$E$62:ATZ62))</f>
        <v>0</v>
      </c>
      <c r="AUC62" s="962">
        <f>MIN(AUC60*$C$62,'Sources and Uses Budget'!$J$99-SUM('15 Year Pro Forma'!$E$62:AUB62))</f>
        <v>0</v>
      </c>
      <c r="AUE62" s="962">
        <f>MIN(AUE60*$C$62,'Sources and Uses Budget'!$J$99-SUM('15 Year Pro Forma'!$E$62:AUD62))</f>
        <v>0</v>
      </c>
      <c r="AUG62" s="962">
        <f>MIN(AUG60*$C$62,'Sources and Uses Budget'!$J$99-SUM('15 Year Pro Forma'!$E$62:AUF62))</f>
        <v>0</v>
      </c>
      <c r="AUI62" s="962">
        <f>MIN(AUI60*$C$62,'Sources and Uses Budget'!$J$99-SUM('15 Year Pro Forma'!$E$62:AUH62))</f>
        <v>0</v>
      </c>
      <c r="AUK62" s="962">
        <f>MIN(AUK60*$C$62,'Sources and Uses Budget'!$J$99-SUM('15 Year Pro Forma'!$E$62:AUJ62))</f>
        <v>0</v>
      </c>
      <c r="AUM62" s="962">
        <f>MIN(AUM60*$C$62,'Sources and Uses Budget'!$J$99-SUM('15 Year Pro Forma'!$E$62:AUL62))</f>
        <v>0</v>
      </c>
      <c r="AUO62" s="962">
        <f>MIN(AUO60*$C$62,'Sources and Uses Budget'!$J$99-SUM('15 Year Pro Forma'!$E$62:AUN62))</f>
        <v>0</v>
      </c>
      <c r="AUQ62" s="962">
        <f>MIN(AUQ60*$C$62,'Sources and Uses Budget'!$J$99-SUM('15 Year Pro Forma'!$E$62:AUP62))</f>
        <v>0</v>
      </c>
      <c r="AUS62" s="962">
        <f>MIN(AUS60*$C$62,'Sources and Uses Budget'!$J$99-SUM('15 Year Pro Forma'!$E$62:AUR62))</f>
        <v>0</v>
      </c>
      <c r="AUU62" s="962">
        <f>MIN(AUU60*$C$62,'Sources and Uses Budget'!$J$99-SUM('15 Year Pro Forma'!$E$62:AUT62))</f>
        <v>0</v>
      </c>
      <c r="AUW62" s="962">
        <f>MIN(AUW60*$C$62,'Sources and Uses Budget'!$J$99-SUM('15 Year Pro Forma'!$E$62:AUV62))</f>
        <v>0</v>
      </c>
      <c r="AUY62" s="962">
        <f>MIN(AUY60*$C$62,'Sources and Uses Budget'!$J$99-SUM('15 Year Pro Forma'!$E$62:AUX62))</f>
        <v>0</v>
      </c>
      <c r="AVA62" s="962">
        <f>MIN(AVA60*$C$62,'Sources and Uses Budget'!$J$99-SUM('15 Year Pro Forma'!$E$62:AUZ62))</f>
        <v>0</v>
      </c>
      <c r="AVC62" s="962">
        <f>MIN(AVC60*$C$62,'Sources and Uses Budget'!$J$99-SUM('15 Year Pro Forma'!$E$62:AVB62))</f>
        <v>0</v>
      </c>
      <c r="AVE62" s="962">
        <f>MIN(AVE60*$C$62,'Sources and Uses Budget'!$J$99-SUM('15 Year Pro Forma'!$E$62:AVD62))</f>
        <v>0</v>
      </c>
      <c r="AVG62" s="962">
        <f>MIN(AVG60*$C$62,'Sources and Uses Budget'!$J$99-SUM('15 Year Pro Forma'!$E$62:AVF62))</f>
        <v>0</v>
      </c>
      <c r="AVI62" s="962">
        <f>MIN(AVI60*$C$62,'Sources and Uses Budget'!$J$99-SUM('15 Year Pro Forma'!$E$62:AVH62))</f>
        <v>0</v>
      </c>
      <c r="AVK62" s="962">
        <f>MIN(AVK60*$C$62,'Sources and Uses Budget'!$J$99-SUM('15 Year Pro Forma'!$E$62:AVJ62))</f>
        <v>0</v>
      </c>
      <c r="AVM62" s="962">
        <f>MIN(AVM60*$C$62,'Sources and Uses Budget'!$J$99-SUM('15 Year Pro Forma'!$E$62:AVL62))</f>
        <v>0</v>
      </c>
      <c r="AVO62" s="962">
        <f>MIN(AVO60*$C$62,'Sources and Uses Budget'!$J$99-SUM('15 Year Pro Forma'!$E$62:AVN62))</f>
        <v>0</v>
      </c>
      <c r="AVQ62" s="962">
        <f>MIN(AVQ60*$C$62,'Sources and Uses Budget'!$J$99-SUM('15 Year Pro Forma'!$E$62:AVP62))</f>
        <v>0</v>
      </c>
      <c r="AVS62" s="962">
        <f>MIN(AVS60*$C$62,'Sources and Uses Budget'!$J$99-SUM('15 Year Pro Forma'!$E$62:AVR62))</f>
        <v>0</v>
      </c>
      <c r="AVU62" s="962">
        <f>MIN(AVU60*$C$62,'Sources and Uses Budget'!$J$99-SUM('15 Year Pro Forma'!$E$62:AVT62))</f>
        <v>0</v>
      </c>
      <c r="AVW62" s="962">
        <f>MIN(AVW60*$C$62,'Sources and Uses Budget'!$J$99-SUM('15 Year Pro Forma'!$E$62:AVV62))</f>
        <v>0</v>
      </c>
      <c r="AVY62" s="962">
        <f>MIN(AVY60*$C$62,'Sources and Uses Budget'!$J$99-SUM('15 Year Pro Forma'!$E$62:AVX62))</f>
        <v>0</v>
      </c>
      <c r="AWA62" s="962">
        <f>MIN(AWA60*$C$62,'Sources and Uses Budget'!$J$99-SUM('15 Year Pro Forma'!$E$62:AVZ62))</f>
        <v>0</v>
      </c>
      <c r="AWC62" s="962">
        <f>MIN(AWC60*$C$62,'Sources and Uses Budget'!$J$99-SUM('15 Year Pro Forma'!$E$62:AWB62))</f>
        <v>0</v>
      </c>
      <c r="AWE62" s="962">
        <f>MIN(AWE60*$C$62,'Sources and Uses Budget'!$J$99-SUM('15 Year Pro Forma'!$E$62:AWD62))</f>
        <v>0</v>
      </c>
      <c r="AWG62" s="962">
        <f>MIN(AWG60*$C$62,'Sources and Uses Budget'!$J$99-SUM('15 Year Pro Forma'!$E$62:AWF62))</f>
        <v>0</v>
      </c>
      <c r="AWI62" s="962">
        <f>MIN(AWI60*$C$62,'Sources and Uses Budget'!$J$99-SUM('15 Year Pro Forma'!$E$62:AWH62))</f>
        <v>0</v>
      </c>
      <c r="AWK62" s="962">
        <f>MIN(AWK60*$C$62,'Sources and Uses Budget'!$J$99-SUM('15 Year Pro Forma'!$E$62:AWJ62))</f>
        <v>0</v>
      </c>
      <c r="AWM62" s="962">
        <f>MIN(AWM60*$C$62,'Sources and Uses Budget'!$J$99-SUM('15 Year Pro Forma'!$E$62:AWL62))</f>
        <v>0</v>
      </c>
      <c r="AWO62" s="962">
        <f>MIN(AWO60*$C$62,'Sources and Uses Budget'!$J$99-SUM('15 Year Pro Forma'!$E$62:AWN62))</f>
        <v>0</v>
      </c>
      <c r="AWQ62" s="962">
        <f>MIN(AWQ60*$C$62,'Sources and Uses Budget'!$J$99-SUM('15 Year Pro Forma'!$E$62:AWP62))</f>
        <v>0</v>
      </c>
      <c r="AWS62" s="962">
        <f>MIN(AWS60*$C$62,'Sources and Uses Budget'!$J$99-SUM('15 Year Pro Forma'!$E$62:AWR62))</f>
        <v>0</v>
      </c>
      <c r="AWU62" s="962">
        <f>MIN(AWU60*$C$62,'Sources and Uses Budget'!$J$99-SUM('15 Year Pro Forma'!$E$62:AWT62))</f>
        <v>0</v>
      </c>
      <c r="AWW62" s="962">
        <f>MIN(AWW60*$C$62,'Sources and Uses Budget'!$J$99-SUM('15 Year Pro Forma'!$E$62:AWV62))</f>
        <v>0</v>
      </c>
      <c r="AWY62" s="962">
        <f>MIN(AWY60*$C$62,'Sources and Uses Budget'!$J$99-SUM('15 Year Pro Forma'!$E$62:AWX62))</f>
        <v>0</v>
      </c>
      <c r="AXA62" s="962">
        <f>MIN(AXA60*$C$62,'Sources and Uses Budget'!$J$99-SUM('15 Year Pro Forma'!$E$62:AWZ62))</f>
        <v>0</v>
      </c>
      <c r="AXC62" s="962">
        <f>MIN(AXC60*$C$62,'Sources and Uses Budget'!$J$99-SUM('15 Year Pro Forma'!$E$62:AXB62))</f>
        <v>0</v>
      </c>
      <c r="AXE62" s="962">
        <f>MIN(AXE60*$C$62,'Sources and Uses Budget'!$J$99-SUM('15 Year Pro Forma'!$E$62:AXD62))</f>
        <v>0</v>
      </c>
      <c r="AXG62" s="962">
        <f>MIN(AXG60*$C$62,'Sources and Uses Budget'!$J$99-SUM('15 Year Pro Forma'!$E$62:AXF62))</f>
        <v>0</v>
      </c>
      <c r="AXI62" s="962">
        <f>MIN(AXI60*$C$62,'Sources and Uses Budget'!$J$99-SUM('15 Year Pro Forma'!$E$62:AXH62))</f>
        <v>0</v>
      </c>
      <c r="AXK62" s="962">
        <f>MIN(AXK60*$C$62,'Sources and Uses Budget'!$J$99-SUM('15 Year Pro Forma'!$E$62:AXJ62))</f>
        <v>0</v>
      </c>
      <c r="AXM62" s="962">
        <f>MIN(AXM60*$C$62,'Sources and Uses Budget'!$J$99-SUM('15 Year Pro Forma'!$E$62:AXL62))</f>
        <v>0</v>
      </c>
      <c r="AXO62" s="962">
        <f>MIN(AXO60*$C$62,'Sources and Uses Budget'!$J$99-SUM('15 Year Pro Forma'!$E$62:AXN62))</f>
        <v>0</v>
      </c>
      <c r="AXQ62" s="962">
        <f>MIN(AXQ60*$C$62,'Sources and Uses Budget'!$J$99-SUM('15 Year Pro Forma'!$E$62:AXP62))</f>
        <v>0</v>
      </c>
      <c r="AXS62" s="962">
        <f>MIN(AXS60*$C$62,'Sources and Uses Budget'!$J$99-SUM('15 Year Pro Forma'!$E$62:AXR62))</f>
        <v>0</v>
      </c>
      <c r="AXU62" s="962">
        <f>MIN(AXU60*$C$62,'Sources and Uses Budget'!$J$99-SUM('15 Year Pro Forma'!$E$62:AXT62))</f>
        <v>0</v>
      </c>
      <c r="AXW62" s="962">
        <f>MIN(AXW60*$C$62,'Sources and Uses Budget'!$J$99-SUM('15 Year Pro Forma'!$E$62:AXV62))</f>
        <v>0</v>
      </c>
      <c r="AXY62" s="962">
        <f>MIN(AXY60*$C$62,'Sources and Uses Budget'!$J$99-SUM('15 Year Pro Forma'!$E$62:AXX62))</f>
        <v>0</v>
      </c>
      <c r="AYA62" s="962">
        <f>MIN(AYA60*$C$62,'Sources and Uses Budget'!$J$99-SUM('15 Year Pro Forma'!$E$62:AXZ62))</f>
        <v>0</v>
      </c>
      <c r="AYC62" s="962">
        <f>MIN(AYC60*$C$62,'Sources and Uses Budget'!$J$99-SUM('15 Year Pro Forma'!$E$62:AYB62))</f>
        <v>0</v>
      </c>
      <c r="AYE62" s="962">
        <f>MIN(AYE60*$C$62,'Sources and Uses Budget'!$J$99-SUM('15 Year Pro Forma'!$E$62:AYD62))</f>
        <v>0</v>
      </c>
      <c r="AYG62" s="962">
        <f>MIN(AYG60*$C$62,'Sources and Uses Budget'!$J$99-SUM('15 Year Pro Forma'!$E$62:AYF62))</f>
        <v>0</v>
      </c>
      <c r="AYI62" s="962">
        <f>MIN(AYI60*$C$62,'Sources and Uses Budget'!$J$99-SUM('15 Year Pro Forma'!$E$62:AYH62))</f>
        <v>0</v>
      </c>
      <c r="AYK62" s="962">
        <f>MIN(AYK60*$C$62,'Sources and Uses Budget'!$J$99-SUM('15 Year Pro Forma'!$E$62:AYJ62))</f>
        <v>0</v>
      </c>
      <c r="AYM62" s="962">
        <f>MIN(AYM60*$C$62,'Sources and Uses Budget'!$J$99-SUM('15 Year Pro Forma'!$E$62:AYL62))</f>
        <v>0</v>
      </c>
      <c r="AYO62" s="962">
        <f>MIN(AYO60*$C$62,'Sources and Uses Budget'!$J$99-SUM('15 Year Pro Forma'!$E$62:AYN62))</f>
        <v>0</v>
      </c>
      <c r="AYQ62" s="962">
        <f>MIN(AYQ60*$C$62,'Sources and Uses Budget'!$J$99-SUM('15 Year Pro Forma'!$E$62:AYP62))</f>
        <v>0</v>
      </c>
      <c r="AYS62" s="962">
        <f>MIN(AYS60*$C$62,'Sources and Uses Budget'!$J$99-SUM('15 Year Pro Forma'!$E$62:AYR62))</f>
        <v>0</v>
      </c>
      <c r="AYU62" s="962">
        <f>MIN(AYU60*$C$62,'Sources and Uses Budget'!$J$99-SUM('15 Year Pro Forma'!$E$62:AYT62))</f>
        <v>0</v>
      </c>
      <c r="AYW62" s="962">
        <f>MIN(AYW60*$C$62,'Sources and Uses Budget'!$J$99-SUM('15 Year Pro Forma'!$E$62:AYV62))</f>
        <v>0</v>
      </c>
      <c r="AYY62" s="962">
        <f>MIN(AYY60*$C$62,'Sources and Uses Budget'!$J$99-SUM('15 Year Pro Forma'!$E$62:AYX62))</f>
        <v>0</v>
      </c>
      <c r="AZA62" s="962">
        <f>MIN(AZA60*$C$62,'Sources and Uses Budget'!$J$99-SUM('15 Year Pro Forma'!$E$62:AYZ62))</f>
        <v>0</v>
      </c>
      <c r="AZC62" s="962">
        <f>MIN(AZC60*$C$62,'Sources and Uses Budget'!$J$99-SUM('15 Year Pro Forma'!$E$62:AZB62))</f>
        <v>0</v>
      </c>
      <c r="AZE62" s="962">
        <f>MIN(AZE60*$C$62,'Sources and Uses Budget'!$J$99-SUM('15 Year Pro Forma'!$E$62:AZD62))</f>
        <v>0</v>
      </c>
      <c r="AZG62" s="962">
        <f>MIN(AZG60*$C$62,'Sources and Uses Budget'!$J$99-SUM('15 Year Pro Forma'!$E$62:AZF62))</f>
        <v>0</v>
      </c>
      <c r="AZI62" s="962">
        <f>MIN(AZI60*$C$62,'Sources and Uses Budget'!$J$99-SUM('15 Year Pro Forma'!$E$62:AZH62))</f>
        <v>0</v>
      </c>
      <c r="AZK62" s="962">
        <f>MIN(AZK60*$C$62,'Sources and Uses Budget'!$J$99-SUM('15 Year Pro Forma'!$E$62:AZJ62))</f>
        <v>0</v>
      </c>
      <c r="AZM62" s="962">
        <f>MIN(AZM60*$C$62,'Sources and Uses Budget'!$J$99-SUM('15 Year Pro Forma'!$E$62:AZL62))</f>
        <v>0</v>
      </c>
      <c r="AZO62" s="962">
        <f>MIN(AZO60*$C$62,'Sources and Uses Budget'!$J$99-SUM('15 Year Pro Forma'!$E$62:AZN62))</f>
        <v>0</v>
      </c>
      <c r="AZQ62" s="962">
        <f>MIN(AZQ60*$C$62,'Sources and Uses Budget'!$J$99-SUM('15 Year Pro Forma'!$E$62:AZP62))</f>
        <v>0</v>
      </c>
      <c r="AZS62" s="962">
        <f>MIN(AZS60*$C$62,'Sources and Uses Budget'!$J$99-SUM('15 Year Pro Forma'!$E$62:AZR62))</f>
        <v>0</v>
      </c>
      <c r="AZU62" s="962">
        <f>MIN(AZU60*$C$62,'Sources and Uses Budget'!$J$99-SUM('15 Year Pro Forma'!$E$62:AZT62))</f>
        <v>0</v>
      </c>
      <c r="AZW62" s="962">
        <f>MIN(AZW60*$C$62,'Sources and Uses Budget'!$J$99-SUM('15 Year Pro Forma'!$E$62:AZV62))</f>
        <v>0</v>
      </c>
      <c r="AZY62" s="962">
        <f>MIN(AZY60*$C$62,'Sources and Uses Budget'!$J$99-SUM('15 Year Pro Forma'!$E$62:AZX62))</f>
        <v>0</v>
      </c>
      <c r="BAA62" s="962">
        <f>MIN(BAA60*$C$62,'Sources and Uses Budget'!$J$99-SUM('15 Year Pro Forma'!$E$62:AZZ62))</f>
        <v>0</v>
      </c>
      <c r="BAC62" s="962">
        <f>MIN(BAC60*$C$62,'Sources and Uses Budget'!$J$99-SUM('15 Year Pro Forma'!$E$62:BAB62))</f>
        <v>0</v>
      </c>
      <c r="BAE62" s="962">
        <f>MIN(BAE60*$C$62,'Sources and Uses Budget'!$J$99-SUM('15 Year Pro Forma'!$E$62:BAD62))</f>
        <v>0</v>
      </c>
      <c r="BAG62" s="962">
        <f>MIN(BAG60*$C$62,'Sources and Uses Budget'!$J$99-SUM('15 Year Pro Forma'!$E$62:BAF62))</f>
        <v>0</v>
      </c>
      <c r="BAI62" s="962">
        <f>MIN(BAI60*$C$62,'Sources and Uses Budget'!$J$99-SUM('15 Year Pro Forma'!$E$62:BAH62))</f>
        <v>0</v>
      </c>
      <c r="BAK62" s="962">
        <f>MIN(BAK60*$C$62,'Sources and Uses Budget'!$J$99-SUM('15 Year Pro Forma'!$E$62:BAJ62))</f>
        <v>0</v>
      </c>
      <c r="BAM62" s="962">
        <f>MIN(BAM60*$C$62,'Sources and Uses Budget'!$J$99-SUM('15 Year Pro Forma'!$E$62:BAL62))</f>
        <v>0</v>
      </c>
      <c r="BAO62" s="962">
        <f>MIN(BAO60*$C$62,'Sources and Uses Budget'!$J$99-SUM('15 Year Pro Forma'!$E$62:BAN62))</f>
        <v>0</v>
      </c>
      <c r="BAQ62" s="962">
        <f>MIN(BAQ60*$C$62,'Sources and Uses Budget'!$J$99-SUM('15 Year Pro Forma'!$E$62:BAP62))</f>
        <v>0</v>
      </c>
      <c r="BAS62" s="962">
        <f>MIN(BAS60*$C$62,'Sources and Uses Budget'!$J$99-SUM('15 Year Pro Forma'!$E$62:BAR62))</f>
        <v>0</v>
      </c>
      <c r="BAU62" s="962">
        <f>MIN(BAU60*$C$62,'Sources and Uses Budget'!$J$99-SUM('15 Year Pro Forma'!$E$62:BAT62))</f>
        <v>0</v>
      </c>
      <c r="BAW62" s="962">
        <f>MIN(BAW60*$C$62,'Sources and Uses Budget'!$J$99-SUM('15 Year Pro Forma'!$E$62:BAV62))</f>
        <v>0</v>
      </c>
      <c r="BAY62" s="962">
        <f>MIN(BAY60*$C$62,'Sources and Uses Budget'!$J$99-SUM('15 Year Pro Forma'!$E$62:BAX62))</f>
        <v>0</v>
      </c>
      <c r="BBA62" s="962">
        <f>MIN(BBA60*$C$62,'Sources and Uses Budget'!$J$99-SUM('15 Year Pro Forma'!$E$62:BAZ62))</f>
        <v>0</v>
      </c>
      <c r="BBC62" s="962">
        <f>MIN(BBC60*$C$62,'Sources and Uses Budget'!$J$99-SUM('15 Year Pro Forma'!$E$62:BBB62))</f>
        <v>0</v>
      </c>
      <c r="BBE62" s="962">
        <f>MIN(BBE60*$C$62,'Sources and Uses Budget'!$J$99-SUM('15 Year Pro Forma'!$E$62:BBD62))</f>
        <v>0</v>
      </c>
      <c r="BBG62" s="962">
        <f>MIN(BBG60*$C$62,'Sources and Uses Budget'!$J$99-SUM('15 Year Pro Forma'!$E$62:BBF62))</f>
        <v>0</v>
      </c>
      <c r="BBI62" s="962">
        <f>MIN(BBI60*$C$62,'Sources and Uses Budget'!$J$99-SUM('15 Year Pro Forma'!$E$62:BBH62))</f>
        <v>0</v>
      </c>
      <c r="BBK62" s="962">
        <f>MIN(BBK60*$C$62,'Sources and Uses Budget'!$J$99-SUM('15 Year Pro Forma'!$E$62:BBJ62))</f>
        <v>0</v>
      </c>
      <c r="BBM62" s="962">
        <f>MIN(BBM60*$C$62,'Sources and Uses Budget'!$J$99-SUM('15 Year Pro Forma'!$E$62:BBL62))</f>
        <v>0</v>
      </c>
      <c r="BBO62" s="962">
        <f>MIN(BBO60*$C$62,'Sources and Uses Budget'!$J$99-SUM('15 Year Pro Forma'!$E$62:BBN62))</f>
        <v>0</v>
      </c>
      <c r="BBQ62" s="962">
        <f>MIN(BBQ60*$C$62,'Sources and Uses Budget'!$J$99-SUM('15 Year Pro Forma'!$E$62:BBP62))</f>
        <v>0</v>
      </c>
      <c r="BBS62" s="962">
        <f>MIN(BBS60*$C$62,'Sources and Uses Budget'!$J$99-SUM('15 Year Pro Forma'!$E$62:BBR62))</f>
        <v>0</v>
      </c>
      <c r="BBU62" s="962">
        <f>MIN(BBU60*$C$62,'Sources and Uses Budget'!$J$99-SUM('15 Year Pro Forma'!$E$62:BBT62))</f>
        <v>0</v>
      </c>
      <c r="BBW62" s="962">
        <f>MIN(BBW60*$C$62,'Sources and Uses Budget'!$J$99-SUM('15 Year Pro Forma'!$E$62:BBV62))</f>
        <v>0</v>
      </c>
      <c r="BBY62" s="962">
        <f>MIN(BBY60*$C$62,'Sources and Uses Budget'!$J$99-SUM('15 Year Pro Forma'!$E$62:BBX62))</f>
        <v>0</v>
      </c>
      <c r="BCA62" s="962">
        <f>MIN(BCA60*$C$62,'Sources and Uses Budget'!$J$99-SUM('15 Year Pro Forma'!$E$62:BBZ62))</f>
        <v>0</v>
      </c>
      <c r="BCC62" s="962">
        <f>MIN(BCC60*$C$62,'Sources and Uses Budget'!$J$99-SUM('15 Year Pro Forma'!$E$62:BCB62))</f>
        <v>0</v>
      </c>
      <c r="BCE62" s="962">
        <f>MIN(BCE60*$C$62,'Sources and Uses Budget'!$J$99-SUM('15 Year Pro Forma'!$E$62:BCD62))</f>
        <v>0</v>
      </c>
      <c r="BCG62" s="962">
        <f>MIN(BCG60*$C$62,'Sources and Uses Budget'!$J$99-SUM('15 Year Pro Forma'!$E$62:BCF62))</f>
        <v>0</v>
      </c>
      <c r="BCI62" s="962">
        <f>MIN(BCI60*$C$62,'Sources and Uses Budget'!$J$99-SUM('15 Year Pro Forma'!$E$62:BCH62))</f>
        <v>0</v>
      </c>
      <c r="BCK62" s="962">
        <f>MIN(BCK60*$C$62,'Sources and Uses Budget'!$J$99-SUM('15 Year Pro Forma'!$E$62:BCJ62))</f>
        <v>0</v>
      </c>
      <c r="BCM62" s="962">
        <f>MIN(BCM60*$C$62,'Sources and Uses Budget'!$J$99-SUM('15 Year Pro Forma'!$E$62:BCL62))</f>
        <v>0</v>
      </c>
      <c r="BCO62" s="962">
        <f>MIN(BCO60*$C$62,'Sources and Uses Budget'!$J$99-SUM('15 Year Pro Forma'!$E$62:BCN62))</f>
        <v>0</v>
      </c>
      <c r="BCQ62" s="962">
        <f>MIN(BCQ60*$C$62,'Sources and Uses Budget'!$J$99-SUM('15 Year Pro Forma'!$E$62:BCP62))</f>
        <v>0</v>
      </c>
      <c r="BCS62" s="962">
        <f>MIN(BCS60*$C$62,'Sources and Uses Budget'!$J$99-SUM('15 Year Pro Forma'!$E$62:BCR62))</f>
        <v>0</v>
      </c>
      <c r="BCU62" s="962">
        <f>MIN(BCU60*$C$62,'Sources and Uses Budget'!$J$99-SUM('15 Year Pro Forma'!$E$62:BCT62))</f>
        <v>0</v>
      </c>
      <c r="BCW62" s="962">
        <f>MIN(BCW60*$C$62,'Sources and Uses Budget'!$J$99-SUM('15 Year Pro Forma'!$E$62:BCV62))</f>
        <v>0</v>
      </c>
      <c r="BCY62" s="962">
        <f>MIN(BCY60*$C$62,'Sources and Uses Budget'!$J$99-SUM('15 Year Pro Forma'!$E$62:BCX62))</f>
        <v>0</v>
      </c>
      <c r="BDA62" s="962">
        <f>MIN(BDA60*$C$62,'Sources and Uses Budget'!$J$99-SUM('15 Year Pro Forma'!$E$62:BCZ62))</f>
        <v>0</v>
      </c>
      <c r="BDC62" s="962">
        <f>MIN(BDC60*$C$62,'Sources and Uses Budget'!$J$99-SUM('15 Year Pro Forma'!$E$62:BDB62))</f>
        <v>0</v>
      </c>
      <c r="BDE62" s="962">
        <f>MIN(BDE60*$C$62,'Sources and Uses Budget'!$J$99-SUM('15 Year Pro Forma'!$E$62:BDD62))</f>
        <v>0</v>
      </c>
      <c r="BDG62" s="962">
        <f>MIN(BDG60*$C$62,'Sources and Uses Budget'!$J$99-SUM('15 Year Pro Forma'!$E$62:BDF62))</f>
        <v>0</v>
      </c>
      <c r="BDI62" s="962">
        <f>MIN(BDI60*$C$62,'Sources and Uses Budget'!$J$99-SUM('15 Year Pro Forma'!$E$62:BDH62))</f>
        <v>0</v>
      </c>
      <c r="BDK62" s="962">
        <f>MIN(BDK60*$C$62,'Sources and Uses Budget'!$J$99-SUM('15 Year Pro Forma'!$E$62:BDJ62))</f>
        <v>0</v>
      </c>
      <c r="BDM62" s="962">
        <f>MIN(BDM60*$C$62,'Sources and Uses Budget'!$J$99-SUM('15 Year Pro Forma'!$E$62:BDL62))</f>
        <v>0</v>
      </c>
      <c r="BDO62" s="962">
        <f>MIN(BDO60*$C$62,'Sources and Uses Budget'!$J$99-SUM('15 Year Pro Forma'!$E$62:BDN62))</f>
        <v>0</v>
      </c>
      <c r="BDQ62" s="962">
        <f>MIN(BDQ60*$C$62,'Sources and Uses Budget'!$J$99-SUM('15 Year Pro Forma'!$E$62:BDP62))</f>
        <v>0</v>
      </c>
      <c r="BDS62" s="962">
        <f>MIN(BDS60*$C$62,'Sources and Uses Budget'!$J$99-SUM('15 Year Pro Forma'!$E$62:BDR62))</f>
        <v>0</v>
      </c>
      <c r="BDU62" s="962">
        <f>MIN(BDU60*$C$62,'Sources and Uses Budget'!$J$99-SUM('15 Year Pro Forma'!$E$62:BDT62))</f>
        <v>0</v>
      </c>
      <c r="BDW62" s="962">
        <f>MIN(BDW60*$C$62,'Sources and Uses Budget'!$J$99-SUM('15 Year Pro Forma'!$E$62:BDV62))</f>
        <v>0</v>
      </c>
      <c r="BDY62" s="962">
        <f>MIN(BDY60*$C$62,'Sources and Uses Budget'!$J$99-SUM('15 Year Pro Forma'!$E$62:BDX62))</f>
        <v>0</v>
      </c>
      <c r="BEA62" s="962">
        <f>MIN(BEA60*$C$62,'Sources and Uses Budget'!$J$99-SUM('15 Year Pro Forma'!$E$62:BDZ62))</f>
        <v>0</v>
      </c>
      <c r="BEC62" s="962">
        <f>MIN(BEC60*$C$62,'Sources and Uses Budget'!$J$99-SUM('15 Year Pro Forma'!$E$62:BEB62))</f>
        <v>0</v>
      </c>
      <c r="BEE62" s="962">
        <f>MIN(BEE60*$C$62,'Sources and Uses Budget'!$J$99-SUM('15 Year Pro Forma'!$E$62:BED62))</f>
        <v>0</v>
      </c>
      <c r="BEG62" s="962">
        <f>MIN(BEG60*$C$62,'Sources and Uses Budget'!$J$99-SUM('15 Year Pro Forma'!$E$62:BEF62))</f>
        <v>0</v>
      </c>
      <c r="BEI62" s="962">
        <f>MIN(BEI60*$C$62,'Sources and Uses Budget'!$J$99-SUM('15 Year Pro Forma'!$E$62:BEH62))</f>
        <v>0</v>
      </c>
      <c r="BEK62" s="962">
        <f>MIN(BEK60*$C$62,'Sources and Uses Budget'!$J$99-SUM('15 Year Pro Forma'!$E$62:BEJ62))</f>
        <v>0</v>
      </c>
      <c r="BEM62" s="962">
        <f>MIN(BEM60*$C$62,'Sources and Uses Budget'!$J$99-SUM('15 Year Pro Forma'!$E$62:BEL62))</f>
        <v>0</v>
      </c>
      <c r="BEO62" s="962">
        <f>MIN(BEO60*$C$62,'Sources and Uses Budget'!$J$99-SUM('15 Year Pro Forma'!$E$62:BEN62))</f>
        <v>0</v>
      </c>
      <c r="BEQ62" s="962">
        <f>MIN(BEQ60*$C$62,'Sources and Uses Budget'!$J$99-SUM('15 Year Pro Forma'!$E$62:BEP62))</f>
        <v>0</v>
      </c>
      <c r="BES62" s="962">
        <f>MIN(BES60*$C$62,'Sources and Uses Budget'!$J$99-SUM('15 Year Pro Forma'!$E$62:BER62))</f>
        <v>0</v>
      </c>
      <c r="BEU62" s="962">
        <f>MIN(BEU60*$C$62,'Sources and Uses Budget'!$J$99-SUM('15 Year Pro Forma'!$E$62:BET62))</f>
        <v>0</v>
      </c>
      <c r="BEW62" s="962">
        <f>MIN(BEW60*$C$62,'Sources and Uses Budget'!$J$99-SUM('15 Year Pro Forma'!$E$62:BEV62))</f>
        <v>0</v>
      </c>
      <c r="BEY62" s="962">
        <f>MIN(BEY60*$C$62,'Sources and Uses Budget'!$J$99-SUM('15 Year Pro Forma'!$E$62:BEX62))</f>
        <v>0</v>
      </c>
      <c r="BFA62" s="962">
        <f>MIN(BFA60*$C$62,'Sources and Uses Budget'!$J$99-SUM('15 Year Pro Forma'!$E$62:BEZ62))</f>
        <v>0</v>
      </c>
      <c r="BFC62" s="962">
        <f>MIN(BFC60*$C$62,'Sources and Uses Budget'!$J$99-SUM('15 Year Pro Forma'!$E$62:BFB62))</f>
        <v>0</v>
      </c>
      <c r="BFE62" s="962">
        <f>MIN(BFE60*$C$62,'Sources and Uses Budget'!$J$99-SUM('15 Year Pro Forma'!$E$62:BFD62))</f>
        <v>0</v>
      </c>
      <c r="BFG62" s="962">
        <f>MIN(BFG60*$C$62,'Sources and Uses Budget'!$J$99-SUM('15 Year Pro Forma'!$E$62:BFF62))</f>
        <v>0</v>
      </c>
      <c r="BFI62" s="962">
        <f>MIN(BFI60*$C$62,'Sources and Uses Budget'!$J$99-SUM('15 Year Pro Forma'!$E$62:BFH62))</f>
        <v>0</v>
      </c>
      <c r="BFK62" s="962">
        <f>MIN(BFK60*$C$62,'Sources and Uses Budget'!$J$99-SUM('15 Year Pro Forma'!$E$62:BFJ62))</f>
        <v>0</v>
      </c>
      <c r="BFM62" s="962">
        <f>MIN(BFM60*$C$62,'Sources and Uses Budget'!$J$99-SUM('15 Year Pro Forma'!$E$62:BFL62))</f>
        <v>0</v>
      </c>
      <c r="BFO62" s="962">
        <f>MIN(BFO60*$C$62,'Sources and Uses Budget'!$J$99-SUM('15 Year Pro Forma'!$E$62:BFN62))</f>
        <v>0</v>
      </c>
      <c r="BFQ62" s="962">
        <f>MIN(BFQ60*$C$62,'Sources and Uses Budget'!$J$99-SUM('15 Year Pro Forma'!$E$62:BFP62))</f>
        <v>0</v>
      </c>
      <c r="BFS62" s="962">
        <f>MIN(BFS60*$C$62,'Sources and Uses Budget'!$J$99-SUM('15 Year Pro Forma'!$E$62:BFR62))</f>
        <v>0</v>
      </c>
      <c r="BFU62" s="962">
        <f>MIN(BFU60*$C$62,'Sources and Uses Budget'!$J$99-SUM('15 Year Pro Forma'!$E$62:BFT62))</f>
        <v>0</v>
      </c>
      <c r="BFW62" s="962">
        <f>MIN(BFW60*$C$62,'Sources and Uses Budget'!$J$99-SUM('15 Year Pro Forma'!$E$62:BFV62))</f>
        <v>0</v>
      </c>
      <c r="BFY62" s="962">
        <f>MIN(BFY60*$C$62,'Sources and Uses Budget'!$J$99-SUM('15 Year Pro Forma'!$E$62:BFX62))</f>
        <v>0</v>
      </c>
      <c r="BGA62" s="962">
        <f>MIN(BGA60*$C$62,'Sources and Uses Budget'!$J$99-SUM('15 Year Pro Forma'!$E$62:BFZ62))</f>
        <v>0</v>
      </c>
      <c r="BGC62" s="962">
        <f>MIN(BGC60*$C$62,'Sources and Uses Budget'!$J$99-SUM('15 Year Pro Forma'!$E$62:BGB62))</f>
        <v>0</v>
      </c>
      <c r="BGE62" s="962">
        <f>MIN(BGE60*$C$62,'Sources and Uses Budget'!$J$99-SUM('15 Year Pro Forma'!$E$62:BGD62))</f>
        <v>0</v>
      </c>
      <c r="BGG62" s="962">
        <f>MIN(BGG60*$C$62,'Sources and Uses Budget'!$J$99-SUM('15 Year Pro Forma'!$E$62:BGF62))</f>
        <v>0</v>
      </c>
      <c r="BGI62" s="962">
        <f>MIN(BGI60*$C$62,'Sources and Uses Budget'!$J$99-SUM('15 Year Pro Forma'!$E$62:BGH62))</f>
        <v>0</v>
      </c>
      <c r="BGK62" s="962">
        <f>MIN(BGK60*$C$62,'Sources and Uses Budget'!$J$99-SUM('15 Year Pro Forma'!$E$62:BGJ62))</f>
        <v>0</v>
      </c>
      <c r="BGM62" s="962">
        <f>MIN(BGM60*$C$62,'Sources and Uses Budget'!$J$99-SUM('15 Year Pro Forma'!$E$62:BGL62))</f>
        <v>0</v>
      </c>
      <c r="BGO62" s="962">
        <f>MIN(BGO60*$C$62,'Sources and Uses Budget'!$J$99-SUM('15 Year Pro Forma'!$E$62:BGN62))</f>
        <v>0</v>
      </c>
      <c r="BGQ62" s="962">
        <f>MIN(BGQ60*$C$62,'Sources and Uses Budget'!$J$99-SUM('15 Year Pro Forma'!$E$62:BGP62))</f>
        <v>0</v>
      </c>
      <c r="BGS62" s="962">
        <f>MIN(BGS60*$C$62,'Sources and Uses Budget'!$J$99-SUM('15 Year Pro Forma'!$E$62:BGR62))</f>
        <v>0</v>
      </c>
      <c r="BGU62" s="962">
        <f>MIN(BGU60*$C$62,'Sources and Uses Budget'!$J$99-SUM('15 Year Pro Forma'!$E$62:BGT62))</f>
        <v>0</v>
      </c>
      <c r="BGW62" s="962">
        <f>MIN(BGW60*$C$62,'Sources and Uses Budget'!$J$99-SUM('15 Year Pro Forma'!$E$62:BGV62))</f>
        <v>0</v>
      </c>
      <c r="BGY62" s="962">
        <f>MIN(BGY60*$C$62,'Sources and Uses Budget'!$J$99-SUM('15 Year Pro Forma'!$E$62:BGX62))</f>
        <v>0</v>
      </c>
      <c r="BHA62" s="962">
        <f>MIN(BHA60*$C$62,'Sources and Uses Budget'!$J$99-SUM('15 Year Pro Forma'!$E$62:BGZ62))</f>
        <v>0</v>
      </c>
      <c r="BHC62" s="962">
        <f>MIN(BHC60*$C$62,'Sources and Uses Budget'!$J$99-SUM('15 Year Pro Forma'!$E$62:BHB62))</f>
        <v>0</v>
      </c>
      <c r="BHE62" s="962">
        <f>MIN(BHE60*$C$62,'Sources and Uses Budget'!$J$99-SUM('15 Year Pro Forma'!$E$62:BHD62))</f>
        <v>0</v>
      </c>
      <c r="BHG62" s="962">
        <f>MIN(BHG60*$C$62,'Sources and Uses Budget'!$J$99-SUM('15 Year Pro Forma'!$E$62:BHF62))</f>
        <v>0</v>
      </c>
      <c r="BHI62" s="962">
        <f>MIN(BHI60*$C$62,'Sources and Uses Budget'!$J$99-SUM('15 Year Pro Forma'!$E$62:BHH62))</f>
        <v>0</v>
      </c>
      <c r="BHK62" s="962">
        <f>MIN(BHK60*$C$62,'Sources and Uses Budget'!$J$99-SUM('15 Year Pro Forma'!$E$62:BHJ62))</f>
        <v>0</v>
      </c>
      <c r="BHM62" s="962">
        <f>MIN(BHM60*$C$62,'Sources and Uses Budget'!$J$99-SUM('15 Year Pro Forma'!$E$62:BHL62))</f>
        <v>0</v>
      </c>
      <c r="BHO62" s="962">
        <f>MIN(BHO60*$C$62,'Sources and Uses Budget'!$J$99-SUM('15 Year Pro Forma'!$E$62:BHN62))</f>
        <v>0</v>
      </c>
      <c r="BHQ62" s="962">
        <f>MIN(BHQ60*$C$62,'Sources and Uses Budget'!$J$99-SUM('15 Year Pro Forma'!$E$62:BHP62))</f>
        <v>0</v>
      </c>
      <c r="BHS62" s="962">
        <f>MIN(BHS60*$C$62,'Sources and Uses Budget'!$J$99-SUM('15 Year Pro Forma'!$E$62:BHR62))</f>
        <v>0</v>
      </c>
      <c r="BHU62" s="962">
        <f>MIN(BHU60*$C$62,'Sources and Uses Budget'!$J$99-SUM('15 Year Pro Forma'!$E$62:BHT62))</f>
        <v>0</v>
      </c>
      <c r="BHW62" s="962">
        <f>MIN(BHW60*$C$62,'Sources and Uses Budget'!$J$99-SUM('15 Year Pro Forma'!$E$62:BHV62))</f>
        <v>0</v>
      </c>
      <c r="BHY62" s="962">
        <f>MIN(BHY60*$C$62,'Sources and Uses Budget'!$J$99-SUM('15 Year Pro Forma'!$E$62:BHX62))</f>
        <v>0</v>
      </c>
      <c r="BIA62" s="962">
        <f>MIN(BIA60*$C$62,'Sources and Uses Budget'!$J$99-SUM('15 Year Pro Forma'!$E$62:BHZ62))</f>
        <v>0</v>
      </c>
      <c r="BIC62" s="962">
        <f>MIN(BIC60*$C$62,'Sources and Uses Budget'!$J$99-SUM('15 Year Pro Forma'!$E$62:BIB62))</f>
        <v>0</v>
      </c>
      <c r="BIE62" s="962">
        <f>MIN(BIE60*$C$62,'Sources and Uses Budget'!$J$99-SUM('15 Year Pro Forma'!$E$62:BID62))</f>
        <v>0</v>
      </c>
      <c r="BIG62" s="962">
        <f>MIN(BIG60*$C$62,'Sources and Uses Budget'!$J$99-SUM('15 Year Pro Forma'!$E$62:BIF62))</f>
        <v>0</v>
      </c>
      <c r="BII62" s="962">
        <f>MIN(BII60*$C$62,'Sources and Uses Budget'!$J$99-SUM('15 Year Pro Forma'!$E$62:BIH62))</f>
        <v>0</v>
      </c>
      <c r="BIK62" s="962">
        <f>MIN(BIK60*$C$62,'Sources and Uses Budget'!$J$99-SUM('15 Year Pro Forma'!$E$62:BIJ62))</f>
        <v>0</v>
      </c>
      <c r="BIM62" s="962">
        <f>MIN(BIM60*$C$62,'Sources and Uses Budget'!$J$99-SUM('15 Year Pro Forma'!$E$62:BIL62))</f>
        <v>0</v>
      </c>
      <c r="BIO62" s="962">
        <f>MIN(BIO60*$C$62,'Sources and Uses Budget'!$J$99-SUM('15 Year Pro Forma'!$E$62:BIN62))</f>
        <v>0</v>
      </c>
      <c r="BIQ62" s="962">
        <f>MIN(BIQ60*$C$62,'Sources and Uses Budget'!$J$99-SUM('15 Year Pro Forma'!$E$62:BIP62))</f>
        <v>0</v>
      </c>
      <c r="BIS62" s="962">
        <f>MIN(BIS60*$C$62,'Sources and Uses Budget'!$J$99-SUM('15 Year Pro Forma'!$E$62:BIR62))</f>
        <v>0</v>
      </c>
      <c r="BIU62" s="962">
        <f>MIN(BIU60*$C$62,'Sources and Uses Budget'!$J$99-SUM('15 Year Pro Forma'!$E$62:BIT62))</f>
        <v>0</v>
      </c>
      <c r="BIW62" s="962">
        <f>MIN(BIW60*$C$62,'Sources and Uses Budget'!$J$99-SUM('15 Year Pro Forma'!$E$62:BIV62))</f>
        <v>0</v>
      </c>
      <c r="BIY62" s="962">
        <f>MIN(BIY60*$C$62,'Sources and Uses Budget'!$J$99-SUM('15 Year Pro Forma'!$E$62:BIX62))</f>
        <v>0</v>
      </c>
      <c r="BJA62" s="962">
        <f>MIN(BJA60*$C$62,'Sources and Uses Budget'!$J$99-SUM('15 Year Pro Forma'!$E$62:BIZ62))</f>
        <v>0</v>
      </c>
      <c r="BJC62" s="962">
        <f>MIN(BJC60*$C$62,'Sources and Uses Budget'!$J$99-SUM('15 Year Pro Forma'!$E$62:BJB62))</f>
        <v>0</v>
      </c>
      <c r="BJE62" s="962">
        <f>MIN(BJE60*$C$62,'Sources and Uses Budget'!$J$99-SUM('15 Year Pro Forma'!$E$62:BJD62))</f>
        <v>0</v>
      </c>
      <c r="BJG62" s="962">
        <f>MIN(BJG60*$C$62,'Sources and Uses Budget'!$J$99-SUM('15 Year Pro Forma'!$E$62:BJF62))</f>
        <v>0</v>
      </c>
      <c r="BJI62" s="962">
        <f>MIN(BJI60*$C$62,'Sources and Uses Budget'!$J$99-SUM('15 Year Pro Forma'!$E$62:BJH62))</f>
        <v>0</v>
      </c>
      <c r="BJK62" s="962">
        <f>MIN(BJK60*$C$62,'Sources and Uses Budget'!$J$99-SUM('15 Year Pro Forma'!$E$62:BJJ62))</f>
        <v>0</v>
      </c>
      <c r="BJM62" s="962">
        <f>MIN(BJM60*$C$62,'Sources and Uses Budget'!$J$99-SUM('15 Year Pro Forma'!$E$62:BJL62))</f>
        <v>0</v>
      </c>
      <c r="BJO62" s="962">
        <f>MIN(BJO60*$C$62,'Sources and Uses Budget'!$J$99-SUM('15 Year Pro Forma'!$E$62:BJN62))</f>
        <v>0</v>
      </c>
      <c r="BJQ62" s="962">
        <f>MIN(BJQ60*$C$62,'Sources and Uses Budget'!$J$99-SUM('15 Year Pro Forma'!$E$62:BJP62))</f>
        <v>0</v>
      </c>
      <c r="BJS62" s="962">
        <f>MIN(BJS60*$C$62,'Sources and Uses Budget'!$J$99-SUM('15 Year Pro Forma'!$E$62:BJR62))</f>
        <v>0</v>
      </c>
      <c r="BJU62" s="962">
        <f>MIN(BJU60*$C$62,'Sources and Uses Budget'!$J$99-SUM('15 Year Pro Forma'!$E$62:BJT62))</f>
        <v>0</v>
      </c>
      <c r="BJW62" s="962">
        <f>MIN(BJW60*$C$62,'Sources and Uses Budget'!$J$99-SUM('15 Year Pro Forma'!$E$62:BJV62))</f>
        <v>0</v>
      </c>
      <c r="BJY62" s="962">
        <f>MIN(BJY60*$C$62,'Sources and Uses Budget'!$J$99-SUM('15 Year Pro Forma'!$E$62:BJX62))</f>
        <v>0</v>
      </c>
      <c r="BKA62" s="962">
        <f>MIN(BKA60*$C$62,'Sources and Uses Budget'!$J$99-SUM('15 Year Pro Forma'!$E$62:BJZ62))</f>
        <v>0</v>
      </c>
      <c r="BKC62" s="962">
        <f>MIN(BKC60*$C$62,'Sources and Uses Budget'!$J$99-SUM('15 Year Pro Forma'!$E$62:BKB62))</f>
        <v>0</v>
      </c>
      <c r="BKE62" s="962">
        <f>MIN(BKE60*$C$62,'Sources and Uses Budget'!$J$99-SUM('15 Year Pro Forma'!$E$62:BKD62))</f>
        <v>0</v>
      </c>
      <c r="BKG62" s="962">
        <f>MIN(BKG60*$C$62,'Sources and Uses Budget'!$J$99-SUM('15 Year Pro Forma'!$E$62:BKF62))</f>
        <v>0</v>
      </c>
      <c r="BKI62" s="962">
        <f>MIN(BKI60*$C$62,'Sources and Uses Budget'!$J$99-SUM('15 Year Pro Forma'!$E$62:BKH62))</f>
        <v>0</v>
      </c>
      <c r="BKK62" s="962">
        <f>MIN(BKK60*$C$62,'Sources and Uses Budget'!$J$99-SUM('15 Year Pro Forma'!$E$62:BKJ62))</f>
        <v>0</v>
      </c>
      <c r="BKM62" s="962">
        <f>MIN(BKM60*$C$62,'Sources and Uses Budget'!$J$99-SUM('15 Year Pro Forma'!$E$62:BKL62))</f>
        <v>0</v>
      </c>
      <c r="BKO62" s="962">
        <f>MIN(BKO60*$C$62,'Sources and Uses Budget'!$J$99-SUM('15 Year Pro Forma'!$E$62:BKN62))</f>
        <v>0</v>
      </c>
      <c r="BKQ62" s="962">
        <f>MIN(BKQ60*$C$62,'Sources and Uses Budget'!$J$99-SUM('15 Year Pro Forma'!$E$62:BKP62))</f>
        <v>0</v>
      </c>
      <c r="BKS62" s="962">
        <f>MIN(BKS60*$C$62,'Sources and Uses Budget'!$J$99-SUM('15 Year Pro Forma'!$E$62:BKR62))</f>
        <v>0</v>
      </c>
      <c r="BKU62" s="962">
        <f>MIN(BKU60*$C$62,'Sources and Uses Budget'!$J$99-SUM('15 Year Pro Forma'!$E$62:BKT62))</f>
        <v>0</v>
      </c>
      <c r="BKW62" s="962">
        <f>MIN(BKW60*$C$62,'Sources and Uses Budget'!$J$99-SUM('15 Year Pro Forma'!$E$62:BKV62))</f>
        <v>0</v>
      </c>
      <c r="BKY62" s="962">
        <f>MIN(BKY60*$C$62,'Sources and Uses Budget'!$J$99-SUM('15 Year Pro Forma'!$E$62:BKX62))</f>
        <v>0</v>
      </c>
      <c r="BLA62" s="962">
        <f>MIN(BLA60*$C$62,'Sources and Uses Budget'!$J$99-SUM('15 Year Pro Forma'!$E$62:BKZ62))</f>
        <v>0</v>
      </c>
      <c r="BLC62" s="962">
        <f>MIN(BLC60*$C$62,'Sources and Uses Budget'!$J$99-SUM('15 Year Pro Forma'!$E$62:BLB62))</f>
        <v>0</v>
      </c>
      <c r="BLE62" s="962">
        <f>MIN(BLE60*$C$62,'Sources and Uses Budget'!$J$99-SUM('15 Year Pro Forma'!$E$62:BLD62))</f>
        <v>0</v>
      </c>
      <c r="BLG62" s="962">
        <f>MIN(BLG60*$C$62,'Sources and Uses Budget'!$J$99-SUM('15 Year Pro Forma'!$E$62:BLF62))</f>
        <v>0</v>
      </c>
      <c r="BLI62" s="962">
        <f>MIN(BLI60*$C$62,'Sources and Uses Budget'!$J$99-SUM('15 Year Pro Forma'!$E$62:BLH62))</f>
        <v>0</v>
      </c>
      <c r="BLK62" s="962">
        <f>MIN(BLK60*$C$62,'Sources and Uses Budget'!$J$99-SUM('15 Year Pro Forma'!$E$62:BLJ62))</f>
        <v>0</v>
      </c>
      <c r="BLM62" s="962">
        <f>MIN(BLM60*$C$62,'Sources and Uses Budget'!$J$99-SUM('15 Year Pro Forma'!$E$62:BLL62))</f>
        <v>0</v>
      </c>
      <c r="BLO62" s="962">
        <f>MIN(BLO60*$C$62,'Sources and Uses Budget'!$J$99-SUM('15 Year Pro Forma'!$E$62:BLN62))</f>
        <v>0</v>
      </c>
      <c r="BLQ62" s="962">
        <f>MIN(BLQ60*$C$62,'Sources and Uses Budget'!$J$99-SUM('15 Year Pro Forma'!$E$62:BLP62))</f>
        <v>0</v>
      </c>
      <c r="BLS62" s="962">
        <f>MIN(BLS60*$C$62,'Sources and Uses Budget'!$J$99-SUM('15 Year Pro Forma'!$E$62:BLR62))</f>
        <v>0</v>
      </c>
      <c r="BLU62" s="962">
        <f>MIN(BLU60*$C$62,'Sources and Uses Budget'!$J$99-SUM('15 Year Pro Forma'!$E$62:BLT62))</f>
        <v>0</v>
      </c>
      <c r="BLW62" s="962">
        <f>MIN(BLW60*$C$62,'Sources and Uses Budget'!$J$99-SUM('15 Year Pro Forma'!$E$62:BLV62))</f>
        <v>0</v>
      </c>
      <c r="BLY62" s="962">
        <f>MIN(BLY60*$C$62,'Sources and Uses Budget'!$J$99-SUM('15 Year Pro Forma'!$E$62:BLX62))</f>
        <v>0</v>
      </c>
      <c r="BMA62" s="962">
        <f>MIN(BMA60*$C$62,'Sources and Uses Budget'!$J$99-SUM('15 Year Pro Forma'!$E$62:BLZ62))</f>
        <v>0</v>
      </c>
      <c r="BMC62" s="962">
        <f>MIN(BMC60*$C$62,'Sources and Uses Budget'!$J$99-SUM('15 Year Pro Forma'!$E$62:BMB62))</f>
        <v>0</v>
      </c>
      <c r="BME62" s="962">
        <f>MIN(BME60*$C$62,'Sources and Uses Budget'!$J$99-SUM('15 Year Pro Forma'!$E$62:BMD62))</f>
        <v>0</v>
      </c>
      <c r="BMG62" s="962">
        <f>MIN(BMG60*$C$62,'Sources and Uses Budget'!$J$99-SUM('15 Year Pro Forma'!$E$62:BMF62))</f>
        <v>0</v>
      </c>
      <c r="BMI62" s="962">
        <f>MIN(BMI60*$C$62,'Sources and Uses Budget'!$J$99-SUM('15 Year Pro Forma'!$E$62:BMH62))</f>
        <v>0</v>
      </c>
      <c r="BMK62" s="962">
        <f>MIN(BMK60*$C$62,'Sources and Uses Budget'!$J$99-SUM('15 Year Pro Forma'!$E$62:BMJ62))</f>
        <v>0</v>
      </c>
      <c r="BMM62" s="962">
        <f>MIN(BMM60*$C$62,'Sources and Uses Budget'!$J$99-SUM('15 Year Pro Forma'!$E$62:BML62))</f>
        <v>0</v>
      </c>
      <c r="BMO62" s="962">
        <f>MIN(BMO60*$C$62,'Sources and Uses Budget'!$J$99-SUM('15 Year Pro Forma'!$E$62:BMN62))</f>
        <v>0</v>
      </c>
      <c r="BMQ62" s="962">
        <f>MIN(BMQ60*$C$62,'Sources and Uses Budget'!$J$99-SUM('15 Year Pro Forma'!$E$62:BMP62))</f>
        <v>0</v>
      </c>
      <c r="BMS62" s="962">
        <f>MIN(BMS60*$C$62,'Sources and Uses Budget'!$J$99-SUM('15 Year Pro Forma'!$E$62:BMR62))</f>
        <v>0</v>
      </c>
      <c r="BMU62" s="962">
        <f>MIN(BMU60*$C$62,'Sources and Uses Budget'!$J$99-SUM('15 Year Pro Forma'!$E$62:BMT62))</f>
        <v>0</v>
      </c>
      <c r="BMW62" s="962">
        <f>MIN(BMW60*$C$62,'Sources and Uses Budget'!$J$99-SUM('15 Year Pro Forma'!$E$62:BMV62))</f>
        <v>0</v>
      </c>
      <c r="BMY62" s="962">
        <f>MIN(BMY60*$C$62,'Sources and Uses Budget'!$J$99-SUM('15 Year Pro Forma'!$E$62:BMX62))</f>
        <v>0</v>
      </c>
      <c r="BNA62" s="962">
        <f>MIN(BNA60*$C$62,'Sources and Uses Budget'!$J$99-SUM('15 Year Pro Forma'!$E$62:BMZ62))</f>
        <v>0</v>
      </c>
      <c r="BNC62" s="962">
        <f>MIN(BNC60*$C$62,'Sources and Uses Budget'!$J$99-SUM('15 Year Pro Forma'!$E$62:BNB62))</f>
        <v>0</v>
      </c>
      <c r="BNE62" s="962">
        <f>MIN(BNE60*$C$62,'Sources and Uses Budget'!$J$99-SUM('15 Year Pro Forma'!$E$62:BND62))</f>
        <v>0</v>
      </c>
      <c r="BNG62" s="962">
        <f>MIN(BNG60*$C$62,'Sources and Uses Budget'!$J$99-SUM('15 Year Pro Forma'!$E$62:BNF62))</f>
        <v>0</v>
      </c>
      <c r="BNI62" s="962">
        <f>MIN(BNI60*$C$62,'Sources and Uses Budget'!$J$99-SUM('15 Year Pro Forma'!$E$62:BNH62))</f>
        <v>0</v>
      </c>
      <c r="BNK62" s="962">
        <f>MIN(BNK60*$C$62,'Sources and Uses Budget'!$J$99-SUM('15 Year Pro Forma'!$E$62:BNJ62))</f>
        <v>0</v>
      </c>
      <c r="BNM62" s="962">
        <f>MIN(BNM60*$C$62,'Sources and Uses Budget'!$J$99-SUM('15 Year Pro Forma'!$E$62:BNL62))</f>
        <v>0</v>
      </c>
      <c r="BNO62" s="962">
        <f>MIN(BNO60*$C$62,'Sources and Uses Budget'!$J$99-SUM('15 Year Pro Forma'!$E$62:BNN62))</f>
        <v>0</v>
      </c>
      <c r="BNQ62" s="962">
        <f>MIN(BNQ60*$C$62,'Sources and Uses Budget'!$J$99-SUM('15 Year Pro Forma'!$E$62:BNP62))</f>
        <v>0</v>
      </c>
      <c r="BNS62" s="962">
        <f>MIN(BNS60*$C$62,'Sources and Uses Budget'!$J$99-SUM('15 Year Pro Forma'!$E$62:BNR62))</f>
        <v>0</v>
      </c>
      <c r="BNU62" s="962">
        <f>MIN(BNU60*$C$62,'Sources and Uses Budget'!$J$99-SUM('15 Year Pro Forma'!$E$62:BNT62))</f>
        <v>0</v>
      </c>
      <c r="BNW62" s="962">
        <f>MIN(BNW60*$C$62,'Sources and Uses Budget'!$J$99-SUM('15 Year Pro Forma'!$E$62:BNV62))</f>
        <v>0</v>
      </c>
      <c r="BNY62" s="962">
        <f>MIN(BNY60*$C$62,'Sources and Uses Budget'!$J$99-SUM('15 Year Pro Forma'!$E$62:BNX62))</f>
        <v>0</v>
      </c>
      <c r="BOA62" s="962">
        <f>MIN(BOA60*$C$62,'Sources and Uses Budget'!$J$99-SUM('15 Year Pro Forma'!$E$62:BNZ62))</f>
        <v>0</v>
      </c>
      <c r="BOC62" s="962">
        <f>MIN(BOC60*$C$62,'Sources and Uses Budget'!$J$99-SUM('15 Year Pro Forma'!$E$62:BOB62))</f>
        <v>0</v>
      </c>
      <c r="BOE62" s="962">
        <f>MIN(BOE60*$C$62,'Sources and Uses Budget'!$J$99-SUM('15 Year Pro Forma'!$E$62:BOD62))</f>
        <v>0</v>
      </c>
      <c r="BOG62" s="962">
        <f>MIN(BOG60*$C$62,'Sources and Uses Budget'!$J$99-SUM('15 Year Pro Forma'!$E$62:BOF62))</f>
        <v>0</v>
      </c>
      <c r="BOI62" s="962">
        <f>MIN(BOI60*$C$62,'Sources and Uses Budget'!$J$99-SUM('15 Year Pro Forma'!$E$62:BOH62))</f>
        <v>0</v>
      </c>
      <c r="BOK62" s="962">
        <f>MIN(BOK60*$C$62,'Sources and Uses Budget'!$J$99-SUM('15 Year Pro Forma'!$E$62:BOJ62))</f>
        <v>0</v>
      </c>
      <c r="BOM62" s="962">
        <f>MIN(BOM60*$C$62,'Sources and Uses Budget'!$J$99-SUM('15 Year Pro Forma'!$E$62:BOL62))</f>
        <v>0</v>
      </c>
      <c r="BOO62" s="962">
        <f>MIN(BOO60*$C$62,'Sources and Uses Budget'!$J$99-SUM('15 Year Pro Forma'!$E$62:BON62))</f>
        <v>0</v>
      </c>
      <c r="BOQ62" s="962">
        <f>MIN(BOQ60*$C$62,'Sources and Uses Budget'!$J$99-SUM('15 Year Pro Forma'!$E$62:BOP62))</f>
        <v>0</v>
      </c>
      <c r="BOS62" s="962">
        <f>MIN(BOS60*$C$62,'Sources and Uses Budget'!$J$99-SUM('15 Year Pro Forma'!$E$62:BOR62))</f>
        <v>0</v>
      </c>
      <c r="BOU62" s="962">
        <f>MIN(BOU60*$C$62,'Sources and Uses Budget'!$J$99-SUM('15 Year Pro Forma'!$E$62:BOT62))</f>
        <v>0</v>
      </c>
      <c r="BOW62" s="962">
        <f>MIN(BOW60*$C$62,'Sources and Uses Budget'!$J$99-SUM('15 Year Pro Forma'!$E$62:BOV62))</f>
        <v>0</v>
      </c>
      <c r="BOY62" s="962">
        <f>MIN(BOY60*$C$62,'Sources and Uses Budget'!$J$99-SUM('15 Year Pro Forma'!$E$62:BOX62))</f>
        <v>0</v>
      </c>
      <c r="BPA62" s="962">
        <f>MIN(BPA60*$C$62,'Sources and Uses Budget'!$J$99-SUM('15 Year Pro Forma'!$E$62:BOZ62))</f>
        <v>0</v>
      </c>
      <c r="BPC62" s="962">
        <f>MIN(BPC60*$C$62,'Sources and Uses Budget'!$J$99-SUM('15 Year Pro Forma'!$E$62:BPB62))</f>
        <v>0</v>
      </c>
      <c r="BPE62" s="962">
        <f>MIN(BPE60*$C$62,'Sources and Uses Budget'!$J$99-SUM('15 Year Pro Forma'!$E$62:BPD62))</f>
        <v>0</v>
      </c>
      <c r="BPG62" s="962">
        <f>MIN(BPG60*$C$62,'Sources and Uses Budget'!$J$99-SUM('15 Year Pro Forma'!$E$62:BPF62))</f>
        <v>0</v>
      </c>
      <c r="BPI62" s="962">
        <f>MIN(BPI60*$C$62,'Sources and Uses Budget'!$J$99-SUM('15 Year Pro Forma'!$E$62:BPH62))</f>
        <v>0</v>
      </c>
      <c r="BPK62" s="962">
        <f>MIN(BPK60*$C$62,'Sources and Uses Budget'!$J$99-SUM('15 Year Pro Forma'!$E$62:BPJ62))</f>
        <v>0</v>
      </c>
      <c r="BPM62" s="962">
        <f>MIN(BPM60*$C$62,'Sources and Uses Budget'!$J$99-SUM('15 Year Pro Forma'!$E$62:BPL62))</f>
        <v>0</v>
      </c>
      <c r="BPO62" s="962">
        <f>MIN(BPO60*$C$62,'Sources and Uses Budget'!$J$99-SUM('15 Year Pro Forma'!$E$62:BPN62))</f>
        <v>0</v>
      </c>
      <c r="BPQ62" s="962">
        <f>MIN(BPQ60*$C$62,'Sources and Uses Budget'!$J$99-SUM('15 Year Pro Forma'!$E$62:BPP62))</f>
        <v>0</v>
      </c>
      <c r="BPS62" s="962">
        <f>MIN(BPS60*$C$62,'Sources and Uses Budget'!$J$99-SUM('15 Year Pro Forma'!$E$62:BPR62))</f>
        <v>0</v>
      </c>
      <c r="BPU62" s="962">
        <f>MIN(BPU60*$C$62,'Sources and Uses Budget'!$J$99-SUM('15 Year Pro Forma'!$E$62:BPT62))</f>
        <v>0</v>
      </c>
      <c r="BPW62" s="962">
        <f>MIN(BPW60*$C$62,'Sources and Uses Budget'!$J$99-SUM('15 Year Pro Forma'!$E$62:BPV62))</f>
        <v>0</v>
      </c>
      <c r="BPY62" s="962">
        <f>MIN(BPY60*$C$62,'Sources and Uses Budget'!$J$99-SUM('15 Year Pro Forma'!$E$62:BPX62))</f>
        <v>0</v>
      </c>
      <c r="BQA62" s="962">
        <f>MIN(BQA60*$C$62,'Sources and Uses Budget'!$J$99-SUM('15 Year Pro Forma'!$E$62:BPZ62))</f>
        <v>0</v>
      </c>
      <c r="BQC62" s="962">
        <f>MIN(BQC60*$C$62,'Sources and Uses Budget'!$J$99-SUM('15 Year Pro Forma'!$E$62:BQB62))</f>
        <v>0</v>
      </c>
      <c r="BQE62" s="962">
        <f>MIN(BQE60*$C$62,'Sources and Uses Budget'!$J$99-SUM('15 Year Pro Forma'!$E$62:BQD62))</f>
        <v>0</v>
      </c>
      <c r="BQG62" s="962">
        <f>MIN(BQG60*$C$62,'Sources and Uses Budget'!$J$99-SUM('15 Year Pro Forma'!$E$62:BQF62))</f>
        <v>0</v>
      </c>
      <c r="BQI62" s="962">
        <f>MIN(BQI60*$C$62,'Sources and Uses Budget'!$J$99-SUM('15 Year Pro Forma'!$E$62:BQH62))</f>
        <v>0</v>
      </c>
      <c r="BQK62" s="962">
        <f>MIN(BQK60*$C$62,'Sources and Uses Budget'!$J$99-SUM('15 Year Pro Forma'!$E$62:BQJ62))</f>
        <v>0</v>
      </c>
      <c r="BQM62" s="962">
        <f>MIN(BQM60*$C$62,'Sources and Uses Budget'!$J$99-SUM('15 Year Pro Forma'!$E$62:BQL62))</f>
        <v>0</v>
      </c>
      <c r="BQO62" s="962">
        <f>MIN(BQO60*$C$62,'Sources and Uses Budget'!$J$99-SUM('15 Year Pro Forma'!$E$62:BQN62))</f>
        <v>0</v>
      </c>
      <c r="BQQ62" s="962">
        <f>MIN(BQQ60*$C$62,'Sources and Uses Budget'!$J$99-SUM('15 Year Pro Forma'!$E$62:BQP62))</f>
        <v>0</v>
      </c>
      <c r="BQS62" s="962">
        <f>MIN(BQS60*$C$62,'Sources and Uses Budget'!$J$99-SUM('15 Year Pro Forma'!$E$62:BQR62))</f>
        <v>0</v>
      </c>
      <c r="BQU62" s="962">
        <f>MIN(BQU60*$C$62,'Sources and Uses Budget'!$J$99-SUM('15 Year Pro Forma'!$E$62:BQT62))</f>
        <v>0</v>
      </c>
      <c r="BQW62" s="962">
        <f>MIN(BQW60*$C$62,'Sources and Uses Budget'!$J$99-SUM('15 Year Pro Forma'!$E$62:BQV62))</f>
        <v>0</v>
      </c>
      <c r="BQY62" s="962">
        <f>MIN(BQY60*$C$62,'Sources and Uses Budget'!$J$99-SUM('15 Year Pro Forma'!$E$62:BQX62))</f>
        <v>0</v>
      </c>
      <c r="BRA62" s="962">
        <f>MIN(BRA60*$C$62,'Sources and Uses Budget'!$J$99-SUM('15 Year Pro Forma'!$E$62:BQZ62))</f>
        <v>0</v>
      </c>
      <c r="BRC62" s="962">
        <f>MIN(BRC60*$C$62,'Sources and Uses Budget'!$J$99-SUM('15 Year Pro Forma'!$E$62:BRB62))</f>
        <v>0</v>
      </c>
      <c r="BRE62" s="962">
        <f>MIN(BRE60*$C$62,'Sources and Uses Budget'!$J$99-SUM('15 Year Pro Forma'!$E$62:BRD62))</f>
        <v>0</v>
      </c>
      <c r="BRG62" s="962">
        <f>MIN(BRG60*$C$62,'Sources and Uses Budget'!$J$99-SUM('15 Year Pro Forma'!$E$62:BRF62))</f>
        <v>0</v>
      </c>
      <c r="BRI62" s="962">
        <f>MIN(BRI60*$C$62,'Sources and Uses Budget'!$J$99-SUM('15 Year Pro Forma'!$E$62:BRH62))</f>
        <v>0</v>
      </c>
      <c r="BRK62" s="962">
        <f>MIN(BRK60*$C$62,'Sources and Uses Budget'!$J$99-SUM('15 Year Pro Forma'!$E$62:BRJ62))</f>
        <v>0</v>
      </c>
      <c r="BRM62" s="962">
        <f>MIN(BRM60*$C$62,'Sources and Uses Budget'!$J$99-SUM('15 Year Pro Forma'!$E$62:BRL62))</f>
        <v>0</v>
      </c>
      <c r="BRO62" s="962">
        <f>MIN(BRO60*$C$62,'Sources and Uses Budget'!$J$99-SUM('15 Year Pro Forma'!$E$62:BRN62))</f>
        <v>0</v>
      </c>
      <c r="BRQ62" s="962">
        <f>MIN(BRQ60*$C$62,'Sources and Uses Budget'!$J$99-SUM('15 Year Pro Forma'!$E$62:BRP62))</f>
        <v>0</v>
      </c>
      <c r="BRS62" s="962">
        <f>MIN(BRS60*$C$62,'Sources and Uses Budget'!$J$99-SUM('15 Year Pro Forma'!$E$62:BRR62))</f>
        <v>0</v>
      </c>
      <c r="BRU62" s="962">
        <f>MIN(BRU60*$C$62,'Sources and Uses Budget'!$J$99-SUM('15 Year Pro Forma'!$E$62:BRT62))</f>
        <v>0</v>
      </c>
      <c r="BRW62" s="962">
        <f>MIN(BRW60*$C$62,'Sources and Uses Budget'!$J$99-SUM('15 Year Pro Forma'!$E$62:BRV62))</f>
        <v>0</v>
      </c>
      <c r="BRY62" s="962">
        <f>MIN(BRY60*$C$62,'Sources and Uses Budget'!$J$99-SUM('15 Year Pro Forma'!$E$62:BRX62))</f>
        <v>0</v>
      </c>
      <c r="BSA62" s="962">
        <f>MIN(BSA60*$C$62,'Sources and Uses Budget'!$J$99-SUM('15 Year Pro Forma'!$E$62:BRZ62))</f>
        <v>0</v>
      </c>
      <c r="BSC62" s="962">
        <f>MIN(BSC60*$C$62,'Sources and Uses Budget'!$J$99-SUM('15 Year Pro Forma'!$E$62:BSB62))</f>
        <v>0</v>
      </c>
      <c r="BSE62" s="962">
        <f>MIN(BSE60*$C$62,'Sources and Uses Budget'!$J$99-SUM('15 Year Pro Forma'!$E$62:BSD62))</f>
        <v>0</v>
      </c>
      <c r="BSG62" s="962">
        <f>MIN(BSG60*$C$62,'Sources and Uses Budget'!$J$99-SUM('15 Year Pro Forma'!$E$62:BSF62))</f>
        <v>0</v>
      </c>
      <c r="BSI62" s="962">
        <f>MIN(BSI60*$C$62,'Sources and Uses Budget'!$J$99-SUM('15 Year Pro Forma'!$E$62:BSH62))</f>
        <v>0</v>
      </c>
      <c r="BSK62" s="962">
        <f>MIN(BSK60*$C$62,'Sources and Uses Budget'!$J$99-SUM('15 Year Pro Forma'!$E$62:BSJ62))</f>
        <v>0</v>
      </c>
      <c r="BSM62" s="962">
        <f>MIN(BSM60*$C$62,'Sources and Uses Budget'!$J$99-SUM('15 Year Pro Forma'!$E$62:BSL62))</f>
        <v>0</v>
      </c>
      <c r="BSO62" s="962">
        <f>MIN(BSO60*$C$62,'Sources and Uses Budget'!$J$99-SUM('15 Year Pro Forma'!$E$62:BSN62))</f>
        <v>0</v>
      </c>
      <c r="BSQ62" s="962">
        <f>MIN(BSQ60*$C$62,'Sources and Uses Budget'!$J$99-SUM('15 Year Pro Forma'!$E$62:BSP62))</f>
        <v>0</v>
      </c>
      <c r="BSS62" s="962">
        <f>MIN(BSS60*$C$62,'Sources and Uses Budget'!$J$99-SUM('15 Year Pro Forma'!$E$62:BSR62))</f>
        <v>0</v>
      </c>
      <c r="BSU62" s="962">
        <f>MIN(BSU60*$C$62,'Sources and Uses Budget'!$J$99-SUM('15 Year Pro Forma'!$E$62:BST62))</f>
        <v>0</v>
      </c>
      <c r="BSW62" s="962">
        <f>MIN(BSW60*$C$62,'Sources and Uses Budget'!$J$99-SUM('15 Year Pro Forma'!$E$62:BSV62))</f>
        <v>0</v>
      </c>
      <c r="BSY62" s="962">
        <f>MIN(BSY60*$C$62,'Sources and Uses Budget'!$J$99-SUM('15 Year Pro Forma'!$E$62:BSX62))</f>
        <v>0</v>
      </c>
      <c r="BTA62" s="962">
        <f>MIN(BTA60*$C$62,'Sources and Uses Budget'!$J$99-SUM('15 Year Pro Forma'!$E$62:BSZ62))</f>
        <v>0</v>
      </c>
      <c r="BTC62" s="962">
        <f>MIN(BTC60*$C$62,'Sources and Uses Budget'!$J$99-SUM('15 Year Pro Forma'!$E$62:BTB62))</f>
        <v>0</v>
      </c>
      <c r="BTE62" s="962">
        <f>MIN(BTE60*$C$62,'Sources and Uses Budget'!$J$99-SUM('15 Year Pro Forma'!$E$62:BTD62))</f>
        <v>0</v>
      </c>
      <c r="BTG62" s="962">
        <f>MIN(BTG60*$C$62,'Sources and Uses Budget'!$J$99-SUM('15 Year Pro Forma'!$E$62:BTF62))</f>
        <v>0</v>
      </c>
      <c r="BTI62" s="962">
        <f>MIN(BTI60*$C$62,'Sources and Uses Budget'!$J$99-SUM('15 Year Pro Forma'!$E$62:BTH62))</f>
        <v>0</v>
      </c>
      <c r="BTK62" s="962">
        <f>MIN(BTK60*$C$62,'Sources and Uses Budget'!$J$99-SUM('15 Year Pro Forma'!$E$62:BTJ62))</f>
        <v>0</v>
      </c>
      <c r="BTM62" s="962">
        <f>MIN(BTM60*$C$62,'Sources and Uses Budget'!$J$99-SUM('15 Year Pro Forma'!$E$62:BTL62))</f>
        <v>0</v>
      </c>
      <c r="BTO62" s="962">
        <f>MIN(BTO60*$C$62,'Sources and Uses Budget'!$J$99-SUM('15 Year Pro Forma'!$E$62:BTN62))</f>
        <v>0</v>
      </c>
      <c r="BTQ62" s="962">
        <f>MIN(BTQ60*$C$62,'Sources and Uses Budget'!$J$99-SUM('15 Year Pro Forma'!$E$62:BTP62))</f>
        <v>0</v>
      </c>
      <c r="BTS62" s="962">
        <f>MIN(BTS60*$C$62,'Sources and Uses Budget'!$J$99-SUM('15 Year Pro Forma'!$E$62:BTR62))</f>
        <v>0</v>
      </c>
      <c r="BTU62" s="962">
        <f>MIN(BTU60*$C$62,'Sources and Uses Budget'!$J$99-SUM('15 Year Pro Forma'!$E$62:BTT62))</f>
        <v>0</v>
      </c>
      <c r="BTW62" s="962">
        <f>MIN(BTW60*$C$62,'Sources and Uses Budget'!$J$99-SUM('15 Year Pro Forma'!$E$62:BTV62))</f>
        <v>0</v>
      </c>
      <c r="BTY62" s="962">
        <f>MIN(BTY60*$C$62,'Sources and Uses Budget'!$J$99-SUM('15 Year Pro Forma'!$E$62:BTX62))</f>
        <v>0</v>
      </c>
      <c r="BUA62" s="962">
        <f>MIN(BUA60*$C$62,'Sources and Uses Budget'!$J$99-SUM('15 Year Pro Forma'!$E$62:BTZ62))</f>
        <v>0</v>
      </c>
      <c r="BUC62" s="962">
        <f>MIN(BUC60*$C$62,'Sources and Uses Budget'!$J$99-SUM('15 Year Pro Forma'!$E$62:BUB62))</f>
        <v>0</v>
      </c>
      <c r="BUE62" s="962">
        <f>MIN(BUE60*$C$62,'Sources and Uses Budget'!$J$99-SUM('15 Year Pro Forma'!$E$62:BUD62))</f>
        <v>0</v>
      </c>
      <c r="BUG62" s="962">
        <f>MIN(BUG60*$C$62,'Sources and Uses Budget'!$J$99-SUM('15 Year Pro Forma'!$E$62:BUF62))</f>
        <v>0</v>
      </c>
      <c r="BUI62" s="962">
        <f>MIN(BUI60*$C$62,'Sources and Uses Budget'!$J$99-SUM('15 Year Pro Forma'!$E$62:BUH62))</f>
        <v>0</v>
      </c>
      <c r="BUK62" s="962">
        <f>MIN(BUK60*$C$62,'Sources and Uses Budget'!$J$99-SUM('15 Year Pro Forma'!$E$62:BUJ62))</f>
        <v>0</v>
      </c>
      <c r="BUM62" s="962">
        <f>MIN(BUM60*$C$62,'Sources and Uses Budget'!$J$99-SUM('15 Year Pro Forma'!$E$62:BUL62))</f>
        <v>0</v>
      </c>
      <c r="BUO62" s="962">
        <f>MIN(BUO60*$C$62,'Sources and Uses Budget'!$J$99-SUM('15 Year Pro Forma'!$E$62:BUN62))</f>
        <v>0</v>
      </c>
      <c r="BUQ62" s="962">
        <f>MIN(BUQ60*$C$62,'Sources and Uses Budget'!$J$99-SUM('15 Year Pro Forma'!$E$62:BUP62))</f>
        <v>0</v>
      </c>
      <c r="BUS62" s="962">
        <f>MIN(BUS60*$C$62,'Sources and Uses Budget'!$J$99-SUM('15 Year Pro Forma'!$E$62:BUR62))</f>
        <v>0</v>
      </c>
      <c r="BUU62" s="962">
        <f>MIN(BUU60*$C$62,'Sources and Uses Budget'!$J$99-SUM('15 Year Pro Forma'!$E$62:BUT62))</f>
        <v>0</v>
      </c>
      <c r="BUW62" s="962">
        <f>MIN(BUW60*$C$62,'Sources and Uses Budget'!$J$99-SUM('15 Year Pro Forma'!$E$62:BUV62))</f>
        <v>0</v>
      </c>
      <c r="BUY62" s="962">
        <f>MIN(BUY60*$C$62,'Sources and Uses Budget'!$J$99-SUM('15 Year Pro Forma'!$E$62:BUX62))</f>
        <v>0</v>
      </c>
      <c r="BVA62" s="962">
        <f>MIN(BVA60*$C$62,'Sources and Uses Budget'!$J$99-SUM('15 Year Pro Forma'!$E$62:BUZ62))</f>
        <v>0</v>
      </c>
      <c r="BVC62" s="962">
        <f>MIN(BVC60*$C$62,'Sources and Uses Budget'!$J$99-SUM('15 Year Pro Forma'!$E$62:BVB62))</f>
        <v>0</v>
      </c>
      <c r="BVE62" s="962">
        <f>MIN(BVE60*$C$62,'Sources and Uses Budget'!$J$99-SUM('15 Year Pro Forma'!$E$62:BVD62))</f>
        <v>0</v>
      </c>
      <c r="BVG62" s="962">
        <f>MIN(BVG60*$C$62,'Sources and Uses Budget'!$J$99-SUM('15 Year Pro Forma'!$E$62:BVF62))</f>
        <v>0</v>
      </c>
      <c r="BVI62" s="962">
        <f>MIN(BVI60*$C$62,'Sources and Uses Budget'!$J$99-SUM('15 Year Pro Forma'!$E$62:BVH62))</f>
        <v>0</v>
      </c>
      <c r="BVK62" s="962">
        <f>MIN(BVK60*$C$62,'Sources and Uses Budget'!$J$99-SUM('15 Year Pro Forma'!$E$62:BVJ62))</f>
        <v>0</v>
      </c>
      <c r="BVM62" s="962">
        <f>MIN(BVM60*$C$62,'Sources and Uses Budget'!$J$99-SUM('15 Year Pro Forma'!$E$62:BVL62))</f>
        <v>0</v>
      </c>
      <c r="BVO62" s="962">
        <f>MIN(BVO60*$C$62,'Sources and Uses Budget'!$J$99-SUM('15 Year Pro Forma'!$E$62:BVN62))</f>
        <v>0</v>
      </c>
      <c r="BVQ62" s="962">
        <f>MIN(BVQ60*$C$62,'Sources and Uses Budget'!$J$99-SUM('15 Year Pro Forma'!$E$62:BVP62))</f>
        <v>0</v>
      </c>
      <c r="BVS62" s="962">
        <f>MIN(BVS60*$C$62,'Sources and Uses Budget'!$J$99-SUM('15 Year Pro Forma'!$E$62:BVR62))</f>
        <v>0</v>
      </c>
      <c r="BVU62" s="962">
        <f>MIN(BVU60*$C$62,'Sources and Uses Budget'!$J$99-SUM('15 Year Pro Forma'!$E$62:BVT62))</f>
        <v>0</v>
      </c>
      <c r="BVW62" s="962">
        <f>MIN(BVW60*$C$62,'Sources and Uses Budget'!$J$99-SUM('15 Year Pro Forma'!$E$62:BVV62))</f>
        <v>0</v>
      </c>
      <c r="BVY62" s="962">
        <f>MIN(BVY60*$C$62,'Sources and Uses Budget'!$J$99-SUM('15 Year Pro Forma'!$E$62:BVX62))</f>
        <v>0</v>
      </c>
      <c r="BWA62" s="962">
        <f>MIN(BWA60*$C$62,'Sources and Uses Budget'!$J$99-SUM('15 Year Pro Forma'!$E$62:BVZ62))</f>
        <v>0</v>
      </c>
      <c r="BWC62" s="962">
        <f>MIN(BWC60*$C$62,'Sources and Uses Budget'!$J$99-SUM('15 Year Pro Forma'!$E$62:BWB62))</f>
        <v>0</v>
      </c>
      <c r="BWE62" s="962">
        <f>MIN(BWE60*$C$62,'Sources and Uses Budget'!$J$99-SUM('15 Year Pro Forma'!$E$62:BWD62))</f>
        <v>0</v>
      </c>
      <c r="BWG62" s="962">
        <f>MIN(BWG60*$C$62,'Sources and Uses Budget'!$J$99-SUM('15 Year Pro Forma'!$E$62:BWF62))</f>
        <v>0</v>
      </c>
      <c r="BWI62" s="962">
        <f>MIN(BWI60*$C$62,'Sources and Uses Budget'!$J$99-SUM('15 Year Pro Forma'!$E$62:BWH62))</f>
        <v>0</v>
      </c>
      <c r="BWK62" s="962">
        <f>MIN(BWK60*$C$62,'Sources and Uses Budget'!$J$99-SUM('15 Year Pro Forma'!$E$62:BWJ62))</f>
        <v>0</v>
      </c>
      <c r="BWM62" s="962">
        <f>MIN(BWM60*$C$62,'Sources and Uses Budget'!$J$99-SUM('15 Year Pro Forma'!$E$62:BWL62))</f>
        <v>0</v>
      </c>
      <c r="BWO62" s="962">
        <f>MIN(BWO60*$C$62,'Sources and Uses Budget'!$J$99-SUM('15 Year Pro Forma'!$E$62:BWN62))</f>
        <v>0</v>
      </c>
      <c r="BWQ62" s="962">
        <f>MIN(BWQ60*$C$62,'Sources and Uses Budget'!$J$99-SUM('15 Year Pro Forma'!$E$62:BWP62))</f>
        <v>0</v>
      </c>
      <c r="BWS62" s="962">
        <f>MIN(BWS60*$C$62,'Sources and Uses Budget'!$J$99-SUM('15 Year Pro Forma'!$E$62:BWR62))</f>
        <v>0</v>
      </c>
      <c r="BWU62" s="962">
        <f>MIN(BWU60*$C$62,'Sources and Uses Budget'!$J$99-SUM('15 Year Pro Forma'!$E$62:BWT62))</f>
        <v>0</v>
      </c>
      <c r="BWW62" s="962">
        <f>MIN(BWW60*$C$62,'Sources and Uses Budget'!$J$99-SUM('15 Year Pro Forma'!$E$62:BWV62))</f>
        <v>0</v>
      </c>
      <c r="BWY62" s="962">
        <f>MIN(BWY60*$C$62,'Sources and Uses Budget'!$J$99-SUM('15 Year Pro Forma'!$E$62:BWX62))</f>
        <v>0</v>
      </c>
      <c r="BXA62" s="962">
        <f>MIN(BXA60*$C$62,'Sources and Uses Budget'!$J$99-SUM('15 Year Pro Forma'!$E$62:BWZ62))</f>
        <v>0</v>
      </c>
      <c r="BXC62" s="962">
        <f>MIN(BXC60*$C$62,'Sources and Uses Budget'!$J$99-SUM('15 Year Pro Forma'!$E$62:BXB62))</f>
        <v>0</v>
      </c>
      <c r="BXE62" s="962">
        <f>MIN(BXE60*$C$62,'Sources and Uses Budget'!$J$99-SUM('15 Year Pro Forma'!$E$62:BXD62))</f>
        <v>0</v>
      </c>
      <c r="BXG62" s="962">
        <f>MIN(BXG60*$C$62,'Sources and Uses Budget'!$J$99-SUM('15 Year Pro Forma'!$E$62:BXF62))</f>
        <v>0</v>
      </c>
      <c r="BXI62" s="962">
        <f>MIN(BXI60*$C$62,'Sources and Uses Budget'!$J$99-SUM('15 Year Pro Forma'!$E$62:BXH62))</f>
        <v>0</v>
      </c>
      <c r="BXK62" s="962">
        <f>MIN(BXK60*$C$62,'Sources and Uses Budget'!$J$99-SUM('15 Year Pro Forma'!$E$62:BXJ62))</f>
        <v>0</v>
      </c>
      <c r="BXM62" s="962">
        <f>MIN(BXM60*$C$62,'Sources and Uses Budget'!$J$99-SUM('15 Year Pro Forma'!$E$62:BXL62))</f>
        <v>0</v>
      </c>
      <c r="BXO62" s="962">
        <f>MIN(BXO60*$C$62,'Sources and Uses Budget'!$J$99-SUM('15 Year Pro Forma'!$E$62:BXN62))</f>
        <v>0</v>
      </c>
      <c r="BXQ62" s="962">
        <f>MIN(BXQ60*$C$62,'Sources and Uses Budget'!$J$99-SUM('15 Year Pro Forma'!$E$62:BXP62))</f>
        <v>0</v>
      </c>
      <c r="BXS62" s="962">
        <f>MIN(BXS60*$C$62,'Sources and Uses Budget'!$J$99-SUM('15 Year Pro Forma'!$E$62:BXR62))</f>
        <v>0</v>
      </c>
      <c r="BXU62" s="962">
        <f>MIN(BXU60*$C$62,'Sources and Uses Budget'!$J$99-SUM('15 Year Pro Forma'!$E$62:BXT62))</f>
        <v>0</v>
      </c>
      <c r="BXW62" s="962">
        <f>MIN(BXW60*$C$62,'Sources and Uses Budget'!$J$99-SUM('15 Year Pro Forma'!$E$62:BXV62))</f>
        <v>0</v>
      </c>
      <c r="BXY62" s="962">
        <f>MIN(BXY60*$C$62,'Sources and Uses Budget'!$J$99-SUM('15 Year Pro Forma'!$E$62:BXX62))</f>
        <v>0</v>
      </c>
      <c r="BYA62" s="962">
        <f>MIN(BYA60*$C$62,'Sources and Uses Budget'!$J$99-SUM('15 Year Pro Forma'!$E$62:BXZ62))</f>
        <v>0</v>
      </c>
      <c r="BYC62" s="962">
        <f>MIN(BYC60*$C$62,'Sources and Uses Budget'!$J$99-SUM('15 Year Pro Forma'!$E$62:BYB62))</f>
        <v>0</v>
      </c>
      <c r="BYE62" s="962">
        <f>MIN(BYE60*$C$62,'Sources and Uses Budget'!$J$99-SUM('15 Year Pro Forma'!$E$62:BYD62))</f>
        <v>0</v>
      </c>
      <c r="BYG62" s="962">
        <f>MIN(BYG60*$C$62,'Sources and Uses Budget'!$J$99-SUM('15 Year Pro Forma'!$E$62:BYF62))</f>
        <v>0</v>
      </c>
      <c r="BYI62" s="962">
        <f>MIN(BYI60*$C$62,'Sources and Uses Budget'!$J$99-SUM('15 Year Pro Forma'!$E$62:BYH62))</f>
        <v>0</v>
      </c>
      <c r="BYK62" s="962">
        <f>MIN(BYK60*$C$62,'Sources and Uses Budget'!$J$99-SUM('15 Year Pro Forma'!$E$62:BYJ62))</f>
        <v>0</v>
      </c>
      <c r="BYM62" s="962">
        <f>MIN(BYM60*$C$62,'Sources and Uses Budget'!$J$99-SUM('15 Year Pro Forma'!$E$62:BYL62))</f>
        <v>0</v>
      </c>
      <c r="BYO62" s="962">
        <f>MIN(BYO60*$C$62,'Sources and Uses Budget'!$J$99-SUM('15 Year Pro Forma'!$E$62:BYN62))</f>
        <v>0</v>
      </c>
      <c r="BYQ62" s="962">
        <f>MIN(BYQ60*$C$62,'Sources and Uses Budget'!$J$99-SUM('15 Year Pro Forma'!$E$62:BYP62))</f>
        <v>0</v>
      </c>
      <c r="BYS62" s="962">
        <f>MIN(BYS60*$C$62,'Sources and Uses Budget'!$J$99-SUM('15 Year Pro Forma'!$E$62:BYR62))</f>
        <v>0</v>
      </c>
      <c r="BYU62" s="962">
        <f>MIN(BYU60*$C$62,'Sources and Uses Budget'!$J$99-SUM('15 Year Pro Forma'!$E$62:BYT62))</f>
        <v>0</v>
      </c>
      <c r="BYW62" s="962">
        <f>MIN(BYW60*$C$62,'Sources and Uses Budget'!$J$99-SUM('15 Year Pro Forma'!$E$62:BYV62))</f>
        <v>0</v>
      </c>
      <c r="BYY62" s="962">
        <f>MIN(BYY60*$C$62,'Sources and Uses Budget'!$J$99-SUM('15 Year Pro Forma'!$E$62:BYX62))</f>
        <v>0</v>
      </c>
      <c r="BZA62" s="962">
        <f>MIN(BZA60*$C$62,'Sources and Uses Budget'!$J$99-SUM('15 Year Pro Forma'!$E$62:BYZ62))</f>
        <v>0</v>
      </c>
      <c r="BZC62" s="962">
        <f>MIN(BZC60*$C$62,'Sources and Uses Budget'!$J$99-SUM('15 Year Pro Forma'!$E$62:BZB62))</f>
        <v>0</v>
      </c>
      <c r="BZE62" s="962">
        <f>MIN(BZE60*$C$62,'Sources and Uses Budget'!$J$99-SUM('15 Year Pro Forma'!$E$62:BZD62))</f>
        <v>0</v>
      </c>
      <c r="BZG62" s="962">
        <f>MIN(BZG60*$C$62,'Sources and Uses Budget'!$J$99-SUM('15 Year Pro Forma'!$E$62:BZF62))</f>
        <v>0</v>
      </c>
      <c r="BZI62" s="962">
        <f>MIN(BZI60*$C$62,'Sources and Uses Budget'!$J$99-SUM('15 Year Pro Forma'!$E$62:BZH62))</f>
        <v>0</v>
      </c>
      <c r="BZK62" s="962">
        <f>MIN(BZK60*$C$62,'Sources and Uses Budget'!$J$99-SUM('15 Year Pro Forma'!$E$62:BZJ62))</f>
        <v>0</v>
      </c>
      <c r="BZM62" s="962">
        <f>MIN(BZM60*$C$62,'Sources and Uses Budget'!$J$99-SUM('15 Year Pro Forma'!$E$62:BZL62))</f>
        <v>0</v>
      </c>
      <c r="BZO62" s="962">
        <f>MIN(BZO60*$C$62,'Sources and Uses Budget'!$J$99-SUM('15 Year Pro Forma'!$E$62:BZN62))</f>
        <v>0</v>
      </c>
      <c r="BZQ62" s="962">
        <f>MIN(BZQ60*$C$62,'Sources and Uses Budget'!$J$99-SUM('15 Year Pro Forma'!$E$62:BZP62))</f>
        <v>0</v>
      </c>
      <c r="BZS62" s="962">
        <f>MIN(BZS60*$C$62,'Sources and Uses Budget'!$J$99-SUM('15 Year Pro Forma'!$E$62:BZR62))</f>
        <v>0</v>
      </c>
      <c r="BZU62" s="962">
        <f>MIN(BZU60*$C$62,'Sources and Uses Budget'!$J$99-SUM('15 Year Pro Forma'!$E$62:BZT62))</f>
        <v>0</v>
      </c>
      <c r="BZW62" s="962">
        <f>MIN(BZW60*$C$62,'Sources and Uses Budget'!$J$99-SUM('15 Year Pro Forma'!$E$62:BZV62))</f>
        <v>0</v>
      </c>
      <c r="BZY62" s="962">
        <f>MIN(BZY60*$C$62,'Sources and Uses Budget'!$J$99-SUM('15 Year Pro Forma'!$E$62:BZX62))</f>
        <v>0</v>
      </c>
      <c r="CAA62" s="962">
        <f>MIN(CAA60*$C$62,'Sources and Uses Budget'!$J$99-SUM('15 Year Pro Forma'!$E$62:BZZ62))</f>
        <v>0</v>
      </c>
      <c r="CAC62" s="962">
        <f>MIN(CAC60*$C$62,'Sources and Uses Budget'!$J$99-SUM('15 Year Pro Forma'!$E$62:CAB62))</f>
        <v>0</v>
      </c>
      <c r="CAE62" s="962">
        <f>MIN(CAE60*$C$62,'Sources and Uses Budget'!$J$99-SUM('15 Year Pro Forma'!$E$62:CAD62))</f>
        <v>0</v>
      </c>
      <c r="CAG62" s="962">
        <f>MIN(CAG60*$C$62,'Sources and Uses Budget'!$J$99-SUM('15 Year Pro Forma'!$E$62:CAF62))</f>
        <v>0</v>
      </c>
      <c r="CAI62" s="962">
        <f>MIN(CAI60*$C$62,'Sources and Uses Budget'!$J$99-SUM('15 Year Pro Forma'!$E$62:CAH62))</f>
        <v>0</v>
      </c>
      <c r="CAK62" s="962">
        <f>MIN(CAK60*$C$62,'Sources and Uses Budget'!$J$99-SUM('15 Year Pro Forma'!$E$62:CAJ62))</f>
        <v>0</v>
      </c>
      <c r="CAM62" s="962">
        <f>MIN(CAM60*$C$62,'Sources and Uses Budget'!$J$99-SUM('15 Year Pro Forma'!$E$62:CAL62))</f>
        <v>0</v>
      </c>
      <c r="CAO62" s="962">
        <f>MIN(CAO60*$C$62,'Sources and Uses Budget'!$J$99-SUM('15 Year Pro Forma'!$E$62:CAN62))</f>
        <v>0</v>
      </c>
      <c r="CAQ62" s="962">
        <f>MIN(CAQ60*$C$62,'Sources and Uses Budget'!$J$99-SUM('15 Year Pro Forma'!$E$62:CAP62))</f>
        <v>0</v>
      </c>
      <c r="CAS62" s="962">
        <f>MIN(CAS60*$C$62,'Sources and Uses Budget'!$J$99-SUM('15 Year Pro Forma'!$E$62:CAR62))</f>
        <v>0</v>
      </c>
      <c r="CAU62" s="962">
        <f>MIN(CAU60*$C$62,'Sources and Uses Budget'!$J$99-SUM('15 Year Pro Forma'!$E$62:CAT62))</f>
        <v>0</v>
      </c>
      <c r="CAW62" s="962">
        <f>MIN(CAW60*$C$62,'Sources and Uses Budget'!$J$99-SUM('15 Year Pro Forma'!$E$62:CAV62))</f>
        <v>0</v>
      </c>
      <c r="CAY62" s="962">
        <f>MIN(CAY60*$C$62,'Sources and Uses Budget'!$J$99-SUM('15 Year Pro Forma'!$E$62:CAX62))</f>
        <v>0</v>
      </c>
      <c r="CBA62" s="962">
        <f>MIN(CBA60*$C$62,'Sources and Uses Budget'!$J$99-SUM('15 Year Pro Forma'!$E$62:CAZ62))</f>
        <v>0</v>
      </c>
      <c r="CBC62" s="962">
        <f>MIN(CBC60*$C$62,'Sources and Uses Budget'!$J$99-SUM('15 Year Pro Forma'!$E$62:CBB62))</f>
        <v>0</v>
      </c>
      <c r="CBE62" s="962">
        <f>MIN(CBE60*$C$62,'Sources and Uses Budget'!$J$99-SUM('15 Year Pro Forma'!$E$62:CBD62))</f>
        <v>0</v>
      </c>
      <c r="CBG62" s="962">
        <f>MIN(CBG60*$C$62,'Sources and Uses Budget'!$J$99-SUM('15 Year Pro Forma'!$E$62:CBF62))</f>
        <v>0</v>
      </c>
      <c r="CBI62" s="962">
        <f>MIN(CBI60*$C$62,'Sources and Uses Budget'!$J$99-SUM('15 Year Pro Forma'!$E$62:CBH62))</f>
        <v>0</v>
      </c>
      <c r="CBK62" s="962">
        <f>MIN(CBK60*$C$62,'Sources and Uses Budget'!$J$99-SUM('15 Year Pro Forma'!$E$62:CBJ62))</f>
        <v>0</v>
      </c>
      <c r="CBM62" s="962">
        <f>MIN(CBM60*$C$62,'Sources and Uses Budget'!$J$99-SUM('15 Year Pro Forma'!$E$62:CBL62))</f>
        <v>0</v>
      </c>
      <c r="CBO62" s="962">
        <f>MIN(CBO60*$C$62,'Sources and Uses Budget'!$J$99-SUM('15 Year Pro Forma'!$E$62:CBN62))</f>
        <v>0</v>
      </c>
      <c r="CBQ62" s="962">
        <f>MIN(CBQ60*$C$62,'Sources and Uses Budget'!$J$99-SUM('15 Year Pro Forma'!$E$62:CBP62))</f>
        <v>0</v>
      </c>
      <c r="CBS62" s="962">
        <f>MIN(CBS60*$C$62,'Sources and Uses Budget'!$J$99-SUM('15 Year Pro Forma'!$E$62:CBR62))</f>
        <v>0</v>
      </c>
      <c r="CBU62" s="962">
        <f>MIN(CBU60*$C$62,'Sources and Uses Budget'!$J$99-SUM('15 Year Pro Forma'!$E$62:CBT62))</f>
        <v>0</v>
      </c>
      <c r="CBW62" s="962">
        <f>MIN(CBW60*$C$62,'Sources and Uses Budget'!$J$99-SUM('15 Year Pro Forma'!$E$62:CBV62))</f>
        <v>0</v>
      </c>
      <c r="CBY62" s="962">
        <f>MIN(CBY60*$C$62,'Sources and Uses Budget'!$J$99-SUM('15 Year Pro Forma'!$E$62:CBX62))</f>
        <v>0</v>
      </c>
      <c r="CCA62" s="962">
        <f>MIN(CCA60*$C$62,'Sources and Uses Budget'!$J$99-SUM('15 Year Pro Forma'!$E$62:CBZ62))</f>
        <v>0</v>
      </c>
      <c r="CCC62" s="962">
        <f>MIN(CCC60*$C$62,'Sources and Uses Budget'!$J$99-SUM('15 Year Pro Forma'!$E$62:CCB62))</f>
        <v>0</v>
      </c>
      <c r="CCE62" s="962">
        <f>MIN(CCE60*$C$62,'Sources and Uses Budget'!$J$99-SUM('15 Year Pro Forma'!$E$62:CCD62))</f>
        <v>0</v>
      </c>
      <c r="CCG62" s="962">
        <f>MIN(CCG60*$C$62,'Sources and Uses Budget'!$J$99-SUM('15 Year Pro Forma'!$E$62:CCF62))</f>
        <v>0</v>
      </c>
      <c r="CCI62" s="962">
        <f>MIN(CCI60*$C$62,'Sources and Uses Budget'!$J$99-SUM('15 Year Pro Forma'!$E$62:CCH62))</f>
        <v>0</v>
      </c>
      <c r="CCK62" s="962">
        <f>MIN(CCK60*$C$62,'Sources and Uses Budget'!$J$99-SUM('15 Year Pro Forma'!$E$62:CCJ62))</f>
        <v>0</v>
      </c>
      <c r="CCM62" s="962">
        <f>MIN(CCM60*$C$62,'Sources and Uses Budget'!$J$99-SUM('15 Year Pro Forma'!$E$62:CCL62))</f>
        <v>0</v>
      </c>
      <c r="CCO62" s="962">
        <f>MIN(CCO60*$C$62,'Sources and Uses Budget'!$J$99-SUM('15 Year Pro Forma'!$E$62:CCN62))</f>
        <v>0</v>
      </c>
      <c r="CCQ62" s="962">
        <f>MIN(CCQ60*$C$62,'Sources and Uses Budget'!$J$99-SUM('15 Year Pro Forma'!$E$62:CCP62))</f>
        <v>0</v>
      </c>
      <c r="CCS62" s="962">
        <f>MIN(CCS60*$C$62,'Sources and Uses Budget'!$J$99-SUM('15 Year Pro Forma'!$E$62:CCR62))</f>
        <v>0</v>
      </c>
      <c r="CCU62" s="962">
        <f>MIN(CCU60*$C$62,'Sources and Uses Budget'!$J$99-SUM('15 Year Pro Forma'!$E$62:CCT62))</f>
        <v>0</v>
      </c>
      <c r="CCW62" s="962">
        <f>MIN(CCW60*$C$62,'Sources and Uses Budget'!$J$99-SUM('15 Year Pro Forma'!$E$62:CCV62))</f>
        <v>0</v>
      </c>
      <c r="CCY62" s="962">
        <f>MIN(CCY60*$C$62,'Sources and Uses Budget'!$J$99-SUM('15 Year Pro Forma'!$E$62:CCX62))</f>
        <v>0</v>
      </c>
      <c r="CDA62" s="962">
        <f>MIN(CDA60*$C$62,'Sources and Uses Budget'!$J$99-SUM('15 Year Pro Forma'!$E$62:CCZ62))</f>
        <v>0</v>
      </c>
      <c r="CDC62" s="962">
        <f>MIN(CDC60*$C$62,'Sources and Uses Budget'!$J$99-SUM('15 Year Pro Forma'!$E$62:CDB62))</f>
        <v>0</v>
      </c>
      <c r="CDE62" s="962">
        <f>MIN(CDE60*$C$62,'Sources and Uses Budget'!$J$99-SUM('15 Year Pro Forma'!$E$62:CDD62))</f>
        <v>0</v>
      </c>
      <c r="CDG62" s="962">
        <f>MIN(CDG60*$C$62,'Sources and Uses Budget'!$J$99-SUM('15 Year Pro Forma'!$E$62:CDF62))</f>
        <v>0</v>
      </c>
      <c r="CDI62" s="962">
        <f>MIN(CDI60*$C$62,'Sources and Uses Budget'!$J$99-SUM('15 Year Pro Forma'!$E$62:CDH62))</f>
        <v>0</v>
      </c>
      <c r="CDK62" s="962">
        <f>MIN(CDK60*$C$62,'Sources and Uses Budget'!$J$99-SUM('15 Year Pro Forma'!$E$62:CDJ62))</f>
        <v>0</v>
      </c>
      <c r="CDM62" s="962">
        <f>MIN(CDM60*$C$62,'Sources and Uses Budget'!$J$99-SUM('15 Year Pro Forma'!$E$62:CDL62))</f>
        <v>0</v>
      </c>
      <c r="CDO62" s="962">
        <f>MIN(CDO60*$C$62,'Sources and Uses Budget'!$J$99-SUM('15 Year Pro Forma'!$E$62:CDN62))</f>
        <v>0</v>
      </c>
      <c r="CDQ62" s="962">
        <f>MIN(CDQ60*$C$62,'Sources and Uses Budget'!$J$99-SUM('15 Year Pro Forma'!$E$62:CDP62))</f>
        <v>0</v>
      </c>
      <c r="CDS62" s="962">
        <f>MIN(CDS60*$C$62,'Sources and Uses Budget'!$J$99-SUM('15 Year Pro Forma'!$E$62:CDR62))</f>
        <v>0</v>
      </c>
      <c r="CDU62" s="962">
        <f>MIN(CDU60*$C$62,'Sources and Uses Budget'!$J$99-SUM('15 Year Pro Forma'!$E$62:CDT62))</f>
        <v>0</v>
      </c>
      <c r="CDW62" s="962">
        <f>MIN(CDW60*$C$62,'Sources and Uses Budget'!$J$99-SUM('15 Year Pro Forma'!$E$62:CDV62))</f>
        <v>0</v>
      </c>
      <c r="CDY62" s="962">
        <f>MIN(CDY60*$C$62,'Sources and Uses Budget'!$J$99-SUM('15 Year Pro Forma'!$E$62:CDX62))</f>
        <v>0</v>
      </c>
      <c r="CEA62" s="962">
        <f>MIN(CEA60*$C$62,'Sources and Uses Budget'!$J$99-SUM('15 Year Pro Forma'!$E$62:CDZ62))</f>
        <v>0</v>
      </c>
      <c r="CEC62" s="962">
        <f>MIN(CEC60*$C$62,'Sources and Uses Budget'!$J$99-SUM('15 Year Pro Forma'!$E$62:CEB62))</f>
        <v>0</v>
      </c>
      <c r="CEE62" s="962">
        <f>MIN(CEE60*$C$62,'Sources and Uses Budget'!$J$99-SUM('15 Year Pro Forma'!$E$62:CED62))</f>
        <v>0</v>
      </c>
      <c r="CEG62" s="962">
        <f>MIN(CEG60*$C$62,'Sources and Uses Budget'!$J$99-SUM('15 Year Pro Forma'!$E$62:CEF62))</f>
        <v>0</v>
      </c>
      <c r="CEI62" s="962">
        <f>MIN(CEI60*$C$62,'Sources and Uses Budget'!$J$99-SUM('15 Year Pro Forma'!$E$62:CEH62))</f>
        <v>0</v>
      </c>
      <c r="CEK62" s="962">
        <f>MIN(CEK60*$C$62,'Sources and Uses Budget'!$J$99-SUM('15 Year Pro Forma'!$E$62:CEJ62))</f>
        <v>0</v>
      </c>
      <c r="CEM62" s="962">
        <f>MIN(CEM60*$C$62,'Sources and Uses Budget'!$J$99-SUM('15 Year Pro Forma'!$E$62:CEL62))</f>
        <v>0</v>
      </c>
      <c r="CEO62" s="962">
        <f>MIN(CEO60*$C$62,'Sources and Uses Budget'!$J$99-SUM('15 Year Pro Forma'!$E$62:CEN62))</f>
        <v>0</v>
      </c>
      <c r="CEQ62" s="962">
        <f>MIN(CEQ60*$C$62,'Sources and Uses Budget'!$J$99-SUM('15 Year Pro Forma'!$E$62:CEP62))</f>
        <v>0</v>
      </c>
      <c r="CES62" s="962">
        <f>MIN(CES60*$C$62,'Sources and Uses Budget'!$J$99-SUM('15 Year Pro Forma'!$E$62:CER62))</f>
        <v>0</v>
      </c>
      <c r="CEU62" s="962">
        <f>MIN(CEU60*$C$62,'Sources and Uses Budget'!$J$99-SUM('15 Year Pro Forma'!$E$62:CET62))</f>
        <v>0</v>
      </c>
      <c r="CEW62" s="962">
        <f>MIN(CEW60*$C$62,'Sources and Uses Budget'!$J$99-SUM('15 Year Pro Forma'!$E$62:CEV62))</f>
        <v>0</v>
      </c>
      <c r="CEY62" s="962">
        <f>MIN(CEY60*$C$62,'Sources and Uses Budget'!$J$99-SUM('15 Year Pro Forma'!$E$62:CEX62))</f>
        <v>0</v>
      </c>
      <c r="CFA62" s="962">
        <f>MIN(CFA60*$C$62,'Sources and Uses Budget'!$J$99-SUM('15 Year Pro Forma'!$E$62:CEZ62))</f>
        <v>0</v>
      </c>
      <c r="CFC62" s="962">
        <f>MIN(CFC60*$C$62,'Sources and Uses Budget'!$J$99-SUM('15 Year Pro Forma'!$E$62:CFB62))</f>
        <v>0</v>
      </c>
      <c r="CFE62" s="962">
        <f>MIN(CFE60*$C$62,'Sources and Uses Budget'!$J$99-SUM('15 Year Pro Forma'!$E$62:CFD62))</f>
        <v>0</v>
      </c>
      <c r="CFG62" s="962">
        <f>MIN(CFG60*$C$62,'Sources and Uses Budget'!$J$99-SUM('15 Year Pro Forma'!$E$62:CFF62))</f>
        <v>0</v>
      </c>
      <c r="CFI62" s="962">
        <f>MIN(CFI60*$C$62,'Sources and Uses Budget'!$J$99-SUM('15 Year Pro Forma'!$E$62:CFH62))</f>
        <v>0</v>
      </c>
      <c r="CFK62" s="962">
        <f>MIN(CFK60*$C$62,'Sources and Uses Budget'!$J$99-SUM('15 Year Pro Forma'!$E$62:CFJ62))</f>
        <v>0</v>
      </c>
      <c r="CFM62" s="962">
        <f>MIN(CFM60*$C$62,'Sources and Uses Budget'!$J$99-SUM('15 Year Pro Forma'!$E$62:CFL62))</f>
        <v>0</v>
      </c>
      <c r="CFO62" s="962">
        <f>MIN(CFO60*$C$62,'Sources and Uses Budget'!$J$99-SUM('15 Year Pro Forma'!$E$62:CFN62))</f>
        <v>0</v>
      </c>
      <c r="CFQ62" s="962">
        <f>MIN(CFQ60*$C$62,'Sources and Uses Budget'!$J$99-SUM('15 Year Pro Forma'!$E$62:CFP62))</f>
        <v>0</v>
      </c>
      <c r="CFS62" s="962">
        <f>MIN(CFS60*$C$62,'Sources and Uses Budget'!$J$99-SUM('15 Year Pro Forma'!$E$62:CFR62))</f>
        <v>0</v>
      </c>
      <c r="CFU62" s="962">
        <f>MIN(CFU60*$C$62,'Sources and Uses Budget'!$J$99-SUM('15 Year Pro Forma'!$E$62:CFT62))</f>
        <v>0</v>
      </c>
      <c r="CFW62" s="962">
        <f>MIN(CFW60*$C$62,'Sources and Uses Budget'!$J$99-SUM('15 Year Pro Forma'!$E$62:CFV62))</f>
        <v>0</v>
      </c>
      <c r="CFY62" s="962">
        <f>MIN(CFY60*$C$62,'Sources and Uses Budget'!$J$99-SUM('15 Year Pro Forma'!$E$62:CFX62))</f>
        <v>0</v>
      </c>
      <c r="CGA62" s="962">
        <f>MIN(CGA60*$C$62,'Sources and Uses Budget'!$J$99-SUM('15 Year Pro Forma'!$E$62:CFZ62))</f>
        <v>0</v>
      </c>
      <c r="CGC62" s="962">
        <f>MIN(CGC60*$C$62,'Sources and Uses Budget'!$J$99-SUM('15 Year Pro Forma'!$E$62:CGB62))</f>
        <v>0</v>
      </c>
      <c r="CGE62" s="962">
        <f>MIN(CGE60*$C$62,'Sources and Uses Budget'!$J$99-SUM('15 Year Pro Forma'!$E$62:CGD62))</f>
        <v>0</v>
      </c>
      <c r="CGG62" s="962">
        <f>MIN(CGG60*$C$62,'Sources and Uses Budget'!$J$99-SUM('15 Year Pro Forma'!$E$62:CGF62))</f>
        <v>0</v>
      </c>
      <c r="CGI62" s="962">
        <f>MIN(CGI60*$C$62,'Sources and Uses Budget'!$J$99-SUM('15 Year Pro Forma'!$E$62:CGH62))</f>
        <v>0</v>
      </c>
      <c r="CGK62" s="962">
        <f>MIN(CGK60*$C$62,'Sources and Uses Budget'!$J$99-SUM('15 Year Pro Forma'!$E$62:CGJ62))</f>
        <v>0</v>
      </c>
      <c r="CGM62" s="962">
        <f>MIN(CGM60*$C$62,'Sources and Uses Budget'!$J$99-SUM('15 Year Pro Forma'!$E$62:CGL62))</f>
        <v>0</v>
      </c>
      <c r="CGO62" s="962">
        <f>MIN(CGO60*$C$62,'Sources and Uses Budget'!$J$99-SUM('15 Year Pro Forma'!$E$62:CGN62))</f>
        <v>0</v>
      </c>
      <c r="CGQ62" s="962">
        <f>MIN(CGQ60*$C$62,'Sources and Uses Budget'!$J$99-SUM('15 Year Pro Forma'!$E$62:CGP62))</f>
        <v>0</v>
      </c>
      <c r="CGS62" s="962">
        <f>MIN(CGS60*$C$62,'Sources and Uses Budget'!$J$99-SUM('15 Year Pro Forma'!$E$62:CGR62))</f>
        <v>0</v>
      </c>
      <c r="CGU62" s="962">
        <f>MIN(CGU60*$C$62,'Sources and Uses Budget'!$J$99-SUM('15 Year Pro Forma'!$E$62:CGT62))</f>
        <v>0</v>
      </c>
      <c r="CGW62" s="962">
        <f>MIN(CGW60*$C$62,'Sources and Uses Budget'!$J$99-SUM('15 Year Pro Forma'!$E$62:CGV62))</f>
        <v>0</v>
      </c>
      <c r="CGY62" s="962">
        <f>MIN(CGY60*$C$62,'Sources and Uses Budget'!$J$99-SUM('15 Year Pro Forma'!$E$62:CGX62))</f>
        <v>0</v>
      </c>
      <c r="CHA62" s="962">
        <f>MIN(CHA60*$C$62,'Sources and Uses Budget'!$J$99-SUM('15 Year Pro Forma'!$E$62:CGZ62))</f>
        <v>0</v>
      </c>
      <c r="CHC62" s="962">
        <f>MIN(CHC60*$C$62,'Sources and Uses Budget'!$J$99-SUM('15 Year Pro Forma'!$E$62:CHB62))</f>
        <v>0</v>
      </c>
      <c r="CHE62" s="962">
        <f>MIN(CHE60*$C$62,'Sources and Uses Budget'!$J$99-SUM('15 Year Pro Forma'!$E$62:CHD62))</f>
        <v>0</v>
      </c>
      <c r="CHG62" s="962">
        <f>MIN(CHG60*$C$62,'Sources and Uses Budget'!$J$99-SUM('15 Year Pro Forma'!$E$62:CHF62))</f>
        <v>0</v>
      </c>
      <c r="CHI62" s="962">
        <f>MIN(CHI60*$C$62,'Sources and Uses Budget'!$J$99-SUM('15 Year Pro Forma'!$E$62:CHH62))</f>
        <v>0</v>
      </c>
      <c r="CHK62" s="962">
        <f>MIN(CHK60*$C$62,'Sources and Uses Budget'!$J$99-SUM('15 Year Pro Forma'!$E$62:CHJ62))</f>
        <v>0</v>
      </c>
      <c r="CHM62" s="962">
        <f>MIN(CHM60*$C$62,'Sources and Uses Budget'!$J$99-SUM('15 Year Pro Forma'!$E$62:CHL62))</f>
        <v>0</v>
      </c>
      <c r="CHO62" s="962">
        <f>MIN(CHO60*$C$62,'Sources and Uses Budget'!$J$99-SUM('15 Year Pro Forma'!$E$62:CHN62))</f>
        <v>0</v>
      </c>
      <c r="CHQ62" s="962">
        <f>MIN(CHQ60*$C$62,'Sources and Uses Budget'!$J$99-SUM('15 Year Pro Forma'!$E$62:CHP62))</f>
        <v>0</v>
      </c>
      <c r="CHS62" s="962">
        <f>MIN(CHS60*$C$62,'Sources and Uses Budget'!$J$99-SUM('15 Year Pro Forma'!$E$62:CHR62))</f>
        <v>0</v>
      </c>
      <c r="CHU62" s="962">
        <f>MIN(CHU60*$C$62,'Sources and Uses Budget'!$J$99-SUM('15 Year Pro Forma'!$E$62:CHT62))</f>
        <v>0</v>
      </c>
      <c r="CHW62" s="962">
        <f>MIN(CHW60*$C$62,'Sources and Uses Budget'!$J$99-SUM('15 Year Pro Forma'!$E$62:CHV62))</f>
        <v>0</v>
      </c>
      <c r="CHY62" s="962">
        <f>MIN(CHY60*$C$62,'Sources and Uses Budget'!$J$99-SUM('15 Year Pro Forma'!$E$62:CHX62))</f>
        <v>0</v>
      </c>
      <c r="CIA62" s="962">
        <f>MIN(CIA60*$C$62,'Sources and Uses Budget'!$J$99-SUM('15 Year Pro Forma'!$E$62:CHZ62))</f>
        <v>0</v>
      </c>
      <c r="CIC62" s="962">
        <f>MIN(CIC60*$C$62,'Sources and Uses Budget'!$J$99-SUM('15 Year Pro Forma'!$E$62:CIB62))</f>
        <v>0</v>
      </c>
      <c r="CIE62" s="962">
        <f>MIN(CIE60*$C$62,'Sources and Uses Budget'!$J$99-SUM('15 Year Pro Forma'!$E$62:CID62))</f>
        <v>0</v>
      </c>
      <c r="CIG62" s="962">
        <f>MIN(CIG60*$C$62,'Sources and Uses Budget'!$J$99-SUM('15 Year Pro Forma'!$E$62:CIF62))</f>
        <v>0</v>
      </c>
      <c r="CII62" s="962">
        <f>MIN(CII60*$C$62,'Sources and Uses Budget'!$J$99-SUM('15 Year Pro Forma'!$E$62:CIH62))</f>
        <v>0</v>
      </c>
      <c r="CIK62" s="962">
        <f>MIN(CIK60*$C$62,'Sources and Uses Budget'!$J$99-SUM('15 Year Pro Forma'!$E$62:CIJ62))</f>
        <v>0</v>
      </c>
      <c r="CIM62" s="962">
        <f>MIN(CIM60*$C$62,'Sources and Uses Budget'!$J$99-SUM('15 Year Pro Forma'!$E$62:CIL62))</f>
        <v>0</v>
      </c>
      <c r="CIO62" s="962">
        <f>MIN(CIO60*$C$62,'Sources and Uses Budget'!$J$99-SUM('15 Year Pro Forma'!$E$62:CIN62))</f>
        <v>0</v>
      </c>
      <c r="CIQ62" s="962">
        <f>MIN(CIQ60*$C$62,'Sources and Uses Budget'!$J$99-SUM('15 Year Pro Forma'!$E$62:CIP62))</f>
        <v>0</v>
      </c>
      <c r="CIS62" s="962">
        <f>MIN(CIS60*$C$62,'Sources and Uses Budget'!$J$99-SUM('15 Year Pro Forma'!$E$62:CIR62))</f>
        <v>0</v>
      </c>
      <c r="CIU62" s="962">
        <f>MIN(CIU60*$C$62,'Sources and Uses Budget'!$J$99-SUM('15 Year Pro Forma'!$E$62:CIT62))</f>
        <v>0</v>
      </c>
      <c r="CIW62" s="962">
        <f>MIN(CIW60*$C$62,'Sources and Uses Budget'!$J$99-SUM('15 Year Pro Forma'!$E$62:CIV62))</f>
        <v>0</v>
      </c>
      <c r="CIY62" s="962">
        <f>MIN(CIY60*$C$62,'Sources and Uses Budget'!$J$99-SUM('15 Year Pro Forma'!$E$62:CIX62))</f>
        <v>0</v>
      </c>
      <c r="CJA62" s="962">
        <f>MIN(CJA60*$C$62,'Sources and Uses Budget'!$J$99-SUM('15 Year Pro Forma'!$E$62:CIZ62))</f>
        <v>0</v>
      </c>
      <c r="CJC62" s="962">
        <f>MIN(CJC60*$C$62,'Sources and Uses Budget'!$J$99-SUM('15 Year Pro Forma'!$E$62:CJB62))</f>
        <v>0</v>
      </c>
      <c r="CJE62" s="962">
        <f>MIN(CJE60*$C$62,'Sources and Uses Budget'!$J$99-SUM('15 Year Pro Forma'!$E$62:CJD62))</f>
        <v>0</v>
      </c>
      <c r="CJG62" s="962">
        <f>MIN(CJG60*$C$62,'Sources and Uses Budget'!$J$99-SUM('15 Year Pro Forma'!$E$62:CJF62))</f>
        <v>0</v>
      </c>
      <c r="CJI62" s="962">
        <f>MIN(CJI60*$C$62,'Sources and Uses Budget'!$J$99-SUM('15 Year Pro Forma'!$E$62:CJH62))</f>
        <v>0</v>
      </c>
      <c r="CJK62" s="962">
        <f>MIN(CJK60*$C$62,'Sources and Uses Budget'!$J$99-SUM('15 Year Pro Forma'!$E$62:CJJ62))</f>
        <v>0</v>
      </c>
      <c r="CJM62" s="962">
        <f>MIN(CJM60*$C$62,'Sources and Uses Budget'!$J$99-SUM('15 Year Pro Forma'!$E$62:CJL62))</f>
        <v>0</v>
      </c>
      <c r="CJO62" s="962">
        <f>MIN(CJO60*$C$62,'Sources and Uses Budget'!$J$99-SUM('15 Year Pro Forma'!$E$62:CJN62))</f>
        <v>0</v>
      </c>
      <c r="CJQ62" s="962">
        <f>MIN(CJQ60*$C$62,'Sources and Uses Budget'!$J$99-SUM('15 Year Pro Forma'!$E$62:CJP62))</f>
        <v>0</v>
      </c>
      <c r="CJS62" s="962">
        <f>MIN(CJS60*$C$62,'Sources and Uses Budget'!$J$99-SUM('15 Year Pro Forma'!$E$62:CJR62))</f>
        <v>0</v>
      </c>
      <c r="CJU62" s="962">
        <f>MIN(CJU60*$C$62,'Sources and Uses Budget'!$J$99-SUM('15 Year Pro Forma'!$E$62:CJT62))</f>
        <v>0</v>
      </c>
      <c r="CJW62" s="962">
        <f>MIN(CJW60*$C$62,'Sources and Uses Budget'!$J$99-SUM('15 Year Pro Forma'!$E$62:CJV62))</f>
        <v>0</v>
      </c>
      <c r="CJY62" s="962">
        <f>MIN(CJY60*$C$62,'Sources and Uses Budget'!$J$99-SUM('15 Year Pro Forma'!$E$62:CJX62))</f>
        <v>0</v>
      </c>
      <c r="CKA62" s="962">
        <f>MIN(CKA60*$C$62,'Sources and Uses Budget'!$J$99-SUM('15 Year Pro Forma'!$E$62:CJZ62))</f>
        <v>0</v>
      </c>
      <c r="CKC62" s="962">
        <f>MIN(CKC60*$C$62,'Sources and Uses Budget'!$J$99-SUM('15 Year Pro Forma'!$E$62:CKB62))</f>
        <v>0</v>
      </c>
      <c r="CKE62" s="962">
        <f>MIN(CKE60*$C$62,'Sources and Uses Budget'!$J$99-SUM('15 Year Pro Forma'!$E$62:CKD62))</f>
        <v>0</v>
      </c>
      <c r="CKG62" s="962">
        <f>MIN(CKG60*$C$62,'Sources and Uses Budget'!$J$99-SUM('15 Year Pro Forma'!$E$62:CKF62))</f>
        <v>0</v>
      </c>
      <c r="CKI62" s="962">
        <f>MIN(CKI60*$C$62,'Sources and Uses Budget'!$J$99-SUM('15 Year Pro Forma'!$E$62:CKH62))</f>
        <v>0</v>
      </c>
      <c r="CKK62" s="962">
        <f>MIN(CKK60*$C$62,'Sources and Uses Budget'!$J$99-SUM('15 Year Pro Forma'!$E$62:CKJ62))</f>
        <v>0</v>
      </c>
      <c r="CKM62" s="962">
        <f>MIN(CKM60*$C$62,'Sources and Uses Budget'!$J$99-SUM('15 Year Pro Forma'!$E$62:CKL62))</f>
        <v>0</v>
      </c>
      <c r="CKO62" s="962">
        <f>MIN(CKO60*$C$62,'Sources and Uses Budget'!$J$99-SUM('15 Year Pro Forma'!$E$62:CKN62))</f>
        <v>0</v>
      </c>
      <c r="CKQ62" s="962">
        <f>MIN(CKQ60*$C$62,'Sources and Uses Budget'!$J$99-SUM('15 Year Pro Forma'!$E$62:CKP62))</f>
        <v>0</v>
      </c>
      <c r="CKS62" s="962">
        <f>MIN(CKS60*$C$62,'Sources and Uses Budget'!$J$99-SUM('15 Year Pro Forma'!$E$62:CKR62))</f>
        <v>0</v>
      </c>
      <c r="CKU62" s="962">
        <f>MIN(CKU60*$C$62,'Sources and Uses Budget'!$J$99-SUM('15 Year Pro Forma'!$E$62:CKT62))</f>
        <v>0</v>
      </c>
      <c r="CKW62" s="962">
        <f>MIN(CKW60*$C$62,'Sources and Uses Budget'!$J$99-SUM('15 Year Pro Forma'!$E$62:CKV62))</f>
        <v>0</v>
      </c>
      <c r="CKY62" s="962">
        <f>MIN(CKY60*$C$62,'Sources and Uses Budget'!$J$99-SUM('15 Year Pro Forma'!$E$62:CKX62))</f>
        <v>0</v>
      </c>
      <c r="CLA62" s="962">
        <f>MIN(CLA60*$C$62,'Sources and Uses Budget'!$J$99-SUM('15 Year Pro Forma'!$E$62:CKZ62))</f>
        <v>0</v>
      </c>
      <c r="CLC62" s="962">
        <f>MIN(CLC60*$C$62,'Sources and Uses Budget'!$J$99-SUM('15 Year Pro Forma'!$E$62:CLB62))</f>
        <v>0</v>
      </c>
      <c r="CLE62" s="962">
        <f>MIN(CLE60*$C$62,'Sources and Uses Budget'!$J$99-SUM('15 Year Pro Forma'!$E$62:CLD62))</f>
        <v>0</v>
      </c>
      <c r="CLG62" s="962">
        <f>MIN(CLG60*$C$62,'Sources and Uses Budget'!$J$99-SUM('15 Year Pro Forma'!$E$62:CLF62))</f>
        <v>0</v>
      </c>
      <c r="CLI62" s="962">
        <f>MIN(CLI60*$C$62,'Sources and Uses Budget'!$J$99-SUM('15 Year Pro Forma'!$E$62:CLH62))</f>
        <v>0</v>
      </c>
      <c r="CLK62" s="962">
        <f>MIN(CLK60*$C$62,'Sources and Uses Budget'!$J$99-SUM('15 Year Pro Forma'!$E$62:CLJ62))</f>
        <v>0</v>
      </c>
      <c r="CLM62" s="962">
        <f>MIN(CLM60*$C$62,'Sources and Uses Budget'!$J$99-SUM('15 Year Pro Forma'!$E$62:CLL62))</f>
        <v>0</v>
      </c>
      <c r="CLO62" s="962">
        <f>MIN(CLO60*$C$62,'Sources and Uses Budget'!$J$99-SUM('15 Year Pro Forma'!$E$62:CLN62))</f>
        <v>0</v>
      </c>
      <c r="CLQ62" s="962">
        <f>MIN(CLQ60*$C$62,'Sources and Uses Budget'!$J$99-SUM('15 Year Pro Forma'!$E$62:CLP62))</f>
        <v>0</v>
      </c>
      <c r="CLS62" s="962">
        <f>MIN(CLS60*$C$62,'Sources and Uses Budget'!$J$99-SUM('15 Year Pro Forma'!$E$62:CLR62))</f>
        <v>0</v>
      </c>
      <c r="CLU62" s="962">
        <f>MIN(CLU60*$C$62,'Sources and Uses Budget'!$J$99-SUM('15 Year Pro Forma'!$E$62:CLT62))</f>
        <v>0</v>
      </c>
      <c r="CLW62" s="962">
        <f>MIN(CLW60*$C$62,'Sources and Uses Budget'!$J$99-SUM('15 Year Pro Forma'!$E$62:CLV62))</f>
        <v>0</v>
      </c>
      <c r="CLY62" s="962">
        <f>MIN(CLY60*$C$62,'Sources and Uses Budget'!$J$99-SUM('15 Year Pro Forma'!$E$62:CLX62))</f>
        <v>0</v>
      </c>
      <c r="CMA62" s="962">
        <f>MIN(CMA60*$C$62,'Sources and Uses Budget'!$J$99-SUM('15 Year Pro Forma'!$E$62:CLZ62))</f>
        <v>0</v>
      </c>
      <c r="CMC62" s="962">
        <f>MIN(CMC60*$C$62,'Sources and Uses Budget'!$J$99-SUM('15 Year Pro Forma'!$E$62:CMB62))</f>
        <v>0</v>
      </c>
      <c r="CME62" s="962">
        <f>MIN(CME60*$C$62,'Sources and Uses Budget'!$J$99-SUM('15 Year Pro Forma'!$E$62:CMD62))</f>
        <v>0</v>
      </c>
      <c r="CMG62" s="962">
        <f>MIN(CMG60*$C$62,'Sources and Uses Budget'!$J$99-SUM('15 Year Pro Forma'!$E$62:CMF62))</f>
        <v>0</v>
      </c>
      <c r="CMI62" s="962">
        <f>MIN(CMI60*$C$62,'Sources and Uses Budget'!$J$99-SUM('15 Year Pro Forma'!$E$62:CMH62))</f>
        <v>0</v>
      </c>
      <c r="CMK62" s="962">
        <f>MIN(CMK60*$C$62,'Sources and Uses Budget'!$J$99-SUM('15 Year Pro Forma'!$E$62:CMJ62))</f>
        <v>0</v>
      </c>
      <c r="CMM62" s="962">
        <f>MIN(CMM60*$C$62,'Sources and Uses Budget'!$J$99-SUM('15 Year Pro Forma'!$E$62:CML62))</f>
        <v>0</v>
      </c>
      <c r="CMO62" s="962">
        <f>MIN(CMO60*$C$62,'Sources and Uses Budget'!$J$99-SUM('15 Year Pro Forma'!$E$62:CMN62))</f>
        <v>0</v>
      </c>
      <c r="CMQ62" s="962">
        <f>MIN(CMQ60*$C$62,'Sources and Uses Budget'!$J$99-SUM('15 Year Pro Forma'!$E$62:CMP62))</f>
        <v>0</v>
      </c>
      <c r="CMS62" s="962">
        <f>MIN(CMS60*$C$62,'Sources and Uses Budget'!$J$99-SUM('15 Year Pro Forma'!$E$62:CMR62))</f>
        <v>0</v>
      </c>
      <c r="CMU62" s="962">
        <f>MIN(CMU60*$C$62,'Sources and Uses Budget'!$J$99-SUM('15 Year Pro Forma'!$E$62:CMT62))</f>
        <v>0</v>
      </c>
      <c r="CMW62" s="962">
        <f>MIN(CMW60*$C$62,'Sources and Uses Budget'!$J$99-SUM('15 Year Pro Forma'!$E$62:CMV62))</f>
        <v>0</v>
      </c>
      <c r="CMY62" s="962">
        <f>MIN(CMY60*$C$62,'Sources and Uses Budget'!$J$99-SUM('15 Year Pro Forma'!$E$62:CMX62))</f>
        <v>0</v>
      </c>
      <c r="CNA62" s="962">
        <f>MIN(CNA60*$C$62,'Sources and Uses Budget'!$J$99-SUM('15 Year Pro Forma'!$E$62:CMZ62))</f>
        <v>0</v>
      </c>
      <c r="CNC62" s="962">
        <f>MIN(CNC60*$C$62,'Sources and Uses Budget'!$J$99-SUM('15 Year Pro Forma'!$E$62:CNB62))</f>
        <v>0</v>
      </c>
      <c r="CNE62" s="962">
        <f>MIN(CNE60*$C$62,'Sources and Uses Budget'!$J$99-SUM('15 Year Pro Forma'!$E$62:CND62))</f>
        <v>0</v>
      </c>
      <c r="CNG62" s="962">
        <f>MIN(CNG60*$C$62,'Sources and Uses Budget'!$J$99-SUM('15 Year Pro Forma'!$E$62:CNF62))</f>
        <v>0</v>
      </c>
      <c r="CNI62" s="962">
        <f>MIN(CNI60*$C$62,'Sources and Uses Budget'!$J$99-SUM('15 Year Pro Forma'!$E$62:CNH62))</f>
        <v>0</v>
      </c>
      <c r="CNK62" s="962">
        <f>MIN(CNK60*$C$62,'Sources and Uses Budget'!$J$99-SUM('15 Year Pro Forma'!$E$62:CNJ62))</f>
        <v>0</v>
      </c>
      <c r="CNM62" s="962">
        <f>MIN(CNM60*$C$62,'Sources and Uses Budget'!$J$99-SUM('15 Year Pro Forma'!$E$62:CNL62))</f>
        <v>0</v>
      </c>
      <c r="CNO62" s="962">
        <f>MIN(CNO60*$C$62,'Sources and Uses Budget'!$J$99-SUM('15 Year Pro Forma'!$E$62:CNN62))</f>
        <v>0</v>
      </c>
      <c r="CNQ62" s="962">
        <f>MIN(CNQ60*$C$62,'Sources and Uses Budget'!$J$99-SUM('15 Year Pro Forma'!$E$62:CNP62))</f>
        <v>0</v>
      </c>
      <c r="CNS62" s="962">
        <f>MIN(CNS60*$C$62,'Sources and Uses Budget'!$J$99-SUM('15 Year Pro Forma'!$E$62:CNR62))</f>
        <v>0</v>
      </c>
      <c r="CNU62" s="962">
        <f>MIN(CNU60*$C$62,'Sources and Uses Budget'!$J$99-SUM('15 Year Pro Forma'!$E$62:CNT62))</f>
        <v>0</v>
      </c>
      <c r="CNW62" s="962">
        <f>MIN(CNW60*$C$62,'Sources and Uses Budget'!$J$99-SUM('15 Year Pro Forma'!$E$62:CNV62))</f>
        <v>0</v>
      </c>
      <c r="CNY62" s="962">
        <f>MIN(CNY60*$C$62,'Sources and Uses Budget'!$J$99-SUM('15 Year Pro Forma'!$E$62:CNX62))</f>
        <v>0</v>
      </c>
      <c r="COA62" s="962">
        <f>MIN(COA60*$C$62,'Sources and Uses Budget'!$J$99-SUM('15 Year Pro Forma'!$E$62:CNZ62))</f>
        <v>0</v>
      </c>
      <c r="COC62" s="962">
        <f>MIN(COC60*$C$62,'Sources and Uses Budget'!$J$99-SUM('15 Year Pro Forma'!$E$62:COB62))</f>
        <v>0</v>
      </c>
      <c r="COE62" s="962">
        <f>MIN(COE60*$C$62,'Sources and Uses Budget'!$J$99-SUM('15 Year Pro Forma'!$E$62:COD62))</f>
        <v>0</v>
      </c>
      <c r="COG62" s="962">
        <f>MIN(COG60*$C$62,'Sources and Uses Budget'!$J$99-SUM('15 Year Pro Forma'!$E$62:COF62))</f>
        <v>0</v>
      </c>
      <c r="COI62" s="962">
        <f>MIN(COI60*$C$62,'Sources and Uses Budget'!$J$99-SUM('15 Year Pro Forma'!$E$62:COH62))</f>
        <v>0</v>
      </c>
      <c r="COK62" s="962">
        <f>MIN(COK60*$C$62,'Sources and Uses Budget'!$J$99-SUM('15 Year Pro Forma'!$E$62:COJ62))</f>
        <v>0</v>
      </c>
      <c r="COM62" s="962">
        <f>MIN(COM60*$C$62,'Sources and Uses Budget'!$J$99-SUM('15 Year Pro Forma'!$E$62:COL62))</f>
        <v>0</v>
      </c>
      <c r="COO62" s="962">
        <f>MIN(COO60*$C$62,'Sources and Uses Budget'!$J$99-SUM('15 Year Pro Forma'!$E$62:CON62))</f>
        <v>0</v>
      </c>
      <c r="COQ62" s="962">
        <f>MIN(COQ60*$C$62,'Sources and Uses Budget'!$J$99-SUM('15 Year Pro Forma'!$E$62:COP62))</f>
        <v>0</v>
      </c>
      <c r="COS62" s="962">
        <f>MIN(COS60*$C$62,'Sources and Uses Budget'!$J$99-SUM('15 Year Pro Forma'!$E$62:COR62))</f>
        <v>0</v>
      </c>
      <c r="COU62" s="962">
        <f>MIN(COU60*$C$62,'Sources and Uses Budget'!$J$99-SUM('15 Year Pro Forma'!$E$62:COT62))</f>
        <v>0</v>
      </c>
      <c r="COW62" s="962">
        <f>MIN(COW60*$C$62,'Sources and Uses Budget'!$J$99-SUM('15 Year Pro Forma'!$E$62:COV62))</f>
        <v>0</v>
      </c>
      <c r="COY62" s="962">
        <f>MIN(COY60*$C$62,'Sources and Uses Budget'!$J$99-SUM('15 Year Pro Forma'!$E$62:COX62))</f>
        <v>0</v>
      </c>
      <c r="CPA62" s="962">
        <f>MIN(CPA60*$C$62,'Sources and Uses Budget'!$J$99-SUM('15 Year Pro Forma'!$E$62:COZ62))</f>
        <v>0</v>
      </c>
      <c r="CPC62" s="962">
        <f>MIN(CPC60*$C$62,'Sources and Uses Budget'!$J$99-SUM('15 Year Pro Forma'!$E$62:CPB62))</f>
        <v>0</v>
      </c>
      <c r="CPE62" s="962">
        <f>MIN(CPE60*$C$62,'Sources and Uses Budget'!$J$99-SUM('15 Year Pro Forma'!$E$62:CPD62))</f>
        <v>0</v>
      </c>
      <c r="CPG62" s="962">
        <f>MIN(CPG60*$C$62,'Sources and Uses Budget'!$J$99-SUM('15 Year Pro Forma'!$E$62:CPF62))</f>
        <v>0</v>
      </c>
      <c r="CPI62" s="962">
        <f>MIN(CPI60*$C$62,'Sources and Uses Budget'!$J$99-SUM('15 Year Pro Forma'!$E$62:CPH62))</f>
        <v>0</v>
      </c>
      <c r="CPK62" s="962">
        <f>MIN(CPK60*$C$62,'Sources and Uses Budget'!$J$99-SUM('15 Year Pro Forma'!$E$62:CPJ62))</f>
        <v>0</v>
      </c>
      <c r="CPM62" s="962">
        <f>MIN(CPM60*$C$62,'Sources and Uses Budget'!$J$99-SUM('15 Year Pro Forma'!$E$62:CPL62))</f>
        <v>0</v>
      </c>
      <c r="CPO62" s="962">
        <f>MIN(CPO60*$C$62,'Sources and Uses Budget'!$J$99-SUM('15 Year Pro Forma'!$E$62:CPN62))</f>
        <v>0</v>
      </c>
      <c r="CPQ62" s="962">
        <f>MIN(CPQ60*$C$62,'Sources and Uses Budget'!$J$99-SUM('15 Year Pro Forma'!$E$62:CPP62))</f>
        <v>0</v>
      </c>
      <c r="CPS62" s="962">
        <f>MIN(CPS60*$C$62,'Sources and Uses Budget'!$J$99-SUM('15 Year Pro Forma'!$E$62:CPR62))</f>
        <v>0</v>
      </c>
      <c r="CPU62" s="962">
        <f>MIN(CPU60*$C$62,'Sources and Uses Budget'!$J$99-SUM('15 Year Pro Forma'!$E$62:CPT62))</f>
        <v>0</v>
      </c>
      <c r="CPW62" s="962">
        <f>MIN(CPW60*$C$62,'Sources and Uses Budget'!$J$99-SUM('15 Year Pro Forma'!$E$62:CPV62))</f>
        <v>0</v>
      </c>
      <c r="CPY62" s="962">
        <f>MIN(CPY60*$C$62,'Sources and Uses Budget'!$J$99-SUM('15 Year Pro Forma'!$E$62:CPX62))</f>
        <v>0</v>
      </c>
      <c r="CQA62" s="962">
        <f>MIN(CQA60*$C$62,'Sources and Uses Budget'!$J$99-SUM('15 Year Pro Forma'!$E$62:CPZ62))</f>
        <v>0</v>
      </c>
      <c r="CQC62" s="962">
        <f>MIN(CQC60*$C$62,'Sources and Uses Budget'!$J$99-SUM('15 Year Pro Forma'!$E$62:CQB62))</f>
        <v>0</v>
      </c>
      <c r="CQE62" s="962">
        <f>MIN(CQE60*$C$62,'Sources and Uses Budget'!$J$99-SUM('15 Year Pro Forma'!$E$62:CQD62))</f>
        <v>0</v>
      </c>
      <c r="CQG62" s="962">
        <f>MIN(CQG60*$C$62,'Sources and Uses Budget'!$J$99-SUM('15 Year Pro Forma'!$E$62:CQF62))</f>
        <v>0</v>
      </c>
      <c r="CQI62" s="962">
        <f>MIN(CQI60*$C$62,'Sources and Uses Budget'!$J$99-SUM('15 Year Pro Forma'!$E$62:CQH62))</f>
        <v>0</v>
      </c>
      <c r="CQK62" s="962">
        <f>MIN(CQK60*$C$62,'Sources and Uses Budget'!$J$99-SUM('15 Year Pro Forma'!$E$62:CQJ62))</f>
        <v>0</v>
      </c>
      <c r="CQM62" s="962">
        <f>MIN(CQM60*$C$62,'Sources and Uses Budget'!$J$99-SUM('15 Year Pro Forma'!$E$62:CQL62))</f>
        <v>0</v>
      </c>
      <c r="CQO62" s="962">
        <f>MIN(CQO60*$C$62,'Sources and Uses Budget'!$J$99-SUM('15 Year Pro Forma'!$E$62:CQN62))</f>
        <v>0</v>
      </c>
      <c r="CQQ62" s="962">
        <f>MIN(CQQ60*$C$62,'Sources and Uses Budget'!$J$99-SUM('15 Year Pro Forma'!$E$62:CQP62))</f>
        <v>0</v>
      </c>
      <c r="CQS62" s="962">
        <f>MIN(CQS60*$C$62,'Sources and Uses Budget'!$J$99-SUM('15 Year Pro Forma'!$E$62:CQR62))</f>
        <v>0</v>
      </c>
      <c r="CQU62" s="962">
        <f>MIN(CQU60*$C$62,'Sources and Uses Budget'!$J$99-SUM('15 Year Pro Forma'!$E$62:CQT62))</f>
        <v>0</v>
      </c>
      <c r="CQW62" s="962">
        <f>MIN(CQW60*$C$62,'Sources and Uses Budget'!$J$99-SUM('15 Year Pro Forma'!$E$62:CQV62))</f>
        <v>0</v>
      </c>
      <c r="CQY62" s="962">
        <f>MIN(CQY60*$C$62,'Sources and Uses Budget'!$J$99-SUM('15 Year Pro Forma'!$E$62:CQX62))</f>
        <v>0</v>
      </c>
      <c r="CRA62" s="962">
        <f>MIN(CRA60*$C$62,'Sources and Uses Budget'!$J$99-SUM('15 Year Pro Forma'!$E$62:CQZ62))</f>
        <v>0</v>
      </c>
      <c r="CRC62" s="962">
        <f>MIN(CRC60*$C$62,'Sources and Uses Budget'!$J$99-SUM('15 Year Pro Forma'!$E$62:CRB62))</f>
        <v>0</v>
      </c>
      <c r="CRE62" s="962">
        <f>MIN(CRE60*$C$62,'Sources and Uses Budget'!$J$99-SUM('15 Year Pro Forma'!$E$62:CRD62))</f>
        <v>0</v>
      </c>
      <c r="CRG62" s="962">
        <f>MIN(CRG60*$C$62,'Sources and Uses Budget'!$J$99-SUM('15 Year Pro Forma'!$E$62:CRF62))</f>
        <v>0</v>
      </c>
      <c r="CRI62" s="962">
        <f>MIN(CRI60*$C$62,'Sources and Uses Budget'!$J$99-SUM('15 Year Pro Forma'!$E$62:CRH62))</f>
        <v>0</v>
      </c>
      <c r="CRK62" s="962">
        <f>MIN(CRK60*$C$62,'Sources and Uses Budget'!$J$99-SUM('15 Year Pro Forma'!$E$62:CRJ62))</f>
        <v>0</v>
      </c>
      <c r="CRM62" s="962">
        <f>MIN(CRM60*$C$62,'Sources and Uses Budget'!$J$99-SUM('15 Year Pro Forma'!$E$62:CRL62))</f>
        <v>0</v>
      </c>
      <c r="CRO62" s="962">
        <f>MIN(CRO60*$C$62,'Sources and Uses Budget'!$J$99-SUM('15 Year Pro Forma'!$E$62:CRN62))</f>
        <v>0</v>
      </c>
      <c r="CRQ62" s="962">
        <f>MIN(CRQ60*$C$62,'Sources and Uses Budget'!$J$99-SUM('15 Year Pro Forma'!$E$62:CRP62))</f>
        <v>0</v>
      </c>
      <c r="CRS62" s="962">
        <f>MIN(CRS60*$C$62,'Sources and Uses Budget'!$J$99-SUM('15 Year Pro Forma'!$E$62:CRR62))</f>
        <v>0</v>
      </c>
      <c r="CRU62" s="962">
        <f>MIN(CRU60*$C$62,'Sources and Uses Budget'!$J$99-SUM('15 Year Pro Forma'!$E$62:CRT62))</f>
        <v>0</v>
      </c>
      <c r="CRW62" s="962">
        <f>MIN(CRW60*$C$62,'Sources and Uses Budget'!$J$99-SUM('15 Year Pro Forma'!$E$62:CRV62))</f>
        <v>0</v>
      </c>
      <c r="CRY62" s="962">
        <f>MIN(CRY60*$C$62,'Sources and Uses Budget'!$J$99-SUM('15 Year Pro Forma'!$E$62:CRX62))</f>
        <v>0</v>
      </c>
      <c r="CSA62" s="962">
        <f>MIN(CSA60*$C$62,'Sources and Uses Budget'!$J$99-SUM('15 Year Pro Forma'!$E$62:CRZ62))</f>
        <v>0</v>
      </c>
      <c r="CSC62" s="962">
        <f>MIN(CSC60*$C$62,'Sources and Uses Budget'!$J$99-SUM('15 Year Pro Forma'!$E$62:CSB62))</f>
        <v>0</v>
      </c>
      <c r="CSE62" s="962">
        <f>MIN(CSE60*$C$62,'Sources and Uses Budget'!$J$99-SUM('15 Year Pro Forma'!$E$62:CSD62))</f>
        <v>0</v>
      </c>
      <c r="CSG62" s="962">
        <f>MIN(CSG60*$C$62,'Sources and Uses Budget'!$J$99-SUM('15 Year Pro Forma'!$E$62:CSF62))</f>
        <v>0</v>
      </c>
      <c r="CSI62" s="962">
        <f>MIN(CSI60*$C$62,'Sources and Uses Budget'!$J$99-SUM('15 Year Pro Forma'!$E$62:CSH62))</f>
        <v>0</v>
      </c>
      <c r="CSK62" s="962">
        <f>MIN(CSK60*$C$62,'Sources and Uses Budget'!$J$99-SUM('15 Year Pro Forma'!$E$62:CSJ62))</f>
        <v>0</v>
      </c>
      <c r="CSM62" s="962">
        <f>MIN(CSM60*$C$62,'Sources and Uses Budget'!$J$99-SUM('15 Year Pro Forma'!$E$62:CSL62))</f>
        <v>0</v>
      </c>
      <c r="CSO62" s="962">
        <f>MIN(CSO60*$C$62,'Sources and Uses Budget'!$J$99-SUM('15 Year Pro Forma'!$E$62:CSN62))</f>
        <v>0</v>
      </c>
      <c r="CSQ62" s="962">
        <f>MIN(CSQ60*$C$62,'Sources and Uses Budget'!$J$99-SUM('15 Year Pro Forma'!$E$62:CSP62))</f>
        <v>0</v>
      </c>
      <c r="CSS62" s="962">
        <f>MIN(CSS60*$C$62,'Sources and Uses Budget'!$J$99-SUM('15 Year Pro Forma'!$E$62:CSR62))</f>
        <v>0</v>
      </c>
      <c r="CSU62" s="962">
        <f>MIN(CSU60*$C$62,'Sources and Uses Budget'!$J$99-SUM('15 Year Pro Forma'!$E$62:CST62))</f>
        <v>0</v>
      </c>
      <c r="CSW62" s="962">
        <f>MIN(CSW60*$C$62,'Sources and Uses Budget'!$J$99-SUM('15 Year Pro Forma'!$E$62:CSV62))</f>
        <v>0</v>
      </c>
      <c r="CSY62" s="962">
        <f>MIN(CSY60*$C$62,'Sources and Uses Budget'!$J$99-SUM('15 Year Pro Forma'!$E$62:CSX62))</f>
        <v>0</v>
      </c>
      <c r="CTA62" s="962">
        <f>MIN(CTA60*$C$62,'Sources and Uses Budget'!$J$99-SUM('15 Year Pro Forma'!$E$62:CSZ62))</f>
        <v>0</v>
      </c>
      <c r="CTC62" s="962">
        <f>MIN(CTC60*$C$62,'Sources and Uses Budget'!$J$99-SUM('15 Year Pro Forma'!$E$62:CTB62))</f>
        <v>0</v>
      </c>
      <c r="CTE62" s="962">
        <f>MIN(CTE60*$C$62,'Sources and Uses Budget'!$J$99-SUM('15 Year Pro Forma'!$E$62:CTD62))</f>
        <v>0</v>
      </c>
      <c r="CTG62" s="962">
        <f>MIN(CTG60*$C$62,'Sources and Uses Budget'!$J$99-SUM('15 Year Pro Forma'!$E$62:CTF62))</f>
        <v>0</v>
      </c>
      <c r="CTI62" s="962">
        <f>MIN(CTI60*$C$62,'Sources and Uses Budget'!$J$99-SUM('15 Year Pro Forma'!$E$62:CTH62))</f>
        <v>0</v>
      </c>
      <c r="CTK62" s="962">
        <f>MIN(CTK60*$C$62,'Sources and Uses Budget'!$J$99-SUM('15 Year Pro Forma'!$E$62:CTJ62))</f>
        <v>0</v>
      </c>
      <c r="CTM62" s="962">
        <f>MIN(CTM60*$C$62,'Sources and Uses Budget'!$J$99-SUM('15 Year Pro Forma'!$E$62:CTL62))</f>
        <v>0</v>
      </c>
      <c r="CTO62" s="962">
        <f>MIN(CTO60*$C$62,'Sources and Uses Budget'!$J$99-SUM('15 Year Pro Forma'!$E$62:CTN62))</f>
        <v>0</v>
      </c>
      <c r="CTQ62" s="962">
        <f>MIN(CTQ60*$C$62,'Sources and Uses Budget'!$J$99-SUM('15 Year Pro Forma'!$E$62:CTP62))</f>
        <v>0</v>
      </c>
      <c r="CTS62" s="962">
        <f>MIN(CTS60*$C$62,'Sources and Uses Budget'!$J$99-SUM('15 Year Pro Forma'!$E$62:CTR62))</f>
        <v>0</v>
      </c>
      <c r="CTU62" s="962">
        <f>MIN(CTU60*$C$62,'Sources and Uses Budget'!$J$99-SUM('15 Year Pro Forma'!$E$62:CTT62))</f>
        <v>0</v>
      </c>
      <c r="CTW62" s="962">
        <f>MIN(CTW60*$C$62,'Sources and Uses Budget'!$J$99-SUM('15 Year Pro Forma'!$E$62:CTV62))</f>
        <v>0</v>
      </c>
      <c r="CTY62" s="962">
        <f>MIN(CTY60*$C$62,'Sources and Uses Budget'!$J$99-SUM('15 Year Pro Forma'!$E$62:CTX62))</f>
        <v>0</v>
      </c>
      <c r="CUA62" s="962">
        <f>MIN(CUA60*$C$62,'Sources and Uses Budget'!$J$99-SUM('15 Year Pro Forma'!$E$62:CTZ62))</f>
        <v>0</v>
      </c>
      <c r="CUC62" s="962">
        <f>MIN(CUC60*$C$62,'Sources and Uses Budget'!$J$99-SUM('15 Year Pro Forma'!$E$62:CUB62))</f>
        <v>0</v>
      </c>
      <c r="CUE62" s="962">
        <f>MIN(CUE60*$C$62,'Sources and Uses Budget'!$J$99-SUM('15 Year Pro Forma'!$E$62:CUD62))</f>
        <v>0</v>
      </c>
      <c r="CUG62" s="962">
        <f>MIN(CUG60*$C$62,'Sources and Uses Budget'!$J$99-SUM('15 Year Pro Forma'!$E$62:CUF62))</f>
        <v>0</v>
      </c>
      <c r="CUI62" s="962">
        <f>MIN(CUI60*$C$62,'Sources and Uses Budget'!$J$99-SUM('15 Year Pro Forma'!$E$62:CUH62))</f>
        <v>0</v>
      </c>
      <c r="CUK62" s="962">
        <f>MIN(CUK60*$C$62,'Sources and Uses Budget'!$J$99-SUM('15 Year Pro Forma'!$E$62:CUJ62))</f>
        <v>0</v>
      </c>
      <c r="CUM62" s="962">
        <f>MIN(CUM60*$C$62,'Sources and Uses Budget'!$J$99-SUM('15 Year Pro Forma'!$E$62:CUL62))</f>
        <v>0</v>
      </c>
      <c r="CUO62" s="962">
        <f>MIN(CUO60*$C$62,'Sources and Uses Budget'!$J$99-SUM('15 Year Pro Forma'!$E$62:CUN62))</f>
        <v>0</v>
      </c>
      <c r="CUQ62" s="962">
        <f>MIN(CUQ60*$C$62,'Sources and Uses Budget'!$J$99-SUM('15 Year Pro Forma'!$E$62:CUP62))</f>
        <v>0</v>
      </c>
      <c r="CUS62" s="962">
        <f>MIN(CUS60*$C$62,'Sources and Uses Budget'!$J$99-SUM('15 Year Pro Forma'!$E$62:CUR62))</f>
        <v>0</v>
      </c>
      <c r="CUU62" s="962">
        <f>MIN(CUU60*$C$62,'Sources and Uses Budget'!$J$99-SUM('15 Year Pro Forma'!$E$62:CUT62))</f>
        <v>0</v>
      </c>
      <c r="CUW62" s="962">
        <f>MIN(CUW60*$C$62,'Sources and Uses Budget'!$J$99-SUM('15 Year Pro Forma'!$E$62:CUV62))</f>
        <v>0</v>
      </c>
      <c r="CUY62" s="962">
        <f>MIN(CUY60*$C$62,'Sources and Uses Budget'!$J$99-SUM('15 Year Pro Forma'!$E$62:CUX62))</f>
        <v>0</v>
      </c>
      <c r="CVA62" s="962">
        <f>MIN(CVA60*$C$62,'Sources and Uses Budget'!$J$99-SUM('15 Year Pro Forma'!$E$62:CUZ62))</f>
        <v>0</v>
      </c>
      <c r="CVC62" s="962">
        <f>MIN(CVC60*$C$62,'Sources and Uses Budget'!$J$99-SUM('15 Year Pro Forma'!$E$62:CVB62))</f>
        <v>0</v>
      </c>
      <c r="CVE62" s="962">
        <f>MIN(CVE60*$C$62,'Sources and Uses Budget'!$J$99-SUM('15 Year Pro Forma'!$E$62:CVD62))</f>
        <v>0</v>
      </c>
      <c r="CVG62" s="962">
        <f>MIN(CVG60*$C$62,'Sources and Uses Budget'!$J$99-SUM('15 Year Pro Forma'!$E$62:CVF62))</f>
        <v>0</v>
      </c>
      <c r="CVI62" s="962">
        <f>MIN(CVI60*$C$62,'Sources and Uses Budget'!$J$99-SUM('15 Year Pro Forma'!$E$62:CVH62))</f>
        <v>0</v>
      </c>
      <c r="CVK62" s="962">
        <f>MIN(CVK60*$C$62,'Sources and Uses Budget'!$J$99-SUM('15 Year Pro Forma'!$E$62:CVJ62))</f>
        <v>0</v>
      </c>
      <c r="CVM62" s="962">
        <f>MIN(CVM60*$C$62,'Sources and Uses Budget'!$J$99-SUM('15 Year Pro Forma'!$E$62:CVL62))</f>
        <v>0</v>
      </c>
      <c r="CVO62" s="962">
        <f>MIN(CVO60*$C$62,'Sources and Uses Budget'!$J$99-SUM('15 Year Pro Forma'!$E$62:CVN62))</f>
        <v>0</v>
      </c>
      <c r="CVQ62" s="962">
        <f>MIN(CVQ60*$C$62,'Sources and Uses Budget'!$J$99-SUM('15 Year Pro Forma'!$E$62:CVP62))</f>
        <v>0</v>
      </c>
      <c r="CVS62" s="962">
        <f>MIN(CVS60*$C$62,'Sources and Uses Budget'!$J$99-SUM('15 Year Pro Forma'!$E$62:CVR62))</f>
        <v>0</v>
      </c>
      <c r="CVU62" s="962">
        <f>MIN(CVU60*$C$62,'Sources and Uses Budget'!$J$99-SUM('15 Year Pro Forma'!$E$62:CVT62))</f>
        <v>0</v>
      </c>
      <c r="CVW62" s="962">
        <f>MIN(CVW60*$C$62,'Sources and Uses Budget'!$J$99-SUM('15 Year Pro Forma'!$E$62:CVV62))</f>
        <v>0</v>
      </c>
      <c r="CVY62" s="962">
        <f>MIN(CVY60*$C$62,'Sources and Uses Budget'!$J$99-SUM('15 Year Pro Forma'!$E$62:CVX62))</f>
        <v>0</v>
      </c>
      <c r="CWA62" s="962">
        <f>MIN(CWA60*$C$62,'Sources and Uses Budget'!$J$99-SUM('15 Year Pro Forma'!$E$62:CVZ62))</f>
        <v>0</v>
      </c>
      <c r="CWC62" s="962">
        <f>MIN(CWC60*$C$62,'Sources and Uses Budget'!$J$99-SUM('15 Year Pro Forma'!$E$62:CWB62))</f>
        <v>0</v>
      </c>
      <c r="CWE62" s="962">
        <f>MIN(CWE60*$C$62,'Sources and Uses Budget'!$J$99-SUM('15 Year Pro Forma'!$E$62:CWD62))</f>
        <v>0</v>
      </c>
      <c r="CWG62" s="962">
        <f>MIN(CWG60*$C$62,'Sources and Uses Budget'!$J$99-SUM('15 Year Pro Forma'!$E$62:CWF62))</f>
        <v>0</v>
      </c>
      <c r="CWI62" s="962">
        <f>MIN(CWI60*$C$62,'Sources and Uses Budget'!$J$99-SUM('15 Year Pro Forma'!$E$62:CWH62))</f>
        <v>0</v>
      </c>
      <c r="CWK62" s="962">
        <f>MIN(CWK60*$C$62,'Sources and Uses Budget'!$J$99-SUM('15 Year Pro Forma'!$E$62:CWJ62))</f>
        <v>0</v>
      </c>
      <c r="CWM62" s="962">
        <f>MIN(CWM60*$C$62,'Sources and Uses Budget'!$J$99-SUM('15 Year Pro Forma'!$E$62:CWL62))</f>
        <v>0</v>
      </c>
      <c r="CWO62" s="962">
        <f>MIN(CWO60*$C$62,'Sources and Uses Budget'!$J$99-SUM('15 Year Pro Forma'!$E$62:CWN62))</f>
        <v>0</v>
      </c>
      <c r="CWQ62" s="962">
        <f>MIN(CWQ60*$C$62,'Sources and Uses Budget'!$J$99-SUM('15 Year Pro Forma'!$E$62:CWP62))</f>
        <v>0</v>
      </c>
      <c r="CWS62" s="962">
        <f>MIN(CWS60*$C$62,'Sources and Uses Budget'!$J$99-SUM('15 Year Pro Forma'!$E$62:CWR62))</f>
        <v>0</v>
      </c>
      <c r="CWU62" s="962">
        <f>MIN(CWU60*$C$62,'Sources and Uses Budget'!$J$99-SUM('15 Year Pro Forma'!$E$62:CWT62))</f>
        <v>0</v>
      </c>
      <c r="CWW62" s="962">
        <f>MIN(CWW60*$C$62,'Sources and Uses Budget'!$J$99-SUM('15 Year Pro Forma'!$E$62:CWV62))</f>
        <v>0</v>
      </c>
      <c r="CWY62" s="962">
        <f>MIN(CWY60*$C$62,'Sources and Uses Budget'!$J$99-SUM('15 Year Pro Forma'!$E$62:CWX62))</f>
        <v>0</v>
      </c>
      <c r="CXA62" s="962">
        <f>MIN(CXA60*$C$62,'Sources and Uses Budget'!$J$99-SUM('15 Year Pro Forma'!$E$62:CWZ62))</f>
        <v>0</v>
      </c>
      <c r="CXC62" s="962">
        <f>MIN(CXC60*$C$62,'Sources and Uses Budget'!$J$99-SUM('15 Year Pro Forma'!$E$62:CXB62))</f>
        <v>0</v>
      </c>
      <c r="CXE62" s="962">
        <f>MIN(CXE60*$C$62,'Sources and Uses Budget'!$J$99-SUM('15 Year Pro Forma'!$E$62:CXD62))</f>
        <v>0</v>
      </c>
      <c r="CXG62" s="962">
        <f>MIN(CXG60*$C$62,'Sources and Uses Budget'!$J$99-SUM('15 Year Pro Forma'!$E$62:CXF62))</f>
        <v>0</v>
      </c>
      <c r="CXI62" s="962">
        <f>MIN(CXI60*$C$62,'Sources and Uses Budget'!$J$99-SUM('15 Year Pro Forma'!$E$62:CXH62))</f>
        <v>0</v>
      </c>
      <c r="CXK62" s="962">
        <f>MIN(CXK60*$C$62,'Sources and Uses Budget'!$J$99-SUM('15 Year Pro Forma'!$E$62:CXJ62))</f>
        <v>0</v>
      </c>
      <c r="CXM62" s="962">
        <f>MIN(CXM60*$C$62,'Sources and Uses Budget'!$J$99-SUM('15 Year Pro Forma'!$E$62:CXL62))</f>
        <v>0</v>
      </c>
      <c r="CXO62" s="962">
        <f>MIN(CXO60*$C$62,'Sources and Uses Budget'!$J$99-SUM('15 Year Pro Forma'!$E$62:CXN62))</f>
        <v>0</v>
      </c>
      <c r="CXQ62" s="962">
        <f>MIN(CXQ60*$C$62,'Sources and Uses Budget'!$J$99-SUM('15 Year Pro Forma'!$E$62:CXP62))</f>
        <v>0</v>
      </c>
      <c r="CXS62" s="962">
        <f>MIN(CXS60*$C$62,'Sources and Uses Budget'!$J$99-SUM('15 Year Pro Forma'!$E$62:CXR62))</f>
        <v>0</v>
      </c>
      <c r="CXU62" s="962">
        <f>MIN(CXU60*$C$62,'Sources and Uses Budget'!$J$99-SUM('15 Year Pro Forma'!$E$62:CXT62))</f>
        <v>0</v>
      </c>
      <c r="CXW62" s="962">
        <f>MIN(CXW60*$C$62,'Sources and Uses Budget'!$J$99-SUM('15 Year Pro Forma'!$E$62:CXV62))</f>
        <v>0</v>
      </c>
      <c r="CXY62" s="962">
        <f>MIN(CXY60*$C$62,'Sources and Uses Budget'!$J$99-SUM('15 Year Pro Forma'!$E$62:CXX62))</f>
        <v>0</v>
      </c>
      <c r="CYA62" s="962">
        <f>MIN(CYA60*$C$62,'Sources and Uses Budget'!$J$99-SUM('15 Year Pro Forma'!$E$62:CXZ62))</f>
        <v>0</v>
      </c>
      <c r="CYC62" s="962">
        <f>MIN(CYC60*$C$62,'Sources and Uses Budget'!$J$99-SUM('15 Year Pro Forma'!$E$62:CYB62))</f>
        <v>0</v>
      </c>
      <c r="CYE62" s="962">
        <f>MIN(CYE60*$C$62,'Sources and Uses Budget'!$J$99-SUM('15 Year Pro Forma'!$E$62:CYD62))</f>
        <v>0</v>
      </c>
      <c r="CYG62" s="962">
        <f>MIN(CYG60*$C$62,'Sources and Uses Budget'!$J$99-SUM('15 Year Pro Forma'!$E$62:CYF62))</f>
        <v>0</v>
      </c>
      <c r="CYI62" s="962">
        <f>MIN(CYI60*$C$62,'Sources and Uses Budget'!$J$99-SUM('15 Year Pro Forma'!$E$62:CYH62))</f>
        <v>0</v>
      </c>
      <c r="CYK62" s="962">
        <f>MIN(CYK60*$C$62,'Sources and Uses Budget'!$J$99-SUM('15 Year Pro Forma'!$E$62:CYJ62))</f>
        <v>0</v>
      </c>
      <c r="CYM62" s="962">
        <f>MIN(CYM60*$C$62,'Sources and Uses Budget'!$J$99-SUM('15 Year Pro Forma'!$E$62:CYL62))</f>
        <v>0</v>
      </c>
      <c r="CYO62" s="962">
        <f>MIN(CYO60*$C$62,'Sources and Uses Budget'!$J$99-SUM('15 Year Pro Forma'!$E$62:CYN62))</f>
        <v>0</v>
      </c>
      <c r="CYQ62" s="962">
        <f>MIN(CYQ60*$C$62,'Sources and Uses Budget'!$J$99-SUM('15 Year Pro Forma'!$E$62:CYP62))</f>
        <v>0</v>
      </c>
      <c r="CYS62" s="962">
        <f>MIN(CYS60*$C$62,'Sources and Uses Budget'!$J$99-SUM('15 Year Pro Forma'!$E$62:CYR62))</f>
        <v>0</v>
      </c>
      <c r="CYU62" s="962">
        <f>MIN(CYU60*$C$62,'Sources and Uses Budget'!$J$99-SUM('15 Year Pro Forma'!$E$62:CYT62))</f>
        <v>0</v>
      </c>
      <c r="CYW62" s="962">
        <f>MIN(CYW60*$C$62,'Sources and Uses Budget'!$J$99-SUM('15 Year Pro Forma'!$E$62:CYV62))</f>
        <v>0</v>
      </c>
      <c r="CYY62" s="962">
        <f>MIN(CYY60*$C$62,'Sources and Uses Budget'!$J$99-SUM('15 Year Pro Forma'!$E$62:CYX62))</f>
        <v>0</v>
      </c>
      <c r="CZA62" s="962">
        <f>MIN(CZA60*$C$62,'Sources and Uses Budget'!$J$99-SUM('15 Year Pro Forma'!$E$62:CYZ62))</f>
        <v>0</v>
      </c>
      <c r="CZC62" s="962">
        <f>MIN(CZC60*$C$62,'Sources and Uses Budget'!$J$99-SUM('15 Year Pro Forma'!$E$62:CZB62))</f>
        <v>0</v>
      </c>
      <c r="CZE62" s="962">
        <f>MIN(CZE60*$C$62,'Sources and Uses Budget'!$J$99-SUM('15 Year Pro Forma'!$E$62:CZD62))</f>
        <v>0</v>
      </c>
      <c r="CZG62" s="962">
        <f>MIN(CZG60*$C$62,'Sources and Uses Budget'!$J$99-SUM('15 Year Pro Forma'!$E$62:CZF62))</f>
        <v>0</v>
      </c>
      <c r="CZI62" s="962">
        <f>MIN(CZI60*$C$62,'Sources and Uses Budget'!$J$99-SUM('15 Year Pro Forma'!$E$62:CZH62))</f>
        <v>0</v>
      </c>
      <c r="CZK62" s="962">
        <f>MIN(CZK60*$C$62,'Sources and Uses Budget'!$J$99-SUM('15 Year Pro Forma'!$E$62:CZJ62))</f>
        <v>0</v>
      </c>
      <c r="CZM62" s="962">
        <f>MIN(CZM60*$C$62,'Sources and Uses Budget'!$J$99-SUM('15 Year Pro Forma'!$E$62:CZL62))</f>
        <v>0</v>
      </c>
      <c r="CZO62" s="962">
        <f>MIN(CZO60*$C$62,'Sources and Uses Budget'!$J$99-SUM('15 Year Pro Forma'!$E$62:CZN62))</f>
        <v>0</v>
      </c>
      <c r="CZQ62" s="962">
        <f>MIN(CZQ60*$C$62,'Sources and Uses Budget'!$J$99-SUM('15 Year Pro Forma'!$E$62:CZP62))</f>
        <v>0</v>
      </c>
      <c r="CZS62" s="962">
        <f>MIN(CZS60*$C$62,'Sources and Uses Budget'!$J$99-SUM('15 Year Pro Forma'!$E$62:CZR62))</f>
        <v>0</v>
      </c>
      <c r="CZU62" s="962">
        <f>MIN(CZU60*$C$62,'Sources and Uses Budget'!$J$99-SUM('15 Year Pro Forma'!$E$62:CZT62))</f>
        <v>0</v>
      </c>
      <c r="CZW62" s="962">
        <f>MIN(CZW60*$C$62,'Sources and Uses Budget'!$J$99-SUM('15 Year Pro Forma'!$E$62:CZV62))</f>
        <v>0</v>
      </c>
      <c r="CZY62" s="962">
        <f>MIN(CZY60*$C$62,'Sources and Uses Budget'!$J$99-SUM('15 Year Pro Forma'!$E$62:CZX62))</f>
        <v>0</v>
      </c>
      <c r="DAA62" s="962">
        <f>MIN(DAA60*$C$62,'Sources and Uses Budget'!$J$99-SUM('15 Year Pro Forma'!$E$62:CZZ62))</f>
        <v>0</v>
      </c>
      <c r="DAC62" s="962">
        <f>MIN(DAC60*$C$62,'Sources and Uses Budget'!$J$99-SUM('15 Year Pro Forma'!$E$62:DAB62))</f>
        <v>0</v>
      </c>
      <c r="DAE62" s="962">
        <f>MIN(DAE60*$C$62,'Sources and Uses Budget'!$J$99-SUM('15 Year Pro Forma'!$E$62:DAD62))</f>
        <v>0</v>
      </c>
      <c r="DAG62" s="962">
        <f>MIN(DAG60*$C$62,'Sources and Uses Budget'!$J$99-SUM('15 Year Pro Forma'!$E$62:DAF62))</f>
        <v>0</v>
      </c>
      <c r="DAI62" s="962">
        <f>MIN(DAI60*$C$62,'Sources and Uses Budget'!$J$99-SUM('15 Year Pro Forma'!$E$62:DAH62))</f>
        <v>0</v>
      </c>
      <c r="DAK62" s="962">
        <f>MIN(DAK60*$C$62,'Sources and Uses Budget'!$J$99-SUM('15 Year Pro Forma'!$E$62:DAJ62))</f>
        <v>0</v>
      </c>
      <c r="DAM62" s="962">
        <f>MIN(DAM60*$C$62,'Sources and Uses Budget'!$J$99-SUM('15 Year Pro Forma'!$E$62:DAL62))</f>
        <v>0</v>
      </c>
      <c r="DAO62" s="962">
        <f>MIN(DAO60*$C$62,'Sources and Uses Budget'!$J$99-SUM('15 Year Pro Forma'!$E$62:DAN62))</f>
        <v>0</v>
      </c>
      <c r="DAQ62" s="962">
        <f>MIN(DAQ60*$C$62,'Sources and Uses Budget'!$J$99-SUM('15 Year Pro Forma'!$E$62:DAP62))</f>
        <v>0</v>
      </c>
      <c r="DAS62" s="962">
        <f>MIN(DAS60*$C$62,'Sources and Uses Budget'!$J$99-SUM('15 Year Pro Forma'!$E$62:DAR62))</f>
        <v>0</v>
      </c>
      <c r="DAU62" s="962">
        <f>MIN(DAU60*$C$62,'Sources and Uses Budget'!$J$99-SUM('15 Year Pro Forma'!$E$62:DAT62))</f>
        <v>0</v>
      </c>
      <c r="DAW62" s="962">
        <f>MIN(DAW60*$C$62,'Sources and Uses Budget'!$J$99-SUM('15 Year Pro Forma'!$E$62:DAV62))</f>
        <v>0</v>
      </c>
      <c r="DAY62" s="962">
        <f>MIN(DAY60*$C$62,'Sources and Uses Budget'!$J$99-SUM('15 Year Pro Forma'!$E$62:DAX62))</f>
        <v>0</v>
      </c>
      <c r="DBA62" s="962">
        <f>MIN(DBA60*$C$62,'Sources and Uses Budget'!$J$99-SUM('15 Year Pro Forma'!$E$62:DAZ62))</f>
        <v>0</v>
      </c>
      <c r="DBC62" s="962">
        <f>MIN(DBC60*$C$62,'Sources and Uses Budget'!$J$99-SUM('15 Year Pro Forma'!$E$62:DBB62))</f>
        <v>0</v>
      </c>
      <c r="DBE62" s="962">
        <f>MIN(DBE60*$C$62,'Sources and Uses Budget'!$J$99-SUM('15 Year Pro Forma'!$E$62:DBD62))</f>
        <v>0</v>
      </c>
      <c r="DBG62" s="962">
        <f>MIN(DBG60*$C$62,'Sources and Uses Budget'!$J$99-SUM('15 Year Pro Forma'!$E$62:DBF62))</f>
        <v>0</v>
      </c>
      <c r="DBI62" s="962">
        <f>MIN(DBI60*$C$62,'Sources and Uses Budget'!$J$99-SUM('15 Year Pro Forma'!$E$62:DBH62))</f>
        <v>0</v>
      </c>
      <c r="DBK62" s="962">
        <f>MIN(DBK60*$C$62,'Sources and Uses Budget'!$J$99-SUM('15 Year Pro Forma'!$E$62:DBJ62))</f>
        <v>0</v>
      </c>
      <c r="DBM62" s="962">
        <f>MIN(DBM60*$C$62,'Sources and Uses Budget'!$J$99-SUM('15 Year Pro Forma'!$E$62:DBL62))</f>
        <v>0</v>
      </c>
      <c r="DBO62" s="962">
        <f>MIN(DBO60*$C$62,'Sources and Uses Budget'!$J$99-SUM('15 Year Pro Forma'!$E$62:DBN62))</f>
        <v>0</v>
      </c>
      <c r="DBQ62" s="962">
        <f>MIN(DBQ60*$C$62,'Sources and Uses Budget'!$J$99-SUM('15 Year Pro Forma'!$E$62:DBP62))</f>
        <v>0</v>
      </c>
      <c r="DBS62" s="962">
        <f>MIN(DBS60*$C$62,'Sources and Uses Budget'!$J$99-SUM('15 Year Pro Forma'!$E$62:DBR62))</f>
        <v>0</v>
      </c>
      <c r="DBU62" s="962">
        <f>MIN(DBU60*$C$62,'Sources and Uses Budget'!$J$99-SUM('15 Year Pro Forma'!$E$62:DBT62))</f>
        <v>0</v>
      </c>
      <c r="DBW62" s="962">
        <f>MIN(DBW60*$C$62,'Sources and Uses Budget'!$J$99-SUM('15 Year Pro Forma'!$E$62:DBV62))</f>
        <v>0</v>
      </c>
      <c r="DBY62" s="962">
        <f>MIN(DBY60*$C$62,'Sources and Uses Budget'!$J$99-SUM('15 Year Pro Forma'!$E$62:DBX62))</f>
        <v>0</v>
      </c>
      <c r="DCA62" s="962">
        <f>MIN(DCA60*$C$62,'Sources and Uses Budget'!$J$99-SUM('15 Year Pro Forma'!$E$62:DBZ62))</f>
        <v>0</v>
      </c>
      <c r="DCC62" s="962">
        <f>MIN(DCC60*$C$62,'Sources and Uses Budget'!$J$99-SUM('15 Year Pro Forma'!$E$62:DCB62))</f>
        <v>0</v>
      </c>
      <c r="DCE62" s="962">
        <f>MIN(DCE60*$C$62,'Sources and Uses Budget'!$J$99-SUM('15 Year Pro Forma'!$E$62:DCD62))</f>
        <v>0</v>
      </c>
      <c r="DCG62" s="962">
        <f>MIN(DCG60*$C$62,'Sources and Uses Budget'!$J$99-SUM('15 Year Pro Forma'!$E$62:DCF62))</f>
        <v>0</v>
      </c>
      <c r="DCI62" s="962">
        <f>MIN(DCI60*$C$62,'Sources and Uses Budget'!$J$99-SUM('15 Year Pro Forma'!$E$62:DCH62))</f>
        <v>0</v>
      </c>
      <c r="DCK62" s="962">
        <f>MIN(DCK60*$C$62,'Sources and Uses Budget'!$J$99-SUM('15 Year Pro Forma'!$E$62:DCJ62))</f>
        <v>0</v>
      </c>
      <c r="DCM62" s="962">
        <f>MIN(DCM60*$C$62,'Sources and Uses Budget'!$J$99-SUM('15 Year Pro Forma'!$E$62:DCL62))</f>
        <v>0</v>
      </c>
      <c r="DCO62" s="962">
        <f>MIN(DCO60*$C$62,'Sources and Uses Budget'!$J$99-SUM('15 Year Pro Forma'!$E$62:DCN62))</f>
        <v>0</v>
      </c>
      <c r="DCQ62" s="962">
        <f>MIN(DCQ60*$C$62,'Sources and Uses Budget'!$J$99-SUM('15 Year Pro Forma'!$E$62:DCP62))</f>
        <v>0</v>
      </c>
      <c r="DCS62" s="962">
        <f>MIN(DCS60*$C$62,'Sources and Uses Budget'!$J$99-SUM('15 Year Pro Forma'!$E$62:DCR62))</f>
        <v>0</v>
      </c>
      <c r="DCU62" s="962">
        <f>MIN(DCU60*$C$62,'Sources and Uses Budget'!$J$99-SUM('15 Year Pro Forma'!$E$62:DCT62))</f>
        <v>0</v>
      </c>
      <c r="DCW62" s="962">
        <f>MIN(DCW60*$C$62,'Sources and Uses Budget'!$J$99-SUM('15 Year Pro Forma'!$E$62:DCV62))</f>
        <v>0</v>
      </c>
      <c r="DCY62" s="962">
        <f>MIN(DCY60*$C$62,'Sources and Uses Budget'!$J$99-SUM('15 Year Pro Forma'!$E$62:DCX62))</f>
        <v>0</v>
      </c>
      <c r="DDA62" s="962">
        <f>MIN(DDA60*$C$62,'Sources and Uses Budget'!$J$99-SUM('15 Year Pro Forma'!$E$62:DCZ62))</f>
        <v>0</v>
      </c>
      <c r="DDC62" s="962">
        <f>MIN(DDC60*$C$62,'Sources and Uses Budget'!$J$99-SUM('15 Year Pro Forma'!$E$62:DDB62))</f>
        <v>0</v>
      </c>
      <c r="DDE62" s="962">
        <f>MIN(DDE60*$C$62,'Sources and Uses Budget'!$J$99-SUM('15 Year Pro Forma'!$E$62:DDD62))</f>
        <v>0</v>
      </c>
      <c r="DDG62" s="962">
        <f>MIN(DDG60*$C$62,'Sources and Uses Budget'!$J$99-SUM('15 Year Pro Forma'!$E$62:DDF62))</f>
        <v>0</v>
      </c>
      <c r="DDI62" s="962">
        <f>MIN(DDI60*$C$62,'Sources and Uses Budget'!$J$99-SUM('15 Year Pro Forma'!$E$62:DDH62))</f>
        <v>0</v>
      </c>
      <c r="DDK62" s="962">
        <f>MIN(DDK60*$C$62,'Sources and Uses Budget'!$J$99-SUM('15 Year Pro Forma'!$E$62:DDJ62))</f>
        <v>0</v>
      </c>
      <c r="DDM62" s="962">
        <f>MIN(DDM60*$C$62,'Sources and Uses Budget'!$J$99-SUM('15 Year Pro Forma'!$E$62:DDL62))</f>
        <v>0</v>
      </c>
      <c r="DDO62" s="962">
        <f>MIN(DDO60*$C$62,'Sources and Uses Budget'!$J$99-SUM('15 Year Pro Forma'!$E$62:DDN62))</f>
        <v>0</v>
      </c>
      <c r="DDQ62" s="962">
        <f>MIN(DDQ60*$C$62,'Sources and Uses Budget'!$J$99-SUM('15 Year Pro Forma'!$E$62:DDP62))</f>
        <v>0</v>
      </c>
      <c r="DDS62" s="962">
        <f>MIN(DDS60*$C$62,'Sources and Uses Budget'!$J$99-SUM('15 Year Pro Forma'!$E$62:DDR62))</f>
        <v>0</v>
      </c>
      <c r="DDU62" s="962">
        <f>MIN(DDU60*$C$62,'Sources and Uses Budget'!$J$99-SUM('15 Year Pro Forma'!$E$62:DDT62))</f>
        <v>0</v>
      </c>
      <c r="DDW62" s="962">
        <f>MIN(DDW60*$C$62,'Sources and Uses Budget'!$J$99-SUM('15 Year Pro Forma'!$E$62:DDV62))</f>
        <v>0</v>
      </c>
      <c r="DDY62" s="962">
        <f>MIN(DDY60*$C$62,'Sources and Uses Budget'!$J$99-SUM('15 Year Pro Forma'!$E$62:DDX62))</f>
        <v>0</v>
      </c>
      <c r="DEA62" s="962">
        <f>MIN(DEA60*$C$62,'Sources and Uses Budget'!$J$99-SUM('15 Year Pro Forma'!$E$62:DDZ62))</f>
        <v>0</v>
      </c>
      <c r="DEC62" s="962">
        <f>MIN(DEC60*$C$62,'Sources and Uses Budget'!$J$99-SUM('15 Year Pro Forma'!$E$62:DEB62))</f>
        <v>0</v>
      </c>
      <c r="DEE62" s="962">
        <f>MIN(DEE60*$C$62,'Sources and Uses Budget'!$J$99-SUM('15 Year Pro Forma'!$E$62:DED62))</f>
        <v>0</v>
      </c>
      <c r="DEG62" s="962">
        <f>MIN(DEG60*$C$62,'Sources and Uses Budget'!$J$99-SUM('15 Year Pro Forma'!$E$62:DEF62))</f>
        <v>0</v>
      </c>
      <c r="DEI62" s="962">
        <f>MIN(DEI60*$C$62,'Sources and Uses Budget'!$J$99-SUM('15 Year Pro Forma'!$E$62:DEH62))</f>
        <v>0</v>
      </c>
      <c r="DEK62" s="962">
        <f>MIN(DEK60*$C$62,'Sources and Uses Budget'!$J$99-SUM('15 Year Pro Forma'!$E$62:DEJ62))</f>
        <v>0</v>
      </c>
      <c r="DEM62" s="962">
        <f>MIN(DEM60*$C$62,'Sources and Uses Budget'!$J$99-SUM('15 Year Pro Forma'!$E$62:DEL62))</f>
        <v>0</v>
      </c>
      <c r="DEO62" s="962">
        <f>MIN(DEO60*$C$62,'Sources and Uses Budget'!$J$99-SUM('15 Year Pro Forma'!$E$62:DEN62))</f>
        <v>0</v>
      </c>
      <c r="DEQ62" s="962">
        <f>MIN(DEQ60*$C$62,'Sources and Uses Budget'!$J$99-SUM('15 Year Pro Forma'!$E$62:DEP62))</f>
        <v>0</v>
      </c>
      <c r="DES62" s="962">
        <f>MIN(DES60*$C$62,'Sources and Uses Budget'!$J$99-SUM('15 Year Pro Forma'!$E$62:DER62))</f>
        <v>0</v>
      </c>
      <c r="DEU62" s="962">
        <f>MIN(DEU60*$C$62,'Sources and Uses Budget'!$J$99-SUM('15 Year Pro Forma'!$E$62:DET62))</f>
        <v>0</v>
      </c>
      <c r="DEW62" s="962">
        <f>MIN(DEW60*$C$62,'Sources and Uses Budget'!$J$99-SUM('15 Year Pro Forma'!$E$62:DEV62))</f>
        <v>0</v>
      </c>
      <c r="DEY62" s="962">
        <f>MIN(DEY60*$C$62,'Sources and Uses Budget'!$J$99-SUM('15 Year Pro Forma'!$E$62:DEX62))</f>
        <v>0</v>
      </c>
      <c r="DFA62" s="962">
        <f>MIN(DFA60*$C$62,'Sources and Uses Budget'!$J$99-SUM('15 Year Pro Forma'!$E$62:DEZ62))</f>
        <v>0</v>
      </c>
      <c r="DFC62" s="962">
        <f>MIN(DFC60*$C$62,'Sources and Uses Budget'!$J$99-SUM('15 Year Pro Forma'!$E$62:DFB62))</f>
        <v>0</v>
      </c>
      <c r="DFE62" s="962">
        <f>MIN(DFE60*$C$62,'Sources and Uses Budget'!$J$99-SUM('15 Year Pro Forma'!$E$62:DFD62))</f>
        <v>0</v>
      </c>
      <c r="DFG62" s="962">
        <f>MIN(DFG60*$C$62,'Sources and Uses Budget'!$J$99-SUM('15 Year Pro Forma'!$E$62:DFF62))</f>
        <v>0</v>
      </c>
      <c r="DFI62" s="962">
        <f>MIN(DFI60*$C$62,'Sources and Uses Budget'!$J$99-SUM('15 Year Pro Forma'!$E$62:DFH62))</f>
        <v>0</v>
      </c>
      <c r="DFK62" s="962">
        <f>MIN(DFK60*$C$62,'Sources and Uses Budget'!$J$99-SUM('15 Year Pro Forma'!$E$62:DFJ62))</f>
        <v>0</v>
      </c>
      <c r="DFM62" s="962">
        <f>MIN(DFM60*$C$62,'Sources and Uses Budget'!$J$99-SUM('15 Year Pro Forma'!$E$62:DFL62))</f>
        <v>0</v>
      </c>
      <c r="DFO62" s="962">
        <f>MIN(DFO60*$C$62,'Sources and Uses Budget'!$J$99-SUM('15 Year Pro Forma'!$E$62:DFN62))</f>
        <v>0</v>
      </c>
      <c r="DFQ62" s="962">
        <f>MIN(DFQ60*$C$62,'Sources and Uses Budget'!$J$99-SUM('15 Year Pro Forma'!$E$62:DFP62))</f>
        <v>0</v>
      </c>
      <c r="DFS62" s="962">
        <f>MIN(DFS60*$C$62,'Sources and Uses Budget'!$J$99-SUM('15 Year Pro Forma'!$E$62:DFR62))</f>
        <v>0</v>
      </c>
      <c r="DFU62" s="962">
        <f>MIN(DFU60*$C$62,'Sources and Uses Budget'!$J$99-SUM('15 Year Pro Forma'!$E$62:DFT62))</f>
        <v>0</v>
      </c>
      <c r="DFW62" s="962">
        <f>MIN(DFW60*$C$62,'Sources and Uses Budget'!$J$99-SUM('15 Year Pro Forma'!$E$62:DFV62))</f>
        <v>0</v>
      </c>
      <c r="DFY62" s="962">
        <f>MIN(DFY60*$C$62,'Sources and Uses Budget'!$J$99-SUM('15 Year Pro Forma'!$E$62:DFX62))</f>
        <v>0</v>
      </c>
      <c r="DGA62" s="962">
        <f>MIN(DGA60*$C$62,'Sources and Uses Budget'!$J$99-SUM('15 Year Pro Forma'!$E$62:DFZ62))</f>
        <v>0</v>
      </c>
      <c r="DGC62" s="962">
        <f>MIN(DGC60*$C$62,'Sources and Uses Budget'!$J$99-SUM('15 Year Pro Forma'!$E$62:DGB62))</f>
        <v>0</v>
      </c>
      <c r="DGE62" s="962">
        <f>MIN(DGE60*$C$62,'Sources and Uses Budget'!$J$99-SUM('15 Year Pro Forma'!$E$62:DGD62))</f>
        <v>0</v>
      </c>
      <c r="DGG62" s="962">
        <f>MIN(DGG60*$C$62,'Sources and Uses Budget'!$J$99-SUM('15 Year Pro Forma'!$E$62:DGF62))</f>
        <v>0</v>
      </c>
      <c r="DGI62" s="962">
        <f>MIN(DGI60*$C$62,'Sources and Uses Budget'!$J$99-SUM('15 Year Pro Forma'!$E$62:DGH62))</f>
        <v>0</v>
      </c>
      <c r="DGK62" s="962">
        <f>MIN(DGK60*$C$62,'Sources and Uses Budget'!$J$99-SUM('15 Year Pro Forma'!$E$62:DGJ62))</f>
        <v>0</v>
      </c>
      <c r="DGM62" s="962">
        <f>MIN(DGM60*$C$62,'Sources and Uses Budget'!$J$99-SUM('15 Year Pro Forma'!$E$62:DGL62))</f>
        <v>0</v>
      </c>
      <c r="DGO62" s="962">
        <f>MIN(DGO60*$C$62,'Sources and Uses Budget'!$J$99-SUM('15 Year Pro Forma'!$E$62:DGN62))</f>
        <v>0</v>
      </c>
      <c r="DGQ62" s="962">
        <f>MIN(DGQ60*$C$62,'Sources and Uses Budget'!$J$99-SUM('15 Year Pro Forma'!$E$62:DGP62))</f>
        <v>0</v>
      </c>
      <c r="DGS62" s="962">
        <f>MIN(DGS60*$C$62,'Sources and Uses Budget'!$J$99-SUM('15 Year Pro Forma'!$E$62:DGR62))</f>
        <v>0</v>
      </c>
      <c r="DGU62" s="962">
        <f>MIN(DGU60*$C$62,'Sources and Uses Budget'!$J$99-SUM('15 Year Pro Forma'!$E$62:DGT62))</f>
        <v>0</v>
      </c>
      <c r="DGW62" s="962">
        <f>MIN(DGW60*$C$62,'Sources and Uses Budget'!$J$99-SUM('15 Year Pro Forma'!$E$62:DGV62))</f>
        <v>0</v>
      </c>
      <c r="DGY62" s="962">
        <f>MIN(DGY60*$C$62,'Sources and Uses Budget'!$J$99-SUM('15 Year Pro Forma'!$E$62:DGX62))</f>
        <v>0</v>
      </c>
      <c r="DHA62" s="962">
        <f>MIN(DHA60*$C$62,'Sources and Uses Budget'!$J$99-SUM('15 Year Pro Forma'!$E$62:DGZ62))</f>
        <v>0</v>
      </c>
      <c r="DHC62" s="962">
        <f>MIN(DHC60*$C$62,'Sources and Uses Budget'!$J$99-SUM('15 Year Pro Forma'!$E$62:DHB62))</f>
        <v>0</v>
      </c>
      <c r="DHE62" s="962">
        <f>MIN(DHE60*$C$62,'Sources and Uses Budget'!$J$99-SUM('15 Year Pro Forma'!$E$62:DHD62))</f>
        <v>0</v>
      </c>
      <c r="DHG62" s="962">
        <f>MIN(DHG60*$C$62,'Sources and Uses Budget'!$J$99-SUM('15 Year Pro Forma'!$E$62:DHF62))</f>
        <v>0</v>
      </c>
      <c r="DHI62" s="962">
        <f>MIN(DHI60*$C$62,'Sources and Uses Budget'!$J$99-SUM('15 Year Pro Forma'!$E$62:DHH62))</f>
        <v>0</v>
      </c>
      <c r="DHK62" s="962">
        <f>MIN(DHK60*$C$62,'Sources and Uses Budget'!$J$99-SUM('15 Year Pro Forma'!$E$62:DHJ62))</f>
        <v>0</v>
      </c>
      <c r="DHM62" s="962">
        <f>MIN(DHM60*$C$62,'Sources and Uses Budget'!$J$99-SUM('15 Year Pro Forma'!$E$62:DHL62))</f>
        <v>0</v>
      </c>
      <c r="DHO62" s="962">
        <f>MIN(DHO60*$C$62,'Sources and Uses Budget'!$J$99-SUM('15 Year Pro Forma'!$E$62:DHN62))</f>
        <v>0</v>
      </c>
      <c r="DHQ62" s="962">
        <f>MIN(DHQ60*$C$62,'Sources and Uses Budget'!$J$99-SUM('15 Year Pro Forma'!$E$62:DHP62))</f>
        <v>0</v>
      </c>
      <c r="DHS62" s="962">
        <f>MIN(DHS60*$C$62,'Sources and Uses Budget'!$J$99-SUM('15 Year Pro Forma'!$E$62:DHR62))</f>
        <v>0</v>
      </c>
      <c r="DHU62" s="962">
        <f>MIN(DHU60*$C$62,'Sources and Uses Budget'!$J$99-SUM('15 Year Pro Forma'!$E$62:DHT62))</f>
        <v>0</v>
      </c>
      <c r="DHW62" s="962">
        <f>MIN(DHW60*$C$62,'Sources and Uses Budget'!$J$99-SUM('15 Year Pro Forma'!$E$62:DHV62))</f>
        <v>0</v>
      </c>
      <c r="DHY62" s="962">
        <f>MIN(DHY60*$C$62,'Sources and Uses Budget'!$J$99-SUM('15 Year Pro Forma'!$E$62:DHX62))</f>
        <v>0</v>
      </c>
      <c r="DIA62" s="962">
        <f>MIN(DIA60*$C$62,'Sources and Uses Budget'!$J$99-SUM('15 Year Pro Forma'!$E$62:DHZ62))</f>
        <v>0</v>
      </c>
      <c r="DIC62" s="962">
        <f>MIN(DIC60*$C$62,'Sources and Uses Budget'!$J$99-SUM('15 Year Pro Forma'!$E$62:DIB62))</f>
        <v>0</v>
      </c>
      <c r="DIE62" s="962">
        <f>MIN(DIE60*$C$62,'Sources and Uses Budget'!$J$99-SUM('15 Year Pro Forma'!$E$62:DID62))</f>
        <v>0</v>
      </c>
      <c r="DIG62" s="962">
        <f>MIN(DIG60*$C$62,'Sources and Uses Budget'!$J$99-SUM('15 Year Pro Forma'!$E$62:DIF62))</f>
        <v>0</v>
      </c>
      <c r="DII62" s="962">
        <f>MIN(DII60*$C$62,'Sources and Uses Budget'!$J$99-SUM('15 Year Pro Forma'!$E$62:DIH62))</f>
        <v>0</v>
      </c>
      <c r="DIK62" s="962">
        <f>MIN(DIK60*$C$62,'Sources and Uses Budget'!$J$99-SUM('15 Year Pro Forma'!$E$62:DIJ62))</f>
        <v>0</v>
      </c>
      <c r="DIM62" s="962">
        <f>MIN(DIM60*$C$62,'Sources and Uses Budget'!$J$99-SUM('15 Year Pro Forma'!$E$62:DIL62))</f>
        <v>0</v>
      </c>
      <c r="DIO62" s="962">
        <f>MIN(DIO60*$C$62,'Sources and Uses Budget'!$J$99-SUM('15 Year Pro Forma'!$E$62:DIN62))</f>
        <v>0</v>
      </c>
      <c r="DIQ62" s="962">
        <f>MIN(DIQ60*$C$62,'Sources and Uses Budget'!$J$99-SUM('15 Year Pro Forma'!$E$62:DIP62))</f>
        <v>0</v>
      </c>
      <c r="DIS62" s="962">
        <f>MIN(DIS60*$C$62,'Sources and Uses Budget'!$J$99-SUM('15 Year Pro Forma'!$E$62:DIR62))</f>
        <v>0</v>
      </c>
      <c r="DIU62" s="962">
        <f>MIN(DIU60*$C$62,'Sources and Uses Budget'!$J$99-SUM('15 Year Pro Forma'!$E$62:DIT62))</f>
        <v>0</v>
      </c>
      <c r="DIW62" s="962">
        <f>MIN(DIW60*$C$62,'Sources and Uses Budget'!$J$99-SUM('15 Year Pro Forma'!$E$62:DIV62))</f>
        <v>0</v>
      </c>
      <c r="DIY62" s="962">
        <f>MIN(DIY60*$C$62,'Sources and Uses Budget'!$J$99-SUM('15 Year Pro Forma'!$E$62:DIX62))</f>
        <v>0</v>
      </c>
      <c r="DJA62" s="962">
        <f>MIN(DJA60*$C$62,'Sources and Uses Budget'!$J$99-SUM('15 Year Pro Forma'!$E$62:DIZ62))</f>
        <v>0</v>
      </c>
      <c r="DJC62" s="962">
        <f>MIN(DJC60*$C$62,'Sources and Uses Budget'!$J$99-SUM('15 Year Pro Forma'!$E$62:DJB62))</f>
        <v>0</v>
      </c>
      <c r="DJE62" s="962">
        <f>MIN(DJE60*$C$62,'Sources and Uses Budget'!$J$99-SUM('15 Year Pro Forma'!$E$62:DJD62))</f>
        <v>0</v>
      </c>
      <c r="DJG62" s="962">
        <f>MIN(DJG60*$C$62,'Sources and Uses Budget'!$J$99-SUM('15 Year Pro Forma'!$E$62:DJF62))</f>
        <v>0</v>
      </c>
      <c r="DJI62" s="962">
        <f>MIN(DJI60*$C$62,'Sources and Uses Budget'!$J$99-SUM('15 Year Pro Forma'!$E$62:DJH62))</f>
        <v>0</v>
      </c>
      <c r="DJK62" s="962">
        <f>MIN(DJK60*$C$62,'Sources and Uses Budget'!$J$99-SUM('15 Year Pro Forma'!$E$62:DJJ62))</f>
        <v>0</v>
      </c>
      <c r="DJM62" s="962">
        <f>MIN(DJM60*$C$62,'Sources and Uses Budget'!$J$99-SUM('15 Year Pro Forma'!$E$62:DJL62))</f>
        <v>0</v>
      </c>
      <c r="DJO62" s="962">
        <f>MIN(DJO60*$C$62,'Sources and Uses Budget'!$J$99-SUM('15 Year Pro Forma'!$E$62:DJN62))</f>
        <v>0</v>
      </c>
      <c r="DJQ62" s="962">
        <f>MIN(DJQ60*$C$62,'Sources and Uses Budget'!$J$99-SUM('15 Year Pro Forma'!$E$62:DJP62))</f>
        <v>0</v>
      </c>
      <c r="DJS62" s="962">
        <f>MIN(DJS60*$C$62,'Sources and Uses Budget'!$J$99-SUM('15 Year Pro Forma'!$E$62:DJR62))</f>
        <v>0</v>
      </c>
      <c r="DJU62" s="962">
        <f>MIN(DJU60*$C$62,'Sources and Uses Budget'!$J$99-SUM('15 Year Pro Forma'!$E$62:DJT62))</f>
        <v>0</v>
      </c>
      <c r="DJW62" s="962">
        <f>MIN(DJW60*$C$62,'Sources and Uses Budget'!$J$99-SUM('15 Year Pro Forma'!$E$62:DJV62))</f>
        <v>0</v>
      </c>
      <c r="DJY62" s="962">
        <f>MIN(DJY60*$C$62,'Sources and Uses Budget'!$J$99-SUM('15 Year Pro Forma'!$E$62:DJX62))</f>
        <v>0</v>
      </c>
      <c r="DKA62" s="962">
        <f>MIN(DKA60*$C$62,'Sources and Uses Budget'!$J$99-SUM('15 Year Pro Forma'!$E$62:DJZ62))</f>
        <v>0</v>
      </c>
      <c r="DKC62" s="962">
        <f>MIN(DKC60*$C$62,'Sources and Uses Budget'!$J$99-SUM('15 Year Pro Forma'!$E$62:DKB62))</f>
        <v>0</v>
      </c>
      <c r="DKE62" s="962">
        <f>MIN(DKE60*$C$62,'Sources and Uses Budget'!$J$99-SUM('15 Year Pro Forma'!$E$62:DKD62))</f>
        <v>0</v>
      </c>
      <c r="DKG62" s="962">
        <f>MIN(DKG60*$C$62,'Sources and Uses Budget'!$J$99-SUM('15 Year Pro Forma'!$E$62:DKF62))</f>
        <v>0</v>
      </c>
      <c r="DKI62" s="962">
        <f>MIN(DKI60*$C$62,'Sources and Uses Budget'!$J$99-SUM('15 Year Pro Forma'!$E$62:DKH62))</f>
        <v>0</v>
      </c>
      <c r="DKK62" s="962">
        <f>MIN(DKK60*$C$62,'Sources and Uses Budget'!$J$99-SUM('15 Year Pro Forma'!$E$62:DKJ62))</f>
        <v>0</v>
      </c>
      <c r="DKM62" s="962">
        <f>MIN(DKM60*$C$62,'Sources and Uses Budget'!$J$99-SUM('15 Year Pro Forma'!$E$62:DKL62))</f>
        <v>0</v>
      </c>
      <c r="DKO62" s="962">
        <f>MIN(DKO60*$C$62,'Sources and Uses Budget'!$J$99-SUM('15 Year Pro Forma'!$E$62:DKN62))</f>
        <v>0</v>
      </c>
      <c r="DKQ62" s="962">
        <f>MIN(DKQ60*$C$62,'Sources and Uses Budget'!$J$99-SUM('15 Year Pro Forma'!$E$62:DKP62))</f>
        <v>0</v>
      </c>
      <c r="DKS62" s="962">
        <f>MIN(DKS60*$C$62,'Sources and Uses Budget'!$J$99-SUM('15 Year Pro Forma'!$E$62:DKR62))</f>
        <v>0</v>
      </c>
      <c r="DKU62" s="962">
        <f>MIN(DKU60*$C$62,'Sources and Uses Budget'!$J$99-SUM('15 Year Pro Forma'!$E$62:DKT62))</f>
        <v>0</v>
      </c>
      <c r="DKW62" s="962">
        <f>MIN(DKW60*$C$62,'Sources and Uses Budget'!$J$99-SUM('15 Year Pro Forma'!$E$62:DKV62))</f>
        <v>0</v>
      </c>
      <c r="DKY62" s="962">
        <f>MIN(DKY60*$C$62,'Sources and Uses Budget'!$J$99-SUM('15 Year Pro Forma'!$E$62:DKX62))</f>
        <v>0</v>
      </c>
      <c r="DLA62" s="962">
        <f>MIN(DLA60*$C$62,'Sources and Uses Budget'!$J$99-SUM('15 Year Pro Forma'!$E$62:DKZ62))</f>
        <v>0</v>
      </c>
      <c r="DLC62" s="962">
        <f>MIN(DLC60*$C$62,'Sources and Uses Budget'!$J$99-SUM('15 Year Pro Forma'!$E$62:DLB62))</f>
        <v>0</v>
      </c>
      <c r="DLE62" s="962">
        <f>MIN(DLE60*$C$62,'Sources and Uses Budget'!$J$99-SUM('15 Year Pro Forma'!$E$62:DLD62))</f>
        <v>0</v>
      </c>
      <c r="DLG62" s="962">
        <f>MIN(DLG60*$C$62,'Sources and Uses Budget'!$J$99-SUM('15 Year Pro Forma'!$E$62:DLF62))</f>
        <v>0</v>
      </c>
      <c r="DLI62" s="962">
        <f>MIN(DLI60*$C$62,'Sources and Uses Budget'!$J$99-SUM('15 Year Pro Forma'!$E$62:DLH62))</f>
        <v>0</v>
      </c>
      <c r="DLK62" s="962">
        <f>MIN(DLK60*$C$62,'Sources and Uses Budget'!$J$99-SUM('15 Year Pro Forma'!$E$62:DLJ62))</f>
        <v>0</v>
      </c>
      <c r="DLM62" s="962">
        <f>MIN(DLM60*$C$62,'Sources and Uses Budget'!$J$99-SUM('15 Year Pro Forma'!$E$62:DLL62))</f>
        <v>0</v>
      </c>
      <c r="DLO62" s="962">
        <f>MIN(DLO60*$C$62,'Sources and Uses Budget'!$J$99-SUM('15 Year Pro Forma'!$E$62:DLN62))</f>
        <v>0</v>
      </c>
      <c r="DLQ62" s="962">
        <f>MIN(DLQ60*$C$62,'Sources and Uses Budget'!$J$99-SUM('15 Year Pro Forma'!$E$62:DLP62))</f>
        <v>0</v>
      </c>
      <c r="DLS62" s="962">
        <f>MIN(DLS60*$C$62,'Sources and Uses Budget'!$J$99-SUM('15 Year Pro Forma'!$E$62:DLR62))</f>
        <v>0</v>
      </c>
      <c r="DLU62" s="962">
        <f>MIN(DLU60*$C$62,'Sources and Uses Budget'!$J$99-SUM('15 Year Pro Forma'!$E$62:DLT62))</f>
        <v>0</v>
      </c>
      <c r="DLW62" s="962">
        <f>MIN(DLW60*$C$62,'Sources and Uses Budget'!$J$99-SUM('15 Year Pro Forma'!$E$62:DLV62))</f>
        <v>0</v>
      </c>
      <c r="DLY62" s="962">
        <f>MIN(DLY60*$C$62,'Sources and Uses Budget'!$J$99-SUM('15 Year Pro Forma'!$E$62:DLX62))</f>
        <v>0</v>
      </c>
      <c r="DMA62" s="962">
        <f>MIN(DMA60*$C$62,'Sources and Uses Budget'!$J$99-SUM('15 Year Pro Forma'!$E$62:DLZ62))</f>
        <v>0</v>
      </c>
      <c r="DMC62" s="962">
        <f>MIN(DMC60*$C$62,'Sources and Uses Budget'!$J$99-SUM('15 Year Pro Forma'!$E$62:DMB62))</f>
        <v>0</v>
      </c>
      <c r="DME62" s="962">
        <f>MIN(DME60*$C$62,'Sources and Uses Budget'!$J$99-SUM('15 Year Pro Forma'!$E$62:DMD62))</f>
        <v>0</v>
      </c>
      <c r="DMG62" s="962">
        <f>MIN(DMG60*$C$62,'Sources and Uses Budget'!$J$99-SUM('15 Year Pro Forma'!$E$62:DMF62))</f>
        <v>0</v>
      </c>
      <c r="DMI62" s="962">
        <f>MIN(DMI60*$C$62,'Sources and Uses Budget'!$J$99-SUM('15 Year Pro Forma'!$E$62:DMH62))</f>
        <v>0</v>
      </c>
      <c r="DMK62" s="962">
        <f>MIN(DMK60*$C$62,'Sources and Uses Budget'!$J$99-SUM('15 Year Pro Forma'!$E$62:DMJ62))</f>
        <v>0</v>
      </c>
      <c r="DMM62" s="962">
        <f>MIN(DMM60*$C$62,'Sources and Uses Budget'!$J$99-SUM('15 Year Pro Forma'!$E$62:DML62))</f>
        <v>0</v>
      </c>
      <c r="DMO62" s="962">
        <f>MIN(DMO60*$C$62,'Sources and Uses Budget'!$J$99-SUM('15 Year Pro Forma'!$E$62:DMN62))</f>
        <v>0</v>
      </c>
      <c r="DMQ62" s="962">
        <f>MIN(DMQ60*$C$62,'Sources and Uses Budget'!$J$99-SUM('15 Year Pro Forma'!$E$62:DMP62))</f>
        <v>0</v>
      </c>
      <c r="DMS62" s="962">
        <f>MIN(DMS60*$C$62,'Sources and Uses Budget'!$J$99-SUM('15 Year Pro Forma'!$E$62:DMR62))</f>
        <v>0</v>
      </c>
      <c r="DMU62" s="962">
        <f>MIN(DMU60*$C$62,'Sources and Uses Budget'!$J$99-SUM('15 Year Pro Forma'!$E$62:DMT62))</f>
        <v>0</v>
      </c>
      <c r="DMW62" s="962">
        <f>MIN(DMW60*$C$62,'Sources and Uses Budget'!$J$99-SUM('15 Year Pro Forma'!$E$62:DMV62))</f>
        <v>0</v>
      </c>
      <c r="DMY62" s="962">
        <f>MIN(DMY60*$C$62,'Sources and Uses Budget'!$J$99-SUM('15 Year Pro Forma'!$E$62:DMX62))</f>
        <v>0</v>
      </c>
      <c r="DNA62" s="962">
        <f>MIN(DNA60*$C$62,'Sources and Uses Budget'!$J$99-SUM('15 Year Pro Forma'!$E$62:DMZ62))</f>
        <v>0</v>
      </c>
      <c r="DNC62" s="962">
        <f>MIN(DNC60*$C$62,'Sources and Uses Budget'!$J$99-SUM('15 Year Pro Forma'!$E$62:DNB62))</f>
        <v>0</v>
      </c>
      <c r="DNE62" s="962">
        <f>MIN(DNE60*$C$62,'Sources and Uses Budget'!$J$99-SUM('15 Year Pro Forma'!$E$62:DND62))</f>
        <v>0</v>
      </c>
      <c r="DNG62" s="962">
        <f>MIN(DNG60*$C$62,'Sources and Uses Budget'!$J$99-SUM('15 Year Pro Forma'!$E$62:DNF62))</f>
        <v>0</v>
      </c>
      <c r="DNI62" s="962">
        <f>MIN(DNI60*$C$62,'Sources and Uses Budget'!$J$99-SUM('15 Year Pro Forma'!$E$62:DNH62))</f>
        <v>0</v>
      </c>
      <c r="DNK62" s="962">
        <f>MIN(DNK60*$C$62,'Sources and Uses Budget'!$J$99-SUM('15 Year Pro Forma'!$E$62:DNJ62))</f>
        <v>0</v>
      </c>
      <c r="DNM62" s="962">
        <f>MIN(DNM60*$C$62,'Sources and Uses Budget'!$J$99-SUM('15 Year Pro Forma'!$E$62:DNL62))</f>
        <v>0</v>
      </c>
      <c r="DNO62" s="962">
        <f>MIN(DNO60*$C$62,'Sources and Uses Budget'!$J$99-SUM('15 Year Pro Forma'!$E$62:DNN62))</f>
        <v>0</v>
      </c>
      <c r="DNQ62" s="962">
        <f>MIN(DNQ60*$C$62,'Sources and Uses Budget'!$J$99-SUM('15 Year Pro Forma'!$E$62:DNP62))</f>
        <v>0</v>
      </c>
      <c r="DNS62" s="962">
        <f>MIN(DNS60*$C$62,'Sources and Uses Budget'!$J$99-SUM('15 Year Pro Forma'!$E$62:DNR62))</f>
        <v>0</v>
      </c>
      <c r="DNU62" s="962">
        <f>MIN(DNU60*$C$62,'Sources and Uses Budget'!$J$99-SUM('15 Year Pro Forma'!$E$62:DNT62))</f>
        <v>0</v>
      </c>
      <c r="DNW62" s="962">
        <f>MIN(DNW60*$C$62,'Sources and Uses Budget'!$J$99-SUM('15 Year Pro Forma'!$E$62:DNV62))</f>
        <v>0</v>
      </c>
      <c r="DNY62" s="962">
        <f>MIN(DNY60*$C$62,'Sources and Uses Budget'!$J$99-SUM('15 Year Pro Forma'!$E$62:DNX62))</f>
        <v>0</v>
      </c>
      <c r="DOA62" s="962">
        <f>MIN(DOA60*$C$62,'Sources and Uses Budget'!$J$99-SUM('15 Year Pro Forma'!$E$62:DNZ62))</f>
        <v>0</v>
      </c>
      <c r="DOC62" s="962">
        <f>MIN(DOC60*$C$62,'Sources and Uses Budget'!$J$99-SUM('15 Year Pro Forma'!$E$62:DOB62))</f>
        <v>0</v>
      </c>
      <c r="DOE62" s="962">
        <f>MIN(DOE60*$C$62,'Sources and Uses Budget'!$J$99-SUM('15 Year Pro Forma'!$E$62:DOD62))</f>
        <v>0</v>
      </c>
      <c r="DOG62" s="962">
        <f>MIN(DOG60*$C$62,'Sources and Uses Budget'!$J$99-SUM('15 Year Pro Forma'!$E$62:DOF62))</f>
        <v>0</v>
      </c>
      <c r="DOI62" s="962">
        <f>MIN(DOI60*$C$62,'Sources and Uses Budget'!$J$99-SUM('15 Year Pro Forma'!$E$62:DOH62))</f>
        <v>0</v>
      </c>
      <c r="DOK62" s="962">
        <f>MIN(DOK60*$C$62,'Sources and Uses Budget'!$J$99-SUM('15 Year Pro Forma'!$E$62:DOJ62))</f>
        <v>0</v>
      </c>
      <c r="DOM62" s="962">
        <f>MIN(DOM60*$C$62,'Sources and Uses Budget'!$J$99-SUM('15 Year Pro Forma'!$E$62:DOL62))</f>
        <v>0</v>
      </c>
      <c r="DOO62" s="962">
        <f>MIN(DOO60*$C$62,'Sources and Uses Budget'!$J$99-SUM('15 Year Pro Forma'!$E$62:DON62))</f>
        <v>0</v>
      </c>
      <c r="DOQ62" s="962">
        <f>MIN(DOQ60*$C$62,'Sources and Uses Budget'!$J$99-SUM('15 Year Pro Forma'!$E$62:DOP62))</f>
        <v>0</v>
      </c>
      <c r="DOS62" s="962">
        <f>MIN(DOS60*$C$62,'Sources and Uses Budget'!$J$99-SUM('15 Year Pro Forma'!$E$62:DOR62))</f>
        <v>0</v>
      </c>
      <c r="DOU62" s="962">
        <f>MIN(DOU60*$C$62,'Sources and Uses Budget'!$J$99-SUM('15 Year Pro Forma'!$E$62:DOT62))</f>
        <v>0</v>
      </c>
      <c r="DOW62" s="962">
        <f>MIN(DOW60*$C$62,'Sources and Uses Budget'!$J$99-SUM('15 Year Pro Forma'!$E$62:DOV62))</f>
        <v>0</v>
      </c>
      <c r="DOY62" s="962">
        <f>MIN(DOY60*$C$62,'Sources and Uses Budget'!$J$99-SUM('15 Year Pro Forma'!$E$62:DOX62))</f>
        <v>0</v>
      </c>
      <c r="DPA62" s="962">
        <f>MIN(DPA60*$C$62,'Sources and Uses Budget'!$J$99-SUM('15 Year Pro Forma'!$E$62:DOZ62))</f>
        <v>0</v>
      </c>
      <c r="DPC62" s="962">
        <f>MIN(DPC60*$C$62,'Sources and Uses Budget'!$J$99-SUM('15 Year Pro Forma'!$E$62:DPB62))</f>
        <v>0</v>
      </c>
      <c r="DPE62" s="962">
        <f>MIN(DPE60*$C$62,'Sources and Uses Budget'!$J$99-SUM('15 Year Pro Forma'!$E$62:DPD62))</f>
        <v>0</v>
      </c>
      <c r="DPG62" s="962">
        <f>MIN(DPG60*$C$62,'Sources and Uses Budget'!$J$99-SUM('15 Year Pro Forma'!$E$62:DPF62))</f>
        <v>0</v>
      </c>
      <c r="DPI62" s="962">
        <f>MIN(DPI60*$C$62,'Sources and Uses Budget'!$J$99-SUM('15 Year Pro Forma'!$E$62:DPH62))</f>
        <v>0</v>
      </c>
      <c r="DPK62" s="962">
        <f>MIN(DPK60*$C$62,'Sources and Uses Budget'!$J$99-SUM('15 Year Pro Forma'!$E$62:DPJ62))</f>
        <v>0</v>
      </c>
      <c r="DPM62" s="962">
        <f>MIN(DPM60*$C$62,'Sources and Uses Budget'!$J$99-SUM('15 Year Pro Forma'!$E$62:DPL62))</f>
        <v>0</v>
      </c>
      <c r="DPO62" s="962">
        <f>MIN(DPO60*$C$62,'Sources and Uses Budget'!$J$99-SUM('15 Year Pro Forma'!$E$62:DPN62))</f>
        <v>0</v>
      </c>
      <c r="DPQ62" s="962">
        <f>MIN(DPQ60*$C$62,'Sources and Uses Budget'!$J$99-SUM('15 Year Pro Forma'!$E$62:DPP62))</f>
        <v>0</v>
      </c>
      <c r="DPS62" s="962">
        <f>MIN(DPS60*$C$62,'Sources and Uses Budget'!$J$99-SUM('15 Year Pro Forma'!$E$62:DPR62))</f>
        <v>0</v>
      </c>
      <c r="DPU62" s="962">
        <f>MIN(DPU60*$C$62,'Sources and Uses Budget'!$J$99-SUM('15 Year Pro Forma'!$E$62:DPT62))</f>
        <v>0</v>
      </c>
      <c r="DPW62" s="962">
        <f>MIN(DPW60*$C$62,'Sources and Uses Budget'!$J$99-SUM('15 Year Pro Forma'!$E$62:DPV62))</f>
        <v>0</v>
      </c>
      <c r="DPY62" s="962">
        <f>MIN(DPY60*$C$62,'Sources and Uses Budget'!$J$99-SUM('15 Year Pro Forma'!$E$62:DPX62))</f>
        <v>0</v>
      </c>
      <c r="DQA62" s="962">
        <f>MIN(DQA60*$C$62,'Sources and Uses Budget'!$J$99-SUM('15 Year Pro Forma'!$E$62:DPZ62))</f>
        <v>0</v>
      </c>
      <c r="DQC62" s="962">
        <f>MIN(DQC60*$C$62,'Sources and Uses Budget'!$J$99-SUM('15 Year Pro Forma'!$E$62:DQB62))</f>
        <v>0</v>
      </c>
      <c r="DQE62" s="962">
        <f>MIN(DQE60*$C$62,'Sources and Uses Budget'!$J$99-SUM('15 Year Pro Forma'!$E$62:DQD62))</f>
        <v>0</v>
      </c>
      <c r="DQG62" s="962">
        <f>MIN(DQG60*$C$62,'Sources and Uses Budget'!$J$99-SUM('15 Year Pro Forma'!$E$62:DQF62))</f>
        <v>0</v>
      </c>
      <c r="DQI62" s="962">
        <f>MIN(DQI60*$C$62,'Sources and Uses Budget'!$J$99-SUM('15 Year Pro Forma'!$E$62:DQH62))</f>
        <v>0</v>
      </c>
      <c r="DQK62" s="962">
        <f>MIN(DQK60*$C$62,'Sources and Uses Budget'!$J$99-SUM('15 Year Pro Forma'!$E$62:DQJ62))</f>
        <v>0</v>
      </c>
      <c r="DQM62" s="962">
        <f>MIN(DQM60*$C$62,'Sources and Uses Budget'!$J$99-SUM('15 Year Pro Forma'!$E$62:DQL62))</f>
        <v>0</v>
      </c>
      <c r="DQO62" s="962">
        <f>MIN(DQO60*$C$62,'Sources and Uses Budget'!$J$99-SUM('15 Year Pro Forma'!$E$62:DQN62))</f>
        <v>0</v>
      </c>
      <c r="DQQ62" s="962">
        <f>MIN(DQQ60*$C$62,'Sources and Uses Budget'!$J$99-SUM('15 Year Pro Forma'!$E$62:DQP62))</f>
        <v>0</v>
      </c>
      <c r="DQS62" s="962">
        <f>MIN(DQS60*$C$62,'Sources and Uses Budget'!$J$99-SUM('15 Year Pro Forma'!$E$62:DQR62))</f>
        <v>0</v>
      </c>
      <c r="DQU62" s="962">
        <f>MIN(DQU60*$C$62,'Sources and Uses Budget'!$J$99-SUM('15 Year Pro Forma'!$E$62:DQT62))</f>
        <v>0</v>
      </c>
      <c r="DQW62" s="962">
        <f>MIN(DQW60*$C$62,'Sources and Uses Budget'!$J$99-SUM('15 Year Pro Forma'!$E$62:DQV62))</f>
        <v>0</v>
      </c>
      <c r="DQY62" s="962">
        <f>MIN(DQY60*$C$62,'Sources and Uses Budget'!$J$99-SUM('15 Year Pro Forma'!$E$62:DQX62))</f>
        <v>0</v>
      </c>
      <c r="DRA62" s="962">
        <f>MIN(DRA60*$C$62,'Sources and Uses Budget'!$J$99-SUM('15 Year Pro Forma'!$E$62:DQZ62))</f>
        <v>0</v>
      </c>
      <c r="DRC62" s="962">
        <f>MIN(DRC60*$C$62,'Sources and Uses Budget'!$J$99-SUM('15 Year Pro Forma'!$E$62:DRB62))</f>
        <v>0</v>
      </c>
      <c r="DRE62" s="962">
        <f>MIN(DRE60*$C$62,'Sources and Uses Budget'!$J$99-SUM('15 Year Pro Forma'!$E$62:DRD62))</f>
        <v>0</v>
      </c>
      <c r="DRG62" s="962">
        <f>MIN(DRG60*$C$62,'Sources and Uses Budget'!$J$99-SUM('15 Year Pro Forma'!$E$62:DRF62))</f>
        <v>0</v>
      </c>
      <c r="DRI62" s="962">
        <f>MIN(DRI60*$C$62,'Sources and Uses Budget'!$J$99-SUM('15 Year Pro Forma'!$E$62:DRH62))</f>
        <v>0</v>
      </c>
      <c r="DRK62" s="962">
        <f>MIN(DRK60*$C$62,'Sources and Uses Budget'!$J$99-SUM('15 Year Pro Forma'!$E$62:DRJ62))</f>
        <v>0</v>
      </c>
      <c r="DRM62" s="962">
        <f>MIN(DRM60*$C$62,'Sources and Uses Budget'!$J$99-SUM('15 Year Pro Forma'!$E$62:DRL62))</f>
        <v>0</v>
      </c>
      <c r="DRO62" s="962">
        <f>MIN(DRO60*$C$62,'Sources and Uses Budget'!$J$99-SUM('15 Year Pro Forma'!$E$62:DRN62))</f>
        <v>0</v>
      </c>
      <c r="DRQ62" s="962">
        <f>MIN(DRQ60*$C$62,'Sources and Uses Budget'!$J$99-SUM('15 Year Pro Forma'!$E$62:DRP62))</f>
        <v>0</v>
      </c>
      <c r="DRS62" s="962">
        <f>MIN(DRS60*$C$62,'Sources and Uses Budget'!$J$99-SUM('15 Year Pro Forma'!$E$62:DRR62))</f>
        <v>0</v>
      </c>
      <c r="DRU62" s="962">
        <f>MIN(DRU60*$C$62,'Sources and Uses Budget'!$J$99-SUM('15 Year Pro Forma'!$E$62:DRT62))</f>
        <v>0</v>
      </c>
      <c r="DRW62" s="962">
        <f>MIN(DRW60*$C$62,'Sources and Uses Budget'!$J$99-SUM('15 Year Pro Forma'!$E$62:DRV62))</f>
        <v>0</v>
      </c>
      <c r="DRY62" s="962">
        <f>MIN(DRY60*$C$62,'Sources and Uses Budget'!$J$99-SUM('15 Year Pro Forma'!$E$62:DRX62))</f>
        <v>0</v>
      </c>
      <c r="DSA62" s="962">
        <f>MIN(DSA60*$C$62,'Sources and Uses Budget'!$J$99-SUM('15 Year Pro Forma'!$E$62:DRZ62))</f>
        <v>0</v>
      </c>
      <c r="DSC62" s="962">
        <f>MIN(DSC60*$C$62,'Sources and Uses Budget'!$J$99-SUM('15 Year Pro Forma'!$E$62:DSB62))</f>
        <v>0</v>
      </c>
      <c r="DSE62" s="962">
        <f>MIN(DSE60*$C$62,'Sources and Uses Budget'!$J$99-SUM('15 Year Pro Forma'!$E$62:DSD62))</f>
        <v>0</v>
      </c>
      <c r="DSG62" s="962">
        <f>MIN(DSG60*$C$62,'Sources and Uses Budget'!$J$99-SUM('15 Year Pro Forma'!$E$62:DSF62))</f>
        <v>0</v>
      </c>
      <c r="DSI62" s="962">
        <f>MIN(DSI60*$C$62,'Sources and Uses Budget'!$J$99-SUM('15 Year Pro Forma'!$E$62:DSH62))</f>
        <v>0</v>
      </c>
      <c r="DSK62" s="962">
        <f>MIN(DSK60*$C$62,'Sources and Uses Budget'!$J$99-SUM('15 Year Pro Forma'!$E$62:DSJ62))</f>
        <v>0</v>
      </c>
      <c r="DSM62" s="962">
        <f>MIN(DSM60*$C$62,'Sources and Uses Budget'!$J$99-SUM('15 Year Pro Forma'!$E$62:DSL62))</f>
        <v>0</v>
      </c>
      <c r="DSO62" s="962">
        <f>MIN(DSO60*$C$62,'Sources and Uses Budget'!$J$99-SUM('15 Year Pro Forma'!$E$62:DSN62))</f>
        <v>0</v>
      </c>
      <c r="DSQ62" s="962">
        <f>MIN(DSQ60*$C$62,'Sources and Uses Budget'!$J$99-SUM('15 Year Pro Forma'!$E$62:DSP62))</f>
        <v>0</v>
      </c>
      <c r="DSS62" s="962">
        <f>MIN(DSS60*$C$62,'Sources and Uses Budget'!$J$99-SUM('15 Year Pro Forma'!$E$62:DSR62))</f>
        <v>0</v>
      </c>
      <c r="DSU62" s="962">
        <f>MIN(DSU60*$C$62,'Sources and Uses Budget'!$J$99-SUM('15 Year Pro Forma'!$E$62:DST62))</f>
        <v>0</v>
      </c>
      <c r="DSW62" s="962">
        <f>MIN(DSW60*$C$62,'Sources and Uses Budget'!$J$99-SUM('15 Year Pro Forma'!$E$62:DSV62))</f>
        <v>0</v>
      </c>
      <c r="DSY62" s="962">
        <f>MIN(DSY60*$C$62,'Sources and Uses Budget'!$J$99-SUM('15 Year Pro Forma'!$E$62:DSX62))</f>
        <v>0</v>
      </c>
      <c r="DTA62" s="962">
        <f>MIN(DTA60*$C$62,'Sources and Uses Budget'!$J$99-SUM('15 Year Pro Forma'!$E$62:DSZ62))</f>
        <v>0</v>
      </c>
      <c r="DTC62" s="962">
        <f>MIN(DTC60*$C$62,'Sources and Uses Budget'!$J$99-SUM('15 Year Pro Forma'!$E$62:DTB62))</f>
        <v>0</v>
      </c>
      <c r="DTE62" s="962">
        <f>MIN(DTE60*$C$62,'Sources and Uses Budget'!$J$99-SUM('15 Year Pro Forma'!$E$62:DTD62))</f>
        <v>0</v>
      </c>
      <c r="DTG62" s="962">
        <f>MIN(DTG60*$C$62,'Sources and Uses Budget'!$J$99-SUM('15 Year Pro Forma'!$E$62:DTF62))</f>
        <v>0</v>
      </c>
      <c r="DTI62" s="962">
        <f>MIN(DTI60*$C$62,'Sources and Uses Budget'!$J$99-SUM('15 Year Pro Forma'!$E$62:DTH62))</f>
        <v>0</v>
      </c>
      <c r="DTK62" s="962">
        <f>MIN(DTK60*$C$62,'Sources and Uses Budget'!$J$99-SUM('15 Year Pro Forma'!$E$62:DTJ62))</f>
        <v>0</v>
      </c>
      <c r="DTM62" s="962">
        <f>MIN(DTM60*$C$62,'Sources and Uses Budget'!$J$99-SUM('15 Year Pro Forma'!$E$62:DTL62))</f>
        <v>0</v>
      </c>
      <c r="DTO62" s="962">
        <f>MIN(DTO60*$C$62,'Sources and Uses Budget'!$J$99-SUM('15 Year Pro Forma'!$E$62:DTN62))</f>
        <v>0</v>
      </c>
      <c r="DTQ62" s="962">
        <f>MIN(DTQ60*$C$62,'Sources and Uses Budget'!$J$99-SUM('15 Year Pro Forma'!$E$62:DTP62))</f>
        <v>0</v>
      </c>
      <c r="DTS62" s="962">
        <f>MIN(DTS60*$C$62,'Sources and Uses Budget'!$J$99-SUM('15 Year Pro Forma'!$E$62:DTR62))</f>
        <v>0</v>
      </c>
      <c r="DTU62" s="962">
        <f>MIN(DTU60*$C$62,'Sources and Uses Budget'!$J$99-SUM('15 Year Pro Forma'!$E$62:DTT62))</f>
        <v>0</v>
      </c>
      <c r="DTW62" s="962">
        <f>MIN(DTW60*$C$62,'Sources and Uses Budget'!$J$99-SUM('15 Year Pro Forma'!$E$62:DTV62))</f>
        <v>0</v>
      </c>
      <c r="DTY62" s="962">
        <f>MIN(DTY60*$C$62,'Sources and Uses Budget'!$J$99-SUM('15 Year Pro Forma'!$E$62:DTX62))</f>
        <v>0</v>
      </c>
      <c r="DUA62" s="962">
        <f>MIN(DUA60*$C$62,'Sources and Uses Budget'!$J$99-SUM('15 Year Pro Forma'!$E$62:DTZ62))</f>
        <v>0</v>
      </c>
      <c r="DUC62" s="962">
        <f>MIN(DUC60*$C$62,'Sources and Uses Budget'!$J$99-SUM('15 Year Pro Forma'!$E$62:DUB62))</f>
        <v>0</v>
      </c>
      <c r="DUE62" s="962">
        <f>MIN(DUE60*$C$62,'Sources and Uses Budget'!$J$99-SUM('15 Year Pro Forma'!$E$62:DUD62))</f>
        <v>0</v>
      </c>
      <c r="DUG62" s="962">
        <f>MIN(DUG60*$C$62,'Sources and Uses Budget'!$J$99-SUM('15 Year Pro Forma'!$E$62:DUF62))</f>
        <v>0</v>
      </c>
      <c r="DUI62" s="962">
        <f>MIN(DUI60*$C$62,'Sources and Uses Budget'!$J$99-SUM('15 Year Pro Forma'!$E$62:DUH62))</f>
        <v>0</v>
      </c>
      <c r="DUK62" s="962">
        <f>MIN(DUK60*$C$62,'Sources and Uses Budget'!$J$99-SUM('15 Year Pro Forma'!$E$62:DUJ62))</f>
        <v>0</v>
      </c>
      <c r="DUM62" s="962">
        <f>MIN(DUM60*$C$62,'Sources and Uses Budget'!$J$99-SUM('15 Year Pro Forma'!$E$62:DUL62))</f>
        <v>0</v>
      </c>
      <c r="DUO62" s="962">
        <f>MIN(DUO60*$C$62,'Sources and Uses Budget'!$J$99-SUM('15 Year Pro Forma'!$E$62:DUN62))</f>
        <v>0</v>
      </c>
      <c r="DUQ62" s="962">
        <f>MIN(DUQ60*$C$62,'Sources and Uses Budget'!$J$99-SUM('15 Year Pro Forma'!$E$62:DUP62))</f>
        <v>0</v>
      </c>
      <c r="DUS62" s="962">
        <f>MIN(DUS60*$C$62,'Sources and Uses Budget'!$J$99-SUM('15 Year Pro Forma'!$E$62:DUR62))</f>
        <v>0</v>
      </c>
      <c r="DUU62" s="962">
        <f>MIN(DUU60*$C$62,'Sources and Uses Budget'!$J$99-SUM('15 Year Pro Forma'!$E$62:DUT62))</f>
        <v>0</v>
      </c>
      <c r="DUW62" s="962">
        <f>MIN(DUW60*$C$62,'Sources and Uses Budget'!$J$99-SUM('15 Year Pro Forma'!$E$62:DUV62))</f>
        <v>0</v>
      </c>
      <c r="DUY62" s="962">
        <f>MIN(DUY60*$C$62,'Sources and Uses Budget'!$J$99-SUM('15 Year Pro Forma'!$E$62:DUX62))</f>
        <v>0</v>
      </c>
      <c r="DVA62" s="962">
        <f>MIN(DVA60*$C$62,'Sources and Uses Budget'!$J$99-SUM('15 Year Pro Forma'!$E$62:DUZ62))</f>
        <v>0</v>
      </c>
      <c r="DVC62" s="962">
        <f>MIN(DVC60*$C$62,'Sources and Uses Budget'!$J$99-SUM('15 Year Pro Forma'!$E$62:DVB62))</f>
        <v>0</v>
      </c>
      <c r="DVE62" s="962">
        <f>MIN(DVE60*$C$62,'Sources and Uses Budget'!$J$99-SUM('15 Year Pro Forma'!$E$62:DVD62))</f>
        <v>0</v>
      </c>
      <c r="DVG62" s="962">
        <f>MIN(DVG60*$C$62,'Sources and Uses Budget'!$J$99-SUM('15 Year Pro Forma'!$E$62:DVF62))</f>
        <v>0</v>
      </c>
      <c r="DVI62" s="962">
        <f>MIN(DVI60*$C$62,'Sources and Uses Budget'!$J$99-SUM('15 Year Pro Forma'!$E$62:DVH62))</f>
        <v>0</v>
      </c>
      <c r="DVK62" s="962">
        <f>MIN(DVK60*$C$62,'Sources and Uses Budget'!$J$99-SUM('15 Year Pro Forma'!$E$62:DVJ62))</f>
        <v>0</v>
      </c>
      <c r="DVM62" s="962">
        <f>MIN(DVM60*$C$62,'Sources and Uses Budget'!$J$99-SUM('15 Year Pro Forma'!$E$62:DVL62))</f>
        <v>0</v>
      </c>
      <c r="DVO62" s="962">
        <f>MIN(DVO60*$C$62,'Sources and Uses Budget'!$J$99-SUM('15 Year Pro Forma'!$E$62:DVN62))</f>
        <v>0</v>
      </c>
      <c r="DVQ62" s="962">
        <f>MIN(DVQ60*$C$62,'Sources and Uses Budget'!$J$99-SUM('15 Year Pro Forma'!$E$62:DVP62))</f>
        <v>0</v>
      </c>
      <c r="DVS62" s="962">
        <f>MIN(DVS60*$C$62,'Sources and Uses Budget'!$J$99-SUM('15 Year Pro Forma'!$E$62:DVR62))</f>
        <v>0</v>
      </c>
      <c r="DVU62" s="962">
        <f>MIN(DVU60*$C$62,'Sources and Uses Budget'!$J$99-SUM('15 Year Pro Forma'!$E$62:DVT62))</f>
        <v>0</v>
      </c>
      <c r="DVW62" s="962">
        <f>MIN(DVW60*$C$62,'Sources and Uses Budget'!$J$99-SUM('15 Year Pro Forma'!$E$62:DVV62))</f>
        <v>0</v>
      </c>
      <c r="DVY62" s="962">
        <f>MIN(DVY60*$C$62,'Sources and Uses Budget'!$J$99-SUM('15 Year Pro Forma'!$E$62:DVX62))</f>
        <v>0</v>
      </c>
      <c r="DWA62" s="962">
        <f>MIN(DWA60*$C$62,'Sources and Uses Budget'!$J$99-SUM('15 Year Pro Forma'!$E$62:DVZ62))</f>
        <v>0</v>
      </c>
      <c r="DWC62" s="962">
        <f>MIN(DWC60*$C$62,'Sources and Uses Budget'!$J$99-SUM('15 Year Pro Forma'!$E$62:DWB62))</f>
        <v>0</v>
      </c>
      <c r="DWE62" s="962">
        <f>MIN(DWE60*$C$62,'Sources and Uses Budget'!$J$99-SUM('15 Year Pro Forma'!$E$62:DWD62))</f>
        <v>0</v>
      </c>
      <c r="DWG62" s="962">
        <f>MIN(DWG60*$C$62,'Sources and Uses Budget'!$J$99-SUM('15 Year Pro Forma'!$E$62:DWF62))</f>
        <v>0</v>
      </c>
      <c r="DWI62" s="962">
        <f>MIN(DWI60*$C$62,'Sources and Uses Budget'!$J$99-SUM('15 Year Pro Forma'!$E$62:DWH62))</f>
        <v>0</v>
      </c>
      <c r="DWK62" s="962">
        <f>MIN(DWK60*$C$62,'Sources and Uses Budget'!$J$99-SUM('15 Year Pro Forma'!$E$62:DWJ62))</f>
        <v>0</v>
      </c>
      <c r="DWM62" s="962">
        <f>MIN(DWM60*$C$62,'Sources and Uses Budget'!$J$99-SUM('15 Year Pro Forma'!$E$62:DWL62))</f>
        <v>0</v>
      </c>
      <c r="DWO62" s="962">
        <f>MIN(DWO60*$C$62,'Sources and Uses Budget'!$J$99-SUM('15 Year Pro Forma'!$E$62:DWN62))</f>
        <v>0</v>
      </c>
      <c r="DWQ62" s="962">
        <f>MIN(DWQ60*$C$62,'Sources and Uses Budget'!$J$99-SUM('15 Year Pro Forma'!$E$62:DWP62))</f>
        <v>0</v>
      </c>
      <c r="DWS62" s="962">
        <f>MIN(DWS60*$C$62,'Sources and Uses Budget'!$J$99-SUM('15 Year Pro Forma'!$E$62:DWR62))</f>
        <v>0</v>
      </c>
      <c r="DWU62" s="962">
        <f>MIN(DWU60*$C$62,'Sources and Uses Budget'!$J$99-SUM('15 Year Pro Forma'!$E$62:DWT62))</f>
        <v>0</v>
      </c>
      <c r="DWW62" s="962">
        <f>MIN(DWW60*$C$62,'Sources and Uses Budget'!$J$99-SUM('15 Year Pro Forma'!$E$62:DWV62))</f>
        <v>0</v>
      </c>
      <c r="DWY62" s="962">
        <f>MIN(DWY60*$C$62,'Sources and Uses Budget'!$J$99-SUM('15 Year Pro Forma'!$E$62:DWX62))</f>
        <v>0</v>
      </c>
      <c r="DXA62" s="962">
        <f>MIN(DXA60*$C$62,'Sources and Uses Budget'!$J$99-SUM('15 Year Pro Forma'!$E$62:DWZ62))</f>
        <v>0</v>
      </c>
      <c r="DXC62" s="962">
        <f>MIN(DXC60*$C$62,'Sources and Uses Budget'!$J$99-SUM('15 Year Pro Forma'!$E$62:DXB62))</f>
        <v>0</v>
      </c>
      <c r="DXE62" s="962">
        <f>MIN(DXE60*$C$62,'Sources and Uses Budget'!$J$99-SUM('15 Year Pro Forma'!$E$62:DXD62))</f>
        <v>0</v>
      </c>
      <c r="DXG62" s="962">
        <f>MIN(DXG60*$C$62,'Sources and Uses Budget'!$J$99-SUM('15 Year Pro Forma'!$E$62:DXF62))</f>
        <v>0</v>
      </c>
      <c r="DXI62" s="962">
        <f>MIN(DXI60*$C$62,'Sources and Uses Budget'!$J$99-SUM('15 Year Pro Forma'!$E$62:DXH62))</f>
        <v>0</v>
      </c>
      <c r="DXK62" s="962">
        <f>MIN(DXK60*$C$62,'Sources and Uses Budget'!$J$99-SUM('15 Year Pro Forma'!$E$62:DXJ62))</f>
        <v>0</v>
      </c>
      <c r="DXM62" s="962">
        <f>MIN(DXM60*$C$62,'Sources and Uses Budget'!$J$99-SUM('15 Year Pro Forma'!$E$62:DXL62))</f>
        <v>0</v>
      </c>
      <c r="DXO62" s="962">
        <f>MIN(DXO60*$C$62,'Sources and Uses Budget'!$J$99-SUM('15 Year Pro Forma'!$E$62:DXN62))</f>
        <v>0</v>
      </c>
      <c r="DXQ62" s="962">
        <f>MIN(DXQ60*$C$62,'Sources and Uses Budget'!$J$99-SUM('15 Year Pro Forma'!$E$62:DXP62))</f>
        <v>0</v>
      </c>
      <c r="DXS62" s="962">
        <f>MIN(DXS60*$C$62,'Sources and Uses Budget'!$J$99-SUM('15 Year Pro Forma'!$E$62:DXR62))</f>
        <v>0</v>
      </c>
      <c r="DXU62" s="962">
        <f>MIN(DXU60*$C$62,'Sources and Uses Budget'!$J$99-SUM('15 Year Pro Forma'!$E$62:DXT62))</f>
        <v>0</v>
      </c>
      <c r="DXW62" s="962">
        <f>MIN(DXW60*$C$62,'Sources and Uses Budget'!$J$99-SUM('15 Year Pro Forma'!$E$62:DXV62))</f>
        <v>0</v>
      </c>
      <c r="DXY62" s="962">
        <f>MIN(DXY60*$C$62,'Sources and Uses Budget'!$J$99-SUM('15 Year Pro Forma'!$E$62:DXX62))</f>
        <v>0</v>
      </c>
      <c r="DYA62" s="962">
        <f>MIN(DYA60*$C$62,'Sources and Uses Budget'!$J$99-SUM('15 Year Pro Forma'!$E$62:DXZ62))</f>
        <v>0</v>
      </c>
      <c r="DYC62" s="962">
        <f>MIN(DYC60*$C$62,'Sources and Uses Budget'!$J$99-SUM('15 Year Pro Forma'!$E$62:DYB62))</f>
        <v>0</v>
      </c>
      <c r="DYE62" s="962">
        <f>MIN(DYE60*$C$62,'Sources and Uses Budget'!$J$99-SUM('15 Year Pro Forma'!$E$62:DYD62))</f>
        <v>0</v>
      </c>
      <c r="DYG62" s="962">
        <f>MIN(DYG60*$C$62,'Sources and Uses Budget'!$J$99-SUM('15 Year Pro Forma'!$E$62:DYF62))</f>
        <v>0</v>
      </c>
      <c r="DYI62" s="962">
        <f>MIN(DYI60*$C$62,'Sources and Uses Budget'!$J$99-SUM('15 Year Pro Forma'!$E$62:DYH62))</f>
        <v>0</v>
      </c>
      <c r="DYK62" s="962">
        <f>MIN(DYK60*$C$62,'Sources and Uses Budget'!$J$99-SUM('15 Year Pro Forma'!$E$62:DYJ62))</f>
        <v>0</v>
      </c>
      <c r="DYM62" s="962">
        <f>MIN(DYM60*$C$62,'Sources and Uses Budget'!$J$99-SUM('15 Year Pro Forma'!$E$62:DYL62))</f>
        <v>0</v>
      </c>
      <c r="DYO62" s="962">
        <f>MIN(DYO60*$C$62,'Sources and Uses Budget'!$J$99-SUM('15 Year Pro Forma'!$E$62:DYN62))</f>
        <v>0</v>
      </c>
      <c r="DYQ62" s="962">
        <f>MIN(DYQ60*$C$62,'Sources and Uses Budget'!$J$99-SUM('15 Year Pro Forma'!$E$62:DYP62))</f>
        <v>0</v>
      </c>
      <c r="DYS62" s="962">
        <f>MIN(DYS60*$C$62,'Sources and Uses Budget'!$J$99-SUM('15 Year Pro Forma'!$E$62:DYR62))</f>
        <v>0</v>
      </c>
      <c r="DYU62" s="962">
        <f>MIN(DYU60*$C$62,'Sources and Uses Budget'!$J$99-SUM('15 Year Pro Forma'!$E$62:DYT62))</f>
        <v>0</v>
      </c>
      <c r="DYW62" s="962">
        <f>MIN(DYW60*$C$62,'Sources and Uses Budget'!$J$99-SUM('15 Year Pro Forma'!$E$62:DYV62))</f>
        <v>0</v>
      </c>
      <c r="DYY62" s="962">
        <f>MIN(DYY60*$C$62,'Sources and Uses Budget'!$J$99-SUM('15 Year Pro Forma'!$E$62:DYX62))</f>
        <v>0</v>
      </c>
      <c r="DZA62" s="962">
        <f>MIN(DZA60*$C$62,'Sources and Uses Budget'!$J$99-SUM('15 Year Pro Forma'!$E$62:DYZ62))</f>
        <v>0</v>
      </c>
      <c r="DZC62" s="962">
        <f>MIN(DZC60*$C$62,'Sources and Uses Budget'!$J$99-SUM('15 Year Pro Forma'!$E$62:DZB62))</f>
        <v>0</v>
      </c>
      <c r="DZE62" s="962">
        <f>MIN(DZE60*$C$62,'Sources and Uses Budget'!$J$99-SUM('15 Year Pro Forma'!$E$62:DZD62))</f>
        <v>0</v>
      </c>
      <c r="DZG62" s="962">
        <f>MIN(DZG60*$C$62,'Sources and Uses Budget'!$J$99-SUM('15 Year Pro Forma'!$E$62:DZF62))</f>
        <v>0</v>
      </c>
      <c r="DZI62" s="962">
        <f>MIN(DZI60*$C$62,'Sources and Uses Budget'!$J$99-SUM('15 Year Pro Forma'!$E$62:DZH62))</f>
        <v>0</v>
      </c>
      <c r="DZK62" s="962">
        <f>MIN(DZK60*$C$62,'Sources and Uses Budget'!$J$99-SUM('15 Year Pro Forma'!$E$62:DZJ62))</f>
        <v>0</v>
      </c>
      <c r="DZM62" s="962">
        <f>MIN(DZM60*$C$62,'Sources and Uses Budget'!$J$99-SUM('15 Year Pro Forma'!$E$62:DZL62))</f>
        <v>0</v>
      </c>
      <c r="DZO62" s="962">
        <f>MIN(DZO60*$C$62,'Sources and Uses Budget'!$J$99-SUM('15 Year Pro Forma'!$E$62:DZN62))</f>
        <v>0</v>
      </c>
      <c r="DZQ62" s="962">
        <f>MIN(DZQ60*$C$62,'Sources and Uses Budget'!$J$99-SUM('15 Year Pro Forma'!$E$62:DZP62))</f>
        <v>0</v>
      </c>
      <c r="DZS62" s="962">
        <f>MIN(DZS60*$C$62,'Sources and Uses Budget'!$J$99-SUM('15 Year Pro Forma'!$E$62:DZR62))</f>
        <v>0</v>
      </c>
      <c r="DZU62" s="962">
        <f>MIN(DZU60*$C$62,'Sources and Uses Budget'!$J$99-SUM('15 Year Pro Forma'!$E$62:DZT62))</f>
        <v>0</v>
      </c>
      <c r="DZW62" s="962">
        <f>MIN(DZW60*$C$62,'Sources and Uses Budget'!$J$99-SUM('15 Year Pro Forma'!$E$62:DZV62))</f>
        <v>0</v>
      </c>
      <c r="DZY62" s="962">
        <f>MIN(DZY60*$C$62,'Sources and Uses Budget'!$J$99-SUM('15 Year Pro Forma'!$E$62:DZX62))</f>
        <v>0</v>
      </c>
      <c r="EAA62" s="962">
        <f>MIN(EAA60*$C$62,'Sources and Uses Budget'!$J$99-SUM('15 Year Pro Forma'!$E$62:DZZ62))</f>
        <v>0</v>
      </c>
      <c r="EAC62" s="962">
        <f>MIN(EAC60*$C$62,'Sources and Uses Budget'!$J$99-SUM('15 Year Pro Forma'!$E$62:EAB62))</f>
        <v>0</v>
      </c>
      <c r="EAE62" s="962">
        <f>MIN(EAE60*$C$62,'Sources and Uses Budget'!$J$99-SUM('15 Year Pro Forma'!$E$62:EAD62))</f>
        <v>0</v>
      </c>
      <c r="EAG62" s="962">
        <f>MIN(EAG60*$C$62,'Sources and Uses Budget'!$J$99-SUM('15 Year Pro Forma'!$E$62:EAF62))</f>
        <v>0</v>
      </c>
      <c r="EAI62" s="962">
        <f>MIN(EAI60*$C$62,'Sources and Uses Budget'!$J$99-SUM('15 Year Pro Forma'!$E$62:EAH62))</f>
        <v>0</v>
      </c>
      <c r="EAK62" s="962">
        <f>MIN(EAK60*$C$62,'Sources and Uses Budget'!$J$99-SUM('15 Year Pro Forma'!$E$62:EAJ62))</f>
        <v>0</v>
      </c>
      <c r="EAM62" s="962">
        <f>MIN(EAM60*$C$62,'Sources and Uses Budget'!$J$99-SUM('15 Year Pro Forma'!$E$62:EAL62))</f>
        <v>0</v>
      </c>
      <c r="EAO62" s="962">
        <f>MIN(EAO60*$C$62,'Sources and Uses Budget'!$J$99-SUM('15 Year Pro Forma'!$E$62:EAN62))</f>
        <v>0</v>
      </c>
      <c r="EAQ62" s="962">
        <f>MIN(EAQ60*$C$62,'Sources and Uses Budget'!$J$99-SUM('15 Year Pro Forma'!$E$62:EAP62))</f>
        <v>0</v>
      </c>
      <c r="EAS62" s="962">
        <f>MIN(EAS60*$C$62,'Sources and Uses Budget'!$J$99-SUM('15 Year Pro Forma'!$E$62:EAR62))</f>
        <v>0</v>
      </c>
      <c r="EAU62" s="962">
        <f>MIN(EAU60*$C$62,'Sources and Uses Budget'!$J$99-SUM('15 Year Pro Forma'!$E$62:EAT62))</f>
        <v>0</v>
      </c>
      <c r="EAW62" s="962">
        <f>MIN(EAW60*$C$62,'Sources and Uses Budget'!$J$99-SUM('15 Year Pro Forma'!$E$62:EAV62))</f>
        <v>0</v>
      </c>
      <c r="EAY62" s="962">
        <f>MIN(EAY60*$C$62,'Sources and Uses Budget'!$J$99-SUM('15 Year Pro Forma'!$E$62:EAX62))</f>
        <v>0</v>
      </c>
      <c r="EBA62" s="962">
        <f>MIN(EBA60*$C$62,'Sources and Uses Budget'!$J$99-SUM('15 Year Pro Forma'!$E$62:EAZ62))</f>
        <v>0</v>
      </c>
      <c r="EBC62" s="962">
        <f>MIN(EBC60*$C$62,'Sources and Uses Budget'!$J$99-SUM('15 Year Pro Forma'!$E$62:EBB62))</f>
        <v>0</v>
      </c>
      <c r="EBE62" s="962">
        <f>MIN(EBE60*$C$62,'Sources and Uses Budget'!$J$99-SUM('15 Year Pro Forma'!$E$62:EBD62))</f>
        <v>0</v>
      </c>
      <c r="EBG62" s="962">
        <f>MIN(EBG60*$C$62,'Sources and Uses Budget'!$J$99-SUM('15 Year Pro Forma'!$E$62:EBF62))</f>
        <v>0</v>
      </c>
      <c r="EBI62" s="962">
        <f>MIN(EBI60*$C$62,'Sources and Uses Budget'!$J$99-SUM('15 Year Pro Forma'!$E$62:EBH62))</f>
        <v>0</v>
      </c>
      <c r="EBK62" s="962">
        <f>MIN(EBK60*$C$62,'Sources and Uses Budget'!$J$99-SUM('15 Year Pro Forma'!$E$62:EBJ62))</f>
        <v>0</v>
      </c>
      <c r="EBM62" s="962">
        <f>MIN(EBM60*$C$62,'Sources and Uses Budget'!$J$99-SUM('15 Year Pro Forma'!$E$62:EBL62))</f>
        <v>0</v>
      </c>
      <c r="EBO62" s="962">
        <f>MIN(EBO60*$C$62,'Sources and Uses Budget'!$J$99-SUM('15 Year Pro Forma'!$E$62:EBN62))</f>
        <v>0</v>
      </c>
      <c r="EBQ62" s="962">
        <f>MIN(EBQ60*$C$62,'Sources and Uses Budget'!$J$99-SUM('15 Year Pro Forma'!$E$62:EBP62))</f>
        <v>0</v>
      </c>
      <c r="EBS62" s="962">
        <f>MIN(EBS60*$C$62,'Sources and Uses Budget'!$J$99-SUM('15 Year Pro Forma'!$E$62:EBR62))</f>
        <v>0</v>
      </c>
      <c r="EBU62" s="962">
        <f>MIN(EBU60*$C$62,'Sources and Uses Budget'!$J$99-SUM('15 Year Pro Forma'!$E$62:EBT62))</f>
        <v>0</v>
      </c>
      <c r="EBW62" s="962">
        <f>MIN(EBW60*$C$62,'Sources and Uses Budget'!$J$99-SUM('15 Year Pro Forma'!$E$62:EBV62))</f>
        <v>0</v>
      </c>
      <c r="EBY62" s="962">
        <f>MIN(EBY60*$C$62,'Sources and Uses Budget'!$J$99-SUM('15 Year Pro Forma'!$E$62:EBX62))</f>
        <v>0</v>
      </c>
      <c r="ECA62" s="962">
        <f>MIN(ECA60*$C$62,'Sources and Uses Budget'!$J$99-SUM('15 Year Pro Forma'!$E$62:EBZ62))</f>
        <v>0</v>
      </c>
      <c r="ECC62" s="962">
        <f>MIN(ECC60*$C$62,'Sources and Uses Budget'!$J$99-SUM('15 Year Pro Forma'!$E$62:ECB62))</f>
        <v>0</v>
      </c>
      <c r="ECE62" s="962">
        <f>MIN(ECE60*$C$62,'Sources and Uses Budget'!$J$99-SUM('15 Year Pro Forma'!$E$62:ECD62))</f>
        <v>0</v>
      </c>
      <c r="ECG62" s="962">
        <f>MIN(ECG60*$C$62,'Sources and Uses Budget'!$J$99-SUM('15 Year Pro Forma'!$E$62:ECF62))</f>
        <v>0</v>
      </c>
      <c r="ECI62" s="962">
        <f>MIN(ECI60*$C$62,'Sources and Uses Budget'!$J$99-SUM('15 Year Pro Forma'!$E$62:ECH62))</f>
        <v>0</v>
      </c>
      <c r="ECK62" s="962">
        <f>MIN(ECK60*$C$62,'Sources and Uses Budget'!$J$99-SUM('15 Year Pro Forma'!$E$62:ECJ62))</f>
        <v>0</v>
      </c>
      <c r="ECM62" s="962">
        <f>MIN(ECM60*$C$62,'Sources and Uses Budget'!$J$99-SUM('15 Year Pro Forma'!$E$62:ECL62))</f>
        <v>0</v>
      </c>
      <c r="ECO62" s="962">
        <f>MIN(ECO60*$C$62,'Sources and Uses Budget'!$J$99-SUM('15 Year Pro Forma'!$E$62:ECN62))</f>
        <v>0</v>
      </c>
      <c r="ECQ62" s="962">
        <f>MIN(ECQ60*$C$62,'Sources and Uses Budget'!$J$99-SUM('15 Year Pro Forma'!$E$62:ECP62))</f>
        <v>0</v>
      </c>
      <c r="ECS62" s="962">
        <f>MIN(ECS60*$C$62,'Sources and Uses Budget'!$J$99-SUM('15 Year Pro Forma'!$E$62:ECR62))</f>
        <v>0</v>
      </c>
      <c r="ECU62" s="962">
        <f>MIN(ECU60*$C$62,'Sources and Uses Budget'!$J$99-SUM('15 Year Pro Forma'!$E$62:ECT62))</f>
        <v>0</v>
      </c>
      <c r="ECW62" s="962">
        <f>MIN(ECW60*$C$62,'Sources and Uses Budget'!$J$99-SUM('15 Year Pro Forma'!$E$62:ECV62))</f>
        <v>0</v>
      </c>
      <c r="ECY62" s="962">
        <f>MIN(ECY60*$C$62,'Sources and Uses Budget'!$J$99-SUM('15 Year Pro Forma'!$E$62:ECX62))</f>
        <v>0</v>
      </c>
      <c r="EDA62" s="962">
        <f>MIN(EDA60*$C$62,'Sources and Uses Budget'!$J$99-SUM('15 Year Pro Forma'!$E$62:ECZ62))</f>
        <v>0</v>
      </c>
      <c r="EDC62" s="962">
        <f>MIN(EDC60*$C$62,'Sources and Uses Budget'!$J$99-SUM('15 Year Pro Forma'!$E$62:EDB62))</f>
        <v>0</v>
      </c>
      <c r="EDE62" s="962">
        <f>MIN(EDE60*$C$62,'Sources and Uses Budget'!$J$99-SUM('15 Year Pro Forma'!$E$62:EDD62))</f>
        <v>0</v>
      </c>
      <c r="EDG62" s="962">
        <f>MIN(EDG60*$C$62,'Sources and Uses Budget'!$J$99-SUM('15 Year Pro Forma'!$E$62:EDF62))</f>
        <v>0</v>
      </c>
      <c r="EDI62" s="962">
        <f>MIN(EDI60*$C$62,'Sources and Uses Budget'!$J$99-SUM('15 Year Pro Forma'!$E$62:EDH62))</f>
        <v>0</v>
      </c>
      <c r="EDK62" s="962">
        <f>MIN(EDK60*$C$62,'Sources and Uses Budget'!$J$99-SUM('15 Year Pro Forma'!$E$62:EDJ62))</f>
        <v>0</v>
      </c>
      <c r="EDM62" s="962">
        <f>MIN(EDM60*$C$62,'Sources and Uses Budget'!$J$99-SUM('15 Year Pro Forma'!$E$62:EDL62))</f>
        <v>0</v>
      </c>
      <c r="EDO62" s="962">
        <f>MIN(EDO60*$C$62,'Sources and Uses Budget'!$J$99-SUM('15 Year Pro Forma'!$E$62:EDN62))</f>
        <v>0</v>
      </c>
      <c r="EDQ62" s="962">
        <f>MIN(EDQ60*$C$62,'Sources and Uses Budget'!$J$99-SUM('15 Year Pro Forma'!$E$62:EDP62))</f>
        <v>0</v>
      </c>
      <c r="EDS62" s="962">
        <f>MIN(EDS60*$C$62,'Sources and Uses Budget'!$J$99-SUM('15 Year Pro Forma'!$E$62:EDR62))</f>
        <v>0</v>
      </c>
      <c r="EDU62" s="962">
        <f>MIN(EDU60*$C$62,'Sources and Uses Budget'!$J$99-SUM('15 Year Pro Forma'!$E$62:EDT62))</f>
        <v>0</v>
      </c>
      <c r="EDW62" s="962">
        <f>MIN(EDW60*$C$62,'Sources and Uses Budget'!$J$99-SUM('15 Year Pro Forma'!$E$62:EDV62))</f>
        <v>0</v>
      </c>
      <c r="EDY62" s="962">
        <f>MIN(EDY60*$C$62,'Sources and Uses Budget'!$J$99-SUM('15 Year Pro Forma'!$E$62:EDX62))</f>
        <v>0</v>
      </c>
      <c r="EEA62" s="962">
        <f>MIN(EEA60*$C$62,'Sources and Uses Budget'!$J$99-SUM('15 Year Pro Forma'!$E$62:EDZ62))</f>
        <v>0</v>
      </c>
      <c r="EEC62" s="962">
        <f>MIN(EEC60*$C$62,'Sources and Uses Budget'!$J$99-SUM('15 Year Pro Forma'!$E$62:EEB62))</f>
        <v>0</v>
      </c>
      <c r="EEE62" s="962">
        <f>MIN(EEE60*$C$62,'Sources and Uses Budget'!$J$99-SUM('15 Year Pro Forma'!$E$62:EED62))</f>
        <v>0</v>
      </c>
      <c r="EEG62" s="962">
        <f>MIN(EEG60*$C$62,'Sources and Uses Budget'!$J$99-SUM('15 Year Pro Forma'!$E$62:EEF62))</f>
        <v>0</v>
      </c>
      <c r="EEI62" s="962">
        <f>MIN(EEI60*$C$62,'Sources and Uses Budget'!$J$99-SUM('15 Year Pro Forma'!$E$62:EEH62))</f>
        <v>0</v>
      </c>
      <c r="EEK62" s="962">
        <f>MIN(EEK60*$C$62,'Sources and Uses Budget'!$J$99-SUM('15 Year Pro Forma'!$E$62:EEJ62))</f>
        <v>0</v>
      </c>
      <c r="EEM62" s="962">
        <f>MIN(EEM60*$C$62,'Sources and Uses Budget'!$J$99-SUM('15 Year Pro Forma'!$E$62:EEL62))</f>
        <v>0</v>
      </c>
      <c r="EEO62" s="962">
        <f>MIN(EEO60*$C$62,'Sources and Uses Budget'!$J$99-SUM('15 Year Pro Forma'!$E$62:EEN62))</f>
        <v>0</v>
      </c>
      <c r="EEQ62" s="962">
        <f>MIN(EEQ60*$C$62,'Sources and Uses Budget'!$J$99-SUM('15 Year Pro Forma'!$E$62:EEP62))</f>
        <v>0</v>
      </c>
      <c r="EES62" s="962">
        <f>MIN(EES60*$C$62,'Sources and Uses Budget'!$J$99-SUM('15 Year Pro Forma'!$E$62:EER62))</f>
        <v>0</v>
      </c>
      <c r="EEU62" s="962">
        <f>MIN(EEU60*$C$62,'Sources and Uses Budget'!$J$99-SUM('15 Year Pro Forma'!$E$62:EET62))</f>
        <v>0</v>
      </c>
      <c r="EEW62" s="962">
        <f>MIN(EEW60*$C$62,'Sources and Uses Budget'!$J$99-SUM('15 Year Pro Forma'!$E$62:EEV62))</f>
        <v>0</v>
      </c>
      <c r="EEY62" s="962">
        <f>MIN(EEY60*$C$62,'Sources and Uses Budget'!$J$99-SUM('15 Year Pro Forma'!$E$62:EEX62))</f>
        <v>0</v>
      </c>
      <c r="EFA62" s="962">
        <f>MIN(EFA60*$C$62,'Sources and Uses Budget'!$J$99-SUM('15 Year Pro Forma'!$E$62:EEZ62))</f>
        <v>0</v>
      </c>
      <c r="EFC62" s="962">
        <f>MIN(EFC60*$C$62,'Sources and Uses Budget'!$J$99-SUM('15 Year Pro Forma'!$E$62:EFB62))</f>
        <v>0</v>
      </c>
      <c r="EFE62" s="962">
        <f>MIN(EFE60*$C$62,'Sources and Uses Budget'!$J$99-SUM('15 Year Pro Forma'!$E$62:EFD62))</f>
        <v>0</v>
      </c>
      <c r="EFG62" s="962">
        <f>MIN(EFG60*$C$62,'Sources and Uses Budget'!$J$99-SUM('15 Year Pro Forma'!$E$62:EFF62))</f>
        <v>0</v>
      </c>
      <c r="EFI62" s="962">
        <f>MIN(EFI60*$C$62,'Sources and Uses Budget'!$J$99-SUM('15 Year Pro Forma'!$E$62:EFH62))</f>
        <v>0</v>
      </c>
      <c r="EFK62" s="962">
        <f>MIN(EFK60*$C$62,'Sources and Uses Budget'!$J$99-SUM('15 Year Pro Forma'!$E$62:EFJ62))</f>
        <v>0</v>
      </c>
      <c r="EFM62" s="962">
        <f>MIN(EFM60*$C$62,'Sources and Uses Budget'!$J$99-SUM('15 Year Pro Forma'!$E$62:EFL62))</f>
        <v>0</v>
      </c>
      <c r="EFO62" s="962">
        <f>MIN(EFO60*$C$62,'Sources and Uses Budget'!$J$99-SUM('15 Year Pro Forma'!$E$62:EFN62))</f>
        <v>0</v>
      </c>
      <c r="EFQ62" s="962">
        <f>MIN(EFQ60*$C$62,'Sources and Uses Budget'!$J$99-SUM('15 Year Pro Forma'!$E$62:EFP62))</f>
        <v>0</v>
      </c>
      <c r="EFS62" s="962">
        <f>MIN(EFS60*$C$62,'Sources and Uses Budget'!$J$99-SUM('15 Year Pro Forma'!$E$62:EFR62))</f>
        <v>0</v>
      </c>
      <c r="EFU62" s="962">
        <f>MIN(EFU60*$C$62,'Sources and Uses Budget'!$J$99-SUM('15 Year Pro Forma'!$E$62:EFT62))</f>
        <v>0</v>
      </c>
      <c r="EFW62" s="962">
        <f>MIN(EFW60*$C$62,'Sources and Uses Budget'!$J$99-SUM('15 Year Pro Forma'!$E$62:EFV62))</f>
        <v>0</v>
      </c>
      <c r="EFY62" s="962">
        <f>MIN(EFY60*$C$62,'Sources and Uses Budget'!$J$99-SUM('15 Year Pro Forma'!$E$62:EFX62))</f>
        <v>0</v>
      </c>
      <c r="EGA62" s="962">
        <f>MIN(EGA60*$C$62,'Sources and Uses Budget'!$J$99-SUM('15 Year Pro Forma'!$E$62:EFZ62))</f>
        <v>0</v>
      </c>
      <c r="EGC62" s="962">
        <f>MIN(EGC60*$C$62,'Sources and Uses Budget'!$J$99-SUM('15 Year Pro Forma'!$E$62:EGB62))</f>
        <v>0</v>
      </c>
      <c r="EGE62" s="962">
        <f>MIN(EGE60*$C$62,'Sources and Uses Budget'!$J$99-SUM('15 Year Pro Forma'!$E$62:EGD62))</f>
        <v>0</v>
      </c>
      <c r="EGG62" s="962">
        <f>MIN(EGG60*$C$62,'Sources and Uses Budget'!$J$99-SUM('15 Year Pro Forma'!$E$62:EGF62))</f>
        <v>0</v>
      </c>
      <c r="EGI62" s="962">
        <f>MIN(EGI60*$C$62,'Sources and Uses Budget'!$J$99-SUM('15 Year Pro Forma'!$E$62:EGH62))</f>
        <v>0</v>
      </c>
      <c r="EGK62" s="962">
        <f>MIN(EGK60*$C$62,'Sources and Uses Budget'!$J$99-SUM('15 Year Pro Forma'!$E$62:EGJ62))</f>
        <v>0</v>
      </c>
      <c r="EGM62" s="962">
        <f>MIN(EGM60*$C$62,'Sources and Uses Budget'!$J$99-SUM('15 Year Pro Forma'!$E$62:EGL62))</f>
        <v>0</v>
      </c>
      <c r="EGO62" s="962">
        <f>MIN(EGO60*$C$62,'Sources and Uses Budget'!$J$99-SUM('15 Year Pro Forma'!$E$62:EGN62))</f>
        <v>0</v>
      </c>
      <c r="EGQ62" s="962">
        <f>MIN(EGQ60*$C$62,'Sources and Uses Budget'!$J$99-SUM('15 Year Pro Forma'!$E$62:EGP62))</f>
        <v>0</v>
      </c>
      <c r="EGS62" s="962">
        <f>MIN(EGS60*$C$62,'Sources and Uses Budget'!$J$99-SUM('15 Year Pro Forma'!$E$62:EGR62))</f>
        <v>0</v>
      </c>
      <c r="EGU62" s="962">
        <f>MIN(EGU60*$C$62,'Sources and Uses Budget'!$J$99-SUM('15 Year Pro Forma'!$E$62:EGT62))</f>
        <v>0</v>
      </c>
      <c r="EGW62" s="962">
        <f>MIN(EGW60*$C$62,'Sources and Uses Budget'!$J$99-SUM('15 Year Pro Forma'!$E$62:EGV62))</f>
        <v>0</v>
      </c>
      <c r="EGY62" s="962">
        <f>MIN(EGY60*$C$62,'Sources and Uses Budget'!$J$99-SUM('15 Year Pro Forma'!$E$62:EGX62))</f>
        <v>0</v>
      </c>
      <c r="EHA62" s="962">
        <f>MIN(EHA60*$C$62,'Sources and Uses Budget'!$J$99-SUM('15 Year Pro Forma'!$E$62:EGZ62))</f>
        <v>0</v>
      </c>
      <c r="EHC62" s="962">
        <f>MIN(EHC60*$C$62,'Sources and Uses Budget'!$J$99-SUM('15 Year Pro Forma'!$E$62:EHB62))</f>
        <v>0</v>
      </c>
      <c r="EHE62" s="962">
        <f>MIN(EHE60*$C$62,'Sources and Uses Budget'!$J$99-SUM('15 Year Pro Forma'!$E$62:EHD62))</f>
        <v>0</v>
      </c>
      <c r="EHG62" s="962">
        <f>MIN(EHG60*$C$62,'Sources and Uses Budget'!$J$99-SUM('15 Year Pro Forma'!$E$62:EHF62))</f>
        <v>0</v>
      </c>
      <c r="EHI62" s="962">
        <f>MIN(EHI60*$C$62,'Sources and Uses Budget'!$J$99-SUM('15 Year Pro Forma'!$E$62:EHH62))</f>
        <v>0</v>
      </c>
      <c r="EHK62" s="962">
        <f>MIN(EHK60*$C$62,'Sources and Uses Budget'!$J$99-SUM('15 Year Pro Forma'!$E$62:EHJ62))</f>
        <v>0</v>
      </c>
      <c r="EHM62" s="962">
        <f>MIN(EHM60*$C$62,'Sources and Uses Budget'!$J$99-SUM('15 Year Pro Forma'!$E$62:EHL62))</f>
        <v>0</v>
      </c>
      <c r="EHO62" s="962">
        <f>MIN(EHO60*$C$62,'Sources and Uses Budget'!$J$99-SUM('15 Year Pro Forma'!$E$62:EHN62))</f>
        <v>0</v>
      </c>
      <c r="EHQ62" s="962">
        <f>MIN(EHQ60*$C$62,'Sources and Uses Budget'!$J$99-SUM('15 Year Pro Forma'!$E$62:EHP62))</f>
        <v>0</v>
      </c>
      <c r="EHS62" s="962">
        <f>MIN(EHS60*$C$62,'Sources and Uses Budget'!$J$99-SUM('15 Year Pro Forma'!$E$62:EHR62))</f>
        <v>0</v>
      </c>
      <c r="EHU62" s="962">
        <f>MIN(EHU60*$C$62,'Sources and Uses Budget'!$J$99-SUM('15 Year Pro Forma'!$E$62:EHT62))</f>
        <v>0</v>
      </c>
      <c r="EHW62" s="962">
        <f>MIN(EHW60*$C$62,'Sources and Uses Budget'!$J$99-SUM('15 Year Pro Forma'!$E$62:EHV62))</f>
        <v>0</v>
      </c>
      <c r="EHY62" s="962">
        <f>MIN(EHY60*$C$62,'Sources and Uses Budget'!$J$99-SUM('15 Year Pro Forma'!$E$62:EHX62))</f>
        <v>0</v>
      </c>
      <c r="EIA62" s="962">
        <f>MIN(EIA60*$C$62,'Sources and Uses Budget'!$J$99-SUM('15 Year Pro Forma'!$E$62:EHZ62))</f>
        <v>0</v>
      </c>
      <c r="EIC62" s="962">
        <f>MIN(EIC60*$C$62,'Sources and Uses Budget'!$J$99-SUM('15 Year Pro Forma'!$E$62:EIB62))</f>
        <v>0</v>
      </c>
      <c r="EIE62" s="962">
        <f>MIN(EIE60*$C$62,'Sources and Uses Budget'!$J$99-SUM('15 Year Pro Forma'!$E$62:EID62))</f>
        <v>0</v>
      </c>
      <c r="EIG62" s="962">
        <f>MIN(EIG60*$C$62,'Sources and Uses Budget'!$J$99-SUM('15 Year Pro Forma'!$E$62:EIF62))</f>
        <v>0</v>
      </c>
      <c r="EII62" s="962">
        <f>MIN(EII60*$C$62,'Sources and Uses Budget'!$J$99-SUM('15 Year Pro Forma'!$E$62:EIH62))</f>
        <v>0</v>
      </c>
      <c r="EIK62" s="962">
        <f>MIN(EIK60*$C$62,'Sources and Uses Budget'!$J$99-SUM('15 Year Pro Forma'!$E$62:EIJ62))</f>
        <v>0</v>
      </c>
      <c r="EIM62" s="962">
        <f>MIN(EIM60*$C$62,'Sources and Uses Budget'!$J$99-SUM('15 Year Pro Forma'!$E$62:EIL62))</f>
        <v>0</v>
      </c>
      <c r="EIO62" s="962">
        <f>MIN(EIO60*$C$62,'Sources and Uses Budget'!$J$99-SUM('15 Year Pro Forma'!$E$62:EIN62))</f>
        <v>0</v>
      </c>
      <c r="EIQ62" s="962">
        <f>MIN(EIQ60*$C$62,'Sources and Uses Budget'!$J$99-SUM('15 Year Pro Forma'!$E$62:EIP62))</f>
        <v>0</v>
      </c>
      <c r="EIS62" s="962">
        <f>MIN(EIS60*$C$62,'Sources and Uses Budget'!$J$99-SUM('15 Year Pro Forma'!$E$62:EIR62))</f>
        <v>0</v>
      </c>
      <c r="EIU62" s="962">
        <f>MIN(EIU60*$C$62,'Sources and Uses Budget'!$J$99-SUM('15 Year Pro Forma'!$E$62:EIT62))</f>
        <v>0</v>
      </c>
      <c r="EIW62" s="962">
        <f>MIN(EIW60*$C$62,'Sources and Uses Budget'!$J$99-SUM('15 Year Pro Forma'!$E$62:EIV62))</f>
        <v>0</v>
      </c>
      <c r="EIY62" s="962">
        <f>MIN(EIY60*$C$62,'Sources and Uses Budget'!$J$99-SUM('15 Year Pro Forma'!$E$62:EIX62))</f>
        <v>0</v>
      </c>
      <c r="EJA62" s="962">
        <f>MIN(EJA60*$C$62,'Sources and Uses Budget'!$J$99-SUM('15 Year Pro Forma'!$E$62:EIZ62))</f>
        <v>0</v>
      </c>
      <c r="EJC62" s="962">
        <f>MIN(EJC60*$C$62,'Sources and Uses Budget'!$J$99-SUM('15 Year Pro Forma'!$E$62:EJB62))</f>
        <v>0</v>
      </c>
      <c r="EJE62" s="962">
        <f>MIN(EJE60*$C$62,'Sources and Uses Budget'!$J$99-SUM('15 Year Pro Forma'!$E$62:EJD62))</f>
        <v>0</v>
      </c>
      <c r="EJG62" s="962">
        <f>MIN(EJG60*$C$62,'Sources and Uses Budget'!$J$99-SUM('15 Year Pro Forma'!$E$62:EJF62))</f>
        <v>0</v>
      </c>
      <c r="EJI62" s="962">
        <f>MIN(EJI60*$C$62,'Sources and Uses Budget'!$J$99-SUM('15 Year Pro Forma'!$E$62:EJH62))</f>
        <v>0</v>
      </c>
      <c r="EJK62" s="962">
        <f>MIN(EJK60*$C$62,'Sources and Uses Budget'!$J$99-SUM('15 Year Pro Forma'!$E$62:EJJ62))</f>
        <v>0</v>
      </c>
      <c r="EJM62" s="962">
        <f>MIN(EJM60*$C$62,'Sources and Uses Budget'!$J$99-SUM('15 Year Pro Forma'!$E$62:EJL62))</f>
        <v>0</v>
      </c>
      <c r="EJO62" s="962">
        <f>MIN(EJO60*$C$62,'Sources and Uses Budget'!$J$99-SUM('15 Year Pro Forma'!$E$62:EJN62))</f>
        <v>0</v>
      </c>
      <c r="EJQ62" s="962">
        <f>MIN(EJQ60*$C$62,'Sources and Uses Budget'!$J$99-SUM('15 Year Pro Forma'!$E$62:EJP62))</f>
        <v>0</v>
      </c>
      <c r="EJS62" s="962">
        <f>MIN(EJS60*$C$62,'Sources and Uses Budget'!$J$99-SUM('15 Year Pro Forma'!$E$62:EJR62))</f>
        <v>0</v>
      </c>
      <c r="EJU62" s="962">
        <f>MIN(EJU60*$C$62,'Sources and Uses Budget'!$J$99-SUM('15 Year Pro Forma'!$E$62:EJT62))</f>
        <v>0</v>
      </c>
      <c r="EJW62" s="962">
        <f>MIN(EJW60*$C$62,'Sources and Uses Budget'!$J$99-SUM('15 Year Pro Forma'!$E$62:EJV62))</f>
        <v>0</v>
      </c>
      <c r="EJY62" s="962">
        <f>MIN(EJY60*$C$62,'Sources and Uses Budget'!$J$99-SUM('15 Year Pro Forma'!$E$62:EJX62))</f>
        <v>0</v>
      </c>
      <c r="EKA62" s="962">
        <f>MIN(EKA60*$C$62,'Sources and Uses Budget'!$J$99-SUM('15 Year Pro Forma'!$E$62:EJZ62))</f>
        <v>0</v>
      </c>
      <c r="EKC62" s="962">
        <f>MIN(EKC60*$C$62,'Sources and Uses Budget'!$J$99-SUM('15 Year Pro Forma'!$E$62:EKB62))</f>
        <v>0</v>
      </c>
      <c r="EKE62" s="962">
        <f>MIN(EKE60*$C$62,'Sources and Uses Budget'!$J$99-SUM('15 Year Pro Forma'!$E$62:EKD62))</f>
        <v>0</v>
      </c>
      <c r="EKG62" s="962">
        <f>MIN(EKG60*$C$62,'Sources and Uses Budget'!$J$99-SUM('15 Year Pro Forma'!$E$62:EKF62))</f>
        <v>0</v>
      </c>
      <c r="EKI62" s="962">
        <f>MIN(EKI60*$C$62,'Sources and Uses Budget'!$J$99-SUM('15 Year Pro Forma'!$E$62:EKH62))</f>
        <v>0</v>
      </c>
      <c r="EKK62" s="962">
        <f>MIN(EKK60*$C$62,'Sources and Uses Budget'!$J$99-SUM('15 Year Pro Forma'!$E$62:EKJ62))</f>
        <v>0</v>
      </c>
      <c r="EKM62" s="962">
        <f>MIN(EKM60*$C$62,'Sources and Uses Budget'!$J$99-SUM('15 Year Pro Forma'!$E$62:EKL62))</f>
        <v>0</v>
      </c>
      <c r="EKO62" s="962">
        <f>MIN(EKO60*$C$62,'Sources and Uses Budget'!$J$99-SUM('15 Year Pro Forma'!$E$62:EKN62))</f>
        <v>0</v>
      </c>
      <c r="EKQ62" s="962">
        <f>MIN(EKQ60*$C$62,'Sources and Uses Budget'!$J$99-SUM('15 Year Pro Forma'!$E$62:EKP62))</f>
        <v>0</v>
      </c>
      <c r="EKS62" s="962">
        <f>MIN(EKS60*$C$62,'Sources and Uses Budget'!$J$99-SUM('15 Year Pro Forma'!$E$62:EKR62))</f>
        <v>0</v>
      </c>
      <c r="EKU62" s="962">
        <f>MIN(EKU60*$C$62,'Sources and Uses Budget'!$J$99-SUM('15 Year Pro Forma'!$E$62:EKT62))</f>
        <v>0</v>
      </c>
      <c r="EKW62" s="962">
        <f>MIN(EKW60*$C$62,'Sources and Uses Budget'!$J$99-SUM('15 Year Pro Forma'!$E$62:EKV62))</f>
        <v>0</v>
      </c>
      <c r="EKY62" s="962">
        <f>MIN(EKY60*$C$62,'Sources and Uses Budget'!$J$99-SUM('15 Year Pro Forma'!$E$62:EKX62))</f>
        <v>0</v>
      </c>
      <c r="ELA62" s="962">
        <f>MIN(ELA60*$C$62,'Sources and Uses Budget'!$J$99-SUM('15 Year Pro Forma'!$E$62:EKZ62))</f>
        <v>0</v>
      </c>
      <c r="ELC62" s="962">
        <f>MIN(ELC60*$C$62,'Sources and Uses Budget'!$J$99-SUM('15 Year Pro Forma'!$E$62:ELB62))</f>
        <v>0</v>
      </c>
      <c r="ELE62" s="962">
        <f>MIN(ELE60*$C$62,'Sources and Uses Budget'!$J$99-SUM('15 Year Pro Forma'!$E$62:ELD62))</f>
        <v>0</v>
      </c>
      <c r="ELG62" s="962">
        <f>MIN(ELG60*$C$62,'Sources and Uses Budget'!$J$99-SUM('15 Year Pro Forma'!$E$62:ELF62))</f>
        <v>0</v>
      </c>
      <c r="ELI62" s="962">
        <f>MIN(ELI60*$C$62,'Sources and Uses Budget'!$J$99-SUM('15 Year Pro Forma'!$E$62:ELH62))</f>
        <v>0</v>
      </c>
      <c r="ELK62" s="962">
        <f>MIN(ELK60*$C$62,'Sources and Uses Budget'!$J$99-SUM('15 Year Pro Forma'!$E$62:ELJ62))</f>
        <v>0</v>
      </c>
      <c r="ELM62" s="962">
        <f>MIN(ELM60*$C$62,'Sources and Uses Budget'!$J$99-SUM('15 Year Pro Forma'!$E$62:ELL62))</f>
        <v>0</v>
      </c>
      <c r="ELO62" s="962">
        <f>MIN(ELO60*$C$62,'Sources and Uses Budget'!$J$99-SUM('15 Year Pro Forma'!$E$62:ELN62))</f>
        <v>0</v>
      </c>
      <c r="ELQ62" s="962">
        <f>MIN(ELQ60*$C$62,'Sources and Uses Budget'!$J$99-SUM('15 Year Pro Forma'!$E$62:ELP62))</f>
        <v>0</v>
      </c>
      <c r="ELS62" s="962">
        <f>MIN(ELS60*$C$62,'Sources and Uses Budget'!$J$99-SUM('15 Year Pro Forma'!$E$62:ELR62))</f>
        <v>0</v>
      </c>
      <c r="ELU62" s="962">
        <f>MIN(ELU60*$C$62,'Sources and Uses Budget'!$J$99-SUM('15 Year Pro Forma'!$E$62:ELT62))</f>
        <v>0</v>
      </c>
      <c r="ELW62" s="962">
        <f>MIN(ELW60*$C$62,'Sources and Uses Budget'!$J$99-SUM('15 Year Pro Forma'!$E$62:ELV62))</f>
        <v>0</v>
      </c>
      <c r="ELY62" s="962">
        <f>MIN(ELY60*$C$62,'Sources and Uses Budget'!$J$99-SUM('15 Year Pro Forma'!$E$62:ELX62))</f>
        <v>0</v>
      </c>
      <c r="EMA62" s="962">
        <f>MIN(EMA60*$C$62,'Sources and Uses Budget'!$J$99-SUM('15 Year Pro Forma'!$E$62:ELZ62))</f>
        <v>0</v>
      </c>
      <c r="EMC62" s="962">
        <f>MIN(EMC60*$C$62,'Sources and Uses Budget'!$J$99-SUM('15 Year Pro Forma'!$E$62:EMB62))</f>
        <v>0</v>
      </c>
      <c r="EME62" s="962">
        <f>MIN(EME60*$C$62,'Sources and Uses Budget'!$J$99-SUM('15 Year Pro Forma'!$E$62:EMD62))</f>
        <v>0</v>
      </c>
      <c r="EMG62" s="962">
        <f>MIN(EMG60*$C$62,'Sources and Uses Budget'!$J$99-SUM('15 Year Pro Forma'!$E$62:EMF62))</f>
        <v>0</v>
      </c>
      <c r="EMI62" s="962">
        <f>MIN(EMI60*$C$62,'Sources and Uses Budget'!$J$99-SUM('15 Year Pro Forma'!$E$62:EMH62))</f>
        <v>0</v>
      </c>
      <c r="EMK62" s="962">
        <f>MIN(EMK60*$C$62,'Sources and Uses Budget'!$J$99-SUM('15 Year Pro Forma'!$E$62:EMJ62))</f>
        <v>0</v>
      </c>
      <c r="EMM62" s="962">
        <f>MIN(EMM60*$C$62,'Sources and Uses Budget'!$J$99-SUM('15 Year Pro Forma'!$E$62:EML62))</f>
        <v>0</v>
      </c>
      <c r="EMO62" s="962">
        <f>MIN(EMO60*$C$62,'Sources and Uses Budget'!$J$99-SUM('15 Year Pro Forma'!$E$62:EMN62))</f>
        <v>0</v>
      </c>
      <c r="EMQ62" s="962">
        <f>MIN(EMQ60*$C$62,'Sources and Uses Budget'!$J$99-SUM('15 Year Pro Forma'!$E$62:EMP62))</f>
        <v>0</v>
      </c>
      <c r="EMS62" s="962">
        <f>MIN(EMS60*$C$62,'Sources and Uses Budget'!$J$99-SUM('15 Year Pro Forma'!$E$62:EMR62))</f>
        <v>0</v>
      </c>
      <c r="EMU62" s="962">
        <f>MIN(EMU60*$C$62,'Sources and Uses Budget'!$J$99-SUM('15 Year Pro Forma'!$E$62:EMT62))</f>
        <v>0</v>
      </c>
      <c r="EMW62" s="962">
        <f>MIN(EMW60*$C$62,'Sources and Uses Budget'!$J$99-SUM('15 Year Pro Forma'!$E$62:EMV62))</f>
        <v>0</v>
      </c>
      <c r="EMY62" s="962">
        <f>MIN(EMY60*$C$62,'Sources and Uses Budget'!$J$99-SUM('15 Year Pro Forma'!$E$62:EMX62))</f>
        <v>0</v>
      </c>
      <c r="ENA62" s="962">
        <f>MIN(ENA60*$C$62,'Sources and Uses Budget'!$J$99-SUM('15 Year Pro Forma'!$E$62:EMZ62))</f>
        <v>0</v>
      </c>
      <c r="ENC62" s="962">
        <f>MIN(ENC60*$C$62,'Sources and Uses Budget'!$J$99-SUM('15 Year Pro Forma'!$E$62:ENB62))</f>
        <v>0</v>
      </c>
      <c r="ENE62" s="962">
        <f>MIN(ENE60*$C$62,'Sources and Uses Budget'!$J$99-SUM('15 Year Pro Forma'!$E$62:END62))</f>
        <v>0</v>
      </c>
      <c r="ENG62" s="962">
        <f>MIN(ENG60*$C$62,'Sources and Uses Budget'!$J$99-SUM('15 Year Pro Forma'!$E$62:ENF62))</f>
        <v>0</v>
      </c>
      <c r="ENI62" s="962">
        <f>MIN(ENI60*$C$62,'Sources and Uses Budget'!$J$99-SUM('15 Year Pro Forma'!$E$62:ENH62))</f>
        <v>0</v>
      </c>
      <c r="ENK62" s="962">
        <f>MIN(ENK60*$C$62,'Sources and Uses Budget'!$J$99-SUM('15 Year Pro Forma'!$E$62:ENJ62))</f>
        <v>0</v>
      </c>
      <c r="ENM62" s="962">
        <f>MIN(ENM60*$C$62,'Sources and Uses Budget'!$J$99-SUM('15 Year Pro Forma'!$E$62:ENL62))</f>
        <v>0</v>
      </c>
      <c r="ENO62" s="962">
        <f>MIN(ENO60*$C$62,'Sources and Uses Budget'!$J$99-SUM('15 Year Pro Forma'!$E$62:ENN62))</f>
        <v>0</v>
      </c>
      <c r="ENQ62" s="962">
        <f>MIN(ENQ60*$C$62,'Sources and Uses Budget'!$J$99-SUM('15 Year Pro Forma'!$E$62:ENP62))</f>
        <v>0</v>
      </c>
      <c r="ENS62" s="962">
        <f>MIN(ENS60*$C$62,'Sources and Uses Budget'!$J$99-SUM('15 Year Pro Forma'!$E$62:ENR62))</f>
        <v>0</v>
      </c>
      <c r="ENU62" s="962">
        <f>MIN(ENU60*$C$62,'Sources and Uses Budget'!$J$99-SUM('15 Year Pro Forma'!$E$62:ENT62))</f>
        <v>0</v>
      </c>
      <c r="ENW62" s="962">
        <f>MIN(ENW60*$C$62,'Sources and Uses Budget'!$J$99-SUM('15 Year Pro Forma'!$E$62:ENV62))</f>
        <v>0</v>
      </c>
      <c r="ENY62" s="962">
        <f>MIN(ENY60*$C$62,'Sources and Uses Budget'!$J$99-SUM('15 Year Pro Forma'!$E$62:ENX62))</f>
        <v>0</v>
      </c>
      <c r="EOA62" s="962">
        <f>MIN(EOA60*$C$62,'Sources and Uses Budget'!$J$99-SUM('15 Year Pro Forma'!$E$62:ENZ62))</f>
        <v>0</v>
      </c>
      <c r="EOC62" s="962">
        <f>MIN(EOC60*$C$62,'Sources and Uses Budget'!$J$99-SUM('15 Year Pro Forma'!$E$62:EOB62))</f>
        <v>0</v>
      </c>
      <c r="EOE62" s="962">
        <f>MIN(EOE60*$C$62,'Sources and Uses Budget'!$J$99-SUM('15 Year Pro Forma'!$E$62:EOD62))</f>
        <v>0</v>
      </c>
      <c r="EOG62" s="962">
        <f>MIN(EOG60*$C$62,'Sources and Uses Budget'!$J$99-SUM('15 Year Pro Forma'!$E$62:EOF62))</f>
        <v>0</v>
      </c>
      <c r="EOI62" s="962">
        <f>MIN(EOI60*$C$62,'Sources and Uses Budget'!$J$99-SUM('15 Year Pro Forma'!$E$62:EOH62))</f>
        <v>0</v>
      </c>
      <c r="EOK62" s="962">
        <f>MIN(EOK60*$C$62,'Sources and Uses Budget'!$J$99-SUM('15 Year Pro Forma'!$E$62:EOJ62))</f>
        <v>0</v>
      </c>
      <c r="EOM62" s="962">
        <f>MIN(EOM60*$C$62,'Sources and Uses Budget'!$J$99-SUM('15 Year Pro Forma'!$E$62:EOL62))</f>
        <v>0</v>
      </c>
      <c r="EOO62" s="962">
        <f>MIN(EOO60*$C$62,'Sources and Uses Budget'!$J$99-SUM('15 Year Pro Forma'!$E$62:EON62))</f>
        <v>0</v>
      </c>
      <c r="EOQ62" s="962">
        <f>MIN(EOQ60*$C$62,'Sources and Uses Budget'!$J$99-SUM('15 Year Pro Forma'!$E$62:EOP62))</f>
        <v>0</v>
      </c>
      <c r="EOS62" s="962">
        <f>MIN(EOS60*$C$62,'Sources and Uses Budget'!$J$99-SUM('15 Year Pro Forma'!$E$62:EOR62))</f>
        <v>0</v>
      </c>
      <c r="EOU62" s="962">
        <f>MIN(EOU60*$C$62,'Sources and Uses Budget'!$J$99-SUM('15 Year Pro Forma'!$E$62:EOT62))</f>
        <v>0</v>
      </c>
      <c r="EOW62" s="962">
        <f>MIN(EOW60*$C$62,'Sources and Uses Budget'!$J$99-SUM('15 Year Pro Forma'!$E$62:EOV62))</f>
        <v>0</v>
      </c>
      <c r="EOY62" s="962">
        <f>MIN(EOY60*$C$62,'Sources and Uses Budget'!$J$99-SUM('15 Year Pro Forma'!$E$62:EOX62))</f>
        <v>0</v>
      </c>
      <c r="EPA62" s="962">
        <f>MIN(EPA60*$C$62,'Sources and Uses Budget'!$J$99-SUM('15 Year Pro Forma'!$E$62:EOZ62))</f>
        <v>0</v>
      </c>
      <c r="EPC62" s="962">
        <f>MIN(EPC60*$C$62,'Sources and Uses Budget'!$J$99-SUM('15 Year Pro Forma'!$E$62:EPB62))</f>
        <v>0</v>
      </c>
      <c r="EPE62" s="962">
        <f>MIN(EPE60*$C$62,'Sources and Uses Budget'!$J$99-SUM('15 Year Pro Forma'!$E$62:EPD62))</f>
        <v>0</v>
      </c>
      <c r="EPG62" s="962">
        <f>MIN(EPG60*$C$62,'Sources and Uses Budget'!$J$99-SUM('15 Year Pro Forma'!$E$62:EPF62))</f>
        <v>0</v>
      </c>
      <c r="EPI62" s="962">
        <f>MIN(EPI60*$C$62,'Sources and Uses Budget'!$J$99-SUM('15 Year Pro Forma'!$E$62:EPH62))</f>
        <v>0</v>
      </c>
      <c r="EPK62" s="962">
        <f>MIN(EPK60*$C$62,'Sources and Uses Budget'!$J$99-SUM('15 Year Pro Forma'!$E$62:EPJ62))</f>
        <v>0</v>
      </c>
      <c r="EPM62" s="962">
        <f>MIN(EPM60*$C$62,'Sources and Uses Budget'!$J$99-SUM('15 Year Pro Forma'!$E$62:EPL62))</f>
        <v>0</v>
      </c>
      <c r="EPO62" s="962">
        <f>MIN(EPO60*$C$62,'Sources and Uses Budget'!$J$99-SUM('15 Year Pro Forma'!$E$62:EPN62))</f>
        <v>0</v>
      </c>
      <c r="EPQ62" s="962">
        <f>MIN(EPQ60*$C$62,'Sources and Uses Budget'!$J$99-SUM('15 Year Pro Forma'!$E$62:EPP62))</f>
        <v>0</v>
      </c>
      <c r="EPS62" s="962">
        <f>MIN(EPS60*$C$62,'Sources and Uses Budget'!$J$99-SUM('15 Year Pro Forma'!$E$62:EPR62))</f>
        <v>0</v>
      </c>
      <c r="EPU62" s="962">
        <f>MIN(EPU60*$C$62,'Sources and Uses Budget'!$J$99-SUM('15 Year Pro Forma'!$E$62:EPT62))</f>
        <v>0</v>
      </c>
      <c r="EPW62" s="962">
        <f>MIN(EPW60*$C$62,'Sources and Uses Budget'!$J$99-SUM('15 Year Pro Forma'!$E$62:EPV62))</f>
        <v>0</v>
      </c>
      <c r="EPY62" s="962">
        <f>MIN(EPY60*$C$62,'Sources and Uses Budget'!$J$99-SUM('15 Year Pro Forma'!$E$62:EPX62))</f>
        <v>0</v>
      </c>
      <c r="EQA62" s="962">
        <f>MIN(EQA60*$C$62,'Sources and Uses Budget'!$J$99-SUM('15 Year Pro Forma'!$E$62:EPZ62))</f>
        <v>0</v>
      </c>
      <c r="EQC62" s="962">
        <f>MIN(EQC60*$C$62,'Sources and Uses Budget'!$J$99-SUM('15 Year Pro Forma'!$E$62:EQB62))</f>
        <v>0</v>
      </c>
      <c r="EQE62" s="962">
        <f>MIN(EQE60*$C$62,'Sources and Uses Budget'!$J$99-SUM('15 Year Pro Forma'!$E$62:EQD62))</f>
        <v>0</v>
      </c>
      <c r="EQG62" s="962">
        <f>MIN(EQG60*$C$62,'Sources and Uses Budget'!$J$99-SUM('15 Year Pro Forma'!$E$62:EQF62))</f>
        <v>0</v>
      </c>
      <c r="EQI62" s="962">
        <f>MIN(EQI60*$C$62,'Sources and Uses Budget'!$J$99-SUM('15 Year Pro Forma'!$E$62:EQH62))</f>
        <v>0</v>
      </c>
      <c r="EQK62" s="962">
        <f>MIN(EQK60*$C$62,'Sources and Uses Budget'!$J$99-SUM('15 Year Pro Forma'!$E$62:EQJ62))</f>
        <v>0</v>
      </c>
      <c r="EQM62" s="962">
        <f>MIN(EQM60*$C$62,'Sources and Uses Budget'!$J$99-SUM('15 Year Pro Forma'!$E$62:EQL62))</f>
        <v>0</v>
      </c>
      <c r="EQO62" s="962">
        <f>MIN(EQO60*$C$62,'Sources and Uses Budget'!$J$99-SUM('15 Year Pro Forma'!$E$62:EQN62))</f>
        <v>0</v>
      </c>
      <c r="EQQ62" s="962">
        <f>MIN(EQQ60*$C$62,'Sources and Uses Budget'!$J$99-SUM('15 Year Pro Forma'!$E$62:EQP62))</f>
        <v>0</v>
      </c>
      <c r="EQS62" s="962">
        <f>MIN(EQS60*$C$62,'Sources and Uses Budget'!$J$99-SUM('15 Year Pro Forma'!$E$62:EQR62))</f>
        <v>0</v>
      </c>
      <c r="EQU62" s="962">
        <f>MIN(EQU60*$C$62,'Sources and Uses Budget'!$J$99-SUM('15 Year Pro Forma'!$E$62:EQT62))</f>
        <v>0</v>
      </c>
      <c r="EQW62" s="962">
        <f>MIN(EQW60*$C$62,'Sources and Uses Budget'!$J$99-SUM('15 Year Pro Forma'!$E$62:EQV62))</f>
        <v>0</v>
      </c>
      <c r="EQY62" s="962">
        <f>MIN(EQY60*$C$62,'Sources and Uses Budget'!$J$99-SUM('15 Year Pro Forma'!$E$62:EQX62))</f>
        <v>0</v>
      </c>
      <c r="ERA62" s="962">
        <f>MIN(ERA60*$C$62,'Sources and Uses Budget'!$J$99-SUM('15 Year Pro Forma'!$E$62:EQZ62))</f>
        <v>0</v>
      </c>
      <c r="ERC62" s="962">
        <f>MIN(ERC60*$C$62,'Sources and Uses Budget'!$J$99-SUM('15 Year Pro Forma'!$E$62:ERB62))</f>
        <v>0</v>
      </c>
      <c r="ERE62" s="962">
        <f>MIN(ERE60*$C$62,'Sources and Uses Budget'!$J$99-SUM('15 Year Pro Forma'!$E$62:ERD62))</f>
        <v>0</v>
      </c>
      <c r="ERG62" s="962">
        <f>MIN(ERG60*$C$62,'Sources and Uses Budget'!$J$99-SUM('15 Year Pro Forma'!$E$62:ERF62))</f>
        <v>0</v>
      </c>
      <c r="ERI62" s="962">
        <f>MIN(ERI60*$C$62,'Sources and Uses Budget'!$J$99-SUM('15 Year Pro Forma'!$E$62:ERH62))</f>
        <v>0</v>
      </c>
      <c r="ERK62" s="962">
        <f>MIN(ERK60*$C$62,'Sources and Uses Budget'!$J$99-SUM('15 Year Pro Forma'!$E$62:ERJ62))</f>
        <v>0</v>
      </c>
      <c r="ERM62" s="962">
        <f>MIN(ERM60*$C$62,'Sources and Uses Budget'!$J$99-SUM('15 Year Pro Forma'!$E$62:ERL62))</f>
        <v>0</v>
      </c>
      <c r="ERO62" s="962">
        <f>MIN(ERO60*$C$62,'Sources and Uses Budget'!$J$99-SUM('15 Year Pro Forma'!$E$62:ERN62))</f>
        <v>0</v>
      </c>
      <c r="ERQ62" s="962">
        <f>MIN(ERQ60*$C$62,'Sources and Uses Budget'!$J$99-SUM('15 Year Pro Forma'!$E$62:ERP62))</f>
        <v>0</v>
      </c>
      <c r="ERS62" s="962">
        <f>MIN(ERS60*$C$62,'Sources and Uses Budget'!$J$99-SUM('15 Year Pro Forma'!$E$62:ERR62))</f>
        <v>0</v>
      </c>
      <c r="ERU62" s="962">
        <f>MIN(ERU60*$C$62,'Sources and Uses Budget'!$J$99-SUM('15 Year Pro Forma'!$E$62:ERT62))</f>
        <v>0</v>
      </c>
      <c r="ERW62" s="962">
        <f>MIN(ERW60*$C$62,'Sources and Uses Budget'!$J$99-SUM('15 Year Pro Forma'!$E$62:ERV62))</f>
        <v>0</v>
      </c>
      <c r="ERY62" s="962">
        <f>MIN(ERY60*$C$62,'Sources and Uses Budget'!$J$99-SUM('15 Year Pro Forma'!$E$62:ERX62))</f>
        <v>0</v>
      </c>
      <c r="ESA62" s="962">
        <f>MIN(ESA60*$C$62,'Sources and Uses Budget'!$J$99-SUM('15 Year Pro Forma'!$E$62:ERZ62))</f>
        <v>0</v>
      </c>
      <c r="ESC62" s="962">
        <f>MIN(ESC60*$C$62,'Sources and Uses Budget'!$J$99-SUM('15 Year Pro Forma'!$E$62:ESB62))</f>
        <v>0</v>
      </c>
      <c r="ESE62" s="962">
        <f>MIN(ESE60*$C$62,'Sources and Uses Budget'!$J$99-SUM('15 Year Pro Forma'!$E$62:ESD62))</f>
        <v>0</v>
      </c>
      <c r="ESG62" s="962">
        <f>MIN(ESG60*$C$62,'Sources and Uses Budget'!$J$99-SUM('15 Year Pro Forma'!$E$62:ESF62))</f>
        <v>0</v>
      </c>
      <c r="ESI62" s="962">
        <f>MIN(ESI60*$C$62,'Sources and Uses Budget'!$J$99-SUM('15 Year Pro Forma'!$E$62:ESH62))</f>
        <v>0</v>
      </c>
      <c r="ESK62" s="962">
        <f>MIN(ESK60*$C$62,'Sources and Uses Budget'!$J$99-SUM('15 Year Pro Forma'!$E$62:ESJ62))</f>
        <v>0</v>
      </c>
      <c r="ESM62" s="962">
        <f>MIN(ESM60*$C$62,'Sources and Uses Budget'!$J$99-SUM('15 Year Pro Forma'!$E$62:ESL62))</f>
        <v>0</v>
      </c>
      <c r="ESO62" s="962">
        <f>MIN(ESO60*$C$62,'Sources and Uses Budget'!$J$99-SUM('15 Year Pro Forma'!$E$62:ESN62))</f>
        <v>0</v>
      </c>
      <c r="ESQ62" s="962">
        <f>MIN(ESQ60*$C$62,'Sources and Uses Budget'!$J$99-SUM('15 Year Pro Forma'!$E$62:ESP62))</f>
        <v>0</v>
      </c>
      <c r="ESS62" s="962">
        <f>MIN(ESS60*$C$62,'Sources and Uses Budget'!$J$99-SUM('15 Year Pro Forma'!$E$62:ESR62))</f>
        <v>0</v>
      </c>
      <c r="ESU62" s="962">
        <f>MIN(ESU60*$C$62,'Sources and Uses Budget'!$J$99-SUM('15 Year Pro Forma'!$E$62:EST62))</f>
        <v>0</v>
      </c>
      <c r="ESW62" s="962">
        <f>MIN(ESW60*$C$62,'Sources and Uses Budget'!$J$99-SUM('15 Year Pro Forma'!$E$62:ESV62))</f>
        <v>0</v>
      </c>
      <c r="ESY62" s="962">
        <f>MIN(ESY60*$C$62,'Sources and Uses Budget'!$J$99-SUM('15 Year Pro Forma'!$E$62:ESX62))</f>
        <v>0</v>
      </c>
      <c r="ETA62" s="962">
        <f>MIN(ETA60*$C$62,'Sources and Uses Budget'!$J$99-SUM('15 Year Pro Forma'!$E$62:ESZ62))</f>
        <v>0</v>
      </c>
      <c r="ETC62" s="962">
        <f>MIN(ETC60*$C$62,'Sources and Uses Budget'!$J$99-SUM('15 Year Pro Forma'!$E$62:ETB62))</f>
        <v>0</v>
      </c>
      <c r="ETE62" s="962">
        <f>MIN(ETE60*$C$62,'Sources and Uses Budget'!$J$99-SUM('15 Year Pro Forma'!$E$62:ETD62))</f>
        <v>0</v>
      </c>
      <c r="ETG62" s="962">
        <f>MIN(ETG60*$C$62,'Sources and Uses Budget'!$J$99-SUM('15 Year Pro Forma'!$E$62:ETF62))</f>
        <v>0</v>
      </c>
      <c r="ETI62" s="962">
        <f>MIN(ETI60*$C$62,'Sources and Uses Budget'!$J$99-SUM('15 Year Pro Forma'!$E$62:ETH62))</f>
        <v>0</v>
      </c>
      <c r="ETK62" s="962">
        <f>MIN(ETK60*$C$62,'Sources and Uses Budget'!$J$99-SUM('15 Year Pro Forma'!$E$62:ETJ62))</f>
        <v>0</v>
      </c>
      <c r="ETM62" s="962">
        <f>MIN(ETM60*$C$62,'Sources and Uses Budget'!$J$99-SUM('15 Year Pro Forma'!$E$62:ETL62))</f>
        <v>0</v>
      </c>
      <c r="ETO62" s="962">
        <f>MIN(ETO60*$C$62,'Sources and Uses Budget'!$J$99-SUM('15 Year Pro Forma'!$E$62:ETN62))</f>
        <v>0</v>
      </c>
      <c r="ETQ62" s="962">
        <f>MIN(ETQ60*$C$62,'Sources and Uses Budget'!$J$99-SUM('15 Year Pro Forma'!$E$62:ETP62))</f>
        <v>0</v>
      </c>
      <c r="ETS62" s="962">
        <f>MIN(ETS60*$C$62,'Sources and Uses Budget'!$J$99-SUM('15 Year Pro Forma'!$E$62:ETR62))</f>
        <v>0</v>
      </c>
      <c r="ETU62" s="962">
        <f>MIN(ETU60*$C$62,'Sources and Uses Budget'!$J$99-SUM('15 Year Pro Forma'!$E$62:ETT62))</f>
        <v>0</v>
      </c>
      <c r="ETW62" s="962">
        <f>MIN(ETW60*$C$62,'Sources and Uses Budget'!$J$99-SUM('15 Year Pro Forma'!$E$62:ETV62))</f>
        <v>0</v>
      </c>
      <c r="ETY62" s="962">
        <f>MIN(ETY60*$C$62,'Sources and Uses Budget'!$J$99-SUM('15 Year Pro Forma'!$E$62:ETX62))</f>
        <v>0</v>
      </c>
      <c r="EUA62" s="962">
        <f>MIN(EUA60*$C$62,'Sources and Uses Budget'!$J$99-SUM('15 Year Pro Forma'!$E$62:ETZ62))</f>
        <v>0</v>
      </c>
      <c r="EUC62" s="962">
        <f>MIN(EUC60*$C$62,'Sources and Uses Budget'!$J$99-SUM('15 Year Pro Forma'!$E$62:EUB62))</f>
        <v>0</v>
      </c>
      <c r="EUE62" s="962">
        <f>MIN(EUE60*$C$62,'Sources and Uses Budget'!$J$99-SUM('15 Year Pro Forma'!$E$62:EUD62))</f>
        <v>0</v>
      </c>
      <c r="EUG62" s="962">
        <f>MIN(EUG60*$C$62,'Sources and Uses Budget'!$J$99-SUM('15 Year Pro Forma'!$E$62:EUF62))</f>
        <v>0</v>
      </c>
      <c r="EUI62" s="962">
        <f>MIN(EUI60*$C$62,'Sources and Uses Budget'!$J$99-SUM('15 Year Pro Forma'!$E$62:EUH62))</f>
        <v>0</v>
      </c>
      <c r="EUK62" s="962">
        <f>MIN(EUK60*$C$62,'Sources and Uses Budget'!$J$99-SUM('15 Year Pro Forma'!$E$62:EUJ62))</f>
        <v>0</v>
      </c>
      <c r="EUM62" s="962">
        <f>MIN(EUM60*$C$62,'Sources and Uses Budget'!$J$99-SUM('15 Year Pro Forma'!$E$62:EUL62))</f>
        <v>0</v>
      </c>
      <c r="EUO62" s="962">
        <f>MIN(EUO60*$C$62,'Sources and Uses Budget'!$J$99-SUM('15 Year Pro Forma'!$E$62:EUN62))</f>
        <v>0</v>
      </c>
      <c r="EUQ62" s="962">
        <f>MIN(EUQ60*$C$62,'Sources and Uses Budget'!$J$99-SUM('15 Year Pro Forma'!$E$62:EUP62))</f>
        <v>0</v>
      </c>
      <c r="EUS62" s="962">
        <f>MIN(EUS60*$C$62,'Sources and Uses Budget'!$J$99-SUM('15 Year Pro Forma'!$E$62:EUR62))</f>
        <v>0</v>
      </c>
      <c r="EUU62" s="962">
        <f>MIN(EUU60*$C$62,'Sources and Uses Budget'!$J$99-SUM('15 Year Pro Forma'!$E$62:EUT62))</f>
        <v>0</v>
      </c>
      <c r="EUW62" s="962">
        <f>MIN(EUW60*$C$62,'Sources and Uses Budget'!$J$99-SUM('15 Year Pro Forma'!$E$62:EUV62))</f>
        <v>0</v>
      </c>
      <c r="EUY62" s="962">
        <f>MIN(EUY60*$C$62,'Sources and Uses Budget'!$J$99-SUM('15 Year Pro Forma'!$E$62:EUX62))</f>
        <v>0</v>
      </c>
      <c r="EVA62" s="962">
        <f>MIN(EVA60*$C$62,'Sources and Uses Budget'!$J$99-SUM('15 Year Pro Forma'!$E$62:EUZ62))</f>
        <v>0</v>
      </c>
      <c r="EVC62" s="962">
        <f>MIN(EVC60*$C$62,'Sources and Uses Budget'!$J$99-SUM('15 Year Pro Forma'!$E$62:EVB62))</f>
        <v>0</v>
      </c>
      <c r="EVE62" s="962">
        <f>MIN(EVE60*$C$62,'Sources and Uses Budget'!$J$99-SUM('15 Year Pro Forma'!$E$62:EVD62))</f>
        <v>0</v>
      </c>
      <c r="EVG62" s="962">
        <f>MIN(EVG60*$C$62,'Sources and Uses Budget'!$J$99-SUM('15 Year Pro Forma'!$E$62:EVF62))</f>
        <v>0</v>
      </c>
      <c r="EVI62" s="962">
        <f>MIN(EVI60*$C$62,'Sources and Uses Budget'!$J$99-SUM('15 Year Pro Forma'!$E$62:EVH62))</f>
        <v>0</v>
      </c>
      <c r="EVK62" s="962">
        <f>MIN(EVK60*$C$62,'Sources and Uses Budget'!$J$99-SUM('15 Year Pro Forma'!$E$62:EVJ62))</f>
        <v>0</v>
      </c>
      <c r="EVM62" s="962">
        <f>MIN(EVM60*$C$62,'Sources and Uses Budget'!$J$99-SUM('15 Year Pro Forma'!$E$62:EVL62))</f>
        <v>0</v>
      </c>
      <c r="EVO62" s="962">
        <f>MIN(EVO60*$C$62,'Sources and Uses Budget'!$J$99-SUM('15 Year Pro Forma'!$E$62:EVN62))</f>
        <v>0</v>
      </c>
      <c r="EVQ62" s="962">
        <f>MIN(EVQ60*$C$62,'Sources and Uses Budget'!$J$99-SUM('15 Year Pro Forma'!$E$62:EVP62))</f>
        <v>0</v>
      </c>
      <c r="EVS62" s="962">
        <f>MIN(EVS60*$C$62,'Sources and Uses Budget'!$J$99-SUM('15 Year Pro Forma'!$E$62:EVR62))</f>
        <v>0</v>
      </c>
      <c r="EVU62" s="962">
        <f>MIN(EVU60*$C$62,'Sources and Uses Budget'!$J$99-SUM('15 Year Pro Forma'!$E$62:EVT62))</f>
        <v>0</v>
      </c>
      <c r="EVW62" s="962">
        <f>MIN(EVW60*$C$62,'Sources and Uses Budget'!$J$99-SUM('15 Year Pro Forma'!$E$62:EVV62))</f>
        <v>0</v>
      </c>
      <c r="EVY62" s="962">
        <f>MIN(EVY60*$C$62,'Sources and Uses Budget'!$J$99-SUM('15 Year Pro Forma'!$E$62:EVX62))</f>
        <v>0</v>
      </c>
      <c r="EWA62" s="962">
        <f>MIN(EWA60*$C$62,'Sources and Uses Budget'!$J$99-SUM('15 Year Pro Forma'!$E$62:EVZ62))</f>
        <v>0</v>
      </c>
      <c r="EWC62" s="962">
        <f>MIN(EWC60*$C$62,'Sources and Uses Budget'!$J$99-SUM('15 Year Pro Forma'!$E$62:EWB62))</f>
        <v>0</v>
      </c>
      <c r="EWE62" s="962">
        <f>MIN(EWE60*$C$62,'Sources and Uses Budget'!$J$99-SUM('15 Year Pro Forma'!$E$62:EWD62))</f>
        <v>0</v>
      </c>
      <c r="EWG62" s="962">
        <f>MIN(EWG60*$C$62,'Sources and Uses Budget'!$J$99-SUM('15 Year Pro Forma'!$E$62:EWF62))</f>
        <v>0</v>
      </c>
      <c r="EWI62" s="962">
        <f>MIN(EWI60*$C$62,'Sources and Uses Budget'!$J$99-SUM('15 Year Pro Forma'!$E$62:EWH62))</f>
        <v>0</v>
      </c>
      <c r="EWK62" s="962">
        <f>MIN(EWK60*$C$62,'Sources and Uses Budget'!$J$99-SUM('15 Year Pro Forma'!$E$62:EWJ62))</f>
        <v>0</v>
      </c>
      <c r="EWM62" s="962">
        <f>MIN(EWM60*$C$62,'Sources and Uses Budget'!$J$99-SUM('15 Year Pro Forma'!$E$62:EWL62))</f>
        <v>0</v>
      </c>
      <c r="EWO62" s="962">
        <f>MIN(EWO60*$C$62,'Sources and Uses Budget'!$J$99-SUM('15 Year Pro Forma'!$E$62:EWN62))</f>
        <v>0</v>
      </c>
      <c r="EWQ62" s="962">
        <f>MIN(EWQ60*$C$62,'Sources and Uses Budget'!$J$99-SUM('15 Year Pro Forma'!$E$62:EWP62))</f>
        <v>0</v>
      </c>
      <c r="EWS62" s="962">
        <f>MIN(EWS60*$C$62,'Sources and Uses Budget'!$J$99-SUM('15 Year Pro Forma'!$E$62:EWR62))</f>
        <v>0</v>
      </c>
      <c r="EWU62" s="962">
        <f>MIN(EWU60*$C$62,'Sources and Uses Budget'!$J$99-SUM('15 Year Pro Forma'!$E$62:EWT62))</f>
        <v>0</v>
      </c>
      <c r="EWW62" s="962">
        <f>MIN(EWW60*$C$62,'Sources and Uses Budget'!$J$99-SUM('15 Year Pro Forma'!$E$62:EWV62))</f>
        <v>0</v>
      </c>
      <c r="EWY62" s="962">
        <f>MIN(EWY60*$C$62,'Sources and Uses Budget'!$J$99-SUM('15 Year Pro Forma'!$E$62:EWX62))</f>
        <v>0</v>
      </c>
      <c r="EXA62" s="962">
        <f>MIN(EXA60*$C$62,'Sources and Uses Budget'!$J$99-SUM('15 Year Pro Forma'!$E$62:EWZ62))</f>
        <v>0</v>
      </c>
      <c r="EXC62" s="962">
        <f>MIN(EXC60*$C$62,'Sources and Uses Budget'!$J$99-SUM('15 Year Pro Forma'!$E$62:EXB62))</f>
        <v>0</v>
      </c>
      <c r="EXE62" s="962">
        <f>MIN(EXE60*$C$62,'Sources and Uses Budget'!$J$99-SUM('15 Year Pro Forma'!$E$62:EXD62))</f>
        <v>0</v>
      </c>
      <c r="EXG62" s="962">
        <f>MIN(EXG60*$C$62,'Sources and Uses Budget'!$J$99-SUM('15 Year Pro Forma'!$E$62:EXF62))</f>
        <v>0</v>
      </c>
      <c r="EXI62" s="962">
        <f>MIN(EXI60*$C$62,'Sources and Uses Budget'!$J$99-SUM('15 Year Pro Forma'!$E$62:EXH62))</f>
        <v>0</v>
      </c>
      <c r="EXK62" s="962">
        <f>MIN(EXK60*$C$62,'Sources and Uses Budget'!$J$99-SUM('15 Year Pro Forma'!$E$62:EXJ62))</f>
        <v>0</v>
      </c>
      <c r="EXM62" s="962">
        <f>MIN(EXM60*$C$62,'Sources and Uses Budget'!$J$99-SUM('15 Year Pro Forma'!$E$62:EXL62))</f>
        <v>0</v>
      </c>
      <c r="EXO62" s="962">
        <f>MIN(EXO60*$C$62,'Sources and Uses Budget'!$J$99-SUM('15 Year Pro Forma'!$E$62:EXN62))</f>
        <v>0</v>
      </c>
      <c r="EXQ62" s="962">
        <f>MIN(EXQ60*$C$62,'Sources and Uses Budget'!$J$99-SUM('15 Year Pro Forma'!$E$62:EXP62))</f>
        <v>0</v>
      </c>
      <c r="EXS62" s="962">
        <f>MIN(EXS60*$C$62,'Sources and Uses Budget'!$J$99-SUM('15 Year Pro Forma'!$E$62:EXR62))</f>
        <v>0</v>
      </c>
      <c r="EXU62" s="962">
        <f>MIN(EXU60*$C$62,'Sources and Uses Budget'!$J$99-SUM('15 Year Pro Forma'!$E$62:EXT62))</f>
        <v>0</v>
      </c>
      <c r="EXW62" s="962">
        <f>MIN(EXW60*$C$62,'Sources and Uses Budget'!$J$99-SUM('15 Year Pro Forma'!$E$62:EXV62))</f>
        <v>0</v>
      </c>
      <c r="EXY62" s="962">
        <f>MIN(EXY60*$C$62,'Sources and Uses Budget'!$J$99-SUM('15 Year Pro Forma'!$E$62:EXX62))</f>
        <v>0</v>
      </c>
      <c r="EYA62" s="962">
        <f>MIN(EYA60*$C$62,'Sources and Uses Budget'!$J$99-SUM('15 Year Pro Forma'!$E$62:EXZ62))</f>
        <v>0</v>
      </c>
      <c r="EYC62" s="962">
        <f>MIN(EYC60*$C$62,'Sources and Uses Budget'!$J$99-SUM('15 Year Pro Forma'!$E$62:EYB62))</f>
        <v>0</v>
      </c>
      <c r="EYE62" s="962">
        <f>MIN(EYE60*$C$62,'Sources and Uses Budget'!$J$99-SUM('15 Year Pro Forma'!$E$62:EYD62))</f>
        <v>0</v>
      </c>
      <c r="EYG62" s="962">
        <f>MIN(EYG60*$C$62,'Sources and Uses Budget'!$J$99-SUM('15 Year Pro Forma'!$E$62:EYF62))</f>
        <v>0</v>
      </c>
      <c r="EYI62" s="962">
        <f>MIN(EYI60*$C$62,'Sources and Uses Budget'!$J$99-SUM('15 Year Pro Forma'!$E$62:EYH62))</f>
        <v>0</v>
      </c>
      <c r="EYK62" s="962">
        <f>MIN(EYK60*$C$62,'Sources and Uses Budget'!$J$99-SUM('15 Year Pro Forma'!$E$62:EYJ62))</f>
        <v>0</v>
      </c>
      <c r="EYM62" s="962">
        <f>MIN(EYM60*$C$62,'Sources and Uses Budget'!$J$99-SUM('15 Year Pro Forma'!$E$62:EYL62))</f>
        <v>0</v>
      </c>
      <c r="EYO62" s="962">
        <f>MIN(EYO60*$C$62,'Sources and Uses Budget'!$J$99-SUM('15 Year Pro Forma'!$E$62:EYN62))</f>
        <v>0</v>
      </c>
      <c r="EYQ62" s="962">
        <f>MIN(EYQ60*$C$62,'Sources and Uses Budget'!$J$99-SUM('15 Year Pro Forma'!$E$62:EYP62))</f>
        <v>0</v>
      </c>
      <c r="EYS62" s="962">
        <f>MIN(EYS60*$C$62,'Sources and Uses Budget'!$J$99-SUM('15 Year Pro Forma'!$E$62:EYR62))</f>
        <v>0</v>
      </c>
      <c r="EYU62" s="962">
        <f>MIN(EYU60*$C$62,'Sources and Uses Budget'!$J$99-SUM('15 Year Pro Forma'!$E$62:EYT62))</f>
        <v>0</v>
      </c>
      <c r="EYW62" s="962">
        <f>MIN(EYW60*$C$62,'Sources and Uses Budget'!$J$99-SUM('15 Year Pro Forma'!$E$62:EYV62))</f>
        <v>0</v>
      </c>
      <c r="EYY62" s="962">
        <f>MIN(EYY60*$C$62,'Sources and Uses Budget'!$J$99-SUM('15 Year Pro Forma'!$E$62:EYX62))</f>
        <v>0</v>
      </c>
      <c r="EZA62" s="962">
        <f>MIN(EZA60*$C$62,'Sources and Uses Budget'!$J$99-SUM('15 Year Pro Forma'!$E$62:EYZ62))</f>
        <v>0</v>
      </c>
      <c r="EZC62" s="962">
        <f>MIN(EZC60*$C$62,'Sources and Uses Budget'!$J$99-SUM('15 Year Pro Forma'!$E$62:EZB62))</f>
        <v>0</v>
      </c>
      <c r="EZE62" s="962">
        <f>MIN(EZE60*$C$62,'Sources and Uses Budget'!$J$99-SUM('15 Year Pro Forma'!$E$62:EZD62))</f>
        <v>0</v>
      </c>
      <c r="EZG62" s="962">
        <f>MIN(EZG60*$C$62,'Sources and Uses Budget'!$J$99-SUM('15 Year Pro Forma'!$E$62:EZF62))</f>
        <v>0</v>
      </c>
      <c r="EZI62" s="962">
        <f>MIN(EZI60*$C$62,'Sources and Uses Budget'!$J$99-SUM('15 Year Pro Forma'!$E$62:EZH62))</f>
        <v>0</v>
      </c>
      <c r="EZK62" s="962">
        <f>MIN(EZK60*$C$62,'Sources and Uses Budget'!$J$99-SUM('15 Year Pro Forma'!$E$62:EZJ62))</f>
        <v>0</v>
      </c>
      <c r="EZM62" s="962">
        <f>MIN(EZM60*$C$62,'Sources and Uses Budget'!$J$99-SUM('15 Year Pro Forma'!$E$62:EZL62))</f>
        <v>0</v>
      </c>
      <c r="EZO62" s="962">
        <f>MIN(EZO60*$C$62,'Sources and Uses Budget'!$J$99-SUM('15 Year Pro Forma'!$E$62:EZN62))</f>
        <v>0</v>
      </c>
      <c r="EZQ62" s="962">
        <f>MIN(EZQ60*$C$62,'Sources and Uses Budget'!$J$99-SUM('15 Year Pro Forma'!$E$62:EZP62))</f>
        <v>0</v>
      </c>
      <c r="EZS62" s="962">
        <f>MIN(EZS60*$C$62,'Sources and Uses Budget'!$J$99-SUM('15 Year Pro Forma'!$E$62:EZR62))</f>
        <v>0</v>
      </c>
      <c r="EZU62" s="962">
        <f>MIN(EZU60*$C$62,'Sources and Uses Budget'!$J$99-SUM('15 Year Pro Forma'!$E$62:EZT62))</f>
        <v>0</v>
      </c>
      <c r="EZW62" s="962">
        <f>MIN(EZW60*$C$62,'Sources and Uses Budget'!$J$99-SUM('15 Year Pro Forma'!$E$62:EZV62))</f>
        <v>0</v>
      </c>
      <c r="EZY62" s="962">
        <f>MIN(EZY60*$C$62,'Sources and Uses Budget'!$J$99-SUM('15 Year Pro Forma'!$E$62:EZX62))</f>
        <v>0</v>
      </c>
      <c r="FAA62" s="962">
        <f>MIN(FAA60*$C$62,'Sources and Uses Budget'!$J$99-SUM('15 Year Pro Forma'!$E$62:EZZ62))</f>
        <v>0</v>
      </c>
      <c r="FAC62" s="962">
        <f>MIN(FAC60*$C$62,'Sources and Uses Budget'!$J$99-SUM('15 Year Pro Forma'!$E$62:FAB62))</f>
        <v>0</v>
      </c>
      <c r="FAE62" s="962">
        <f>MIN(FAE60*$C$62,'Sources and Uses Budget'!$J$99-SUM('15 Year Pro Forma'!$E$62:FAD62))</f>
        <v>0</v>
      </c>
      <c r="FAG62" s="962">
        <f>MIN(FAG60*$C$62,'Sources and Uses Budget'!$J$99-SUM('15 Year Pro Forma'!$E$62:FAF62))</f>
        <v>0</v>
      </c>
      <c r="FAI62" s="962">
        <f>MIN(FAI60*$C$62,'Sources and Uses Budget'!$J$99-SUM('15 Year Pro Forma'!$E$62:FAH62))</f>
        <v>0</v>
      </c>
      <c r="FAK62" s="962">
        <f>MIN(FAK60*$C$62,'Sources and Uses Budget'!$J$99-SUM('15 Year Pro Forma'!$E$62:FAJ62))</f>
        <v>0</v>
      </c>
      <c r="FAM62" s="962">
        <f>MIN(FAM60*$C$62,'Sources and Uses Budget'!$J$99-SUM('15 Year Pro Forma'!$E$62:FAL62))</f>
        <v>0</v>
      </c>
      <c r="FAO62" s="962">
        <f>MIN(FAO60*$C$62,'Sources and Uses Budget'!$J$99-SUM('15 Year Pro Forma'!$E$62:FAN62))</f>
        <v>0</v>
      </c>
      <c r="FAQ62" s="962">
        <f>MIN(FAQ60*$C$62,'Sources and Uses Budget'!$J$99-SUM('15 Year Pro Forma'!$E$62:FAP62))</f>
        <v>0</v>
      </c>
      <c r="FAS62" s="962">
        <f>MIN(FAS60*$C$62,'Sources and Uses Budget'!$J$99-SUM('15 Year Pro Forma'!$E$62:FAR62))</f>
        <v>0</v>
      </c>
      <c r="FAU62" s="962">
        <f>MIN(FAU60*$C$62,'Sources and Uses Budget'!$J$99-SUM('15 Year Pro Forma'!$E$62:FAT62))</f>
        <v>0</v>
      </c>
      <c r="FAW62" s="962">
        <f>MIN(FAW60*$C$62,'Sources and Uses Budget'!$J$99-SUM('15 Year Pro Forma'!$E$62:FAV62))</f>
        <v>0</v>
      </c>
      <c r="FAY62" s="962">
        <f>MIN(FAY60*$C$62,'Sources and Uses Budget'!$J$99-SUM('15 Year Pro Forma'!$E$62:FAX62))</f>
        <v>0</v>
      </c>
      <c r="FBA62" s="962">
        <f>MIN(FBA60*$C$62,'Sources and Uses Budget'!$J$99-SUM('15 Year Pro Forma'!$E$62:FAZ62))</f>
        <v>0</v>
      </c>
      <c r="FBC62" s="962">
        <f>MIN(FBC60*$C$62,'Sources and Uses Budget'!$J$99-SUM('15 Year Pro Forma'!$E$62:FBB62))</f>
        <v>0</v>
      </c>
      <c r="FBE62" s="962">
        <f>MIN(FBE60*$C$62,'Sources and Uses Budget'!$J$99-SUM('15 Year Pro Forma'!$E$62:FBD62))</f>
        <v>0</v>
      </c>
      <c r="FBG62" s="962">
        <f>MIN(FBG60*$C$62,'Sources and Uses Budget'!$J$99-SUM('15 Year Pro Forma'!$E$62:FBF62))</f>
        <v>0</v>
      </c>
      <c r="FBI62" s="962">
        <f>MIN(FBI60*$C$62,'Sources and Uses Budget'!$J$99-SUM('15 Year Pro Forma'!$E$62:FBH62))</f>
        <v>0</v>
      </c>
      <c r="FBK62" s="962">
        <f>MIN(FBK60*$C$62,'Sources and Uses Budget'!$J$99-SUM('15 Year Pro Forma'!$E$62:FBJ62))</f>
        <v>0</v>
      </c>
      <c r="FBM62" s="962">
        <f>MIN(FBM60*$C$62,'Sources and Uses Budget'!$J$99-SUM('15 Year Pro Forma'!$E$62:FBL62))</f>
        <v>0</v>
      </c>
      <c r="FBO62" s="962">
        <f>MIN(FBO60*$C$62,'Sources and Uses Budget'!$J$99-SUM('15 Year Pro Forma'!$E$62:FBN62))</f>
        <v>0</v>
      </c>
      <c r="FBQ62" s="962">
        <f>MIN(FBQ60*$C$62,'Sources and Uses Budget'!$J$99-SUM('15 Year Pro Forma'!$E$62:FBP62))</f>
        <v>0</v>
      </c>
      <c r="FBS62" s="962">
        <f>MIN(FBS60*$C$62,'Sources and Uses Budget'!$J$99-SUM('15 Year Pro Forma'!$E$62:FBR62))</f>
        <v>0</v>
      </c>
      <c r="FBU62" s="962">
        <f>MIN(FBU60*$C$62,'Sources and Uses Budget'!$J$99-SUM('15 Year Pro Forma'!$E$62:FBT62))</f>
        <v>0</v>
      </c>
      <c r="FBW62" s="962">
        <f>MIN(FBW60*$C$62,'Sources and Uses Budget'!$J$99-SUM('15 Year Pro Forma'!$E$62:FBV62))</f>
        <v>0</v>
      </c>
      <c r="FBY62" s="962">
        <f>MIN(FBY60*$C$62,'Sources and Uses Budget'!$J$99-SUM('15 Year Pro Forma'!$E$62:FBX62))</f>
        <v>0</v>
      </c>
      <c r="FCA62" s="962">
        <f>MIN(FCA60*$C$62,'Sources and Uses Budget'!$J$99-SUM('15 Year Pro Forma'!$E$62:FBZ62))</f>
        <v>0</v>
      </c>
      <c r="FCC62" s="962">
        <f>MIN(FCC60*$C$62,'Sources and Uses Budget'!$J$99-SUM('15 Year Pro Forma'!$E$62:FCB62))</f>
        <v>0</v>
      </c>
      <c r="FCE62" s="962">
        <f>MIN(FCE60*$C$62,'Sources and Uses Budget'!$J$99-SUM('15 Year Pro Forma'!$E$62:FCD62))</f>
        <v>0</v>
      </c>
      <c r="FCG62" s="962">
        <f>MIN(FCG60*$C$62,'Sources and Uses Budget'!$J$99-SUM('15 Year Pro Forma'!$E$62:FCF62))</f>
        <v>0</v>
      </c>
      <c r="FCI62" s="962">
        <f>MIN(FCI60*$C$62,'Sources and Uses Budget'!$J$99-SUM('15 Year Pro Forma'!$E$62:FCH62))</f>
        <v>0</v>
      </c>
      <c r="FCK62" s="962">
        <f>MIN(FCK60*$C$62,'Sources and Uses Budget'!$J$99-SUM('15 Year Pro Forma'!$E$62:FCJ62))</f>
        <v>0</v>
      </c>
      <c r="FCM62" s="962">
        <f>MIN(FCM60*$C$62,'Sources and Uses Budget'!$J$99-SUM('15 Year Pro Forma'!$E$62:FCL62))</f>
        <v>0</v>
      </c>
      <c r="FCO62" s="962">
        <f>MIN(FCO60*$C$62,'Sources and Uses Budget'!$J$99-SUM('15 Year Pro Forma'!$E$62:FCN62))</f>
        <v>0</v>
      </c>
      <c r="FCQ62" s="962">
        <f>MIN(FCQ60*$C$62,'Sources and Uses Budget'!$J$99-SUM('15 Year Pro Forma'!$E$62:FCP62))</f>
        <v>0</v>
      </c>
      <c r="FCS62" s="962">
        <f>MIN(FCS60*$C$62,'Sources and Uses Budget'!$J$99-SUM('15 Year Pro Forma'!$E$62:FCR62))</f>
        <v>0</v>
      </c>
      <c r="FCU62" s="962">
        <f>MIN(FCU60*$C$62,'Sources and Uses Budget'!$J$99-SUM('15 Year Pro Forma'!$E$62:FCT62))</f>
        <v>0</v>
      </c>
      <c r="FCW62" s="962">
        <f>MIN(FCW60*$C$62,'Sources and Uses Budget'!$J$99-SUM('15 Year Pro Forma'!$E$62:FCV62))</f>
        <v>0</v>
      </c>
      <c r="FCY62" s="962">
        <f>MIN(FCY60*$C$62,'Sources and Uses Budget'!$J$99-SUM('15 Year Pro Forma'!$E$62:FCX62))</f>
        <v>0</v>
      </c>
      <c r="FDA62" s="962">
        <f>MIN(FDA60*$C$62,'Sources and Uses Budget'!$J$99-SUM('15 Year Pro Forma'!$E$62:FCZ62))</f>
        <v>0</v>
      </c>
      <c r="FDC62" s="962">
        <f>MIN(FDC60*$C$62,'Sources and Uses Budget'!$J$99-SUM('15 Year Pro Forma'!$E$62:FDB62))</f>
        <v>0</v>
      </c>
      <c r="FDE62" s="962">
        <f>MIN(FDE60*$C$62,'Sources and Uses Budget'!$J$99-SUM('15 Year Pro Forma'!$E$62:FDD62))</f>
        <v>0</v>
      </c>
      <c r="FDG62" s="962">
        <f>MIN(FDG60*$C$62,'Sources and Uses Budget'!$J$99-SUM('15 Year Pro Forma'!$E$62:FDF62))</f>
        <v>0</v>
      </c>
      <c r="FDI62" s="962">
        <f>MIN(FDI60*$C$62,'Sources and Uses Budget'!$J$99-SUM('15 Year Pro Forma'!$E$62:FDH62))</f>
        <v>0</v>
      </c>
      <c r="FDK62" s="962">
        <f>MIN(FDK60*$C$62,'Sources and Uses Budget'!$J$99-SUM('15 Year Pro Forma'!$E$62:FDJ62))</f>
        <v>0</v>
      </c>
      <c r="FDM62" s="962">
        <f>MIN(FDM60*$C$62,'Sources and Uses Budget'!$J$99-SUM('15 Year Pro Forma'!$E$62:FDL62))</f>
        <v>0</v>
      </c>
      <c r="FDO62" s="962">
        <f>MIN(FDO60*$C$62,'Sources and Uses Budget'!$J$99-SUM('15 Year Pro Forma'!$E$62:FDN62))</f>
        <v>0</v>
      </c>
      <c r="FDQ62" s="962">
        <f>MIN(FDQ60*$C$62,'Sources and Uses Budget'!$J$99-SUM('15 Year Pro Forma'!$E$62:FDP62))</f>
        <v>0</v>
      </c>
      <c r="FDS62" s="962">
        <f>MIN(FDS60*$C$62,'Sources and Uses Budget'!$J$99-SUM('15 Year Pro Forma'!$E$62:FDR62))</f>
        <v>0</v>
      </c>
      <c r="FDU62" s="962">
        <f>MIN(FDU60*$C$62,'Sources and Uses Budget'!$J$99-SUM('15 Year Pro Forma'!$E$62:FDT62))</f>
        <v>0</v>
      </c>
      <c r="FDW62" s="962">
        <f>MIN(FDW60*$C$62,'Sources and Uses Budget'!$J$99-SUM('15 Year Pro Forma'!$E$62:FDV62))</f>
        <v>0</v>
      </c>
      <c r="FDY62" s="962">
        <f>MIN(FDY60*$C$62,'Sources and Uses Budget'!$J$99-SUM('15 Year Pro Forma'!$E$62:FDX62))</f>
        <v>0</v>
      </c>
      <c r="FEA62" s="962">
        <f>MIN(FEA60*$C$62,'Sources and Uses Budget'!$J$99-SUM('15 Year Pro Forma'!$E$62:FDZ62))</f>
        <v>0</v>
      </c>
      <c r="FEC62" s="962">
        <f>MIN(FEC60*$C$62,'Sources and Uses Budget'!$J$99-SUM('15 Year Pro Forma'!$E$62:FEB62))</f>
        <v>0</v>
      </c>
      <c r="FEE62" s="962">
        <f>MIN(FEE60*$C$62,'Sources and Uses Budget'!$J$99-SUM('15 Year Pro Forma'!$E$62:FED62))</f>
        <v>0</v>
      </c>
      <c r="FEG62" s="962">
        <f>MIN(FEG60*$C$62,'Sources and Uses Budget'!$J$99-SUM('15 Year Pro Forma'!$E$62:FEF62))</f>
        <v>0</v>
      </c>
      <c r="FEI62" s="962">
        <f>MIN(FEI60*$C$62,'Sources and Uses Budget'!$J$99-SUM('15 Year Pro Forma'!$E$62:FEH62))</f>
        <v>0</v>
      </c>
      <c r="FEK62" s="962">
        <f>MIN(FEK60*$C$62,'Sources and Uses Budget'!$J$99-SUM('15 Year Pro Forma'!$E$62:FEJ62))</f>
        <v>0</v>
      </c>
      <c r="FEM62" s="962">
        <f>MIN(FEM60*$C$62,'Sources and Uses Budget'!$J$99-SUM('15 Year Pro Forma'!$E$62:FEL62))</f>
        <v>0</v>
      </c>
      <c r="FEO62" s="962">
        <f>MIN(FEO60*$C$62,'Sources and Uses Budget'!$J$99-SUM('15 Year Pro Forma'!$E$62:FEN62))</f>
        <v>0</v>
      </c>
      <c r="FEQ62" s="962">
        <f>MIN(FEQ60*$C$62,'Sources and Uses Budget'!$J$99-SUM('15 Year Pro Forma'!$E$62:FEP62))</f>
        <v>0</v>
      </c>
      <c r="FES62" s="962">
        <f>MIN(FES60*$C$62,'Sources and Uses Budget'!$J$99-SUM('15 Year Pro Forma'!$E$62:FER62))</f>
        <v>0</v>
      </c>
      <c r="FEU62" s="962">
        <f>MIN(FEU60*$C$62,'Sources and Uses Budget'!$J$99-SUM('15 Year Pro Forma'!$E$62:FET62))</f>
        <v>0</v>
      </c>
      <c r="FEW62" s="962">
        <f>MIN(FEW60*$C$62,'Sources and Uses Budget'!$J$99-SUM('15 Year Pro Forma'!$E$62:FEV62))</f>
        <v>0</v>
      </c>
      <c r="FEY62" s="962">
        <f>MIN(FEY60*$C$62,'Sources and Uses Budget'!$J$99-SUM('15 Year Pro Forma'!$E$62:FEX62))</f>
        <v>0</v>
      </c>
      <c r="FFA62" s="962">
        <f>MIN(FFA60*$C$62,'Sources and Uses Budget'!$J$99-SUM('15 Year Pro Forma'!$E$62:FEZ62))</f>
        <v>0</v>
      </c>
      <c r="FFC62" s="962">
        <f>MIN(FFC60*$C$62,'Sources and Uses Budget'!$J$99-SUM('15 Year Pro Forma'!$E$62:FFB62))</f>
        <v>0</v>
      </c>
      <c r="FFE62" s="962">
        <f>MIN(FFE60*$C$62,'Sources and Uses Budget'!$J$99-SUM('15 Year Pro Forma'!$E$62:FFD62))</f>
        <v>0</v>
      </c>
      <c r="FFG62" s="962">
        <f>MIN(FFG60*$C$62,'Sources and Uses Budget'!$J$99-SUM('15 Year Pro Forma'!$E$62:FFF62))</f>
        <v>0</v>
      </c>
      <c r="FFI62" s="962">
        <f>MIN(FFI60*$C$62,'Sources and Uses Budget'!$J$99-SUM('15 Year Pro Forma'!$E$62:FFH62))</f>
        <v>0</v>
      </c>
      <c r="FFK62" s="962">
        <f>MIN(FFK60*$C$62,'Sources and Uses Budget'!$J$99-SUM('15 Year Pro Forma'!$E$62:FFJ62))</f>
        <v>0</v>
      </c>
      <c r="FFM62" s="962">
        <f>MIN(FFM60*$C$62,'Sources and Uses Budget'!$J$99-SUM('15 Year Pro Forma'!$E$62:FFL62))</f>
        <v>0</v>
      </c>
      <c r="FFO62" s="962">
        <f>MIN(FFO60*$C$62,'Sources and Uses Budget'!$J$99-SUM('15 Year Pro Forma'!$E$62:FFN62))</f>
        <v>0</v>
      </c>
      <c r="FFQ62" s="962">
        <f>MIN(FFQ60*$C$62,'Sources and Uses Budget'!$J$99-SUM('15 Year Pro Forma'!$E$62:FFP62))</f>
        <v>0</v>
      </c>
      <c r="FFS62" s="962">
        <f>MIN(FFS60*$C$62,'Sources and Uses Budget'!$J$99-SUM('15 Year Pro Forma'!$E$62:FFR62))</f>
        <v>0</v>
      </c>
      <c r="FFU62" s="962">
        <f>MIN(FFU60*$C$62,'Sources and Uses Budget'!$J$99-SUM('15 Year Pro Forma'!$E$62:FFT62))</f>
        <v>0</v>
      </c>
      <c r="FFW62" s="962">
        <f>MIN(FFW60*$C$62,'Sources and Uses Budget'!$J$99-SUM('15 Year Pro Forma'!$E$62:FFV62))</f>
        <v>0</v>
      </c>
      <c r="FFY62" s="962">
        <f>MIN(FFY60*$C$62,'Sources and Uses Budget'!$J$99-SUM('15 Year Pro Forma'!$E$62:FFX62))</f>
        <v>0</v>
      </c>
      <c r="FGA62" s="962">
        <f>MIN(FGA60*$C$62,'Sources and Uses Budget'!$J$99-SUM('15 Year Pro Forma'!$E$62:FFZ62))</f>
        <v>0</v>
      </c>
      <c r="FGC62" s="962">
        <f>MIN(FGC60*$C$62,'Sources and Uses Budget'!$J$99-SUM('15 Year Pro Forma'!$E$62:FGB62))</f>
        <v>0</v>
      </c>
      <c r="FGE62" s="962">
        <f>MIN(FGE60*$C$62,'Sources and Uses Budget'!$J$99-SUM('15 Year Pro Forma'!$E$62:FGD62))</f>
        <v>0</v>
      </c>
      <c r="FGG62" s="962">
        <f>MIN(FGG60*$C$62,'Sources and Uses Budget'!$J$99-SUM('15 Year Pro Forma'!$E$62:FGF62))</f>
        <v>0</v>
      </c>
      <c r="FGI62" s="962">
        <f>MIN(FGI60*$C$62,'Sources and Uses Budget'!$J$99-SUM('15 Year Pro Forma'!$E$62:FGH62))</f>
        <v>0</v>
      </c>
      <c r="FGK62" s="962">
        <f>MIN(FGK60*$C$62,'Sources and Uses Budget'!$J$99-SUM('15 Year Pro Forma'!$E$62:FGJ62))</f>
        <v>0</v>
      </c>
      <c r="FGM62" s="962">
        <f>MIN(FGM60*$C$62,'Sources and Uses Budget'!$J$99-SUM('15 Year Pro Forma'!$E$62:FGL62))</f>
        <v>0</v>
      </c>
      <c r="FGO62" s="962">
        <f>MIN(FGO60*$C$62,'Sources and Uses Budget'!$J$99-SUM('15 Year Pro Forma'!$E$62:FGN62))</f>
        <v>0</v>
      </c>
      <c r="FGQ62" s="962">
        <f>MIN(FGQ60*$C$62,'Sources and Uses Budget'!$J$99-SUM('15 Year Pro Forma'!$E$62:FGP62))</f>
        <v>0</v>
      </c>
      <c r="FGS62" s="962">
        <f>MIN(FGS60*$C$62,'Sources and Uses Budget'!$J$99-SUM('15 Year Pro Forma'!$E$62:FGR62))</f>
        <v>0</v>
      </c>
      <c r="FGU62" s="962">
        <f>MIN(FGU60*$C$62,'Sources and Uses Budget'!$J$99-SUM('15 Year Pro Forma'!$E$62:FGT62))</f>
        <v>0</v>
      </c>
      <c r="FGW62" s="962">
        <f>MIN(FGW60*$C$62,'Sources and Uses Budget'!$J$99-SUM('15 Year Pro Forma'!$E$62:FGV62))</f>
        <v>0</v>
      </c>
      <c r="FGY62" s="962">
        <f>MIN(FGY60*$C$62,'Sources and Uses Budget'!$J$99-SUM('15 Year Pro Forma'!$E$62:FGX62))</f>
        <v>0</v>
      </c>
      <c r="FHA62" s="962">
        <f>MIN(FHA60*$C$62,'Sources and Uses Budget'!$J$99-SUM('15 Year Pro Forma'!$E$62:FGZ62))</f>
        <v>0</v>
      </c>
      <c r="FHC62" s="962">
        <f>MIN(FHC60*$C$62,'Sources and Uses Budget'!$J$99-SUM('15 Year Pro Forma'!$E$62:FHB62))</f>
        <v>0</v>
      </c>
      <c r="FHE62" s="962">
        <f>MIN(FHE60*$C$62,'Sources and Uses Budget'!$J$99-SUM('15 Year Pro Forma'!$E$62:FHD62))</f>
        <v>0</v>
      </c>
      <c r="FHG62" s="962">
        <f>MIN(FHG60*$C$62,'Sources and Uses Budget'!$J$99-SUM('15 Year Pro Forma'!$E$62:FHF62))</f>
        <v>0</v>
      </c>
      <c r="FHI62" s="962">
        <f>MIN(FHI60*$C$62,'Sources and Uses Budget'!$J$99-SUM('15 Year Pro Forma'!$E$62:FHH62))</f>
        <v>0</v>
      </c>
      <c r="FHK62" s="962">
        <f>MIN(FHK60*$C$62,'Sources and Uses Budget'!$J$99-SUM('15 Year Pro Forma'!$E$62:FHJ62))</f>
        <v>0</v>
      </c>
      <c r="FHM62" s="962">
        <f>MIN(FHM60*$C$62,'Sources and Uses Budget'!$J$99-SUM('15 Year Pro Forma'!$E$62:FHL62))</f>
        <v>0</v>
      </c>
      <c r="FHO62" s="962">
        <f>MIN(FHO60*$C$62,'Sources and Uses Budget'!$J$99-SUM('15 Year Pro Forma'!$E$62:FHN62))</f>
        <v>0</v>
      </c>
      <c r="FHQ62" s="962">
        <f>MIN(FHQ60*$C$62,'Sources and Uses Budget'!$J$99-SUM('15 Year Pro Forma'!$E$62:FHP62))</f>
        <v>0</v>
      </c>
      <c r="FHS62" s="962">
        <f>MIN(FHS60*$C$62,'Sources and Uses Budget'!$J$99-SUM('15 Year Pro Forma'!$E$62:FHR62))</f>
        <v>0</v>
      </c>
      <c r="FHU62" s="962">
        <f>MIN(FHU60*$C$62,'Sources and Uses Budget'!$J$99-SUM('15 Year Pro Forma'!$E$62:FHT62))</f>
        <v>0</v>
      </c>
      <c r="FHW62" s="962">
        <f>MIN(FHW60*$C$62,'Sources and Uses Budget'!$J$99-SUM('15 Year Pro Forma'!$E$62:FHV62))</f>
        <v>0</v>
      </c>
      <c r="FHY62" s="962">
        <f>MIN(FHY60*$C$62,'Sources and Uses Budget'!$J$99-SUM('15 Year Pro Forma'!$E$62:FHX62))</f>
        <v>0</v>
      </c>
      <c r="FIA62" s="962">
        <f>MIN(FIA60*$C$62,'Sources and Uses Budget'!$J$99-SUM('15 Year Pro Forma'!$E$62:FHZ62))</f>
        <v>0</v>
      </c>
      <c r="FIC62" s="962">
        <f>MIN(FIC60*$C$62,'Sources and Uses Budget'!$J$99-SUM('15 Year Pro Forma'!$E$62:FIB62))</f>
        <v>0</v>
      </c>
      <c r="FIE62" s="962">
        <f>MIN(FIE60*$C$62,'Sources and Uses Budget'!$J$99-SUM('15 Year Pro Forma'!$E$62:FID62))</f>
        <v>0</v>
      </c>
      <c r="FIG62" s="962">
        <f>MIN(FIG60*$C$62,'Sources and Uses Budget'!$J$99-SUM('15 Year Pro Forma'!$E$62:FIF62))</f>
        <v>0</v>
      </c>
      <c r="FII62" s="962">
        <f>MIN(FII60*$C$62,'Sources and Uses Budget'!$J$99-SUM('15 Year Pro Forma'!$E$62:FIH62))</f>
        <v>0</v>
      </c>
      <c r="FIK62" s="962">
        <f>MIN(FIK60*$C$62,'Sources and Uses Budget'!$J$99-SUM('15 Year Pro Forma'!$E$62:FIJ62))</f>
        <v>0</v>
      </c>
      <c r="FIM62" s="962">
        <f>MIN(FIM60*$C$62,'Sources and Uses Budget'!$J$99-SUM('15 Year Pro Forma'!$E$62:FIL62))</f>
        <v>0</v>
      </c>
      <c r="FIO62" s="962">
        <f>MIN(FIO60*$C$62,'Sources and Uses Budget'!$J$99-SUM('15 Year Pro Forma'!$E$62:FIN62))</f>
        <v>0</v>
      </c>
      <c r="FIQ62" s="962">
        <f>MIN(FIQ60*$C$62,'Sources and Uses Budget'!$J$99-SUM('15 Year Pro Forma'!$E$62:FIP62))</f>
        <v>0</v>
      </c>
      <c r="FIS62" s="962">
        <f>MIN(FIS60*$C$62,'Sources and Uses Budget'!$J$99-SUM('15 Year Pro Forma'!$E$62:FIR62))</f>
        <v>0</v>
      </c>
      <c r="FIU62" s="962">
        <f>MIN(FIU60*$C$62,'Sources and Uses Budget'!$J$99-SUM('15 Year Pro Forma'!$E$62:FIT62))</f>
        <v>0</v>
      </c>
      <c r="FIW62" s="962">
        <f>MIN(FIW60*$C$62,'Sources and Uses Budget'!$J$99-SUM('15 Year Pro Forma'!$E$62:FIV62))</f>
        <v>0</v>
      </c>
      <c r="FIY62" s="962">
        <f>MIN(FIY60*$C$62,'Sources and Uses Budget'!$J$99-SUM('15 Year Pro Forma'!$E$62:FIX62))</f>
        <v>0</v>
      </c>
      <c r="FJA62" s="962">
        <f>MIN(FJA60*$C$62,'Sources and Uses Budget'!$J$99-SUM('15 Year Pro Forma'!$E$62:FIZ62))</f>
        <v>0</v>
      </c>
      <c r="FJC62" s="962">
        <f>MIN(FJC60*$C$62,'Sources and Uses Budget'!$J$99-SUM('15 Year Pro Forma'!$E$62:FJB62))</f>
        <v>0</v>
      </c>
      <c r="FJE62" s="962">
        <f>MIN(FJE60*$C$62,'Sources and Uses Budget'!$J$99-SUM('15 Year Pro Forma'!$E$62:FJD62))</f>
        <v>0</v>
      </c>
      <c r="FJG62" s="962">
        <f>MIN(FJG60*$C$62,'Sources and Uses Budget'!$J$99-SUM('15 Year Pro Forma'!$E$62:FJF62))</f>
        <v>0</v>
      </c>
      <c r="FJI62" s="962">
        <f>MIN(FJI60*$C$62,'Sources and Uses Budget'!$J$99-SUM('15 Year Pro Forma'!$E$62:FJH62))</f>
        <v>0</v>
      </c>
      <c r="FJK62" s="962">
        <f>MIN(FJK60*$C$62,'Sources and Uses Budget'!$J$99-SUM('15 Year Pro Forma'!$E$62:FJJ62))</f>
        <v>0</v>
      </c>
      <c r="FJM62" s="962">
        <f>MIN(FJM60*$C$62,'Sources and Uses Budget'!$J$99-SUM('15 Year Pro Forma'!$E$62:FJL62))</f>
        <v>0</v>
      </c>
      <c r="FJO62" s="962">
        <f>MIN(FJO60*$C$62,'Sources and Uses Budget'!$J$99-SUM('15 Year Pro Forma'!$E$62:FJN62))</f>
        <v>0</v>
      </c>
      <c r="FJQ62" s="962">
        <f>MIN(FJQ60*$C$62,'Sources and Uses Budget'!$J$99-SUM('15 Year Pro Forma'!$E$62:FJP62))</f>
        <v>0</v>
      </c>
      <c r="FJS62" s="962">
        <f>MIN(FJS60*$C$62,'Sources and Uses Budget'!$J$99-SUM('15 Year Pro Forma'!$E$62:FJR62))</f>
        <v>0</v>
      </c>
      <c r="FJU62" s="962">
        <f>MIN(FJU60*$C$62,'Sources and Uses Budget'!$J$99-SUM('15 Year Pro Forma'!$E$62:FJT62))</f>
        <v>0</v>
      </c>
      <c r="FJW62" s="962">
        <f>MIN(FJW60*$C$62,'Sources and Uses Budget'!$J$99-SUM('15 Year Pro Forma'!$E$62:FJV62))</f>
        <v>0</v>
      </c>
      <c r="FJY62" s="962">
        <f>MIN(FJY60*$C$62,'Sources and Uses Budget'!$J$99-SUM('15 Year Pro Forma'!$E$62:FJX62))</f>
        <v>0</v>
      </c>
      <c r="FKA62" s="962">
        <f>MIN(FKA60*$C$62,'Sources and Uses Budget'!$J$99-SUM('15 Year Pro Forma'!$E$62:FJZ62))</f>
        <v>0</v>
      </c>
      <c r="FKC62" s="962">
        <f>MIN(FKC60*$C$62,'Sources and Uses Budget'!$J$99-SUM('15 Year Pro Forma'!$E$62:FKB62))</f>
        <v>0</v>
      </c>
      <c r="FKE62" s="962">
        <f>MIN(FKE60*$C$62,'Sources and Uses Budget'!$J$99-SUM('15 Year Pro Forma'!$E$62:FKD62))</f>
        <v>0</v>
      </c>
      <c r="FKG62" s="962">
        <f>MIN(FKG60*$C$62,'Sources and Uses Budget'!$J$99-SUM('15 Year Pro Forma'!$E$62:FKF62))</f>
        <v>0</v>
      </c>
      <c r="FKI62" s="962">
        <f>MIN(FKI60*$C$62,'Sources and Uses Budget'!$J$99-SUM('15 Year Pro Forma'!$E$62:FKH62))</f>
        <v>0</v>
      </c>
      <c r="FKK62" s="962">
        <f>MIN(FKK60*$C$62,'Sources and Uses Budget'!$J$99-SUM('15 Year Pro Forma'!$E$62:FKJ62))</f>
        <v>0</v>
      </c>
      <c r="FKM62" s="962">
        <f>MIN(FKM60*$C$62,'Sources and Uses Budget'!$J$99-SUM('15 Year Pro Forma'!$E$62:FKL62))</f>
        <v>0</v>
      </c>
      <c r="FKO62" s="962">
        <f>MIN(FKO60*$C$62,'Sources and Uses Budget'!$J$99-SUM('15 Year Pro Forma'!$E$62:FKN62))</f>
        <v>0</v>
      </c>
      <c r="FKQ62" s="962">
        <f>MIN(FKQ60*$C$62,'Sources and Uses Budget'!$J$99-SUM('15 Year Pro Forma'!$E$62:FKP62))</f>
        <v>0</v>
      </c>
      <c r="FKS62" s="962">
        <f>MIN(FKS60*$C$62,'Sources and Uses Budget'!$J$99-SUM('15 Year Pro Forma'!$E$62:FKR62))</f>
        <v>0</v>
      </c>
      <c r="FKU62" s="962">
        <f>MIN(FKU60*$C$62,'Sources and Uses Budget'!$J$99-SUM('15 Year Pro Forma'!$E$62:FKT62))</f>
        <v>0</v>
      </c>
      <c r="FKW62" s="962">
        <f>MIN(FKW60*$C$62,'Sources and Uses Budget'!$J$99-SUM('15 Year Pro Forma'!$E$62:FKV62))</f>
        <v>0</v>
      </c>
      <c r="FKY62" s="962">
        <f>MIN(FKY60*$C$62,'Sources and Uses Budget'!$J$99-SUM('15 Year Pro Forma'!$E$62:FKX62))</f>
        <v>0</v>
      </c>
      <c r="FLA62" s="962">
        <f>MIN(FLA60*$C$62,'Sources and Uses Budget'!$J$99-SUM('15 Year Pro Forma'!$E$62:FKZ62))</f>
        <v>0</v>
      </c>
      <c r="FLC62" s="962">
        <f>MIN(FLC60*$C$62,'Sources and Uses Budget'!$J$99-SUM('15 Year Pro Forma'!$E$62:FLB62))</f>
        <v>0</v>
      </c>
      <c r="FLE62" s="962">
        <f>MIN(FLE60*$C$62,'Sources and Uses Budget'!$J$99-SUM('15 Year Pro Forma'!$E$62:FLD62))</f>
        <v>0</v>
      </c>
      <c r="FLG62" s="962">
        <f>MIN(FLG60*$C$62,'Sources and Uses Budget'!$J$99-SUM('15 Year Pro Forma'!$E$62:FLF62))</f>
        <v>0</v>
      </c>
      <c r="FLI62" s="962">
        <f>MIN(FLI60*$C$62,'Sources and Uses Budget'!$J$99-SUM('15 Year Pro Forma'!$E$62:FLH62))</f>
        <v>0</v>
      </c>
      <c r="FLK62" s="962">
        <f>MIN(FLK60*$C$62,'Sources and Uses Budget'!$J$99-SUM('15 Year Pro Forma'!$E$62:FLJ62))</f>
        <v>0</v>
      </c>
      <c r="FLM62" s="962">
        <f>MIN(FLM60*$C$62,'Sources and Uses Budget'!$J$99-SUM('15 Year Pro Forma'!$E$62:FLL62))</f>
        <v>0</v>
      </c>
      <c r="FLO62" s="962">
        <f>MIN(FLO60*$C$62,'Sources and Uses Budget'!$J$99-SUM('15 Year Pro Forma'!$E$62:FLN62))</f>
        <v>0</v>
      </c>
      <c r="FLQ62" s="962">
        <f>MIN(FLQ60*$C$62,'Sources and Uses Budget'!$J$99-SUM('15 Year Pro Forma'!$E$62:FLP62))</f>
        <v>0</v>
      </c>
      <c r="FLS62" s="962">
        <f>MIN(FLS60*$C$62,'Sources and Uses Budget'!$J$99-SUM('15 Year Pro Forma'!$E$62:FLR62))</f>
        <v>0</v>
      </c>
      <c r="FLU62" s="962">
        <f>MIN(FLU60*$C$62,'Sources and Uses Budget'!$J$99-SUM('15 Year Pro Forma'!$E$62:FLT62))</f>
        <v>0</v>
      </c>
      <c r="FLW62" s="962">
        <f>MIN(FLW60*$C$62,'Sources and Uses Budget'!$J$99-SUM('15 Year Pro Forma'!$E$62:FLV62))</f>
        <v>0</v>
      </c>
      <c r="FLY62" s="962">
        <f>MIN(FLY60*$C$62,'Sources and Uses Budget'!$J$99-SUM('15 Year Pro Forma'!$E$62:FLX62))</f>
        <v>0</v>
      </c>
      <c r="FMA62" s="962">
        <f>MIN(FMA60*$C$62,'Sources and Uses Budget'!$J$99-SUM('15 Year Pro Forma'!$E$62:FLZ62))</f>
        <v>0</v>
      </c>
      <c r="FMC62" s="962">
        <f>MIN(FMC60*$C$62,'Sources and Uses Budget'!$J$99-SUM('15 Year Pro Forma'!$E$62:FMB62))</f>
        <v>0</v>
      </c>
      <c r="FME62" s="962">
        <f>MIN(FME60*$C$62,'Sources and Uses Budget'!$J$99-SUM('15 Year Pro Forma'!$E$62:FMD62))</f>
        <v>0</v>
      </c>
      <c r="FMG62" s="962">
        <f>MIN(FMG60*$C$62,'Sources and Uses Budget'!$J$99-SUM('15 Year Pro Forma'!$E$62:FMF62))</f>
        <v>0</v>
      </c>
      <c r="FMI62" s="962">
        <f>MIN(FMI60*$C$62,'Sources and Uses Budget'!$J$99-SUM('15 Year Pro Forma'!$E$62:FMH62))</f>
        <v>0</v>
      </c>
      <c r="FMK62" s="962">
        <f>MIN(FMK60*$C$62,'Sources and Uses Budget'!$J$99-SUM('15 Year Pro Forma'!$E$62:FMJ62))</f>
        <v>0</v>
      </c>
      <c r="FMM62" s="962">
        <f>MIN(FMM60*$C$62,'Sources and Uses Budget'!$J$99-SUM('15 Year Pro Forma'!$E$62:FML62))</f>
        <v>0</v>
      </c>
      <c r="FMO62" s="962">
        <f>MIN(FMO60*$C$62,'Sources and Uses Budget'!$J$99-SUM('15 Year Pro Forma'!$E$62:FMN62))</f>
        <v>0</v>
      </c>
      <c r="FMQ62" s="962">
        <f>MIN(FMQ60*$C$62,'Sources and Uses Budget'!$J$99-SUM('15 Year Pro Forma'!$E$62:FMP62))</f>
        <v>0</v>
      </c>
      <c r="FMS62" s="962">
        <f>MIN(FMS60*$C$62,'Sources and Uses Budget'!$J$99-SUM('15 Year Pro Forma'!$E$62:FMR62))</f>
        <v>0</v>
      </c>
      <c r="FMU62" s="962">
        <f>MIN(FMU60*$C$62,'Sources and Uses Budget'!$J$99-SUM('15 Year Pro Forma'!$E$62:FMT62))</f>
        <v>0</v>
      </c>
      <c r="FMW62" s="962">
        <f>MIN(FMW60*$C$62,'Sources and Uses Budget'!$J$99-SUM('15 Year Pro Forma'!$E$62:FMV62))</f>
        <v>0</v>
      </c>
      <c r="FMY62" s="962">
        <f>MIN(FMY60*$C$62,'Sources and Uses Budget'!$J$99-SUM('15 Year Pro Forma'!$E$62:FMX62))</f>
        <v>0</v>
      </c>
      <c r="FNA62" s="962">
        <f>MIN(FNA60*$C$62,'Sources and Uses Budget'!$J$99-SUM('15 Year Pro Forma'!$E$62:FMZ62))</f>
        <v>0</v>
      </c>
      <c r="FNC62" s="962">
        <f>MIN(FNC60*$C$62,'Sources and Uses Budget'!$J$99-SUM('15 Year Pro Forma'!$E$62:FNB62))</f>
        <v>0</v>
      </c>
      <c r="FNE62" s="962">
        <f>MIN(FNE60*$C$62,'Sources and Uses Budget'!$J$99-SUM('15 Year Pro Forma'!$E$62:FND62))</f>
        <v>0</v>
      </c>
      <c r="FNG62" s="962">
        <f>MIN(FNG60*$C$62,'Sources and Uses Budget'!$J$99-SUM('15 Year Pro Forma'!$E$62:FNF62))</f>
        <v>0</v>
      </c>
      <c r="FNI62" s="962">
        <f>MIN(FNI60*$C$62,'Sources and Uses Budget'!$J$99-SUM('15 Year Pro Forma'!$E$62:FNH62))</f>
        <v>0</v>
      </c>
      <c r="FNK62" s="962">
        <f>MIN(FNK60*$C$62,'Sources and Uses Budget'!$J$99-SUM('15 Year Pro Forma'!$E$62:FNJ62))</f>
        <v>0</v>
      </c>
      <c r="FNM62" s="962">
        <f>MIN(FNM60*$C$62,'Sources and Uses Budget'!$J$99-SUM('15 Year Pro Forma'!$E$62:FNL62))</f>
        <v>0</v>
      </c>
      <c r="FNO62" s="962">
        <f>MIN(FNO60*$C$62,'Sources and Uses Budget'!$J$99-SUM('15 Year Pro Forma'!$E$62:FNN62))</f>
        <v>0</v>
      </c>
      <c r="FNQ62" s="962">
        <f>MIN(FNQ60*$C$62,'Sources and Uses Budget'!$J$99-SUM('15 Year Pro Forma'!$E$62:FNP62))</f>
        <v>0</v>
      </c>
      <c r="FNS62" s="962">
        <f>MIN(FNS60*$C$62,'Sources and Uses Budget'!$J$99-SUM('15 Year Pro Forma'!$E$62:FNR62))</f>
        <v>0</v>
      </c>
      <c r="FNU62" s="962">
        <f>MIN(FNU60*$C$62,'Sources and Uses Budget'!$J$99-SUM('15 Year Pro Forma'!$E$62:FNT62))</f>
        <v>0</v>
      </c>
      <c r="FNW62" s="962">
        <f>MIN(FNW60*$C$62,'Sources and Uses Budget'!$J$99-SUM('15 Year Pro Forma'!$E$62:FNV62))</f>
        <v>0</v>
      </c>
      <c r="FNY62" s="962">
        <f>MIN(FNY60*$C$62,'Sources and Uses Budget'!$J$99-SUM('15 Year Pro Forma'!$E$62:FNX62))</f>
        <v>0</v>
      </c>
      <c r="FOA62" s="962">
        <f>MIN(FOA60*$C$62,'Sources and Uses Budget'!$J$99-SUM('15 Year Pro Forma'!$E$62:FNZ62))</f>
        <v>0</v>
      </c>
      <c r="FOC62" s="962">
        <f>MIN(FOC60*$C$62,'Sources and Uses Budget'!$J$99-SUM('15 Year Pro Forma'!$E$62:FOB62))</f>
        <v>0</v>
      </c>
      <c r="FOE62" s="962">
        <f>MIN(FOE60*$C$62,'Sources and Uses Budget'!$J$99-SUM('15 Year Pro Forma'!$E$62:FOD62))</f>
        <v>0</v>
      </c>
      <c r="FOG62" s="962">
        <f>MIN(FOG60*$C$62,'Sources and Uses Budget'!$J$99-SUM('15 Year Pro Forma'!$E$62:FOF62))</f>
        <v>0</v>
      </c>
      <c r="FOI62" s="962">
        <f>MIN(FOI60*$C$62,'Sources and Uses Budget'!$J$99-SUM('15 Year Pro Forma'!$E$62:FOH62))</f>
        <v>0</v>
      </c>
      <c r="FOK62" s="962">
        <f>MIN(FOK60*$C$62,'Sources and Uses Budget'!$J$99-SUM('15 Year Pro Forma'!$E$62:FOJ62))</f>
        <v>0</v>
      </c>
      <c r="FOM62" s="962">
        <f>MIN(FOM60*$C$62,'Sources and Uses Budget'!$J$99-SUM('15 Year Pro Forma'!$E$62:FOL62))</f>
        <v>0</v>
      </c>
      <c r="FOO62" s="962">
        <f>MIN(FOO60*$C$62,'Sources and Uses Budget'!$J$99-SUM('15 Year Pro Forma'!$E$62:FON62))</f>
        <v>0</v>
      </c>
      <c r="FOQ62" s="962">
        <f>MIN(FOQ60*$C$62,'Sources and Uses Budget'!$J$99-SUM('15 Year Pro Forma'!$E$62:FOP62))</f>
        <v>0</v>
      </c>
      <c r="FOS62" s="962">
        <f>MIN(FOS60*$C$62,'Sources and Uses Budget'!$J$99-SUM('15 Year Pro Forma'!$E$62:FOR62))</f>
        <v>0</v>
      </c>
      <c r="FOU62" s="962">
        <f>MIN(FOU60*$C$62,'Sources and Uses Budget'!$J$99-SUM('15 Year Pro Forma'!$E$62:FOT62))</f>
        <v>0</v>
      </c>
      <c r="FOW62" s="962">
        <f>MIN(FOW60*$C$62,'Sources and Uses Budget'!$J$99-SUM('15 Year Pro Forma'!$E$62:FOV62))</f>
        <v>0</v>
      </c>
      <c r="FOY62" s="962">
        <f>MIN(FOY60*$C$62,'Sources and Uses Budget'!$J$99-SUM('15 Year Pro Forma'!$E$62:FOX62))</f>
        <v>0</v>
      </c>
      <c r="FPA62" s="962">
        <f>MIN(FPA60*$C$62,'Sources and Uses Budget'!$J$99-SUM('15 Year Pro Forma'!$E$62:FOZ62))</f>
        <v>0</v>
      </c>
      <c r="FPC62" s="962">
        <f>MIN(FPC60*$C$62,'Sources and Uses Budget'!$J$99-SUM('15 Year Pro Forma'!$E$62:FPB62))</f>
        <v>0</v>
      </c>
      <c r="FPE62" s="962">
        <f>MIN(FPE60*$C$62,'Sources and Uses Budget'!$J$99-SUM('15 Year Pro Forma'!$E$62:FPD62))</f>
        <v>0</v>
      </c>
      <c r="FPG62" s="962">
        <f>MIN(FPG60*$C$62,'Sources and Uses Budget'!$J$99-SUM('15 Year Pro Forma'!$E$62:FPF62))</f>
        <v>0</v>
      </c>
      <c r="FPI62" s="962">
        <f>MIN(FPI60*$C$62,'Sources and Uses Budget'!$J$99-SUM('15 Year Pro Forma'!$E$62:FPH62))</f>
        <v>0</v>
      </c>
      <c r="FPK62" s="962">
        <f>MIN(FPK60*$C$62,'Sources and Uses Budget'!$J$99-SUM('15 Year Pro Forma'!$E$62:FPJ62))</f>
        <v>0</v>
      </c>
      <c r="FPM62" s="962">
        <f>MIN(FPM60*$C$62,'Sources and Uses Budget'!$J$99-SUM('15 Year Pro Forma'!$E$62:FPL62))</f>
        <v>0</v>
      </c>
      <c r="FPO62" s="962">
        <f>MIN(FPO60*$C$62,'Sources and Uses Budget'!$J$99-SUM('15 Year Pro Forma'!$E$62:FPN62))</f>
        <v>0</v>
      </c>
      <c r="FPQ62" s="962">
        <f>MIN(FPQ60*$C$62,'Sources and Uses Budget'!$J$99-SUM('15 Year Pro Forma'!$E$62:FPP62))</f>
        <v>0</v>
      </c>
      <c r="FPS62" s="962">
        <f>MIN(FPS60*$C$62,'Sources and Uses Budget'!$J$99-SUM('15 Year Pro Forma'!$E$62:FPR62))</f>
        <v>0</v>
      </c>
      <c r="FPU62" s="962">
        <f>MIN(FPU60*$C$62,'Sources and Uses Budget'!$J$99-SUM('15 Year Pro Forma'!$E$62:FPT62))</f>
        <v>0</v>
      </c>
      <c r="FPW62" s="962">
        <f>MIN(FPW60*$C$62,'Sources and Uses Budget'!$J$99-SUM('15 Year Pro Forma'!$E$62:FPV62))</f>
        <v>0</v>
      </c>
      <c r="FPY62" s="962">
        <f>MIN(FPY60*$C$62,'Sources and Uses Budget'!$J$99-SUM('15 Year Pro Forma'!$E$62:FPX62))</f>
        <v>0</v>
      </c>
      <c r="FQA62" s="962">
        <f>MIN(FQA60*$C$62,'Sources and Uses Budget'!$J$99-SUM('15 Year Pro Forma'!$E$62:FPZ62))</f>
        <v>0</v>
      </c>
      <c r="FQC62" s="962">
        <f>MIN(FQC60*$C$62,'Sources and Uses Budget'!$J$99-SUM('15 Year Pro Forma'!$E$62:FQB62))</f>
        <v>0</v>
      </c>
      <c r="FQE62" s="962">
        <f>MIN(FQE60*$C$62,'Sources and Uses Budget'!$J$99-SUM('15 Year Pro Forma'!$E$62:FQD62))</f>
        <v>0</v>
      </c>
      <c r="FQG62" s="962">
        <f>MIN(FQG60*$C$62,'Sources and Uses Budget'!$J$99-SUM('15 Year Pro Forma'!$E$62:FQF62))</f>
        <v>0</v>
      </c>
      <c r="FQI62" s="962">
        <f>MIN(FQI60*$C$62,'Sources and Uses Budget'!$J$99-SUM('15 Year Pro Forma'!$E$62:FQH62))</f>
        <v>0</v>
      </c>
      <c r="FQK62" s="962">
        <f>MIN(FQK60*$C$62,'Sources and Uses Budget'!$J$99-SUM('15 Year Pro Forma'!$E$62:FQJ62))</f>
        <v>0</v>
      </c>
      <c r="FQM62" s="962">
        <f>MIN(FQM60*$C$62,'Sources and Uses Budget'!$J$99-SUM('15 Year Pro Forma'!$E$62:FQL62))</f>
        <v>0</v>
      </c>
      <c r="FQO62" s="962">
        <f>MIN(FQO60*$C$62,'Sources and Uses Budget'!$J$99-SUM('15 Year Pro Forma'!$E$62:FQN62))</f>
        <v>0</v>
      </c>
      <c r="FQQ62" s="962">
        <f>MIN(FQQ60*$C$62,'Sources and Uses Budget'!$J$99-SUM('15 Year Pro Forma'!$E$62:FQP62))</f>
        <v>0</v>
      </c>
      <c r="FQS62" s="962">
        <f>MIN(FQS60*$C$62,'Sources and Uses Budget'!$J$99-SUM('15 Year Pro Forma'!$E$62:FQR62))</f>
        <v>0</v>
      </c>
      <c r="FQU62" s="962">
        <f>MIN(FQU60*$C$62,'Sources and Uses Budget'!$J$99-SUM('15 Year Pro Forma'!$E$62:FQT62))</f>
        <v>0</v>
      </c>
      <c r="FQW62" s="962">
        <f>MIN(FQW60*$C$62,'Sources and Uses Budget'!$J$99-SUM('15 Year Pro Forma'!$E$62:FQV62))</f>
        <v>0</v>
      </c>
      <c r="FQY62" s="962">
        <f>MIN(FQY60*$C$62,'Sources and Uses Budget'!$J$99-SUM('15 Year Pro Forma'!$E$62:FQX62))</f>
        <v>0</v>
      </c>
      <c r="FRA62" s="962">
        <f>MIN(FRA60*$C$62,'Sources and Uses Budget'!$J$99-SUM('15 Year Pro Forma'!$E$62:FQZ62))</f>
        <v>0</v>
      </c>
      <c r="FRC62" s="962">
        <f>MIN(FRC60*$C$62,'Sources and Uses Budget'!$J$99-SUM('15 Year Pro Forma'!$E$62:FRB62))</f>
        <v>0</v>
      </c>
      <c r="FRE62" s="962">
        <f>MIN(FRE60*$C$62,'Sources and Uses Budget'!$J$99-SUM('15 Year Pro Forma'!$E$62:FRD62))</f>
        <v>0</v>
      </c>
      <c r="FRG62" s="962">
        <f>MIN(FRG60*$C$62,'Sources and Uses Budget'!$J$99-SUM('15 Year Pro Forma'!$E$62:FRF62))</f>
        <v>0</v>
      </c>
      <c r="FRI62" s="962">
        <f>MIN(FRI60*$C$62,'Sources and Uses Budget'!$J$99-SUM('15 Year Pro Forma'!$E$62:FRH62))</f>
        <v>0</v>
      </c>
      <c r="FRK62" s="962">
        <f>MIN(FRK60*$C$62,'Sources and Uses Budget'!$J$99-SUM('15 Year Pro Forma'!$E$62:FRJ62))</f>
        <v>0</v>
      </c>
      <c r="FRM62" s="962">
        <f>MIN(FRM60*$C$62,'Sources and Uses Budget'!$J$99-SUM('15 Year Pro Forma'!$E$62:FRL62))</f>
        <v>0</v>
      </c>
      <c r="FRO62" s="962">
        <f>MIN(FRO60*$C$62,'Sources and Uses Budget'!$J$99-SUM('15 Year Pro Forma'!$E$62:FRN62))</f>
        <v>0</v>
      </c>
      <c r="FRQ62" s="962">
        <f>MIN(FRQ60*$C$62,'Sources and Uses Budget'!$J$99-SUM('15 Year Pro Forma'!$E$62:FRP62))</f>
        <v>0</v>
      </c>
      <c r="FRS62" s="962">
        <f>MIN(FRS60*$C$62,'Sources and Uses Budget'!$J$99-SUM('15 Year Pro Forma'!$E$62:FRR62))</f>
        <v>0</v>
      </c>
      <c r="FRU62" s="962">
        <f>MIN(FRU60*$C$62,'Sources and Uses Budget'!$J$99-SUM('15 Year Pro Forma'!$E$62:FRT62))</f>
        <v>0</v>
      </c>
      <c r="FRW62" s="962">
        <f>MIN(FRW60*$C$62,'Sources and Uses Budget'!$J$99-SUM('15 Year Pro Forma'!$E$62:FRV62))</f>
        <v>0</v>
      </c>
      <c r="FRY62" s="962">
        <f>MIN(FRY60*$C$62,'Sources and Uses Budget'!$J$99-SUM('15 Year Pro Forma'!$E$62:FRX62))</f>
        <v>0</v>
      </c>
      <c r="FSA62" s="962">
        <f>MIN(FSA60*$C$62,'Sources and Uses Budget'!$J$99-SUM('15 Year Pro Forma'!$E$62:FRZ62))</f>
        <v>0</v>
      </c>
      <c r="FSC62" s="962">
        <f>MIN(FSC60*$C$62,'Sources and Uses Budget'!$J$99-SUM('15 Year Pro Forma'!$E$62:FSB62))</f>
        <v>0</v>
      </c>
      <c r="FSE62" s="962">
        <f>MIN(FSE60*$C$62,'Sources and Uses Budget'!$J$99-SUM('15 Year Pro Forma'!$E$62:FSD62))</f>
        <v>0</v>
      </c>
      <c r="FSG62" s="962">
        <f>MIN(FSG60*$C$62,'Sources and Uses Budget'!$J$99-SUM('15 Year Pro Forma'!$E$62:FSF62))</f>
        <v>0</v>
      </c>
      <c r="FSI62" s="962">
        <f>MIN(FSI60*$C$62,'Sources and Uses Budget'!$J$99-SUM('15 Year Pro Forma'!$E$62:FSH62))</f>
        <v>0</v>
      </c>
      <c r="FSK62" s="962">
        <f>MIN(FSK60*$C$62,'Sources and Uses Budget'!$J$99-SUM('15 Year Pro Forma'!$E$62:FSJ62))</f>
        <v>0</v>
      </c>
      <c r="FSM62" s="962">
        <f>MIN(FSM60*$C$62,'Sources and Uses Budget'!$J$99-SUM('15 Year Pro Forma'!$E$62:FSL62))</f>
        <v>0</v>
      </c>
      <c r="FSO62" s="962">
        <f>MIN(FSO60*$C$62,'Sources and Uses Budget'!$J$99-SUM('15 Year Pro Forma'!$E$62:FSN62))</f>
        <v>0</v>
      </c>
      <c r="FSQ62" s="962">
        <f>MIN(FSQ60*$C$62,'Sources and Uses Budget'!$J$99-SUM('15 Year Pro Forma'!$E$62:FSP62))</f>
        <v>0</v>
      </c>
      <c r="FSS62" s="962">
        <f>MIN(FSS60*$C$62,'Sources and Uses Budget'!$J$99-SUM('15 Year Pro Forma'!$E$62:FSR62))</f>
        <v>0</v>
      </c>
      <c r="FSU62" s="962">
        <f>MIN(FSU60*$C$62,'Sources and Uses Budget'!$J$99-SUM('15 Year Pro Forma'!$E$62:FST62))</f>
        <v>0</v>
      </c>
      <c r="FSW62" s="962">
        <f>MIN(FSW60*$C$62,'Sources and Uses Budget'!$J$99-SUM('15 Year Pro Forma'!$E$62:FSV62))</f>
        <v>0</v>
      </c>
      <c r="FSY62" s="962">
        <f>MIN(FSY60*$C$62,'Sources and Uses Budget'!$J$99-SUM('15 Year Pro Forma'!$E$62:FSX62))</f>
        <v>0</v>
      </c>
      <c r="FTA62" s="962">
        <f>MIN(FTA60*$C$62,'Sources and Uses Budget'!$J$99-SUM('15 Year Pro Forma'!$E$62:FSZ62))</f>
        <v>0</v>
      </c>
      <c r="FTC62" s="962">
        <f>MIN(FTC60*$C$62,'Sources and Uses Budget'!$J$99-SUM('15 Year Pro Forma'!$E$62:FTB62))</f>
        <v>0</v>
      </c>
      <c r="FTE62" s="962">
        <f>MIN(FTE60*$C$62,'Sources and Uses Budget'!$J$99-SUM('15 Year Pro Forma'!$E$62:FTD62))</f>
        <v>0</v>
      </c>
      <c r="FTG62" s="962">
        <f>MIN(FTG60*$C$62,'Sources and Uses Budget'!$J$99-SUM('15 Year Pro Forma'!$E$62:FTF62))</f>
        <v>0</v>
      </c>
      <c r="FTI62" s="962">
        <f>MIN(FTI60*$C$62,'Sources and Uses Budget'!$J$99-SUM('15 Year Pro Forma'!$E$62:FTH62))</f>
        <v>0</v>
      </c>
      <c r="FTK62" s="962">
        <f>MIN(FTK60*$C$62,'Sources and Uses Budget'!$J$99-SUM('15 Year Pro Forma'!$E$62:FTJ62))</f>
        <v>0</v>
      </c>
      <c r="FTM62" s="962">
        <f>MIN(FTM60*$C$62,'Sources and Uses Budget'!$J$99-SUM('15 Year Pro Forma'!$E$62:FTL62))</f>
        <v>0</v>
      </c>
      <c r="FTO62" s="962">
        <f>MIN(FTO60*$C$62,'Sources and Uses Budget'!$J$99-SUM('15 Year Pro Forma'!$E$62:FTN62))</f>
        <v>0</v>
      </c>
      <c r="FTQ62" s="962">
        <f>MIN(FTQ60*$C$62,'Sources and Uses Budget'!$J$99-SUM('15 Year Pro Forma'!$E$62:FTP62))</f>
        <v>0</v>
      </c>
      <c r="FTS62" s="962">
        <f>MIN(FTS60*$C$62,'Sources and Uses Budget'!$J$99-SUM('15 Year Pro Forma'!$E$62:FTR62))</f>
        <v>0</v>
      </c>
      <c r="FTU62" s="962">
        <f>MIN(FTU60*$C$62,'Sources and Uses Budget'!$J$99-SUM('15 Year Pro Forma'!$E$62:FTT62))</f>
        <v>0</v>
      </c>
      <c r="FTW62" s="962">
        <f>MIN(FTW60*$C$62,'Sources and Uses Budget'!$J$99-SUM('15 Year Pro Forma'!$E$62:FTV62))</f>
        <v>0</v>
      </c>
      <c r="FTY62" s="962">
        <f>MIN(FTY60*$C$62,'Sources and Uses Budget'!$J$99-SUM('15 Year Pro Forma'!$E$62:FTX62))</f>
        <v>0</v>
      </c>
      <c r="FUA62" s="962">
        <f>MIN(FUA60*$C$62,'Sources and Uses Budget'!$J$99-SUM('15 Year Pro Forma'!$E$62:FTZ62))</f>
        <v>0</v>
      </c>
      <c r="FUC62" s="962">
        <f>MIN(FUC60*$C$62,'Sources and Uses Budget'!$J$99-SUM('15 Year Pro Forma'!$E$62:FUB62))</f>
        <v>0</v>
      </c>
      <c r="FUE62" s="962">
        <f>MIN(FUE60*$C$62,'Sources and Uses Budget'!$J$99-SUM('15 Year Pro Forma'!$E$62:FUD62))</f>
        <v>0</v>
      </c>
      <c r="FUG62" s="962">
        <f>MIN(FUG60*$C$62,'Sources and Uses Budget'!$J$99-SUM('15 Year Pro Forma'!$E$62:FUF62))</f>
        <v>0</v>
      </c>
      <c r="FUI62" s="962">
        <f>MIN(FUI60*$C$62,'Sources and Uses Budget'!$J$99-SUM('15 Year Pro Forma'!$E$62:FUH62))</f>
        <v>0</v>
      </c>
      <c r="FUK62" s="962">
        <f>MIN(FUK60*$C$62,'Sources and Uses Budget'!$J$99-SUM('15 Year Pro Forma'!$E$62:FUJ62))</f>
        <v>0</v>
      </c>
      <c r="FUM62" s="962">
        <f>MIN(FUM60*$C$62,'Sources and Uses Budget'!$J$99-SUM('15 Year Pro Forma'!$E$62:FUL62))</f>
        <v>0</v>
      </c>
      <c r="FUO62" s="962">
        <f>MIN(FUO60*$C$62,'Sources and Uses Budget'!$J$99-SUM('15 Year Pro Forma'!$E$62:FUN62))</f>
        <v>0</v>
      </c>
      <c r="FUQ62" s="962">
        <f>MIN(FUQ60*$C$62,'Sources and Uses Budget'!$J$99-SUM('15 Year Pro Forma'!$E$62:FUP62))</f>
        <v>0</v>
      </c>
      <c r="FUS62" s="962">
        <f>MIN(FUS60*$C$62,'Sources and Uses Budget'!$J$99-SUM('15 Year Pro Forma'!$E$62:FUR62))</f>
        <v>0</v>
      </c>
      <c r="FUU62" s="962">
        <f>MIN(FUU60*$C$62,'Sources and Uses Budget'!$J$99-SUM('15 Year Pro Forma'!$E$62:FUT62))</f>
        <v>0</v>
      </c>
      <c r="FUW62" s="962">
        <f>MIN(FUW60*$C$62,'Sources and Uses Budget'!$J$99-SUM('15 Year Pro Forma'!$E$62:FUV62))</f>
        <v>0</v>
      </c>
      <c r="FUY62" s="962">
        <f>MIN(FUY60*$C$62,'Sources and Uses Budget'!$J$99-SUM('15 Year Pro Forma'!$E$62:FUX62))</f>
        <v>0</v>
      </c>
      <c r="FVA62" s="962">
        <f>MIN(FVA60*$C$62,'Sources and Uses Budget'!$J$99-SUM('15 Year Pro Forma'!$E$62:FUZ62))</f>
        <v>0</v>
      </c>
      <c r="FVC62" s="962">
        <f>MIN(FVC60*$C$62,'Sources and Uses Budget'!$J$99-SUM('15 Year Pro Forma'!$E$62:FVB62))</f>
        <v>0</v>
      </c>
      <c r="FVE62" s="962">
        <f>MIN(FVE60*$C$62,'Sources and Uses Budget'!$J$99-SUM('15 Year Pro Forma'!$E$62:FVD62))</f>
        <v>0</v>
      </c>
      <c r="FVG62" s="962">
        <f>MIN(FVG60*$C$62,'Sources and Uses Budget'!$J$99-SUM('15 Year Pro Forma'!$E$62:FVF62))</f>
        <v>0</v>
      </c>
      <c r="FVI62" s="962">
        <f>MIN(FVI60*$C$62,'Sources and Uses Budget'!$J$99-SUM('15 Year Pro Forma'!$E$62:FVH62))</f>
        <v>0</v>
      </c>
      <c r="FVK62" s="962">
        <f>MIN(FVK60*$C$62,'Sources and Uses Budget'!$J$99-SUM('15 Year Pro Forma'!$E$62:FVJ62))</f>
        <v>0</v>
      </c>
      <c r="FVM62" s="962">
        <f>MIN(FVM60*$C$62,'Sources and Uses Budget'!$J$99-SUM('15 Year Pro Forma'!$E$62:FVL62))</f>
        <v>0</v>
      </c>
      <c r="FVO62" s="962">
        <f>MIN(FVO60*$C$62,'Sources and Uses Budget'!$J$99-SUM('15 Year Pro Forma'!$E$62:FVN62))</f>
        <v>0</v>
      </c>
      <c r="FVQ62" s="962">
        <f>MIN(FVQ60*$C$62,'Sources and Uses Budget'!$J$99-SUM('15 Year Pro Forma'!$E$62:FVP62))</f>
        <v>0</v>
      </c>
      <c r="FVS62" s="962">
        <f>MIN(FVS60*$C$62,'Sources and Uses Budget'!$J$99-SUM('15 Year Pro Forma'!$E$62:FVR62))</f>
        <v>0</v>
      </c>
      <c r="FVU62" s="962">
        <f>MIN(FVU60*$C$62,'Sources and Uses Budget'!$J$99-SUM('15 Year Pro Forma'!$E$62:FVT62))</f>
        <v>0</v>
      </c>
      <c r="FVW62" s="962">
        <f>MIN(FVW60*$C$62,'Sources and Uses Budget'!$J$99-SUM('15 Year Pro Forma'!$E$62:FVV62))</f>
        <v>0</v>
      </c>
      <c r="FVY62" s="962">
        <f>MIN(FVY60*$C$62,'Sources and Uses Budget'!$J$99-SUM('15 Year Pro Forma'!$E$62:FVX62))</f>
        <v>0</v>
      </c>
      <c r="FWA62" s="962">
        <f>MIN(FWA60*$C$62,'Sources and Uses Budget'!$J$99-SUM('15 Year Pro Forma'!$E$62:FVZ62))</f>
        <v>0</v>
      </c>
      <c r="FWC62" s="962">
        <f>MIN(FWC60*$C$62,'Sources and Uses Budget'!$J$99-SUM('15 Year Pro Forma'!$E$62:FWB62))</f>
        <v>0</v>
      </c>
      <c r="FWE62" s="962">
        <f>MIN(FWE60*$C$62,'Sources and Uses Budget'!$J$99-SUM('15 Year Pro Forma'!$E$62:FWD62))</f>
        <v>0</v>
      </c>
      <c r="FWG62" s="962">
        <f>MIN(FWG60*$C$62,'Sources and Uses Budget'!$J$99-SUM('15 Year Pro Forma'!$E$62:FWF62))</f>
        <v>0</v>
      </c>
      <c r="FWI62" s="962">
        <f>MIN(FWI60*$C$62,'Sources and Uses Budget'!$J$99-SUM('15 Year Pro Forma'!$E$62:FWH62))</f>
        <v>0</v>
      </c>
      <c r="FWK62" s="962">
        <f>MIN(FWK60*$C$62,'Sources and Uses Budget'!$J$99-SUM('15 Year Pro Forma'!$E$62:FWJ62))</f>
        <v>0</v>
      </c>
      <c r="FWM62" s="962">
        <f>MIN(FWM60*$C$62,'Sources and Uses Budget'!$J$99-SUM('15 Year Pro Forma'!$E$62:FWL62))</f>
        <v>0</v>
      </c>
      <c r="FWO62" s="962">
        <f>MIN(FWO60*$C$62,'Sources and Uses Budget'!$J$99-SUM('15 Year Pro Forma'!$E$62:FWN62))</f>
        <v>0</v>
      </c>
      <c r="FWQ62" s="962">
        <f>MIN(FWQ60*$C$62,'Sources and Uses Budget'!$J$99-SUM('15 Year Pro Forma'!$E$62:FWP62))</f>
        <v>0</v>
      </c>
      <c r="FWS62" s="962">
        <f>MIN(FWS60*$C$62,'Sources and Uses Budget'!$J$99-SUM('15 Year Pro Forma'!$E$62:FWR62))</f>
        <v>0</v>
      </c>
      <c r="FWU62" s="962">
        <f>MIN(FWU60*$C$62,'Sources and Uses Budget'!$J$99-SUM('15 Year Pro Forma'!$E$62:FWT62))</f>
        <v>0</v>
      </c>
      <c r="FWW62" s="962">
        <f>MIN(FWW60*$C$62,'Sources and Uses Budget'!$J$99-SUM('15 Year Pro Forma'!$E$62:FWV62))</f>
        <v>0</v>
      </c>
      <c r="FWY62" s="962">
        <f>MIN(FWY60*$C$62,'Sources and Uses Budget'!$J$99-SUM('15 Year Pro Forma'!$E$62:FWX62))</f>
        <v>0</v>
      </c>
      <c r="FXA62" s="962">
        <f>MIN(FXA60*$C$62,'Sources and Uses Budget'!$J$99-SUM('15 Year Pro Forma'!$E$62:FWZ62))</f>
        <v>0</v>
      </c>
      <c r="FXC62" s="962">
        <f>MIN(FXC60*$C$62,'Sources and Uses Budget'!$J$99-SUM('15 Year Pro Forma'!$E$62:FXB62))</f>
        <v>0</v>
      </c>
      <c r="FXE62" s="962">
        <f>MIN(FXE60*$C$62,'Sources and Uses Budget'!$J$99-SUM('15 Year Pro Forma'!$E$62:FXD62))</f>
        <v>0</v>
      </c>
      <c r="FXG62" s="962">
        <f>MIN(FXG60*$C$62,'Sources and Uses Budget'!$J$99-SUM('15 Year Pro Forma'!$E$62:FXF62))</f>
        <v>0</v>
      </c>
      <c r="FXI62" s="962">
        <f>MIN(FXI60*$C$62,'Sources and Uses Budget'!$J$99-SUM('15 Year Pro Forma'!$E$62:FXH62))</f>
        <v>0</v>
      </c>
      <c r="FXK62" s="962">
        <f>MIN(FXK60*$C$62,'Sources and Uses Budget'!$J$99-SUM('15 Year Pro Forma'!$E$62:FXJ62))</f>
        <v>0</v>
      </c>
      <c r="FXM62" s="962">
        <f>MIN(FXM60*$C$62,'Sources and Uses Budget'!$J$99-SUM('15 Year Pro Forma'!$E$62:FXL62))</f>
        <v>0</v>
      </c>
      <c r="FXO62" s="962">
        <f>MIN(FXO60*$C$62,'Sources and Uses Budget'!$J$99-SUM('15 Year Pro Forma'!$E$62:FXN62))</f>
        <v>0</v>
      </c>
      <c r="FXQ62" s="962">
        <f>MIN(FXQ60*$C$62,'Sources and Uses Budget'!$J$99-SUM('15 Year Pro Forma'!$E$62:FXP62))</f>
        <v>0</v>
      </c>
      <c r="FXS62" s="962">
        <f>MIN(FXS60*$C$62,'Sources and Uses Budget'!$J$99-SUM('15 Year Pro Forma'!$E$62:FXR62))</f>
        <v>0</v>
      </c>
      <c r="FXU62" s="962">
        <f>MIN(FXU60*$C$62,'Sources and Uses Budget'!$J$99-SUM('15 Year Pro Forma'!$E$62:FXT62))</f>
        <v>0</v>
      </c>
      <c r="FXW62" s="962">
        <f>MIN(FXW60*$C$62,'Sources and Uses Budget'!$J$99-SUM('15 Year Pro Forma'!$E$62:FXV62))</f>
        <v>0</v>
      </c>
      <c r="FXY62" s="962">
        <f>MIN(FXY60*$C$62,'Sources and Uses Budget'!$J$99-SUM('15 Year Pro Forma'!$E$62:FXX62))</f>
        <v>0</v>
      </c>
      <c r="FYA62" s="962">
        <f>MIN(FYA60*$C$62,'Sources and Uses Budget'!$J$99-SUM('15 Year Pro Forma'!$E$62:FXZ62))</f>
        <v>0</v>
      </c>
      <c r="FYC62" s="962">
        <f>MIN(FYC60*$C$62,'Sources and Uses Budget'!$J$99-SUM('15 Year Pro Forma'!$E$62:FYB62))</f>
        <v>0</v>
      </c>
      <c r="FYE62" s="962">
        <f>MIN(FYE60*$C$62,'Sources and Uses Budget'!$J$99-SUM('15 Year Pro Forma'!$E$62:FYD62))</f>
        <v>0</v>
      </c>
      <c r="FYG62" s="962">
        <f>MIN(FYG60*$C$62,'Sources and Uses Budget'!$J$99-SUM('15 Year Pro Forma'!$E$62:FYF62))</f>
        <v>0</v>
      </c>
      <c r="FYI62" s="962">
        <f>MIN(FYI60*$C$62,'Sources and Uses Budget'!$J$99-SUM('15 Year Pro Forma'!$E$62:FYH62))</f>
        <v>0</v>
      </c>
      <c r="FYK62" s="962">
        <f>MIN(FYK60*$C$62,'Sources and Uses Budget'!$J$99-SUM('15 Year Pro Forma'!$E$62:FYJ62))</f>
        <v>0</v>
      </c>
      <c r="FYM62" s="962">
        <f>MIN(FYM60*$C$62,'Sources and Uses Budget'!$J$99-SUM('15 Year Pro Forma'!$E$62:FYL62))</f>
        <v>0</v>
      </c>
      <c r="FYO62" s="962">
        <f>MIN(FYO60*$C$62,'Sources and Uses Budget'!$J$99-SUM('15 Year Pro Forma'!$E$62:FYN62))</f>
        <v>0</v>
      </c>
      <c r="FYQ62" s="962">
        <f>MIN(FYQ60*$C$62,'Sources and Uses Budget'!$J$99-SUM('15 Year Pro Forma'!$E$62:FYP62))</f>
        <v>0</v>
      </c>
      <c r="FYS62" s="962">
        <f>MIN(FYS60*$C$62,'Sources and Uses Budget'!$J$99-SUM('15 Year Pro Forma'!$E$62:FYR62))</f>
        <v>0</v>
      </c>
      <c r="FYU62" s="962">
        <f>MIN(FYU60*$C$62,'Sources and Uses Budget'!$J$99-SUM('15 Year Pro Forma'!$E$62:FYT62))</f>
        <v>0</v>
      </c>
      <c r="FYW62" s="962">
        <f>MIN(FYW60*$C$62,'Sources and Uses Budget'!$J$99-SUM('15 Year Pro Forma'!$E$62:FYV62))</f>
        <v>0</v>
      </c>
      <c r="FYY62" s="962">
        <f>MIN(FYY60*$C$62,'Sources and Uses Budget'!$J$99-SUM('15 Year Pro Forma'!$E$62:FYX62))</f>
        <v>0</v>
      </c>
      <c r="FZA62" s="962">
        <f>MIN(FZA60*$C$62,'Sources and Uses Budget'!$J$99-SUM('15 Year Pro Forma'!$E$62:FYZ62))</f>
        <v>0</v>
      </c>
      <c r="FZC62" s="962">
        <f>MIN(FZC60*$C$62,'Sources and Uses Budget'!$J$99-SUM('15 Year Pro Forma'!$E$62:FZB62))</f>
        <v>0</v>
      </c>
      <c r="FZE62" s="962">
        <f>MIN(FZE60*$C$62,'Sources and Uses Budget'!$J$99-SUM('15 Year Pro Forma'!$E$62:FZD62))</f>
        <v>0</v>
      </c>
      <c r="FZG62" s="962">
        <f>MIN(FZG60*$C$62,'Sources and Uses Budget'!$J$99-SUM('15 Year Pro Forma'!$E$62:FZF62))</f>
        <v>0</v>
      </c>
      <c r="FZI62" s="962">
        <f>MIN(FZI60*$C$62,'Sources and Uses Budget'!$J$99-SUM('15 Year Pro Forma'!$E$62:FZH62))</f>
        <v>0</v>
      </c>
      <c r="FZK62" s="962">
        <f>MIN(FZK60*$C$62,'Sources and Uses Budget'!$J$99-SUM('15 Year Pro Forma'!$E$62:FZJ62))</f>
        <v>0</v>
      </c>
      <c r="FZM62" s="962">
        <f>MIN(FZM60*$C$62,'Sources and Uses Budget'!$J$99-SUM('15 Year Pro Forma'!$E$62:FZL62))</f>
        <v>0</v>
      </c>
      <c r="FZO62" s="962">
        <f>MIN(FZO60*$C$62,'Sources and Uses Budget'!$J$99-SUM('15 Year Pro Forma'!$E$62:FZN62))</f>
        <v>0</v>
      </c>
      <c r="FZQ62" s="962">
        <f>MIN(FZQ60*$C$62,'Sources and Uses Budget'!$J$99-SUM('15 Year Pro Forma'!$E$62:FZP62))</f>
        <v>0</v>
      </c>
      <c r="FZS62" s="962">
        <f>MIN(FZS60*$C$62,'Sources and Uses Budget'!$J$99-SUM('15 Year Pro Forma'!$E$62:FZR62))</f>
        <v>0</v>
      </c>
      <c r="FZU62" s="962">
        <f>MIN(FZU60*$C$62,'Sources and Uses Budget'!$J$99-SUM('15 Year Pro Forma'!$E$62:FZT62))</f>
        <v>0</v>
      </c>
      <c r="FZW62" s="962">
        <f>MIN(FZW60*$C$62,'Sources and Uses Budget'!$J$99-SUM('15 Year Pro Forma'!$E$62:FZV62))</f>
        <v>0</v>
      </c>
      <c r="FZY62" s="962">
        <f>MIN(FZY60*$C$62,'Sources and Uses Budget'!$J$99-SUM('15 Year Pro Forma'!$E$62:FZX62))</f>
        <v>0</v>
      </c>
      <c r="GAA62" s="962">
        <f>MIN(GAA60*$C$62,'Sources and Uses Budget'!$J$99-SUM('15 Year Pro Forma'!$E$62:FZZ62))</f>
        <v>0</v>
      </c>
      <c r="GAC62" s="962">
        <f>MIN(GAC60*$C$62,'Sources and Uses Budget'!$J$99-SUM('15 Year Pro Forma'!$E$62:GAB62))</f>
        <v>0</v>
      </c>
      <c r="GAE62" s="962">
        <f>MIN(GAE60*$C$62,'Sources and Uses Budget'!$J$99-SUM('15 Year Pro Forma'!$E$62:GAD62))</f>
        <v>0</v>
      </c>
      <c r="GAG62" s="962">
        <f>MIN(GAG60*$C$62,'Sources and Uses Budget'!$J$99-SUM('15 Year Pro Forma'!$E$62:GAF62))</f>
        <v>0</v>
      </c>
      <c r="GAI62" s="962">
        <f>MIN(GAI60*$C$62,'Sources and Uses Budget'!$J$99-SUM('15 Year Pro Forma'!$E$62:GAH62))</f>
        <v>0</v>
      </c>
      <c r="GAK62" s="962">
        <f>MIN(GAK60*$C$62,'Sources and Uses Budget'!$J$99-SUM('15 Year Pro Forma'!$E$62:GAJ62))</f>
        <v>0</v>
      </c>
      <c r="GAM62" s="962">
        <f>MIN(GAM60*$C$62,'Sources and Uses Budget'!$J$99-SUM('15 Year Pro Forma'!$E$62:GAL62))</f>
        <v>0</v>
      </c>
      <c r="GAO62" s="962">
        <f>MIN(GAO60*$C$62,'Sources and Uses Budget'!$J$99-SUM('15 Year Pro Forma'!$E$62:GAN62))</f>
        <v>0</v>
      </c>
      <c r="GAQ62" s="962">
        <f>MIN(GAQ60*$C$62,'Sources and Uses Budget'!$J$99-SUM('15 Year Pro Forma'!$E$62:GAP62))</f>
        <v>0</v>
      </c>
      <c r="GAS62" s="962">
        <f>MIN(GAS60*$C$62,'Sources and Uses Budget'!$J$99-SUM('15 Year Pro Forma'!$E$62:GAR62))</f>
        <v>0</v>
      </c>
      <c r="GAU62" s="962">
        <f>MIN(GAU60*$C$62,'Sources and Uses Budget'!$J$99-SUM('15 Year Pro Forma'!$E$62:GAT62))</f>
        <v>0</v>
      </c>
      <c r="GAW62" s="962">
        <f>MIN(GAW60*$C$62,'Sources and Uses Budget'!$J$99-SUM('15 Year Pro Forma'!$E$62:GAV62))</f>
        <v>0</v>
      </c>
      <c r="GAY62" s="962">
        <f>MIN(GAY60*$C$62,'Sources and Uses Budget'!$J$99-SUM('15 Year Pro Forma'!$E$62:GAX62))</f>
        <v>0</v>
      </c>
      <c r="GBA62" s="962">
        <f>MIN(GBA60*$C$62,'Sources and Uses Budget'!$J$99-SUM('15 Year Pro Forma'!$E$62:GAZ62))</f>
        <v>0</v>
      </c>
      <c r="GBC62" s="962">
        <f>MIN(GBC60*$C$62,'Sources and Uses Budget'!$J$99-SUM('15 Year Pro Forma'!$E$62:GBB62))</f>
        <v>0</v>
      </c>
      <c r="GBE62" s="962">
        <f>MIN(GBE60*$C$62,'Sources and Uses Budget'!$J$99-SUM('15 Year Pro Forma'!$E$62:GBD62))</f>
        <v>0</v>
      </c>
      <c r="GBG62" s="962">
        <f>MIN(GBG60*$C$62,'Sources and Uses Budget'!$J$99-SUM('15 Year Pro Forma'!$E$62:GBF62))</f>
        <v>0</v>
      </c>
      <c r="GBI62" s="962">
        <f>MIN(GBI60*$C$62,'Sources and Uses Budget'!$J$99-SUM('15 Year Pro Forma'!$E$62:GBH62))</f>
        <v>0</v>
      </c>
      <c r="GBK62" s="962">
        <f>MIN(GBK60*$C$62,'Sources and Uses Budget'!$J$99-SUM('15 Year Pro Forma'!$E$62:GBJ62))</f>
        <v>0</v>
      </c>
      <c r="GBM62" s="962">
        <f>MIN(GBM60*$C$62,'Sources and Uses Budget'!$J$99-SUM('15 Year Pro Forma'!$E$62:GBL62))</f>
        <v>0</v>
      </c>
      <c r="GBO62" s="962">
        <f>MIN(GBO60*$C$62,'Sources and Uses Budget'!$J$99-SUM('15 Year Pro Forma'!$E$62:GBN62))</f>
        <v>0</v>
      </c>
      <c r="GBQ62" s="962">
        <f>MIN(GBQ60*$C$62,'Sources and Uses Budget'!$J$99-SUM('15 Year Pro Forma'!$E$62:GBP62))</f>
        <v>0</v>
      </c>
      <c r="GBS62" s="962">
        <f>MIN(GBS60*$C$62,'Sources and Uses Budget'!$J$99-SUM('15 Year Pro Forma'!$E$62:GBR62))</f>
        <v>0</v>
      </c>
      <c r="GBU62" s="962">
        <f>MIN(GBU60*$C$62,'Sources and Uses Budget'!$J$99-SUM('15 Year Pro Forma'!$E$62:GBT62))</f>
        <v>0</v>
      </c>
      <c r="GBW62" s="962">
        <f>MIN(GBW60*$C$62,'Sources and Uses Budget'!$J$99-SUM('15 Year Pro Forma'!$E$62:GBV62))</f>
        <v>0</v>
      </c>
      <c r="GBY62" s="962">
        <f>MIN(GBY60*$C$62,'Sources and Uses Budget'!$J$99-SUM('15 Year Pro Forma'!$E$62:GBX62))</f>
        <v>0</v>
      </c>
      <c r="GCA62" s="962">
        <f>MIN(GCA60*$C$62,'Sources and Uses Budget'!$J$99-SUM('15 Year Pro Forma'!$E$62:GBZ62))</f>
        <v>0</v>
      </c>
      <c r="GCC62" s="962">
        <f>MIN(GCC60*$C$62,'Sources and Uses Budget'!$J$99-SUM('15 Year Pro Forma'!$E$62:GCB62))</f>
        <v>0</v>
      </c>
      <c r="GCE62" s="962">
        <f>MIN(GCE60*$C$62,'Sources and Uses Budget'!$J$99-SUM('15 Year Pro Forma'!$E$62:GCD62))</f>
        <v>0</v>
      </c>
      <c r="GCG62" s="962">
        <f>MIN(GCG60*$C$62,'Sources and Uses Budget'!$J$99-SUM('15 Year Pro Forma'!$E$62:GCF62))</f>
        <v>0</v>
      </c>
      <c r="GCI62" s="962">
        <f>MIN(GCI60*$C$62,'Sources and Uses Budget'!$J$99-SUM('15 Year Pro Forma'!$E$62:GCH62))</f>
        <v>0</v>
      </c>
      <c r="GCK62" s="962">
        <f>MIN(GCK60*$C$62,'Sources and Uses Budget'!$J$99-SUM('15 Year Pro Forma'!$E$62:GCJ62))</f>
        <v>0</v>
      </c>
      <c r="GCM62" s="962">
        <f>MIN(GCM60*$C$62,'Sources and Uses Budget'!$J$99-SUM('15 Year Pro Forma'!$E$62:GCL62))</f>
        <v>0</v>
      </c>
      <c r="GCO62" s="962">
        <f>MIN(GCO60*$C$62,'Sources and Uses Budget'!$J$99-SUM('15 Year Pro Forma'!$E$62:GCN62))</f>
        <v>0</v>
      </c>
      <c r="GCQ62" s="962">
        <f>MIN(GCQ60*$C$62,'Sources and Uses Budget'!$J$99-SUM('15 Year Pro Forma'!$E$62:GCP62))</f>
        <v>0</v>
      </c>
      <c r="GCS62" s="962">
        <f>MIN(GCS60*$C$62,'Sources and Uses Budget'!$J$99-SUM('15 Year Pro Forma'!$E$62:GCR62))</f>
        <v>0</v>
      </c>
      <c r="GCU62" s="962">
        <f>MIN(GCU60*$C$62,'Sources and Uses Budget'!$J$99-SUM('15 Year Pro Forma'!$E$62:GCT62))</f>
        <v>0</v>
      </c>
      <c r="GCW62" s="962">
        <f>MIN(GCW60*$C$62,'Sources and Uses Budget'!$J$99-SUM('15 Year Pro Forma'!$E$62:GCV62))</f>
        <v>0</v>
      </c>
      <c r="GCY62" s="962">
        <f>MIN(GCY60*$C$62,'Sources and Uses Budget'!$J$99-SUM('15 Year Pro Forma'!$E$62:GCX62))</f>
        <v>0</v>
      </c>
      <c r="GDA62" s="962">
        <f>MIN(GDA60*$C$62,'Sources and Uses Budget'!$J$99-SUM('15 Year Pro Forma'!$E$62:GCZ62))</f>
        <v>0</v>
      </c>
      <c r="GDC62" s="962">
        <f>MIN(GDC60*$C$62,'Sources and Uses Budget'!$J$99-SUM('15 Year Pro Forma'!$E$62:GDB62))</f>
        <v>0</v>
      </c>
      <c r="GDE62" s="962">
        <f>MIN(GDE60*$C$62,'Sources and Uses Budget'!$J$99-SUM('15 Year Pro Forma'!$E$62:GDD62))</f>
        <v>0</v>
      </c>
      <c r="GDG62" s="962">
        <f>MIN(GDG60*$C$62,'Sources and Uses Budget'!$J$99-SUM('15 Year Pro Forma'!$E$62:GDF62))</f>
        <v>0</v>
      </c>
      <c r="GDI62" s="962">
        <f>MIN(GDI60*$C$62,'Sources and Uses Budget'!$J$99-SUM('15 Year Pro Forma'!$E$62:GDH62))</f>
        <v>0</v>
      </c>
      <c r="GDK62" s="962">
        <f>MIN(GDK60*$C$62,'Sources and Uses Budget'!$J$99-SUM('15 Year Pro Forma'!$E$62:GDJ62))</f>
        <v>0</v>
      </c>
      <c r="GDM62" s="962">
        <f>MIN(GDM60*$C$62,'Sources and Uses Budget'!$J$99-SUM('15 Year Pro Forma'!$E$62:GDL62))</f>
        <v>0</v>
      </c>
      <c r="GDO62" s="962">
        <f>MIN(GDO60*$C$62,'Sources and Uses Budget'!$J$99-SUM('15 Year Pro Forma'!$E$62:GDN62))</f>
        <v>0</v>
      </c>
      <c r="GDQ62" s="962">
        <f>MIN(GDQ60*$C$62,'Sources and Uses Budget'!$J$99-SUM('15 Year Pro Forma'!$E$62:GDP62))</f>
        <v>0</v>
      </c>
      <c r="GDS62" s="962">
        <f>MIN(GDS60*$C$62,'Sources and Uses Budget'!$J$99-SUM('15 Year Pro Forma'!$E$62:GDR62))</f>
        <v>0</v>
      </c>
      <c r="GDU62" s="962">
        <f>MIN(GDU60*$C$62,'Sources and Uses Budget'!$J$99-SUM('15 Year Pro Forma'!$E$62:GDT62))</f>
        <v>0</v>
      </c>
      <c r="GDW62" s="962">
        <f>MIN(GDW60*$C$62,'Sources and Uses Budget'!$J$99-SUM('15 Year Pro Forma'!$E$62:GDV62))</f>
        <v>0</v>
      </c>
      <c r="GDY62" s="962">
        <f>MIN(GDY60*$C$62,'Sources and Uses Budget'!$J$99-SUM('15 Year Pro Forma'!$E$62:GDX62))</f>
        <v>0</v>
      </c>
      <c r="GEA62" s="962">
        <f>MIN(GEA60*$C$62,'Sources and Uses Budget'!$J$99-SUM('15 Year Pro Forma'!$E$62:GDZ62))</f>
        <v>0</v>
      </c>
      <c r="GEC62" s="962">
        <f>MIN(GEC60*$C$62,'Sources and Uses Budget'!$J$99-SUM('15 Year Pro Forma'!$E$62:GEB62))</f>
        <v>0</v>
      </c>
      <c r="GEE62" s="962">
        <f>MIN(GEE60*$C$62,'Sources and Uses Budget'!$J$99-SUM('15 Year Pro Forma'!$E$62:GED62))</f>
        <v>0</v>
      </c>
      <c r="GEG62" s="962">
        <f>MIN(GEG60*$C$62,'Sources and Uses Budget'!$J$99-SUM('15 Year Pro Forma'!$E$62:GEF62))</f>
        <v>0</v>
      </c>
      <c r="GEI62" s="962">
        <f>MIN(GEI60*$C$62,'Sources and Uses Budget'!$J$99-SUM('15 Year Pro Forma'!$E$62:GEH62))</f>
        <v>0</v>
      </c>
      <c r="GEK62" s="962">
        <f>MIN(GEK60*$C$62,'Sources and Uses Budget'!$J$99-SUM('15 Year Pro Forma'!$E$62:GEJ62))</f>
        <v>0</v>
      </c>
      <c r="GEM62" s="962">
        <f>MIN(GEM60*$C$62,'Sources and Uses Budget'!$J$99-SUM('15 Year Pro Forma'!$E$62:GEL62))</f>
        <v>0</v>
      </c>
      <c r="GEO62" s="962">
        <f>MIN(GEO60*$C$62,'Sources and Uses Budget'!$J$99-SUM('15 Year Pro Forma'!$E$62:GEN62))</f>
        <v>0</v>
      </c>
      <c r="GEQ62" s="962">
        <f>MIN(GEQ60*$C$62,'Sources and Uses Budget'!$J$99-SUM('15 Year Pro Forma'!$E$62:GEP62))</f>
        <v>0</v>
      </c>
      <c r="GES62" s="962">
        <f>MIN(GES60*$C$62,'Sources and Uses Budget'!$J$99-SUM('15 Year Pro Forma'!$E$62:GER62))</f>
        <v>0</v>
      </c>
      <c r="GEU62" s="962">
        <f>MIN(GEU60*$C$62,'Sources and Uses Budget'!$J$99-SUM('15 Year Pro Forma'!$E$62:GET62))</f>
        <v>0</v>
      </c>
      <c r="GEW62" s="962">
        <f>MIN(GEW60*$C$62,'Sources and Uses Budget'!$J$99-SUM('15 Year Pro Forma'!$E$62:GEV62))</f>
        <v>0</v>
      </c>
      <c r="GEY62" s="962">
        <f>MIN(GEY60*$C$62,'Sources and Uses Budget'!$J$99-SUM('15 Year Pro Forma'!$E$62:GEX62))</f>
        <v>0</v>
      </c>
      <c r="GFA62" s="962">
        <f>MIN(GFA60*$C$62,'Sources and Uses Budget'!$J$99-SUM('15 Year Pro Forma'!$E$62:GEZ62))</f>
        <v>0</v>
      </c>
      <c r="GFC62" s="962">
        <f>MIN(GFC60*$C$62,'Sources and Uses Budget'!$J$99-SUM('15 Year Pro Forma'!$E$62:GFB62))</f>
        <v>0</v>
      </c>
      <c r="GFE62" s="962">
        <f>MIN(GFE60*$C$62,'Sources and Uses Budget'!$J$99-SUM('15 Year Pro Forma'!$E$62:GFD62))</f>
        <v>0</v>
      </c>
      <c r="GFG62" s="962">
        <f>MIN(GFG60*$C$62,'Sources and Uses Budget'!$J$99-SUM('15 Year Pro Forma'!$E$62:GFF62))</f>
        <v>0</v>
      </c>
      <c r="GFI62" s="962">
        <f>MIN(GFI60*$C$62,'Sources and Uses Budget'!$J$99-SUM('15 Year Pro Forma'!$E$62:GFH62))</f>
        <v>0</v>
      </c>
      <c r="GFK62" s="962">
        <f>MIN(GFK60*$C$62,'Sources and Uses Budget'!$J$99-SUM('15 Year Pro Forma'!$E$62:GFJ62))</f>
        <v>0</v>
      </c>
      <c r="GFM62" s="962">
        <f>MIN(GFM60*$C$62,'Sources and Uses Budget'!$J$99-SUM('15 Year Pro Forma'!$E$62:GFL62))</f>
        <v>0</v>
      </c>
      <c r="GFO62" s="962">
        <f>MIN(GFO60*$C$62,'Sources and Uses Budget'!$J$99-SUM('15 Year Pro Forma'!$E$62:GFN62))</f>
        <v>0</v>
      </c>
      <c r="GFQ62" s="962">
        <f>MIN(GFQ60*$C$62,'Sources and Uses Budget'!$J$99-SUM('15 Year Pro Forma'!$E$62:GFP62))</f>
        <v>0</v>
      </c>
      <c r="GFS62" s="962">
        <f>MIN(GFS60*$C$62,'Sources and Uses Budget'!$J$99-SUM('15 Year Pro Forma'!$E$62:GFR62))</f>
        <v>0</v>
      </c>
      <c r="GFU62" s="962">
        <f>MIN(GFU60*$C$62,'Sources and Uses Budget'!$J$99-SUM('15 Year Pro Forma'!$E$62:GFT62))</f>
        <v>0</v>
      </c>
      <c r="GFW62" s="962">
        <f>MIN(GFW60*$C$62,'Sources and Uses Budget'!$J$99-SUM('15 Year Pro Forma'!$E$62:GFV62))</f>
        <v>0</v>
      </c>
      <c r="GFY62" s="962">
        <f>MIN(GFY60*$C$62,'Sources and Uses Budget'!$J$99-SUM('15 Year Pro Forma'!$E$62:GFX62))</f>
        <v>0</v>
      </c>
      <c r="GGA62" s="962">
        <f>MIN(GGA60*$C$62,'Sources and Uses Budget'!$J$99-SUM('15 Year Pro Forma'!$E$62:GFZ62))</f>
        <v>0</v>
      </c>
      <c r="GGC62" s="962">
        <f>MIN(GGC60*$C$62,'Sources and Uses Budget'!$J$99-SUM('15 Year Pro Forma'!$E$62:GGB62))</f>
        <v>0</v>
      </c>
      <c r="GGE62" s="962">
        <f>MIN(GGE60*$C$62,'Sources and Uses Budget'!$J$99-SUM('15 Year Pro Forma'!$E$62:GGD62))</f>
        <v>0</v>
      </c>
      <c r="GGG62" s="962">
        <f>MIN(GGG60*$C$62,'Sources and Uses Budget'!$J$99-SUM('15 Year Pro Forma'!$E$62:GGF62))</f>
        <v>0</v>
      </c>
      <c r="GGI62" s="962">
        <f>MIN(GGI60*$C$62,'Sources and Uses Budget'!$J$99-SUM('15 Year Pro Forma'!$E$62:GGH62))</f>
        <v>0</v>
      </c>
      <c r="GGK62" s="962">
        <f>MIN(GGK60*$C$62,'Sources and Uses Budget'!$J$99-SUM('15 Year Pro Forma'!$E$62:GGJ62))</f>
        <v>0</v>
      </c>
      <c r="GGM62" s="962">
        <f>MIN(GGM60*$C$62,'Sources and Uses Budget'!$J$99-SUM('15 Year Pro Forma'!$E$62:GGL62))</f>
        <v>0</v>
      </c>
      <c r="GGO62" s="962">
        <f>MIN(GGO60*$C$62,'Sources and Uses Budget'!$J$99-SUM('15 Year Pro Forma'!$E$62:GGN62))</f>
        <v>0</v>
      </c>
      <c r="GGQ62" s="962">
        <f>MIN(GGQ60*$C$62,'Sources and Uses Budget'!$J$99-SUM('15 Year Pro Forma'!$E$62:GGP62))</f>
        <v>0</v>
      </c>
      <c r="GGS62" s="962">
        <f>MIN(GGS60*$C$62,'Sources and Uses Budget'!$J$99-SUM('15 Year Pro Forma'!$E$62:GGR62))</f>
        <v>0</v>
      </c>
      <c r="GGU62" s="962">
        <f>MIN(GGU60*$C$62,'Sources and Uses Budget'!$J$99-SUM('15 Year Pro Forma'!$E$62:GGT62))</f>
        <v>0</v>
      </c>
      <c r="GGW62" s="962">
        <f>MIN(GGW60*$C$62,'Sources and Uses Budget'!$J$99-SUM('15 Year Pro Forma'!$E$62:GGV62))</f>
        <v>0</v>
      </c>
      <c r="GGY62" s="962">
        <f>MIN(GGY60*$C$62,'Sources and Uses Budget'!$J$99-SUM('15 Year Pro Forma'!$E$62:GGX62))</f>
        <v>0</v>
      </c>
      <c r="GHA62" s="962">
        <f>MIN(GHA60*$C$62,'Sources and Uses Budget'!$J$99-SUM('15 Year Pro Forma'!$E$62:GGZ62))</f>
        <v>0</v>
      </c>
      <c r="GHC62" s="962">
        <f>MIN(GHC60*$C$62,'Sources and Uses Budget'!$J$99-SUM('15 Year Pro Forma'!$E$62:GHB62))</f>
        <v>0</v>
      </c>
      <c r="GHE62" s="962">
        <f>MIN(GHE60*$C$62,'Sources and Uses Budget'!$J$99-SUM('15 Year Pro Forma'!$E$62:GHD62))</f>
        <v>0</v>
      </c>
      <c r="GHG62" s="962">
        <f>MIN(GHG60*$C$62,'Sources and Uses Budget'!$J$99-SUM('15 Year Pro Forma'!$E$62:GHF62))</f>
        <v>0</v>
      </c>
      <c r="GHI62" s="962">
        <f>MIN(GHI60*$C$62,'Sources and Uses Budget'!$J$99-SUM('15 Year Pro Forma'!$E$62:GHH62))</f>
        <v>0</v>
      </c>
      <c r="GHK62" s="962">
        <f>MIN(GHK60*$C$62,'Sources and Uses Budget'!$J$99-SUM('15 Year Pro Forma'!$E$62:GHJ62))</f>
        <v>0</v>
      </c>
      <c r="GHM62" s="962">
        <f>MIN(GHM60*$C$62,'Sources and Uses Budget'!$J$99-SUM('15 Year Pro Forma'!$E$62:GHL62))</f>
        <v>0</v>
      </c>
      <c r="GHO62" s="962">
        <f>MIN(GHO60*$C$62,'Sources and Uses Budget'!$J$99-SUM('15 Year Pro Forma'!$E$62:GHN62))</f>
        <v>0</v>
      </c>
      <c r="GHQ62" s="962">
        <f>MIN(GHQ60*$C$62,'Sources and Uses Budget'!$J$99-SUM('15 Year Pro Forma'!$E$62:GHP62))</f>
        <v>0</v>
      </c>
      <c r="GHS62" s="962">
        <f>MIN(GHS60*$C$62,'Sources and Uses Budget'!$J$99-SUM('15 Year Pro Forma'!$E$62:GHR62))</f>
        <v>0</v>
      </c>
      <c r="GHU62" s="962">
        <f>MIN(GHU60*$C$62,'Sources and Uses Budget'!$J$99-SUM('15 Year Pro Forma'!$E$62:GHT62))</f>
        <v>0</v>
      </c>
      <c r="GHW62" s="962">
        <f>MIN(GHW60*$C$62,'Sources and Uses Budget'!$J$99-SUM('15 Year Pro Forma'!$E$62:GHV62))</f>
        <v>0</v>
      </c>
      <c r="GHY62" s="962">
        <f>MIN(GHY60*$C$62,'Sources and Uses Budget'!$J$99-SUM('15 Year Pro Forma'!$E$62:GHX62))</f>
        <v>0</v>
      </c>
      <c r="GIA62" s="962">
        <f>MIN(GIA60*$C$62,'Sources and Uses Budget'!$J$99-SUM('15 Year Pro Forma'!$E$62:GHZ62))</f>
        <v>0</v>
      </c>
      <c r="GIC62" s="962">
        <f>MIN(GIC60*$C$62,'Sources and Uses Budget'!$J$99-SUM('15 Year Pro Forma'!$E$62:GIB62))</f>
        <v>0</v>
      </c>
      <c r="GIE62" s="962">
        <f>MIN(GIE60*$C$62,'Sources and Uses Budget'!$J$99-SUM('15 Year Pro Forma'!$E$62:GID62))</f>
        <v>0</v>
      </c>
      <c r="GIG62" s="962">
        <f>MIN(GIG60*$C$62,'Sources and Uses Budget'!$J$99-SUM('15 Year Pro Forma'!$E$62:GIF62))</f>
        <v>0</v>
      </c>
      <c r="GII62" s="962">
        <f>MIN(GII60*$C$62,'Sources and Uses Budget'!$J$99-SUM('15 Year Pro Forma'!$E$62:GIH62))</f>
        <v>0</v>
      </c>
      <c r="GIK62" s="962">
        <f>MIN(GIK60*$C$62,'Sources and Uses Budget'!$J$99-SUM('15 Year Pro Forma'!$E$62:GIJ62))</f>
        <v>0</v>
      </c>
      <c r="GIM62" s="962">
        <f>MIN(GIM60*$C$62,'Sources and Uses Budget'!$J$99-SUM('15 Year Pro Forma'!$E$62:GIL62))</f>
        <v>0</v>
      </c>
      <c r="GIO62" s="962">
        <f>MIN(GIO60*$C$62,'Sources and Uses Budget'!$J$99-SUM('15 Year Pro Forma'!$E$62:GIN62))</f>
        <v>0</v>
      </c>
      <c r="GIQ62" s="962">
        <f>MIN(GIQ60*$C$62,'Sources and Uses Budget'!$J$99-SUM('15 Year Pro Forma'!$E$62:GIP62))</f>
        <v>0</v>
      </c>
      <c r="GIS62" s="962">
        <f>MIN(GIS60*$C$62,'Sources and Uses Budget'!$J$99-SUM('15 Year Pro Forma'!$E$62:GIR62))</f>
        <v>0</v>
      </c>
      <c r="GIU62" s="962">
        <f>MIN(GIU60*$C$62,'Sources and Uses Budget'!$J$99-SUM('15 Year Pro Forma'!$E$62:GIT62))</f>
        <v>0</v>
      </c>
      <c r="GIW62" s="962">
        <f>MIN(GIW60*$C$62,'Sources and Uses Budget'!$J$99-SUM('15 Year Pro Forma'!$E$62:GIV62))</f>
        <v>0</v>
      </c>
      <c r="GIY62" s="962">
        <f>MIN(GIY60*$C$62,'Sources and Uses Budget'!$J$99-SUM('15 Year Pro Forma'!$E$62:GIX62))</f>
        <v>0</v>
      </c>
      <c r="GJA62" s="962">
        <f>MIN(GJA60*$C$62,'Sources and Uses Budget'!$J$99-SUM('15 Year Pro Forma'!$E$62:GIZ62))</f>
        <v>0</v>
      </c>
      <c r="GJC62" s="962">
        <f>MIN(GJC60*$C$62,'Sources and Uses Budget'!$J$99-SUM('15 Year Pro Forma'!$E$62:GJB62))</f>
        <v>0</v>
      </c>
      <c r="GJE62" s="962">
        <f>MIN(GJE60*$C$62,'Sources and Uses Budget'!$J$99-SUM('15 Year Pro Forma'!$E$62:GJD62))</f>
        <v>0</v>
      </c>
      <c r="GJG62" s="962">
        <f>MIN(GJG60*$C$62,'Sources and Uses Budget'!$J$99-SUM('15 Year Pro Forma'!$E$62:GJF62))</f>
        <v>0</v>
      </c>
      <c r="GJI62" s="962">
        <f>MIN(GJI60*$C$62,'Sources and Uses Budget'!$J$99-SUM('15 Year Pro Forma'!$E$62:GJH62))</f>
        <v>0</v>
      </c>
      <c r="GJK62" s="962">
        <f>MIN(GJK60*$C$62,'Sources and Uses Budget'!$J$99-SUM('15 Year Pro Forma'!$E$62:GJJ62))</f>
        <v>0</v>
      </c>
      <c r="GJM62" s="962">
        <f>MIN(GJM60*$C$62,'Sources and Uses Budget'!$J$99-SUM('15 Year Pro Forma'!$E$62:GJL62))</f>
        <v>0</v>
      </c>
      <c r="GJO62" s="962">
        <f>MIN(GJO60*$C$62,'Sources and Uses Budget'!$J$99-SUM('15 Year Pro Forma'!$E$62:GJN62))</f>
        <v>0</v>
      </c>
      <c r="GJQ62" s="962">
        <f>MIN(GJQ60*$C$62,'Sources and Uses Budget'!$J$99-SUM('15 Year Pro Forma'!$E$62:GJP62))</f>
        <v>0</v>
      </c>
      <c r="GJS62" s="962">
        <f>MIN(GJS60*$C$62,'Sources and Uses Budget'!$J$99-SUM('15 Year Pro Forma'!$E$62:GJR62))</f>
        <v>0</v>
      </c>
      <c r="GJU62" s="962">
        <f>MIN(GJU60*$C$62,'Sources and Uses Budget'!$J$99-SUM('15 Year Pro Forma'!$E$62:GJT62))</f>
        <v>0</v>
      </c>
      <c r="GJW62" s="962">
        <f>MIN(GJW60*$C$62,'Sources and Uses Budget'!$J$99-SUM('15 Year Pro Forma'!$E$62:GJV62))</f>
        <v>0</v>
      </c>
      <c r="GJY62" s="962">
        <f>MIN(GJY60*$C$62,'Sources and Uses Budget'!$J$99-SUM('15 Year Pro Forma'!$E$62:GJX62))</f>
        <v>0</v>
      </c>
      <c r="GKA62" s="962">
        <f>MIN(GKA60*$C$62,'Sources and Uses Budget'!$J$99-SUM('15 Year Pro Forma'!$E$62:GJZ62))</f>
        <v>0</v>
      </c>
      <c r="GKC62" s="962">
        <f>MIN(GKC60*$C$62,'Sources and Uses Budget'!$J$99-SUM('15 Year Pro Forma'!$E$62:GKB62))</f>
        <v>0</v>
      </c>
      <c r="GKE62" s="962">
        <f>MIN(GKE60*$C$62,'Sources and Uses Budget'!$J$99-SUM('15 Year Pro Forma'!$E$62:GKD62))</f>
        <v>0</v>
      </c>
      <c r="GKG62" s="962">
        <f>MIN(GKG60*$C$62,'Sources and Uses Budget'!$J$99-SUM('15 Year Pro Forma'!$E$62:GKF62))</f>
        <v>0</v>
      </c>
      <c r="GKI62" s="962">
        <f>MIN(GKI60*$C$62,'Sources and Uses Budget'!$J$99-SUM('15 Year Pro Forma'!$E$62:GKH62))</f>
        <v>0</v>
      </c>
      <c r="GKK62" s="962">
        <f>MIN(GKK60*$C$62,'Sources and Uses Budget'!$J$99-SUM('15 Year Pro Forma'!$E$62:GKJ62))</f>
        <v>0</v>
      </c>
      <c r="GKM62" s="962">
        <f>MIN(GKM60*$C$62,'Sources and Uses Budget'!$J$99-SUM('15 Year Pro Forma'!$E$62:GKL62))</f>
        <v>0</v>
      </c>
      <c r="GKO62" s="962">
        <f>MIN(GKO60*$C$62,'Sources and Uses Budget'!$J$99-SUM('15 Year Pro Forma'!$E$62:GKN62))</f>
        <v>0</v>
      </c>
      <c r="GKQ62" s="962">
        <f>MIN(GKQ60*$C$62,'Sources and Uses Budget'!$J$99-SUM('15 Year Pro Forma'!$E$62:GKP62))</f>
        <v>0</v>
      </c>
      <c r="GKS62" s="962">
        <f>MIN(GKS60*$C$62,'Sources and Uses Budget'!$J$99-SUM('15 Year Pro Forma'!$E$62:GKR62))</f>
        <v>0</v>
      </c>
      <c r="GKU62" s="962">
        <f>MIN(GKU60*$C$62,'Sources and Uses Budget'!$J$99-SUM('15 Year Pro Forma'!$E$62:GKT62))</f>
        <v>0</v>
      </c>
      <c r="GKW62" s="962">
        <f>MIN(GKW60*$C$62,'Sources and Uses Budget'!$J$99-SUM('15 Year Pro Forma'!$E$62:GKV62))</f>
        <v>0</v>
      </c>
      <c r="GKY62" s="962">
        <f>MIN(GKY60*$C$62,'Sources and Uses Budget'!$J$99-SUM('15 Year Pro Forma'!$E$62:GKX62))</f>
        <v>0</v>
      </c>
      <c r="GLA62" s="962">
        <f>MIN(GLA60*$C$62,'Sources and Uses Budget'!$J$99-SUM('15 Year Pro Forma'!$E$62:GKZ62))</f>
        <v>0</v>
      </c>
      <c r="GLC62" s="962">
        <f>MIN(GLC60*$C$62,'Sources and Uses Budget'!$J$99-SUM('15 Year Pro Forma'!$E$62:GLB62))</f>
        <v>0</v>
      </c>
      <c r="GLE62" s="962">
        <f>MIN(GLE60*$C$62,'Sources and Uses Budget'!$J$99-SUM('15 Year Pro Forma'!$E$62:GLD62))</f>
        <v>0</v>
      </c>
      <c r="GLG62" s="962">
        <f>MIN(GLG60*$C$62,'Sources and Uses Budget'!$J$99-SUM('15 Year Pro Forma'!$E$62:GLF62))</f>
        <v>0</v>
      </c>
      <c r="GLI62" s="962">
        <f>MIN(GLI60*$C$62,'Sources and Uses Budget'!$J$99-SUM('15 Year Pro Forma'!$E$62:GLH62))</f>
        <v>0</v>
      </c>
      <c r="GLK62" s="962">
        <f>MIN(GLK60*$C$62,'Sources and Uses Budget'!$J$99-SUM('15 Year Pro Forma'!$E$62:GLJ62))</f>
        <v>0</v>
      </c>
      <c r="GLM62" s="962">
        <f>MIN(GLM60*$C$62,'Sources and Uses Budget'!$J$99-SUM('15 Year Pro Forma'!$E$62:GLL62))</f>
        <v>0</v>
      </c>
      <c r="GLO62" s="962">
        <f>MIN(GLO60*$C$62,'Sources and Uses Budget'!$J$99-SUM('15 Year Pro Forma'!$E$62:GLN62))</f>
        <v>0</v>
      </c>
      <c r="GLQ62" s="962">
        <f>MIN(GLQ60*$C$62,'Sources and Uses Budget'!$J$99-SUM('15 Year Pro Forma'!$E$62:GLP62))</f>
        <v>0</v>
      </c>
      <c r="GLS62" s="962">
        <f>MIN(GLS60*$C$62,'Sources and Uses Budget'!$J$99-SUM('15 Year Pro Forma'!$E$62:GLR62))</f>
        <v>0</v>
      </c>
      <c r="GLU62" s="962">
        <f>MIN(GLU60*$C$62,'Sources and Uses Budget'!$J$99-SUM('15 Year Pro Forma'!$E$62:GLT62))</f>
        <v>0</v>
      </c>
      <c r="GLW62" s="962">
        <f>MIN(GLW60*$C$62,'Sources and Uses Budget'!$J$99-SUM('15 Year Pro Forma'!$E$62:GLV62))</f>
        <v>0</v>
      </c>
      <c r="GLY62" s="962">
        <f>MIN(GLY60*$C$62,'Sources and Uses Budget'!$J$99-SUM('15 Year Pro Forma'!$E$62:GLX62))</f>
        <v>0</v>
      </c>
      <c r="GMA62" s="962">
        <f>MIN(GMA60*$C$62,'Sources and Uses Budget'!$J$99-SUM('15 Year Pro Forma'!$E$62:GLZ62))</f>
        <v>0</v>
      </c>
      <c r="GMC62" s="962">
        <f>MIN(GMC60*$C$62,'Sources and Uses Budget'!$J$99-SUM('15 Year Pro Forma'!$E$62:GMB62))</f>
        <v>0</v>
      </c>
      <c r="GME62" s="962">
        <f>MIN(GME60*$C$62,'Sources and Uses Budget'!$J$99-SUM('15 Year Pro Forma'!$E$62:GMD62))</f>
        <v>0</v>
      </c>
      <c r="GMG62" s="962">
        <f>MIN(GMG60*$C$62,'Sources and Uses Budget'!$J$99-SUM('15 Year Pro Forma'!$E$62:GMF62))</f>
        <v>0</v>
      </c>
      <c r="GMI62" s="962">
        <f>MIN(GMI60*$C$62,'Sources and Uses Budget'!$J$99-SUM('15 Year Pro Forma'!$E$62:GMH62))</f>
        <v>0</v>
      </c>
      <c r="GMK62" s="962">
        <f>MIN(GMK60*$C$62,'Sources and Uses Budget'!$J$99-SUM('15 Year Pro Forma'!$E$62:GMJ62))</f>
        <v>0</v>
      </c>
      <c r="GMM62" s="962">
        <f>MIN(GMM60*$C$62,'Sources and Uses Budget'!$J$99-SUM('15 Year Pro Forma'!$E$62:GML62))</f>
        <v>0</v>
      </c>
      <c r="GMO62" s="962">
        <f>MIN(GMO60*$C$62,'Sources and Uses Budget'!$J$99-SUM('15 Year Pro Forma'!$E$62:GMN62))</f>
        <v>0</v>
      </c>
      <c r="GMQ62" s="962">
        <f>MIN(GMQ60*$C$62,'Sources and Uses Budget'!$J$99-SUM('15 Year Pro Forma'!$E$62:GMP62))</f>
        <v>0</v>
      </c>
      <c r="GMS62" s="962">
        <f>MIN(GMS60*$C$62,'Sources and Uses Budget'!$J$99-SUM('15 Year Pro Forma'!$E$62:GMR62))</f>
        <v>0</v>
      </c>
      <c r="GMU62" s="962">
        <f>MIN(GMU60*$C$62,'Sources and Uses Budget'!$J$99-SUM('15 Year Pro Forma'!$E$62:GMT62))</f>
        <v>0</v>
      </c>
      <c r="GMW62" s="962">
        <f>MIN(GMW60*$C$62,'Sources and Uses Budget'!$J$99-SUM('15 Year Pro Forma'!$E$62:GMV62))</f>
        <v>0</v>
      </c>
      <c r="GMY62" s="962">
        <f>MIN(GMY60*$C$62,'Sources and Uses Budget'!$J$99-SUM('15 Year Pro Forma'!$E$62:GMX62))</f>
        <v>0</v>
      </c>
      <c r="GNA62" s="962">
        <f>MIN(GNA60*$C$62,'Sources and Uses Budget'!$J$99-SUM('15 Year Pro Forma'!$E$62:GMZ62))</f>
        <v>0</v>
      </c>
      <c r="GNC62" s="962">
        <f>MIN(GNC60*$C$62,'Sources and Uses Budget'!$J$99-SUM('15 Year Pro Forma'!$E$62:GNB62))</f>
        <v>0</v>
      </c>
      <c r="GNE62" s="962">
        <f>MIN(GNE60*$C$62,'Sources and Uses Budget'!$J$99-SUM('15 Year Pro Forma'!$E$62:GND62))</f>
        <v>0</v>
      </c>
      <c r="GNG62" s="962">
        <f>MIN(GNG60*$C$62,'Sources and Uses Budget'!$J$99-SUM('15 Year Pro Forma'!$E$62:GNF62))</f>
        <v>0</v>
      </c>
      <c r="GNI62" s="962">
        <f>MIN(GNI60*$C$62,'Sources and Uses Budget'!$J$99-SUM('15 Year Pro Forma'!$E$62:GNH62))</f>
        <v>0</v>
      </c>
      <c r="GNK62" s="962">
        <f>MIN(GNK60*$C$62,'Sources and Uses Budget'!$J$99-SUM('15 Year Pro Forma'!$E$62:GNJ62))</f>
        <v>0</v>
      </c>
      <c r="GNM62" s="962">
        <f>MIN(GNM60*$C$62,'Sources and Uses Budget'!$J$99-SUM('15 Year Pro Forma'!$E$62:GNL62))</f>
        <v>0</v>
      </c>
      <c r="GNO62" s="962">
        <f>MIN(GNO60*$C$62,'Sources and Uses Budget'!$J$99-SUM('15 Year Pro Forma'!$E$62:GNN62))</f>
        <v>0</v>
      </c>
      <c r="GNQ62" s="962">
        <f>MIN(GNQ60*$C$62,'Sources and Uses Budget'!$J$99-SUM('15 Year Pro Forma'!$E$62:GNP62))</f>
        <v>0</v>
      </c>
      <c r="GNS62" s="962">
        <f>MIN(GNS60*$C$62,'Sources and Uses Budget'!$J$99-SUM('15 Year Pro Forma'!$E$62:GNR62))</f>
        <v>0</v>
      </c>
      <c r="GNU62" s="962">
        <f>MIN(GNU60*$C$62,'Sources and Uses Budget'!$J$99-SUM('15 Year Pro Forma'!$E$62:GNT62))</f>
        <v>0</v>
      </c>
      <c r="GNW62" s="962">
        <f>MIN(GNW60*$C$62,'Sources and Uses Budget'!$J$99-SUM('15 Year Pro Forma'!$E$62:GNV62))</f>
        <v>0</v>
      </c>
      <c r="GNY62" s="962">
        <f>MIN(GNY60*$C$62,'Sources and Uses Budget'!$J$99-SUM('15 Year Pro Forma'!$E$62:GNX62))</f>
        <v>0</v>
      </c>
      <c r="GOA62" s="962">
        <f>MIN(GOA60*$C$62,'Sources and Uses Budget'!$J$99-SUM('15 Year Pro Forma'!$E$62:GNZ62))</f>
        <v>0</v>
      </c>
      <c r="GOC62" s="962">
        <f>MIN(GOC60*$C$62,'Sources and Uses Budget'!$J$99-SUM('15 Year Pro Forma'!$E$62:GOB62))</f>
        <v>0</v>
      </c>
      <c r="GOE62" s="962">
        <f>MIN(GOE60*$C$62,'Sources and Uses Budget'!$J$99-SUM('15 Year Pro Forma'!$E$62:GOD62))</f>
        <v>0</v>
      </c>
      <c r="GOG62" s="962">
        <f>MIN(GOG60*$C$62,'Sources and Uses Budget'!$J$99-SUM('15 Year Pro Forma'!$E$62:GOF62))</f>
        <v>0</v>
      </c>
      <c r="GOI62" s="962">
        <f>MIN(GOI60*$C$62,'Sources and Uses Budget'!$J$99-SUM('15 Year Pro Forma'!$E$62:GOH62))</f>
        <v>0</v>
      </c>
      <c r="GOK62" s="962">
        <f>MIN(GOK60*$C$62,'Sources and Uses Budget'!$J$99-SUM('15 Year Pro Forma'!$E$62:GOJ62))</f>
        <v>0</v>
      </c>
      <c r="GOM62" s="962">
        <f>MIN(GOM60*$C$62,'Sources and Uses Budget'!$J$99-SUM('15 Year Pro Forma'!$E$62:GOL62))</f>
        <v>0</v>
      </c>
      <c r="GOO62" s="962">
        <f>MIN(GOO60*$C$62,'Sources and Uses Budget'!$J$99-SUM('15 Year Pro Forma'!$E$62:GON62))</f>
        <v>0</v>
      </c>
      <c r="GOQ62" s="962">
        <f>MIN(GOQ60*$C$62,'Sources and Uses Budget'!$J$99-SUM('15 Year Pro Forma'!$E$62:GOP62))</f>
        <v>0</v>
      </c>
      <c r="GOS62" s="962">
        <f>MIN(GOS60*$C$62,'Sources and Uses Budget'!$J$99-SUM('15 Year Pro Forma'!$E$62:GOR62))</f>
        <v>0</v>
      </c>
      <c r="GOU62" s="962">
        <f>MIN(GOU60*$C$62,'Sources and Uses Budget'!$J$99-SUM('15 Year Pro Forma'!$E$62:GOT62))</f>
        <v>0</v>
      </c>
      <c r="GOW62" s="962">
        <f>MIN(GOW60*$C$62,'Sources and Uses Budget'!$J$99-SUM('15 Year Pro Forma'!$E$62:GOV62))</f>
        <v>0</v>
      </c>
      <c r="GOY62" s="962">
        <f>MIN(GOY60*$C$62,'Sources and Uses Budget'!$J$99-SUM('15 Year Pro Forma'!$E$62:GOX62))</f>
        <v>0</v>
      </c>
      <c r="GPA62" s="962">
        <f>MIN(GPA60*$C$62,'Sources and Uses Budget'!$J$99-SUM('15 Year Pro Forma'!$E$62:GOZ62))</f>
        <v>0</v>
      </c>
      <c r="GPC62" s="962">
        <f>MIN(GPC60*$C$62,'Sources and Uses Budget'!$J$99-SUM('15 Year Pro Forma'!$E$62:GPB62))</f>
        <v>0</v>
      </c>
      <c r="GPE62" s="962">
        <f>MIN(GPE60*$C$62,'Sources and Uses Budget'!$J$99-SUM('15 Year Pro Forma'!$E$62:GPD62))</f>
        <v>0</v>
      </c>
      <c r="GPG62" s="962">
        <f>MIN(GPG60*$C$62,'Sources and Uses Budget'!$J$99-SUM('15 Year Pro Forma'!$E$62:GPF62))</f>
        <v>0</v>
      </c>
      <c r="GPI62" s="962">
        <f>MIN(GPI60*$C$62,'Sources and Uses Budget'!$J$99-SUM('15 Year Pro Forma'!$E$62:GPH62))</f>
        <v>0</v>
      </c>
      <c r="GPK62" s="962">
        <f>MIN(GPK60*$C$62,'Sources and Uses Budget'!$J$99-SUM('15 Year Pro Forma'!$E$62:GPJ62))</f>
        <v>0</v>
      </c>
      <c r="GPM62" s="962">
        <f>MIN(GPM60*$C$62,'Sources and Uses Budget'!$J$99-SUM('15 Year Pro Forma'!$E$62:GPL62))</f>
        <v>0</v>
      </c>
      <c r="GPO62" s="962">
        <f>MIN(GPO60*$C$62,'Sources and Uses Budget'!$J$99-SUM('15 Year Pro Forma'!$E$62:GPN62))</f>
        <v>0</v>
      </c>
      <c r="GPQ62" s="962">
        <f>MIN(GPQ60*$C$62,'Sources and Uses Budget'!$J$99-SUM('15 Year Pro Forma'!$E$62:GPP62))</f>
        <v>0</v>
      </c>
      <c r="GPS62" s="962">
        <f>MIN(GPS60*$C$62,'Sources and Uses Budget'!$J$99-SUM('15 Year Pro Forma'!$E$62:GPR62))</f>
        <v>0</v>
      </c>
      <c r="GPU62" s="962">
        <f>MIN(GPU60*$C$62,'Sources and Uses Budget'!$J$99-SUM('15 Year Pro Forma'!$E$62:GPT62))</f>
        <v>0</v>
      </c>
      <c r="GPW62" s="962">
        <f>MIN(GPW60*$C$62,'Sources and Uses Budget'!$J$99-SUM('15 Year Pro Forma'!$E$62:GPV62))</f>
        <v>0</v>
      </c>
      <c r="GPY62" s="962">
        <f>MIN(GPY60*$C$62,'Sources and Uses Budget'!$J$99-SUM('15 Year Pro Forma'!$E$62:GPX62))</f>
        <v>0</v>
      </c>
      <c r="GQA62" s="962">
        <f>MIN(GQA60*$C$62,'Sources and Uses Budget'!$J$99-SUM('15 Year Pro Forma'!$E$62:GPZ62))</f>
        <v>0</v>
      </c>
      <c r="GQC62" s="962">
        <f>MIN(GQC60*$C$62,'Sources and Uses Budget'!$J$99-SUM('15 Year Pro Forma'!$E$62:GQB62))</f>
        <v>0</v>
      </c>
      <c r="GQE62" s="962">
        <f>MIN(GQE60*$C$62,'Sources and Uses Budget'!$J$99-SUM('15 Year Pro Forma'!$E$62:GQD62))</f>
        <v>0</v>
      </c>
      <c r="GQG62" s="962">
        <f>MIN(GQG60*$C$62,'Sources and Uses Budget'!$J$99-SUM('15 Year Pro Forma'!$E$62:GQF62))</f>
        <v>0</v>
      </c>
      <c r="GQI62" s="962">
        <f>MIN(GQI60*$C$62,'Sources and Uses Budget'!$J$99-SUM('15 Year Pro Forma'!$E$62:GQH62))</f>
        <v>0</v>
      </c>
      <c r="GQK62" s="962">
        <f>MIN(GQK60*$C$62,'Sources and Uses Budget'!$J$99-SUM('15 Year Pro Forma'!$E$62:GQJ62))</f>
        <v>0</v>
      </c>
      <c r="GQM62" s="962">
        <f>MIN(GQM60*$C$62,'Sources and Uses Budget'!$J$99-SUM('15 Year Pro Forma'!$E$62:GQL62))</f>
        <v>0</v>
      </c>
      <c r="GQO62" s="962">
        <f>MIN(GQO60*$C$62,'Sources and Uses Budget'!$J$99-SUM('15 Year Pro Forma'!$E$62:GQN62))</f>
        <v>0</v>
      </c>
      <c r="GQQ62" s="962">
        <f>MIN(GQQ60*$C$62,'Sources and Uses Budget'!$J$99-SUM('15 Year Pro Forma'!$E$62:GQP62))</f>
        <v>0</v>
      </c>
      <c r="GQS62" s="962">
        <f>MIN(GQS60*$C$62,'Sources and Uses Budget'!$J$99-SUM('15 Year Pro Forma'!$E$62:GQR62))</f>
        <v>0</v>
      </c>
      <c r="GQU62" s="962">
        <f>MIN(GQU60*$C$62,'Sources and Uses Budget'!$J$99-SUM('15 Year Pro Forma'!$E$62:GQT62))</f>
        <v>0</v>
      </c>
      <c r="GQW62" s="962">
        <f>MIN(GQW60*$C$62,'Sources and Uses Budget'!$J$99-SUM('15 Year Pro Forma'!$E$62:GQV62))</f>
        <v>0</v>
      </c>
      <c r="GQY62" s="962">
        <f>MIN(GQY60*$C$62,'Sources and Uses Budget'!$J$99-SUM('15 Year Pro Forma'!$E$62:GQX62))</f>
        <v>0</v>
      </c>
      <c r="GRA62" s="962">
        <f>MIN(GRA60*$C$62,'Sources and Uses Budget'!$J$99-SUM('15 Year Pro Forma'!$E$62:GQZ62))</f>
        <v>0</v>
      </c>
      <c r="GRC62" s="962">
        <f>MIN(GRC60*$C$62,'Sources and Uses Budget'!$J$99-SUM('15 Year Pro Forma'!$E$62:GRB62))</f>
        <v>0</v>
      </c>
      <c r="GRE62" s="962">
        <f>MIN(GRE60*$C$62,'Sources and Uses Budget'!$J$99-SUM('15 Year Pro Forma'!$E$62:GRD62))</f>
        <v>0</v>
      </c>
      <c r="GRG62" s="962">
        <f>MIN(GRG60*$C$62,'Sources and Uses Budget'!$J$99-SUM('15 Year Pro Forma'!$E$62:GRF62))</f>
        <v>0</v>
      </c>
      <c r="GRI62" s="962">
        <f>MIN(GRI60*$C$62,'Sources and Uses Budget'!$J$99-SUM('15 Year Pro Forma'!$E$62:GRH62))</f>
        <v>0</v>
      </c>
      <c r="GRK62" s="962">
        <f>MIN(GRK60*$C$62,'Sources and Uses Budget'!$J$99-SUM('15 Year Pro Forma'!$E$62:GRJ62))</f>
        <v>0</v>
      </c>
      <c r="GRM62" s="962">
        <f>MIN(GRM60*$C$62,'Sources and Uses Budget'!$J$99-SUM('15 Year Pro Forma'!$E$62:GRL62))</f>
        <v>0</v>
      </c>
      <c r="GRO62" s="962">
        <f>MIN(GRO60*$C$62,'Sources and Uses Budget'!$J$99-SUM('15 Year Pro Forma'!$E$62:GRN62))</f>
        <v>0</v>
      </c>
      <c r="GRQ62" s="962">
        <f>MIN(GRQ60*$C$62,'Sources and Uses Budget'!$J$99-SUM('15 Year Pro Forma'!$E$62:GRP62))</f>
        <v>0</v>
      </c>
      <c r="GRS62" s="962">
        <f>MIN(GRS60*$C$62,'Sources and Uses Budget'!$J$99-SUM('15 Year Pro Forma'!$E$62:GRR62))</f>
        <v>0</v>
      </c>
      <c r="GRU62" s="962">
        <f>MIN(GRU60*$C$62,'Sources and Uses Budget'!$J$99-SUM('15 Year Pro Forma'!$E$62:GRT62))</f>
        <v>0</v>
      </c>
      <c r="GRW62" s="962">
        <f>MIN(GRW60*$C$62,'Sources and Uses Budget'!$J$99-SUM('15 Year Pro Forma'!$E$62:GRV62))</f>
        <v>0</v>
      </c>
      <c r="GRY62" s="962">
        <f>MIN(GRY60*$C$62,'Sources and Uses Budget'!$J$99-SUM('15 Year Pro Forma'!$E$62:GRX62))</f>
        <v>0</v>
      </c>
      <c r="GSA62" s="962">
        <f>MIN(GSA60*$C$62,'Sources and Uses Budget'!$J$99-SUM('15 Year Pro Forma'!$E$62:GRZ62))</f>
        <v>0</v>
      </c>
      <c r="GSC62" s="962">
        <f>MIN(GSC60*$C$62,'Sources and Uses Budget'!$J$99-SUM('15 Year Pro Forma'!$E$62:GSB62))</f>
        <v>0</v>
      </c>
      <c r="GSE62" s="962">
        <f>MIN(GSE60*$C$62,'Sources and Uses Budget'!$J$99-SUM('15 Year Pro Forma'!$E$62:GSD62))</f>
        <v>0</v>
      </c>
      <c r="GSG62" s="962">
        <f>MIN(GSG60*$C$62,'Sources and Uses Budget'!$J$99-SUM('15 Year Pro Forma'!$E$62:GSF62))</f>
        <v>0</v>
      </c>
      <c r="GSI62" s="962">
        <f>MIN(GSI60*$C$62,'Sources and Uses Budget'!$J$99-SUM('15 Year Pro Forma'!$E$62:GSH62))</f>
        <v>0</v>
      </c>
      <c r="GSK62" s="962">
        <f>MIN(GSK60*$C$62,'Sources and Uses Budget'!$J$99-SUM('15 Year Pro Forma'!$E$62:GSJ62))</f>
        <v>0</v>
      </c>
      <c r="GSM62" s="962">
        <f>MIN(GSM60*$C$62,'Sources and Uses Budget'!$J$99-SUM('15 Year Pro Forma'!$E$62:GSL62))</f>
        <v>0</v>
      </c>
      <c r="GSO62" s="962">
        <f>MIN(GSO60*$C$62,'Sources and Uses Budget'!$J$99-SUM('15 Year Pro Forma'!$E$62:GSN62))</f>
        <v>0</v>
      </c>
      <c r="GSQ62" s="962">
        <f>MIN(GSQ60*$C$62,'Sources and Uses Budget'!$J$99-SUM('15 Year Pro Forma'!$E$62:GSP62))</f>
        <v>0</v>
      </c>
      <c r="GSS62" s="962">
        <f>MIN(GSS60*$C$62,'Sources and Uses Budget'!$J$99-SUM('15 Year Pro Forma'!$E$62:GSR62))</f>
        <v>0</v>
      </c>
      <c r="GSU62" s="962">
        <f>MIN(GSU60*$C$62,'Sources and Uses Budget'!$J$99-SUM('15 Year Pro Forma'!$E$62:GST62))</f>
        <v>0</v>
      </c>
      <c r="GSW62" s="962">
        <f>MIN(GSW60*$C$62,'Sources and Uses Budget'!$J$99-SUM('15 Year Pro Forma'!$E$62:GSV62))</f>
        <v>0</v>
      </c>
      <c r="GSY62" s="962">
        <f>MIN(GSY60*$C$62,'Sources and Uses Budget'!$J$99-SUM('15 Year Pro Forma'!$E$62:GSX62))</f>
        <v>0</v>
      </c>
      <c r="GTA62" s="962">
        <f>MIN(GTA60*$C$62,'Sources and Uses Budget'!$J$99-SUM('15 Year Pro Forma'!$E$62:GSZ62))</f>
        <v>0</v>
      </c>
      <c r="GTC62" s="962">
        <f>MIN(GTC60*$C$62,'Sources and Uses Budget'!$J$99-SUM('15 Year Pro Forma'!$E$62:GTB62))</f>
        <v>0</v>
      </c>
      <c r="GTE62" s="962">
        <f>MIN(GTE60*$C$62,'Sources and Uses Budget'!$J$99-SUM('15 Year Pro Forma'!$E$62:GTD62))</f>
        <v>0</v>
      </c>
      <c r="GTG62" s="962">
        <f>MIN(GTG60*$C$62,'Sources and Uses Budget'!$J$99-SUM('15 Year Pro Forma'!$E$62:GTF62))</f>
        <v>0</v>
      </c>
      <c r="GTI62" s="962">
        <f>MIN(GTI60*$C$62,'Sources and Uses Budget'!$J$99-SUM('15 Year Pro Forma'!$E$62:GTH62))</f>
        <v>0</v>
      </c>
      <c r="GTK62" s="962">
        <f>MIN(GTK60*$C$62,'Sources and Uses Budget'!$J$99-SUM('15 Year Pro Forma'!$E$62:GTJ62))</f>
        <v>0</v>
      </c>
      <c r="GTM62" s="962">
        <f>MIN(GTM60*$C$62,'Sources and Uses Budget'!$J$99-SUM('15 Year Pro Forma'!$E$62:GTL62))</f>
        <v>0</v>
      </c>
      <c r="GTO62" s="962">
        <f>MIN(GTO60*$C$62,'Sources and Uses Budget'!$J$99-SUM('15 Year Pro Forma'!$E$62:GTN62))</f>
        <v>0</v>
      </c>
      <c r="GTQ62" s="962">
        <f>MIN(GTQ60*$C$62,'Sources and Uses Budget'!$J$99-SUM('15 Year Pro Forma'!$E$62:GTP62))</f>
        <v>0</v>
      </c>
      <c r="GTS62" s="962">
        <f>MIN(GTS60*$C$62,'Sources and Uses Budget'!$J$99-SUM('15 Year Pro Forma'!$E$62:GTR62))</f>
        <v>0</v>
      </c>
      <c r="GTU62" s="962">
        <f>MIN(GTU60*$C$62,'Sources and Uses Budget'!$J$99-SUM('15 Year Pro Forma'!$E$62:GTT62))</f>
        <v>0</v>
      </c>
      <c r="GTW62" s="962">
        <f>MIN(GTW60*$C$62,'Sources and Uses Budget'!$J$99-SUM('15 Year Pro Forma'!$E$62:GTV62))</f>
        <v>0</v>
      </c>
      <c r="GTY62" s="962">
        <f>MIN(GTY60*$C$62,'Sources and Uses Budget'!$J$99-SUM('15 Year Pro Forma'!$E$62:GTX62))</f>
        <v>0</v>
      </c>
      <c r="GUA62" s="962">
        <f>MIN(GUA60*$C$62,'Sources and Uses Budget'!$J$99-SUM('15 Year Pro Forma'!$E$62:GTZ62))</f>
        <v>0</v>
      </c>
      <c r="GUC62" s="962">
        <f>MIN(GUC60*$C$62,'Sources and Uses Budget'!$J$99-SUM('15 Year Pro Forma'!$E$62:GUB62))</f>
        <v>0</v>
      </c>
      <c r="GUE62" s="962">
        <f>MIN(GUE60*$C$62,'Sources and Uses Budget'!$J$99-SUM('15 Year Pro Forma'!$E$62:GUD62))</f>
        <v>0</v>
      </c>
      <c r="GUG62" s="962">
        <f>MIN(GUG60*$C$62,'Sources and Uses Budget'!$J$99-SUM('15 Year Pro Forma'!$E$62:GUF62))</f>
        <v>0</v>
      </c>
      <c r="GUI62" s="962">
        <f>MIN(GUI60*$C$62,'Sources and Uses Budget'!$J$99-SUM('15 Year Pro Forma'!$E$62:GUH62))</f>
        <v>0</v>
      </c>
      <c r="GUK62" s="962">
        <f>MIN(GUK60*$C$62,'Sources and Uses Budget'!$J$99-SUM('15 Year Pro Forma'!$E$62:GUJ62))</f>
        <v>0</v>
      </c>
      <c r="GUM62" s="962">
        <f>MIN(GUM60*$C$62,'Sources and Uses Budget'!$J$99-SUM('15 Year Pro Forma'!$E$62:GUL62))</f>
        <v>0</v>
      </c>
      <c r="GUO62" s="962">
        <f>MIN(GUO60*$C$62,'Sources and Uses Budget'!$J$99-SUM('15 Year Pro Forma'!$E$62:GUN62))</f>
        <v>0</v>
      </c>
      <c r="GUQ62" s="962">
        <f>MIN(GUQ60*$C$62,'Sources and Uses Budget'!$J$99-SUM('15 Year Pro Forma'!$E$62:GUP62))</f>
        <v>0</v>
      </c>
      <c r="GUS62" s="962">
        <f>MIN(GUS60*$C$62,'Sources and Uses Budget'!$J$99-SUM('15 Year Pro Forma'!$E$62:GUR62))</f>
        <v>0</v>
      </c>
      <c r="GUU62" s="962">
        <f>MIN(GUU60*$C$62,'Sources and Uses Budget'!$J$99-SUM('15 Year Pro Forma'!$E$62:GUT62))</f>
        <v>0</v>
      </c>
      <c r="GUW62" s="962">
        <f>MIN(GUW60*$C$62,'Sources and Uses Budget'!$J$99-SUM('15 Year Pro Forma'!$E$62:GUV62))</f>
        <v>0</v>
      </c>
      <c r="GUY62" s="962">
        <f>MIN(GUY60*$C$62,'Sources and Uses Budget'!$J$99-SUM('15 Year Pro Forma'!$E$62:GUX62))</f>
        <v>0</v>
      </c>
      <c r="GVA62" s="962">
        <f>MIN(GVA60*$C$62,'Sources and Uses Budget'!$J$99-SUM('15 Year Pro Forma'!$E$62:GUZ62))</f>
        <v>0</v>
      </c>
      <c r="GVC62" s="962">
        <f>MIN(GVC60*$C$62,'Sources and Uses Budget'!$J$99-SUM('15 Year Pro Forma'!$E$62:GVB62))</f>
        <v>0</v>
      </c>
      <c r="GVE62" s="962">
        <f>MIN(GVE60*$C$62,'Sources and Uses Budget'!$J$99-SUM('15 Year Pro Forma'!$E$62:GVD62))</f>
        <v>0</v>
      </c>
      <c r="GVG62" s="962">
        <f>MIN(GVG60*$C$62,'Sources and Uses Budget'!$J$99-SUM('15 Year Pro Forma'!$E$62:GVF62))</f>
        <v>0</v>
      </c>
      <c r="GVI62" s="962">
        <f>MIN(GVI60*$C$62,'Sources and Uses Budget'!$J$99-SUM('15 Year Pro Forma'!$E$62:GVH62))</f>
        <v>0</v>
      </c>
      <c r="GVK62" s="962">
        <f>MIN(GVK60*$C$62,'Sources and Uses Budget'!$J$99-SUM('15 Year Pro Forma'!$E$62:GVJ62))</f>
        <v>0</v>
      </c>
      <c r="GVM62" s="962">
        <f>MIN(GVM60*$C$62,'Sources and Uses Budget'!$J$99-SUM('15 Year Pro Forma'!$E$62:GVL62))</f>
        <v>0</v>
      </c>
      <c r="GVO62" s="962">
        <f>MIN(GVO60*$C$62,'Sources and Uses Budget'!$J$99-SUM('15 Year Pro Forma'!$E$62:GVN62))</f>
        <v>0</v>
      </c>
      <c r="GVQ62" s="962">
        <f>MIN(GVQ60*$C$62,'Sources and Uses Budget'!$J$99-SUM('15 Year Pro Forma'!$E$62:GVP62))</f>
        <v>0</v>
      </c>
      <c r="GVS62" s="962">
        <f>MIN(GVS60*$C$62,'Sources and Uses Budget'!$J$99-SUM('15 Year Pro Forma'!$E$62:GVR62))</f>
        <v>0</v>
      </c>
      <c r="GVU62" s="962">
        <f>MIN(GVU60*$C$62,'Sources and Uses Budget'!$J$99-SUM('15 Year Pro Forma'!$E$62:GVT62))</f>
        <v>0</v>
      </c>
      <c r="GVW62" s="962">
        <f>MIN(GVW60*$C$62,'Sources and Uses Budget'!$J$99-SUM('15 Year Pro Forma'!$E$62:GVV62))</f>
        <v>0</v>
      </c>
      <c r="GVY62" s="962">
        <f>MIN(GVY60*$C$62,'Sources and Uses Budget'!$J$99-SUM('15 Year Pro Forma'!$E$62:GVX62))</f>
        <v>0</v>
      </c>
      <c r="GWA62" s="962">
        <f>MIN(GWA60*$C$62,'Sources and Uses Budget'!$J$99-SUM('15 Year Pro Forma'!$E$62:GVZ62))</f>
        <v>0</v>
      </c>
      <c r="GWC62" s="962">
        <f>MIN(GWC60*$C$62,'Sources and Uses Budget'!$J$99-SUM('15 Year Pro Forma'!$E$62:GWB62))</f>
        <v>0</v>
      </c>
      <c r="GWE62" s="962">
        <f>MIN(GWE60*$C$62,'Sources and Uses Budget'!$J$99-SUM('15 Year Pro Forma'!$E$62:GWD62))</f>
        <v>0</v>
      </c>
      <c r="GWG62" s="962">
        <f>MIN(GWG60*$C$62,'Sources and Uses Budget'!$J$99-SUM('15 Year Pro Forma'!$E$62:GWF62))</f>
        <v>0</v>
      </c>
      <c r="GWI62" s="962">
        <f>MIN(GWI60*$C$62,'Sources and Uses Budget'!$J$99-SUM('15 Year Pro Forma'!$E$62:GWH62))</f>
        <v>0</v>
      </c>
      <c r="GWK62" s="962">
        <f>MIN(GWK60*$C$62,'Sources and Uses Budget'!$J$99-SUM('15 Year Pro Forma'!$E$62:GWJ62))</f>
        <v>0</v>
      </c>
      <c r="GWM62" s="962">
        <f>MIN(GWM60*$C$62,'Sources and Uses Budget'!$J$99-SUM('15 Year Pro Forma'!$E$62:GWL62))</f>
        <v>0</v>
      </c>
      <c r="GWO62" s="962">
        <f>MIN(GWO60*$C$62,'Sources and Uses Budget'!$J$99-SUM('15 Year Pro Forma'!$E$62:GWN62))</f>
        <v>0</v>
      </c>
      <c r="GWQ62" s="962">
        <f>MIN(GWQ60*$C$62,'Sources and Uses Budget'!$J$99-SUM('15 Year Pro Forma'!$E$62:GWP62))</f>
        <v>0</v>
      </c>
      <c r="GWS62" s="962">
        <f>MIN(GWS60*$C$62,'Sources and Uses Budget'!$J$99-SUM('15 Year Pro Forma'!$E$62:GWR62))</f>
        <v>0</v>
      </c>
      <c r="GWU62" s="962">
        <f>MIN(GWU60*$C$62,'Sources and Uses Budget'!$J$99-SUM('15 Year Pro Forma'!$E$62:GWT62))</f>
        <v>0</v>
      </c>
      <c r="GWW62" s="962">
        <f>MIN(GWW60*$C$62,'Sources and Uses Budget'!$J$99-SUM('15 Year Pro Forma'!$E$62:GWV62))</f>
        <v>0</v>
      </c>
      <c r="GWY62" s="962">
        <f>MIN(GWY60*$C$62,'Sources and Uses Budget'!$J$99-SUM('15 Year Pro Forma'!$E$62:GWX62))</f>
        <v>0</v>
      </c>
      <c r="GXA62" s="962">
        <f>MIN(GXA60*$C$62,'Sources and Uses Budget'!$J$99-SUM('15 Year Pro Forma'!$E$62:GWZ62))</f>
        <v>0</v>
      </c>
      <c r="GXC62" s="962">
        <f>MIN(GXC60*$C$62,'Sources and Uses Budget'!$J$99-SUM('15 Year Pro Forma'!$E$62:GXB62))</f>
        <v>0</v>
      </c>
      <c r="GXE62" s="962">
        <f>MIN(GXE60*$C$62,'Sources and Uses Budget'!$J$99-SUM('15 Year Pro Forma'!$E$62:GXD62))</f>
        <v>0</v>
      </c>
      <c r="GXG62" s="962">
        <f>MIN(GXG60*$C$62,'Sources and Uses Budget'!$J$99-SUM('15 Year Pro Forma'!$E$62:GXF62))</f>
        <v>0</v>
      </c>
      <c r="GXI62" s="962">
        <f>MIN(GXI60*$C$62,'Sources and Uses Budget'!$J$99-SUM('15 Year Pro Forma'!$E$62:GXH62))</f>
        <v>0</v>
      </c>
      <c r="GXK62" s="962">
        <f>MIN(GXK60*$C$62,'Sources and Uses Budget'!$J$99-SUM('15 Year Pro Forma'!$E$62:GXJ62))</f>
        <v>0</v>
      </c>
      <c r="GXM62" s="962">
        <f>MIN(GXM60*$C$62,'Sources and Uses Budget'!$J$99-SUM('15 Year Pro Forma'!$E$62:GXL62))</f>
        <v>0</v>
      </c>
      <c r="GXO62" s="962">
        <f>MIN(GXO60*$C$62,'Sources and Uses Budget'!$J$99-SUM('15 Year Pro Forma'!$E$62:GXN62))</f>
        <v>0</v>
      </c>
      <c r="GXQ62" s="962">
        <f>MIN(GXQ60*$C$62,'Sources and Uses Budget'!$J$99-SUM('15 Year Pro Forma'!$E$62:GXP62))</f>
        <v>0</v>
      </c>
      <c r="GXS62" s="962">
        <f>MIN(GXS60*$C$62,'Sources and Uses Budget'!$J$99-SUM('15 Year Pro Forma'!$E$62:GXR62))</f>
        <v>0</v>
      </c>
      <c r="GXU62" s="962">
        <f>MIN(GXU60*$C$62,'Sources and Uses Budget'!$J$99-SUM('15 Year Pro Forma'!$E$62:GXT62))</f>
        <v>0</v>
      </c>
      <c r="GXW62" s="962">
        <f>MIN(GXW60*$C$62,'Sources and Uses Budget'!$J$99-SUM('15 Year Pro Forma'!$E$62:GXV62))</f>
        <v>0</v>
      </c>
      <c r="GXY62" s="962">
        <f>MIN(GXY60*$C$62,'Sources and Uses Budget'!$J$99-SUM('15 Year Pro Forma'!$E$62:GXX62))</f>
        <v>0</v>
      </c>
      <c r="GYA62" s="962">
        <f>MIN(GYA60*$C$62,'Sources and Uses Budget'!$J$99-SUM('15 Year Pro Forma'!$E$62:GXZ62))</f>
        <v>0</v>
      </c>
      <c r="GYC62" s="962">
        <f>MIN(GYC60*$C$62,'Sources and Uses Budget'!$J$99-SUM('15 Year Pro Forma'!$E$62:GYB62))</f>
        <v>0</v>
      </c>
      <c r="GYE62" s="962">
        <f>MIN(GYE60*$C$62,'Sources and Uses Budget'!$J$99-SUM('15 Year Pro Forma'!$E$62:GYD62))</f>
        <v>0</v>
      </c>
      <c r="GYG62" s="962">
        <f>MIN(GYG60*$C$62,'Sources and Uses Budget'!$J$99-SUM('15 Year Pro Forma'!$E$62:GYF62))</f>
        <v>0</v>
      </c>
      <c r="GYI62" s="962">
        <f>MIN(GYI60*$C$62,'Sources and Uses Budget'!$J$99-SUM('15 Year Pro Forma'!$E$62:GYH62))</f>
        <v>0</v>
      </c>
      <c r="GYK62" s="962">
        <f>MIN(GYK60*$C$62,'Sources and Uses Budget'!$J$99-SUM('15 Year Pro Forma'!$E$62:GYJ62))</f>
        <v>0</v>
      </c>
      <c r="GYM62" s="962">
        <f>MIN(GYM60*$C$62,'Sources and Uses Budget'!$J$99-SUM('15 Year Pro Forma'!$E$62:GYL62))</f>
        <v>0</v>
      </c>
      <c r="GYO62" s="962">
        <f>MIN(GYO60*$C$62,'Sources and Uses Budget'!$J$99-SUM('15 Year Pro Forma'!$E$62:GYN62))</f>
        <v>0</v>
      </c>
      <c r="GYQ62" s="962">
        <f>MIN(GYQ60*$C$62,'Sources and Uses Budget'!$J$99-SUM('15 Year Pro Forma'!$E$62:GYP62))</f>
        <v>0</v>
      </c>
      <c r="GYS62" s="962">
        <f>MIN(GYS60*$C$62,'Sources and Uses Budget'!$J$99-SUM('15 Year Pro Forma'!$E$62:GYR62))</f>
        <v>0</v>
      </c>
      <c r="GYU62" s="962">
        <f>MIN(GYU60*$C$62,'Sources and Uses Budget'!$J$99-SUM('15 Year Pro Forma'!$E$62:GYT62))</f>
        <v>0</v>
      </c>
      <c r="GYW62" s="962">
        <f>MIN(GYW60*$C$62,'Sources and Uses Budget'!$J$99-SUM('15 Year Pro Forma'!$E$62:GYV62))</f>
        <v>0</v>
      </c>
      <c r="GYY62" s="962">
        <f>MIN(GYY60*$C$62,'Sources and Uses Budget'!$J$99-SUM('15 Year Pro Forma'!$E$62:GYX62))</f>
        <v>0</v>
      </c>
      <c r="GZA62" s="962">
        <f>MIN(GZA60*$C$62,'Sources and Uses Budget'!$J$99-SUM('15 Year Pro Forma'!$E$62:GYZ62))</f>
        <v>0</v>
      </c>
      <c r="GZC62" s="962">
        <f>MIN(GZC60*$C$62,'Sources and Uses Budget'!$J$99-SUM('15 Year Pro Forma'!$E$62:GZB62))</f>
        <v>0</v>
      </c>
      <c r="GZE62" s="962">
        <f>MIN(GZE60*$C$62,'Sources and Uses Budget'!$J$99-SUM('15 Year Pro Forma'!$E$62:GZD62))</f>
        <v>0</v>
      </c>
      <c r="GZG62" s="962">
        <f>MIN(GZG60*$C$62,'Sources and Uses Budget'!$J$99-SUM('15 Year Pro Forma'!$E$62:GZF62))</f>
        <v>0</v>
      </c>
      <c r="GZI62" s="962">
        <f>MIN(GZI60*$C$62,'Sources and Uses Budget'!$J$99-SUM('15 Year Pro Forma'!$E$62:GZH62))</f>
        <v>0</v>
      </c>
      <c r="GZK62" s="962">
        <f>MIN(GZK60*$C$62,'Sources and Uses Budget'!$J$99-SUM('15 Year Pro Forma'!$E$62:GZJ62))</f>
        <v>0</v>
      </c>
      <c r="GZM62" s="962">
        <f>MIN(GZM60*$C$62,'Sources and Uses Budget'!$J$99-SUM('15 Year Pro Forma'!$E$62:GZL62))</f>
        <v>0</v>
      </c>
      <c r="GZO62" s="962">
        <f>MIN(GZO60*$C$62,'Sources and Uses Budget'!$J$99-SUM('15 Year Pro Forma'!$E$62:GZN62))</f>
        <v>0</v>
      </c>
      <c r="GZQ62" s="962">
        <f>MIN(GZQ60*$C$62,'Sources and Uses Budget'!$J$99-SUM('15 Year Pro Forma'!$E$62:GZP62))</f>
        <v>0</v>
      </c>
      <c r="GZS62" s="962">
        <f>MIN(GZS60*$C$62,'Sources and Uses Budget'!$J$99-SUM('15 Year Pro Forma'!$E$62:GZR62))</f>
        <v>0</v>
      </c>
      <c r="GZU62" s="962">
        <f>MIN(GZU60*$C$62,'Sources and Uses Budget'!$J$99-SUM('15 Year Pro Forma'!$E$62:GZT62))</f>
        <v>0</v>
      </c>
      <c r="GZW62" s="962">
        <f>MIN(GZW60*$C$62,'Sources and Uses Budget'!$J$99-SUM('15 Year Pro Forma'!$E$62:GZV62))</f>
        <v>0</v>
      </c>
      <c r="GZY62" s="962">
        <f>MIN(GZY60*$C$62,'Sources and Uses Budget'!$J$99-SUM('15 Year Pro Forma'!$E$62:GZX62))</f>
        <v>0</v>
      </c>
      <c r="HAA62" s="962">
        <f>MIN(HAA60*$C$62,'Sources and Uses Budget'!$J$99-SUM('15 Year Pro Forma'!$E$62:GZZ62))</f>
        <v>0</v>
      </c>
      <c r="HAC62" s="962">
        <f>MIN(HAC60*$C$62,'Sources and Uses Budget'!$J$99-SUM('15 Year Pro Forma'!$E$62:HAB62))</f>
        <v>0</v>
      </c>
      <c r="HAE62" s="962">
        <f>MIN(HAE60*$C$62,'Sources and Uses Budget'!$J$99-SUM('15 Year Pro Forma'!$E$62:HAD62))</f>
        <v>0</v>
      </c>
      <c r="HAG62" s="962">
        <f>MIN(HAG60*$C$62,'Sources and Uses Budget'!$J$99-SUM('15 Year Pro Forma'!$E$62:HAF62))</f>
        <v>0</v>
      </c>
      <c r="HAI62" s="962">
        <f>MIN(HAI60*$C$62,'Sources and Uses Budget'!$J$99-SUM('15 Year Pro Forma'!$E$62:HAH62))</f>
        <v>0</v>
      </c>
      <c r="HAK62" s="962">
        <f>MIN(HAK60*$C$62,'Sources and Uses Budget'!$J$99-SUM('15 Year Pro Forma'!$E$62:HAJ62))</f>
        <v>0</v>
      </c>
      <c r="HAM62" s="962">
        <f>MIN(HAM60*$C$62,'Sources and Uses Budget'!$J$99-SUM('15 Year Pro Forma'!$E$62:HAL62))</f>
        <v>0</v>
      </c>
      <c r="HAO62" s="962">
        <f>MIN(HAO60*$C$62,'Sources and Uses Budget'!$J$99-SUM('15 Year Pro Forma'!$E$62:HAN62))</f>
        <v>0</v>
      </c>
      <c r="HAQ62" s="962">
        <f>MIN(HAQ60*$C$62,'Sources and Uses Budget'!$J$99-SUM('15 Year Pro Forma'!$E$62:HAP62))</f>
        <v>0</v>
      </c>
      <c r="HAS62" s="962">
        <f>MIN(HAS60*$C$62,'Sources and Uses Budget'!$J$99-SUM('15 Year Pro Forma'!$E$62:HAR62))</f>
        <v>0</v>
      </c>
      <c r="HAU62" s="962">
        <f>MIN(HAU60*$C$62,'Sources and Uses Budget'!$J$99-SUM('15 Year Pro Forma'!$E$62:HAT62))</f>
        <v>0</v>
      </c>
      <c r="HAW62" s="962">
        <f>MIN(HAW60*$C$62,'Sources and Uses Budget'!$J$99-SUM('15 Year Pro Forma'!$E$62:HAV62))</f>
        <v>0</v>
      </c>
      <c r="HAY62" s="962">
        <f>MIN(HAY60*$C$62,'Sources and Uses Budget'!$J$99-SUM('15 Year Pro Forma'!$E$62:HAX62))</f>
        <v>0</v>
      </c>
      <c r="HBA62" s="962">
        <f>MIN(HBA60*$C$62,'Sources and Uses Budget'!$J$99-SUM('15 Year Pro Forma'!$E$62:HAZ62))</f>
        <v>0</v>
      </c>
      <c r="HBC62" s="962">
        <f>MIN(HBC60*$C$62,'Sources and Uses Budget'!$J$99-SUM('15 Year Pro Forma'!$E$62:HBB62))</f>
        <v>0</v>
      </c>
      <c r="HBE62" s="962">
        <f>MIN(HBE60*$C$62,'Sources and Uses Budget'!$J$99-SUM('15 Year Pro Forma'!$E$62:HBD62))</f>
        <v>0</v>
      </c>
      <c r="HBG62" s="962">
        <f>MIN(HBG60*$C$62,'Sources and Uses Budget'!$J$99-SUM('15 Year Pro Forma'!$E$62:HBF62))</f>
        <v>0</v>
      </c>
      <c r="HBI62" s="962">
        <f>MIN(HBI60*$C$62,'Sources and Uses Budget'!$J$99-SUM('15 Year Pro Forma'!$E$62:HBH62))</f>
        <v>0</v>
      </c>
      <c r="HBK62" s="962">
        <f>MIN(HBK60*$C$62,'Sources and Uses Budget'!$J$99-SUM('15 Year Pro Forma'!$E$62:HBJ62))</f>
        <v>0</v>
      </c>
      <c r="HBM62" s="962">
        <f>MIN(HBM60*$C$62,'Sources and Uses Budget'!$J$99-SUM('15 Year Pro Forma'!$E$62:HBL62))</f>
        <v>0</v>
      </c>
      <c r="HBO62" s="962">
        <f>MIN(HBO60*$C$62,'Sources and Uses Budget'!$J$99-SUM('15 Year Pro Forma'!$E$62:HBN62))</f>
        <v>0</v>
      </c>
      <c r="HBQ62" s="962">
        <f>MIN(HBQ60*$C$62,'Sources and Uses Budget'!$J$99-SUM('15 Year Pro Forma'!$E$62:HBP62))</f>
        <v>0</v>
      </c>
      <c r="HBS62" s="962">
        <f>MIN(HBS60*$C$62,'Sources and Uses Budget'!$J$99-SUM('15 Year Pro Forma'!$E$62:HBR62))</f>
        <v>0</v>
      </c>
      <c r="HBU62" s="962">
        <f>MIN(HBU60*$C$62,'Sources and Uses Budget'!$J$99-SUM('15 Year Pro Forma'!$E$62:HBT62))</f>
        <v>0</v>
      </c>
      <c r="HBW62" s="962">
        <f>MIN(HBW60*$C$62,'Sources and Uses Budget'!$J$99-SUM('15 Year Pro Forma'!$E$62:HBV62))</f>
        <v>0</v>
      </c>
      <c r="HBY62" s="962">
        <f>MIN(HBY60*$C$62,'Sources and Uses Budget'!$J$99-SUM('15 Year Pro Forma'!$E$62:HBX62))</f>
        <v>0</v>
      </c>
      <c r="HCA62" s="962">
        <f>MIN(HCA60*$C$62,'Sources and Uses Budget'!$J$99-SUM('15 Year Pro Forma'!$E$62:HBZ62))</f>
        <v>0</v>
      </c>
      <c r="HCC62" s="962">
        <f>MIN(HCC60*$C$62,'Sources and Uses Budget'!$J$99-SUM('15 Year Pro Forma'!$E$62:HCB62))</f>
        <v>0</v>
      </c>
      <c r="HCE62" s="962">
        <f>MIN(HCE60*$C$62,'Sources and Uses Budget'!$J$99-SUM('15 Year Pro Forma'!$E$62:HCD62))</f>
        <v>0</v>
      </c>
      <c r="HCG62" s="962">
        <f>MIN(HCG60*$C$62,'Sources and Uses Budget'!$J$99-SUM('15 Year Pro Forma'!$E$62:HCF62))</f>
        <v>0</v>
      </c>
      <c r="HCI62" s="962">
        <f>MIN(HCI60*$C$62,'Sources and Uses Budget'!$J$99-SUM('15 Year Pro Forma'!$E$62:HCH62))</f>
        <v>0</v>
      </c>
      <c r="HCK62" s="962">
        <f>MIN(HCK60*$C$62,'Sources and Uses Budget'!$J$99-SUM('15 Year Pro Forma'!$E$62:HCJ62))</f>
        <v>0</v>
      </c>
      <c r="HCM62" s="962">
        <f>MIN(HCM60*$C$62,'Sources and Uses Budget'!$J$99-SUM('15 Year Pro Forma'!$E$62:HCL62))</f>
        <v>0</v>
      </c>
      <c r="HCO62" s="962">
        <f>MIN(HCO60*$C$62,'Sources and Uses Budget'!$J$99-SUM('15 Year Pro Forma'!$E$62:HCN62))</f>
        <v>0</v>
      </c>
      <c r="HCQ62" s="962">
        <f>MIN(HCQ60*$C$62,'Sources and Uses Budget'!$J$99-SUM('15 Year Pro Forma'!$E$62:HCP62))</f>
        <v>0</v>
      </c>
      <c r="HCS62" s="962">
        <f>MIN(HCS60*$C$62,'Sources and Uses Budget'!$J$99-SUM('15 Year Pro Forma'!$E$62:HCR62))</f>
        <v>0</v>
      </c>
      <c r="HCU62" s="962">
        <f>MIN(HCU60*$C$62,'Sources and Uses Budget'!$J$99-SUM('15 Year Pro Forma'!$E$62:HCT62))</f>
        <v>0</v>
      </c>
      <c r="HCW62" s="962">
        <f>MIN(HCW60*$C$62,'Sources and Uses Budget'!$J$99-SUM('15 Year Pro Forma'!$E$62:HCV62))</f>
        <v>0</v>
      </c>
      <c r="HCY62" s="962">
        <f>MIN(HCY60*$C$62,'Sources and Uses Budget'!$J$99-SUM('15 Year Pro Forma'!$E$62:HCX62))</f>
        <v>0</v>
      </c>
      <c r="HDA62" s="962">
        <f>MIN(HDA60*$C$62,'Sources and Uses Budget'!$J$99-SUM('15 Year Pro Forma'!$E$62:HCZ62))</f>
        <v>0</v>
      </c>
      <c r="HDC62" s="962">
        <f>MIN(HDC60*$C$62,'Sources and Uses Budget'!$J$99-SUM('15 Year Pro Forma'!$E$62:HDB62))</f>
        <v>0</v>
      </c>
      <c r="HDE62" s="962">
        <f>MIN(HDE60*$C$62,'Sources and Uses Budget'!$J$99-SUM('15 Year Pro Forma'!$E$62:HDD62))</f>
        <v>0</v>
      </c>
      <c r="HDG62" s="962">
        <f>MIN(HDG60*$C$62,'Sources and Uses Budget'!$J$99-SUM('15 Year Pro Forma'!$E$62:HDF62))</f>
        <v>0</v>
      </c>
      <c r="HDI62" s="962">
        <f>MIN(HDI60*$C$62,'Sources and Uses Budget'!$J$99-SUM('15 Year Pro Forma'!$E$62:HDH62))</f>
        <v>0</v>
      </c>
      <c r="HDK62" s="962">
        <f>MIN(HDK60*$C$62,'Sources and Uses Budget'!$J$99-SUM('15 Year Pro Forma'!$E$62:HDJ62))</f>
        <v>0</v>
      </c>
      <c r="HDM62" s="962">
        <f>MIN(HDM60*$C$62,'Sources and Uses Budget'!$J$99-SUM('15 Year Pro Forma'!$E$62:HDL62))</f>
        <v>0</v>
      </c>
      <c r="HDO62" s="962">
        <f>MIN(HDO60*$C$62,'Sources and Uses Budget'!$J$99-SUM('15 Year Pro Forma'!$E$62:HDN62))</f>
        <v>0</v>
      </c>
      <c r="HDQ62" s="962">
        <f>MIN(HDQ60*$C$62,'Sources and Uses Budget'!$J$99-SUM('15 Year Pro Forma'!$E$62:HDP62))</f>
        <v>0</v>
      </c>
      <c r="HDS62" s="962">
        <f>MIN(HDS60*$C$62,'Sources and Uses Budget'!$J$99-SUM('15 Year Pro Forma'!$E$62:HDR62))</f>
        <v>0</v>
      </c>
      <c r="HDU62" s="962">
        <f>MIN(HDU60*$C$62,'Sources and Uses Budget'!$J$99-SUM('15 Year Pro Forma'!$E$62:HDT62))</f>
        <v>0</v>
      </c>
      <c r="HDW62" s="962">
        <f>MIN(HDW60*$C$62,'Sources and Uses Budget'!$J$99-SUM('15 Year Pro Forma'!$E$62:HDV62))</f>
        <v>0</v>
      </c>
      <c r="HDY62" s="962">
        <f>MIN(HDY60*$C$62,'Sources and Uses Budget'!$J$99-SUM('15 Year Pro Forma'!$E$62:HDX62))</f>
        <v>0</v>
      </c>
      <c r="HEA62" s="962">
        <f>MIN(HEA60*$C$62,'Sources and Uses Budget'!$J$99-SUM('15 Year Pro Forma'!$E$62:HDZ62))</f>
        <v>0</v>
      </c>
      <c r="HEC62" s="962">
        <f>MIN(HEC60*$C$62,'Sources and Uses Budget'!$J$99-SUM('15 Year Pro Forma'!$E$62:HEB62))</f>
        <v>0</v>
      </c>
      <c r="HEE62" s="962">
        <f>MIN(HEE60*$C$62,'Sources and Uses Budget'!$J$99-SUM('15 Year Pro Forma'!$E$62:HED62))</f>
        <v>0</v>
      </c>
      <c r="HEG62" s="962">
        <f>MIN(HEG60*$C$62,'Sources and Uses Budget'!$J$99-SUM('15 Year Pro Forma'!$E$62:HEF62))</f>
        <v>0</v>
      </c>
      <c r="HEI62" s="962">
        <f>MIN(HEI60*$C$62,'Sources and Uses Budget'!$J$99-SUM('15 Year Pro Forma'!$E$62:HEH62))</f>
        <v>0</v>
      </c>
      <c r="HEK62" s="962">
        <f>MIN(HEK60*$C$62,'Sources and Uses Budget'!$J$99-SUM('15 Year Pro Forma'!$E$62:HEJ62))</f>
        <v>0</v>
      </c>
      <c r="HEM62" s="962">
        <f>MIN(HEM60*$C$62,'Sources and Uses Budget'!$J$99-SUM('15 Year Pro Forma'!$E$62:HEL62))</f>
        <v>0</v>
      </c>
      <c r="HEO62" s="962">
        <f>MIN(HEO60*$C$62,'Sources and Uses Budget'!$J$99-SUM('15 Year Pro Forma'!$E$62:HEN62))</f>
        <v>0</v>
      </c>
      <c r="HEQ62" s="962">
        <f>MIN(HEQ60*$C$62,'Sources and Uses Budget'!$J$99-SUM('15 Year Pro Forma'!$E$62:HEP62))</f>
        <v>0</v>
      </c>
      <c r="HES62" s="962">
        <f>MIN(HES60*$C$62,'Sources and Uses Budget'!$J$99-SUM('15 Year Pro Forma'!$E$62:HER62))</f>
        <v>0</v>
      </c>
      <c r="HEU62" s="962">
        <f>MIN(HEU60*$C$62,'Sources and Uses Budget'!$J$99-SUM('15 Year Pro Forma'!$E$62:HET62))</f>
        <v>0</v>
      </c>
      <c r="HEW62" s="962">
        <f>MIN(HEW60*$C$62,'Sources and Uses Budget'!$J$99-SUM('15 Year Pro Forma'!$E$62:HEV62))</f>
        <v>0</v>
      </c>
      <c r="HEY62" s="962">
        <f>MIN(HEY60*$C$62,'Sources and Uses Budget'!$J$99-SUM('15 Year Pro Forma'!$E$62:HEX62))</f>
        <v>0</v>
      </c>
      <c r="HFA62" s="962">
        <f>MIN(HFA60*$C$62,'Sources and Uses Budget'!$J$99-SUM('15 Year Pro Forma'!$E$62:HEZ62))</f>
        <v>0</v>
      </c>
      <c r="HFC62" s="962">
        <f>MIN(HFC60*$C$62,'Sources and Uses Budget'!$J$99-SUM('15 Year Pro Forma'!$E$62:HFB62))</f>
        <v>0</v>
      </c>
      <c r="HFE62" s="962">
        <f>MIN(HFE60*$C$62,'Sources and Uses Budget'!$J$99-SUM('15 Year Pro Forma'!$E$62:HFD62))</f>
        <v>0</v>
      </c>
      <c r="HFG62" s="962">
        <f>MIN(HFG60*$C$62,'Sources and Uses Budget'!$J$99-SUM('15 Year Pro Forma'!$E$62:HFF62))</f>
        <v>0</v>
      </c>
      <c r="HFI62" s="962">
        <f>MIN(HFI60*$C$62,'Sources and Uses Budget'!$J$99-SUM('15 Year Pro Forma'!$E$62:HFH62))</f>
        <v>0</v>
      </c>
      <c r="HFK62" s="962">
        <f>MIN(HFK60*$C$62,'Sources and Uses Budget'!$J$99-SUM('15 Year Pro Forma'!$E$62:HFJ62))</f>
        <v>0</v>
      </c>
      <c r="HFM62" s="962">
        <f>MIN(HFM60*$C$62,'Sources and Uses Budget'!$J$99-SUM('15 Year Pro Forma'!$E$62:HFL62))</f>
        <v>0</v>
      </c>
      <c r="HFO62" s="962">
        <f>MIN(HFO60*$C$62,'Sources and Uses Budget'!$J$99-SUM('15 Year Pro Forma'!$E$62:HFN62))</f>
        <v>0</v>
      </c>
      <c r="HFQ62" s="962">
        <f>MIN(HFQ60*$C$62,'Sources and Uses Budget'!$J$99-SUM('15 Year Pro Forma'!$E$62:HFP62))</f>
        <v>0</v>
      </c>
      <c r="HFS62" s="962">
        <f>MIN(HFS60*$C$62,'Sources and Uses Budget'!$J$99-SUM('15 Year Pro Forma'!$E$62:HFR62))</f>
        <v>0</v>
      </c>
      <c r="HFU62" s="962">
        <f>MIN(HFU60*$C$62,'Sources and Uses Budget'!$J$99-SUM('15 Year Pro Forma'!$E$62:HFT62))</f>
        <v>0</v>
      </c>
      <c r="HFW62" s="962">
        <f>MIN(HFW60*$C$62,'Sources and Uses Budget'!$J$99-SUM('15 Year Pro Forma'!$E$62:HFV62))</f>
        <v>0</v>
      </c>
      <c r="HFY62" s="962">
        <f>MIN(HFY60*$C$62,'Sources and Uses Budget'!$J$99-SUM('15 Year Pro Forma'!$E$62:HFX62))</f>
        <v>0</v>
      </c>
      <c r="HGA62" s="962">
        <f>MIN(HGA60*$C$62,'Sources and Uses Budget'!$J$99-SUM('15 Year Pro Forma'!$E$62:HFZ62))</f>
        <v>0</v>
      </c>
      <c r="HGC62" s="962">
        <f>MIN(HGC60*$C$62,'Sources and Uses Budget'!$J$99-SUM('15 Year Pro Forma'!$E$62:HGB62))</f>
        <v>0</v>
      </c>
      <c r="HGE62" s="962">
        <f>MIN(HGE60*$C$62,'Sources and Uses Budget'!$J$99-SUM('15 Year Pro Forma'!$E$62:HGD62))</f>
        <v>0</v>
      </c>
      <c r="HGG62" s="962">
        <f>MIN(HGG60*$C$62,'Sources and Uses Budget'!$J$99-SUM('15 Year Pro Forma'!$E$62:HGF62))</f>
        <v>0</v>
      </c>
      <c r="HGI62" s="962">
        <f>MIN(HGI60*$C$62,'Sources and Uses Budget'!$J$99-SUM('15 Year Pro Forma'!$E$62:HGH62))</f>
        <v>0</v>
      </c>
      <c r="HGK62" s="962">
        <f>MIN(HGK60*$C$62,'Sources and Uses Budget'!$J$99-SUM('15 Year Pro Forma'!$E$62:HGJ62))</f>
        <v>0</v>
      </c>
      <c r="HGM62" s="962">
        <f>MIN(HGM60*$C$62,'Sources and Uses Budget'!$J$99-SUM('15 Year Pro Forma'!$E$62:HGL62))</f>
        <v>0</v>
      </c>
      <c r="HGO62" s="962">
        <f>MIN(HGO60*$C$62,'Sources and Uses Budget'!$J$99-SUM('15 Year Pro Forma'!$E$62:HGN62))</f>
        <v>0</v>
      </c>
      <c r="HGQ62" s="962">
        <f>MIN(HGQ60*$C$62,'Sources and Uses Budget'!$J$99-SUM('15 Year Pro Forma'!$E$62:HGP62))</f>
        <v>0</v>
      </c>
      <c r="HGS62" s="962">
        <f>MIN(HGS60*$C$62,'Sources and Uses Budget'!$J$99-SUM('15 Year Pro Forma'!$E$62:HGR62))</f>
        <v>0</v>
      </c>
      <c r="HGU62" s="962">
        <f>MIN(HGU60*$C$62,'Sources and Uses Budget'!$J$99-SUM('15 Year Pro Forma'!$E$62:HGT62))</f>
        <v>0</v>
      </c>
      <c r="HGW62" s="962">
        <f>MIN(HGW60*$C$62,'Sources and Uses Budget'!$J$99-SUM('15 Year Pro Forma'!$E$62:HGV62))</f>
        <v>0</v>
      </c>
      <c r="HGY62" s="962">
        <f>MIN(HGY60*$C$62,'Sources and Uses Budget'!$J$99-SUM('15 Year Pro Forma'!$E$62:HGX62))</f>
        <v>0</v>
      </c>
      <c r="HHA62" s="962">
        <f>MIN(HHA60*$C$62,'Sources and Uses Budget'!$J$99-SUM('15 Year Pro Forma'!$E$62:HGZ62))</f>
        <v>0</v>
      </c>
      <c r="HHC62" s="962">
        <f>MIN(HHC60*$C$62,'Sources and Uses Budget'!$J$99-SUM('15 Year Pro Forma'!$E$62:HHB62))</f>
        <v>0</v>
      </c>
      <c r="HHE62" s="962">
        <f>MIN(HHE60*$C$62,'Sources and Uses Budget'!$J$99-SUM('15 Year Pro Forma'!$E$62:HHD62))</f>
        <v>0</v>
      </c>
      <c r="HHG62" s="962">
        <f>MIN(HHG60*$C$62,'Sources and Uses Budget'!$J$99-SUM('15 Year Pro Forma'!$E$62:HHF62))</f>
        <v>0</v>
      </c>
      <c r="HHI62" s="962">
        <f>MIN(HHI60*$C$62,'Sources and Uses Budget'!$J$99-SUM('15 Year Pro Forma'!$E$62:HHH62))</f>
        <v>0</v>
      </c>
      <c r="HHK62" s="962">
        <f>MIN(HHK60*$C$62,'Sources and Uses Budget'!$J$99-SUM('15 Year Pro Forma'!$E$62:HHJ62))</f>
        <v>0</v>
      </c>
      <c r="HHM62" s="962">
        <f>MIN(HHM60*$C$62,'Sources and Uses Budget'!$J$99-SUM('15 Year Pro Forma'!$E$62:HHL62))</f>
        <v>0</v>
      </c>
      <c r="HHO62" s="962">
        <f>MIN(HHO60*$C$62,'Sources and Uses Budget'!$J$99-SUM('15 Year Pro Forma'!$E$62:HHN62))</f>
        <v>0</v>
      </c>
      <c r="HHQ62" s="962">
        <f>MIN(HHQ60*$C$62,'Sources and Uses Budget'!$J$99-SUM('15 Year Pro Forma'!$E$62:HHP62))</f>
        <v>0</v>
      </c>
      <c r="HHS62" s="962">
        <f>MIN(HHS60*$C$62,'Sources and Uses Budget'!$J$99-SUM('15 Year Pro Forma'!$E$62:HHR62))</f>
        <v>0</v>
      </c>
      <c r="HHU62" s="962">
        <f>MIN(HHU60*$C$62,'Sources and Uses Budget'!$J$99-SUM('15 Year Pro Forma'!$E$62:HHT62))</f>
        <v>0</v>
      </c>
      <c r="HHW62" s="962">
        <f>MIN(HHW60*$C$62,'Sources and Uses Budget'!$J$99-SUM('15 Year Pro Forma'!$E$62:HHV62))</f>
        <v>0</v>
      </c>
      <c r="HHY62" s="962">
        <f>MIN(HHY60*$C$62,'Sources and Uses Budget'!$J$99-SUM('15 Year Pro Forma'!$E$62:HHX62))</f>
        <v>0</v>
      </c>
      <c r="HIA62" s="962">
        <f>MIN(HIA60*$C$62,'Sources and Uses Budget'!$J$99-SUM('15 Year Pro Forma'!$E$62:HHZ62))</f>
        <v>0</v>
      </c>
      <c r="HIC62" s="962">
        <f>MIN(HIC60*$C$62,'Sources and Uses Budget'!$J$99-SUM('15 Year Pro Forma'!$E$62:HIB62))</f>
        <v>0</v>
      </c>
      <c r="HIE62" s="962">
        <f>MIN(HIE60*$C$62,'Sources and Uses Budget'!$J$99-SUM('15 Year Pro Forma'!$E$62:HID62))</f>
        <v>0</v>
      </c>
      <c r="HIG62" s="962">
        <f>MIN(HIG60*$C$62,'Sources and Uses Budget'!$J$99-SUM('15 Year Pro Forma'!$E$62:HIF62))</f>
        <v>0</v>
      </c>
      <c r="HII62" s="962">
        <f>MIN(HII60*$C$62,'Sources and Uses Budget'!$J$99-SUM('15 Year Pro Forma'!$E$62:HIH62))</f>
        <v>0</v>
      </c>
      <c r="HIK62" s="962">
        <f>MIN(HIK60*$C$62,'Sources and Uses Budget'!$J$99-SUM('15 Year Pro Forma'!$E$62:HIJ62))</f>
        <v>0</v>
      </c>
      <c r="HIM62" s="962">
        <f>MIN(HIM60*$C$62,'Sources and Uses Budget'!$J$99-SUM('15 Year Pro Forma'!$E$62:HIL62))</f>
        <v>0</v>
      </c>
      <c r="HIO62" s="962">
        <f>MIN(HIO60*$C$62,'Sources and Uses Budget'!$J$99-SUM('15 Year Pro Forma'!$E$62:HIN62))</f>
        <v>0</v>
      </c>
      <c r="HIQ62" s="962">
        <f>MIN(HIQ60*$C$62,'Sources and Uses Budget'!$J$99-SUM('15 Year Pro Forma'!$E$62:HIP62))</f>
        <v>0</v>
      </c>
      <c r="HIS62" s="962">
        <f>MIN(HIS60*$C$62,'Sources and Uses Budget'!$J$99-SUM('15 Year Pro Forma'!$E$62:HIR62))</f>
        <v>0</v>
      </c>
      <c r="HIU62" s="962">
        <f>MIN(HIU60*$C$62,'Sources and Uses Budget'!$J$99-SUM('15 Year Pro Forma'!$E$62:HIT62))</f>
        <v>0</v>
      </c>
      <c r="HIW62" s="962">
        <f>MIN(HIW60*$C$62,'Sources and Uses Budget'!$J$99-SUM('15 Year Pro Forma'!$E$62:HIV62))</f>
        <v>0</v>
      </c>
      <c r="HIY62" s="962">
        <f>MIN(HIY60*$C$62,'Sources and Uses Budget'!$J$99-SUM('15 Year Pro Forma'!$E$62:HIX62))</f>
        <v>0</v>
      </c>
      <c r="HJA62" s="962">
        <f>MIN(HJA60*$C$62,'Sources and Uses Budget'!$J$99-SUM('15 Year Pro Forma'!$E$62:HIZ62))</f>
        <v>0</v>
      </c>
      <c r="HJC62" s="962">
        <f>MIN(HJC60*$C$62,'Sources and Uses Budget'!$J$99-SUM('15 Year Pro Forma'!$E$62:HJB62))</f>
        <v>0</v>
      </c>
      <c r="HJE62" s="962">
        <f>MIN(HJE60*$C$62,'Sources and Uses Budget'!$J$99-SUM('15 Year Pro Forma'!$E$62:HJD62))</f>
        <v>0</v>
      </c>
      <c r="HJG62" s="962">
        <f>MIN(HJG60*$C$62,'Sources and Uses Budget'!$J$99-SUM('15 Year Pro Forma'!$E$62:HJF62))</f>
        <v>0</v>
      </c>
      <c r="HJI62" s="962">
        <f>MIN(HJI60*$C$62,'Sources and Uses Budget'!$J$99-SUM('15 Year Pro Forma'!$E$62:HJH62))</f>
        <v>0</v>
      </c>
      <c r="HJK62" s="962">
        <f>MIN(HJK60*$C$62,'Sources and Uses Budget'!$J$99-SUM('15 Year Pro Forma'!$E$62:HJJ62))</f>
        <v>0</v>
      </c>
      <c r="HJM62" s="962">
        <f>MIN(HJM60*$C$62,'Sources and Uses Budget'!$J$99-SUM('15 Year Pro Forma'!$E$62:HJL62))</f>
        <v>0</v>
      </c>
      <c r="HJO62" s="962">
        <f>MIN(HJO60*$C$62,'Sources and Uses Budget'!$J$99-SUM('15 Year Pro Forma'!$E$62:HJN62))</f>
        <v>0</v>
      </c>
      <c r="HJQ62" s="962">
        <f>MIN(HJQ60*$C$62,'Sources and Uses Budget'!$J$99-SUM('15 Year Pro Forma'!$E$62:HJP62))</f>
        <v>0</v>
      </c>
      <c r="HJS62" s="962">
        <f>MIN(HJS60*$C$62,'Sources and Uses Budget'!$J$99-SUM('15 Year Pro Forma'!$E$62:HJR62))</f>
        <v>0</v>
      </c>
      <c r="HJU62" s="962">
        <f>MIN(HJU60*$C$62,'Sources and Uses Budget'!$J$99-SUM('15 Year Pro Forma'!$E$62:HJT62))</f>
        <v>0</v>
      </c>
      <c r="HJW62" s="962">
        <f>MIN(HJW60*$C$62,'Sources and Uses Budget'!$J$99-SUM('15 Year Pro Forma'!$E$62:HJV62))</f>
        <v>0</v>
      </c>
      <c r="HJY62" s="962">
        <f>MIN(HJY60*$C$62,'Sources and Uses Budget'!$J$99-SUM('15 Year Pro Forma'!$E$62:HJX62))</f>
        <v>0</v>
      </c>
      <c r="HKA62" s="962">
        <f>MIN(HKA60*$C$62,'Sources and Uses Budget'!$J$99-SUM('15 Year Pro Forma'!$E$62:HJZ62))</f>
        <v>0</v>
      </c>
      <c r="HKC62" s="962">
        <f>MIN(HKC60*$C$62,'Sources and Uses Budget'!$J$99-SUM('15 Year Pro Forma'!$E$62:HKB62))</f>
        <v>0</v>
      </c>
      <c r="HKE62" s="962">
        <f>MIN(HKE60*$C$62,'Sources and Uses Budget'!$J$99-SUM('15 Year Pro Forma'!$E$62:HKD62))</f>
        <v>0</v>
      </c>
      <c r="HKG62" s="962">
        <f>MIN(HKG60*$C$62,'Sources and Uses Budget'!$J$99-SUM('15 Year Pro Forma'!$E$62:HKF62))</f>
        <v>0</v>
      </c>
      <c r="HKI62" s="962">
        <f>MIN(HKI60*$C$62,'Sources and Uses Budget'!$J$99-SUM('15 Year Pro Forma'!$E$62:HKH62))</f>
        <v>0</v>
      </c>
      <c r="HKK62" s="962">
        <f>MIN(HKK60*$C$62,'Sources and Uses Budget'!$J$99-SUM('15 Year Pro Forma'!$E$62:HKJ62))</f>
        <v>0</v>
      </c>
      <c r="HKM62" s="962">
        <f>MIN(HKM60*$C$62,'Sources and Uses Budget'!$J$99-SUM('15 Year Pro Forma'!$E$62:HKL62))</f>
        <v>0</v>
      </c>
      <c r="HKO62" s="962">
        <f>MIN(HKO60*$C$62,'Sources and Uses Budget'!$J$99-SUM('15 Year Pro Forma'!$E$62:HKN62))</f>
        <v>0</v>
      </c>
      <c r="HKQ62" s="962">
        <f>MIN(HKQ60*$C$62,'Sources and Uses Budget'!$J$99-SUM('15 Year Pro Forma'!$E$62:HKP62))</f>
        <v>0</v>
      </c>
      <c r="HKS62" s="962">
        <f>MIN(HKS60*$C$62,'Sources and Uses Budget'!$J$99-SUM('15 Year Pro Forma'!$E$62:HKR62))</f>
        <v>0</v>
      </c>
      <c r="HKU62" s="962">
        <f>MIN(HKU60*$C$62,'Sources and Uses Budget'!$J$99-SUM('15 Year Pro Forma'!$E$62:HKT62))</f>
        <v>0</v>
      </c>
      <c r="HKW62" s="962">
        <f>MIN(HKW60*$C$62,'Sources and Uses Budget'!$J$99-SUM('15 Year Pro Forma'!$E$62:HKV62))</f>
        <v>0</v>
      </c>
      <c r="HKY62" s="962">
        <f>MIN(HKY60*$C$62,'Sources and Uses Budget'!$J$99-SUM('15 Year Pro Forma'!$E$62:HKX62))</f>
        <v>0</v>
      </c>
      <c r="HLA62" s="962">
        <f>MIN(HLA60*$C$62,'Sources and Uses Budget'!$J$99-SUM('15 Year Pro Forma'!$E$62:HKZ62))</f>
        <v>0</v>
      </c>
      <c r="HLC62" s="962">
        <f>MIN(HLC60*$C$62,'Sources and Uses Budget'!$J$99-SUM('15 Year Pro Forma'!$E$62:HLB62))</f>
        <v>0</v>
      </c>
      <c r="HLE62" s="962">
        <f>MIN(HLE60*$C$62,'Sources and Uses Budget'!$J$99-SUM('15 Year Pro Forma'!$E$62:HLD62))</f>
        <v>0</v>
      </c>
      <c r="HLG62" s="962">
        <f>MIN(HLG60*$C$62,'Sources and Uses Budget'!$J$99-SUM('15 Year Pro Forma'!$E$62:HLF62))</f>
        <v>0</v>
      </c>
      <c r="HLI62" s="962">
        <f>MIN(HLI60*$C$62,'Sources and Uses Budget'!$J$99-SUM('15 Year Pro Forma'!$E$62:HLH62))</f>
        <v>0</v>
      </c>
      <c r="HLK62" s="962">
        <f>MIN(HLK60*$C$62,'Sources and Uses Budget'!$J$99-SUM('15 Year Pro Forma'!$E$62:HLJ62))</f>
        <v>0</v>
      </c>
      <c r="HLM62" s="962">
        <f>MIN(HLM60*$C$62,'Sources and Uses Budget'!$J$99-SUM('15 Year Pro Forma'!$E$62:HLL62))</f>
        <v>0</v>
      </c>
      <c r="HLO62" s="962">
        <f>MIN(HLO60*$C$62,'Sources and Uses Budget'!$J$99-SUM('15 Year Pro Forma'!$E$62:HLN62))</f>
        <v>0</v>
      </c>
      <c r="HLQ62" s="962">
        <f>MIN(HLQ60*$C$62,'Sources and Uses Budget'!$J$99-SUM('15 Year Pro Forma'!$E$62:HLP62))</f>
        <v>0</v>
      </c>
      <c r="HLS62" s="962">
        <f>MIN(HLS60*$C$62,'Sources and Uses Budget'!$J$99-SUM('15 Year Pro Forma'!$E$62:HLR62))</f>
        <v>0</v>
      </c>
      <c r="HLU62" s="962">
        <f>MIN(HLU60*$C$62,'Sources and Uses Budget'!$J$99-SUM('15 Year Pro Forma'!$E$62:HLT62))</f>
        <v>0</v>
      </c>
      <c r="HLW62" s="962">
        <f>MIN(HLW60*$C$62,'Sources and Uses Budget'!$J$99-SUM('15 Year Pro Forma'!$E$62:HLV62))</f>
        <v>0</v>
      </c>
      <c r="HLY62" s="962">
        <f>MIN(HLY60*$C$62,'Sources and Uses Budget'!$J$99-SUM('15 Year Pro Forma'!$E$62:HLX62))</f>
        <v>0</v>
      </c>
      <c r="HMA62" s="962">
        <f>MIN(HMA60*$C$62,'Sources and Uses Budget'!$J$99-SUM('15 Year Pro Forma'!$E$62:HLZ62))</f>
        <v>0</v>
      </c>
      <c r="HMC62" s="962">
        <f>MIN(HMC60*$C$62,'Sources and Uses Budget'!$J$99-SUM('15 Year Pro Forma'!$E$62:HMB62))</f>
        <v>0</v>
      </c>
      <c r="HME62" s="962">
        <f>MIN(HME60*$C$62,'Sources and Uses Budget'!$J$99-SUM('15 Year Pro Forma'!$E$62:HMD62))</f>
        <v>0</v>
      </c>
      <c r="HMG62" s="962">
        <f>MIN(HMG60*$C$62,'Sources and Uses Budget'!$J$99-SUM('15 Year Pro Forma'!$E$62:HMF62))</f>
        <v>0</v>
      </c>
      <c r="HMI62" s="962">
        <f>MIN(HMI60*$C$62,'Sources and Uses Budget'!$J$99-SUM('15 Year Pro Forma'!$E$62:HMH62))</f>
        <v>0</v>
      </c>
      <c r="HMK62" s="962">
        <f>MIN(HMK60*$C$62,'Sources and Uses Budget'!$J$99-SUM('15 Year Pro Forma'!$E$62:HMJ62))</f>
        <v>0</v>
      </c>
      <c r="HMM62" s="962">
        <f>MIN(HMM60*$C$62,'Sources and Uses Budget'!$J$99-SUM('15 Year Pro Forma'!$E$62:HML62))</f>
        <v>0</v>
      </c>
      <c r="HMO62" s="962">
        <f>MIN(HMO60*$C$62,'Sources and Uses Budget'!$J$99-SUM('15 Year Pro Forma'!$E$62:HMN62))</f>
        <v>0</v>
      </c>
      <c r="HMQ62" s="962">
        <f>MIN(HMQ60*$C$62,'Sources and Uses Budget'!$J$99-SUM('15 Year Pro Forma'!$E$62:HMP62))</f>
        <v>0</v>
      </c>
      <c r="HMS62" s="962">
        <f>MIN(HMS60*$C$62,'Sources and Uses Budget'!$J$99-SUM('15 Year Pro Forma'!$E$62:HMR62))</f>
        <v>0</v>
      </c>
      <c r="HMU62" s="962">
        <f>MIN(HMU60*$C$62,'Sources and Uses Budget'!$J$99-SUM('15 Year Pro Forma'!$E$62:HMT62))</f>
        <v>0</v>
      </c>
      <c r="HMW62" s="962">
        <f>MIN(HMW60*$C$62,'Sources and Uses Budget'!$J$99-SUM('15 Year Pro Forma'!$E$62:HMV62))</f>
        <v>0</v>
      </c>
      <c r="HMY62" s="962">
        <f>MIN(HMY60*$C$62,'Sources and Uses Budget'!$J$99-SUM('15 Year Pro Forma'!$E$62:HMX62))</f>
        <v>0</v>
      </c>
      <c r="HNA62" s="962">
        <f>MIN(HNA60*$C$62,'Sources and Uses Budget'!$J$99-SUM('15 Year Pro Forma'!$E$62:HMZ62))</f>
        <v>0</v>
      </c>
      <c r="HNC62" s="962">
        <f>MIN(HNC60*$C$62,'Sources and Uses Budget'!$J$99-SUM('15 Year Pro Forma'!$E$62:HNB62))</f>
        <v>0</v>
      </c>
      <c r="HNE62" s="962">
        <f>MIN(HNE60*$C$62,'Sources and Uses Budget'!$J$99-SUM('15 Year Pro Forma'!$E$62:HND62))</f>
        <v>0</v>
      </c>
      <c r="HNG62" s="962">
        <f>MIN(HNG60*$C$62,'Sources and Uses Budget'!$J$99-SUM('15 Year Pro Forma'!$E$62:HNF62))</f>
        <v>0</v>
      </c>
      <c r="HNI62" s="962">
        <f>MIN(HNI60*$C$62,'Sources and Uses Budget'!$J$99-SUM('15 Year Pro Forma'!$E$62:HNH62))</f>
        <v>0</v>
      </c>
      <c r="HNK62" s="962">
        <f>MIN(HNK60*$C$62,'Sources and Uses Budget'!$J$99-SUM('15 Year Pro Forma'!$E$62:HNJ62))</f>
        <v>0</v>
      </c>
      <c r="HNM62" s="962">
        <f>MIN(HNM60*$C$62,'Sources and Uses Budget'!$J$99-SUM('15 Year Pro Forma'!$E$62:HNL62))</f>
        <v>0</v>
      </c>
      <c r="HNO62" s="962">
        <f>MIN(HNO60*$C$62,'Sources and Uses Budget'!$J$99-SUM('15 Year Pro Forma'!$E$62:HNN62))</f>
        <v>0</v>
      </c>
      <c r="HNQ62" s="962">
        <f>MIN(HNQ60*$C$62,'Sources and Uses Budget'!$J$99-SUM('15 Year Pro Forma'!$E$62:HNP62))</f>
        <v>0</v>
      </c>
      <c r="HNS62" s="962">
        <f>MIN(HNS60*$C$62,'Sources and Uses Budget'!$J$99-SUM('15 Year Pro Forma'!$E$62:HNR62))</f>
        <v>0</v>
      </c>
      <c r="HNU62" s="962">
        <f>MIN(HNU60*$C$62,'Sources and Uses Budget'!$J$99-SUM('15 Year Pro Forma'!$E$62:HNT62))</f>
        <v>0</v>
      </c>
      <c r="HNW62" s="962">
        <f>MIN(HNW60*$C$62,'Sources and Uses Budget'!$J$99-SUM('15 Year Pro Forma'!$E$62:HNV62))</f>
        <v>0</v>
      </c>
      <c r="HNY62" s="962">
        <f>MIN(HNY60*$C$62,'Sources and Uses Budget'!$J$99-SUM('15 Year Pro Forma'!$E$62:HNX62))</f>
        <v>0</v>
      </c>
      <c r="HOA62" s="962">
        <f>MIN(HOA60*$C$62,'Sources and Uses Budget'!$J$99-SUM('15 Year Pro Forma'!$E$62:HNZ62))</f>
        <v>0</v>
      </c>
      <c r="HOC62" s="962">
        <f>MIN(HOC60*$C$62,'Sources and Uses Budget'!$J$99-SUM('15 Year Pro Forma'!$E$62:HOB62))</f>
        <v>0</v>
      </c>
      <c r="HOE62" s="962">
        <f>MIN(HOE60*$C$62,'Sources and Uses Budget'!$J$99-SUM('15 Year Pro Forma'!$E$62:HOD62))</f>
        <v>0</v>
      </c>
      <c r="HOG62" s="962">
        <f>MIN(HOG60*$C$62,'Sources and Uses Budget'!$J$99-SUM('15 Year Pro Forma'!$E$62:HOF62))</f>
        <v>0</v>
      </c>
      <c r="HOI62" s="962">
        <f>MIN(HOI60*$C$62,'Sources and Uses Budget'!$J$99-SUM('15 Year Pro Forma'!$E$62:HOH62))</f>
        <v>0</v>
      </c>
      <c r="HOK62" s="962">
        <f>MIN(HOK60*$C$62,'Sources and Uses Budget'!$J$99-SUM('15 Year Pro Forma'!$E$62:HOJ62))</f>
        <v>0</v>
      </c>
      <c r="HOM62" s="962">
        <f>MIN(HOM60*$C$62,'Sources and Uses Budget'!$J$99-SUM('15 Year Pro Forma'!$E$62:HOL62))</f>
        <v>0</v>
      </c>
      <c r="HOO62" s="962">
        <f>MIN(HOO60*$C$62,'Sources and Uses Budget'!$J$99-SUM('15 Year Pro Forma'!$E$62:HON62))</f>
        <v>0</v>
      </c>
      <c r="HOQ62" s="962">
        <f>MIN(HOQ60*$C$62,'Sources and Uses Budget'!$J$99-SUM('15 Year Pro Forma'!$E$62:HOP62))</f>
        <v>0</v>
      </c>
      <c r="HOS62" s="962">
        <f>MIN(HOS60*$C$62,'Sources and Uses Budget'!$J$99-SUM('15 Year Pro Forma'!$E$62:HOR62))</f>
        <v>0</v>
      </c>
      <c r="HOU62" s="962">
        <f>MIN(HOU60*$C$62,'Sources and Uses Budget'!$J$99-SUM('15 Year Pro Forma'!$E$62:HOT62))</f>
        <v>0</v>
      </c>
      <c r="HOW62" s="962">
        <f>MIN(HOW60*$C$62,'Sources and Uses Budget'!$J$99-SUM('15 Year Pro Forma'!$E$62:HOV62))</f>
        <v>0</v>
      </c>
      <c r="HOY62" s="962">
        <f>MIN(HOY60*$C$62,'Sources and Uses Budget'!$J$99-SUM('15 Year Pro Forma'!$E$62:HOX62))</f>
        <v>0</v>
      </c>
      <c r="HPA62" s="962">
        <f>MIN(HPA60*$C$62,'Sources and Uses Budget'!$J$99-SUM('15 Year Pro Forma'!$E$62:HOZ62))</f>
        <v>0</v>
      </c>
      <c r="HPC62" s="962">
        <f>MIN(HPC60*$C$62,'Sources and Uses Budget'!$J$99-SUM('15 Year Pro Forma'!$E$62:HPB62))</f>
        <v>0</v>
      </c>
      <c r="HPE62" s="962">
        <f>MIN(HPE60*$C$62,'Sources and Uses Budget'!$J$99-SUM('15 Year Pro Forma'!$E$62:HPD62))</f>
        <v>0</v>
      </c>
      <c r="HPG62" s="962">
        <f>MIN(HPG60*$C$62,'Sources and Uses Budget'!$J$99-SUM('15 Year Pro Forma'!$E$62:HPF62))</f>
        <v>0</v>
      </c>
      <c r="HPI62" s="962">
        <f>MIN(HPI60*$C$62,'Sources and Uses Budget'!$J$99-SUM('15 Year Pro Forma'!$E$62:HPH62))</f>
        <v>0</v>
      </c>
      <c r="HPK62" s="962">
        <f>MIN(HPK60*$C$62,'Sources and Uses Budget'!$J$99-SUM('15 Year Pro Forma'!$E$62:HPJ62))</f>
        <v>0</v>
      </c>
      <c r="HPM62" s="962">
        <f>MIN(HPM60*$C$62,'Sources and Uses Budget'!$J$99-SUM('15 Year Pro Forma'!$E$62:HPL62))</f>
        <v>0</v>
      </c>
      <c r="HPO62" s="962">
        <f>MIN(HPO60*$C$62,'Sources and Uses Budget'!$J$99-SUM('15 Year Pro Forma'!$E$62:HPN62))</f>
        <v>0</v>
      </c>
      <c r="HPQ62" s="962">
        <f>MIN(HPQ60*$C$62,'Sources and Uses Budget'!$J$99-SUM('15 Year Pro Forma'!$E$62:HPP62))</f>
        <v>0</v>
      </c>
      <c r="HPS62" s="962">
        <f>MIN(HPS60*$C$62,'Sources and Uses Budget'!$J$99-SUM('15 Year Pro Forma'!$E$62:HPR62))</f>
        <v>0</v>
      </c>
      <c r="HPU62" s="962">
        <f>MIN(HPU60*$C$62,'Sources and Uses Budget'!$J$99-SUM('15 Year Pro Forma'!$E$62:HPT62))</f>
        <v>0</v>
      </c>
      <c r="HPW62" s="962">
        <f>MIN(HPW60*$C$62,'Sources and Uses Budget'!$J$99-SUM('15 Year Pro Forma'!$E$62:HPV62))</f>
        <v>0</v>
      </c>
      <c r="HPY62" s="962">
        <f>MIN(HPY60*$C$62,'Sources and Uses Budget'!$J$99-SUM('15 Year Pro Forma'!$E$62:HPX62))</f>
        <v>0</v>
      </c>
      <c r="HQA62" s="962">
        <f>MIN(HQA60*$C$62,'Sources and Uses Budget'!$J$99-SUM('15 Year Pro Forma'!$E$62:HPZ62))</f>
        <v>0</v>
      </c>
      <c r="HQC62" s="962">
        <f>MIN(HQC60*$C$62,'Sources and Uses Budget'!$J$99-SUM('15 Year Pro Forma'!$E$62:HQB62))</f>
        <v>0</v>
      </c>
      <c r="HQE62" s="962">
        <f>MIN(HQE60*$C$62,'Sources and Uses Budget'!$J$99-SUM('15 Year Pro Forma'!$E$62:HQD62))</f>
        <v>0</v>
      </c>
      <c r="HQG62" s="962">
        <f>MIN(HQG60*$C$62,'Sources and Uses Budget'!$J$99-SUM('15 Year Pro Forma'!$E$62:HQF62))</f>
        <v>0</v>
      </c>
      <c r="HQI62" s="962">
        <f>MIN(HQI60*$C$62,'Sources and Uses Budget'!$J$99-SUM('15 Year Pro Forma'!$E$62:HQH62))</f>
        <v>0</v>
      </c>
      <c r="HQK62" s="962">
        <f>MIN(HQK60*$C$62,'Sources and Uses Budget'!$J$99-SUM('15 Year Pro Forma'!$E$62:HQJ62))</f>
        <v>0</v>
      </c>
      <c r="HQM62" s="962">
        <f>MIN(HQM60*$C$62,'Sources and Uses Budget'!$J$99-SUM('15 Year Pro Forma'!$E$62:HQL62))</f>
        <v>0</v>
      </c>
      <c r="HQO62" s="962">
        <f>MIN(HQO60*$C$62,'Sources and Uses Budget'!$J$99-SUM('15 Year Pro Forma'!$E$62:HQN62))</f>
        <v>0</v>
      </c>
      <c r="HQQ62" s="962">
        <f>MIN(HQQ60*$C$62,'Sources and Uses Budget'!$J$99-SUM('15 Year Pro Forma'!$E$62:HQP62))</f>
        <v>0</v>
      </c>
      <c r="HQS62" s="962">
        <f>MIN(HQS60*$C$62,'Sources and Uses Budget'!$J$99-SUM('15 Year Pro Forma'!$E$62:HQR62))</f>
        <v>0</v>
      </c>
      <c r="HQU62" s="962">
        <f>MIN(HQU60*$C$62,'Sources and Uses Budget'!$J$99-SUM('15 Year Pro Forma'!$E$62:HQT62))</f>
        <v>0</v>
      </c>
      <c r="HQW62" s="962">
        <f>MIN(HQW60*$C$62,'Sources and Uses Budget'!$J$99-SUM('15 Year Pro Forma'!$E$62:HQV62))</f>
        <v>0</v>
      </c>
      <c r="HQY62" s="962">
        <f>MIN(HQY60*$C$62,'Sources and Uses Budget'!$J$99-SUM('15 Year Pro Forma'!$E$62:HQX62))</f>
        <v>0</v>
      </c>
      <c r="HRA62" s="962">
        <f>MIN(HRA60*$C$62,'Sources and Uses Budget'!$J$99-SUM('15 Year Pro Forma'!$E$62:HQZ62))</f>
        <v>0</v>
      </c>
      <c r="HRC62" s="962">
        <f>MIN(HRC60*$C$62,'Sources and Uses Budget'!$J$99-SUM('15 Year Pro Forma'!$E$62:HRB62))</f>
        <v>0</v>
      </c>
      <c r="HRE62" s="962">
        <f>MIN(HRE60*$C$62,'Sources and Uses Budget'!$J$99-SUM('15 Year Pro Forma'!$E$62:HRD62))</f>
        <v>0</v>
      </c>
      <c r="HRG62" s="962">
        <f>MIN(HRG60*$C$62,'Sources and Uses Budget'!$J$99-SUM('15 Year Pro Forma'!$E$62:HRF62))</f>
        <v>0</v>
      </c>
      <c r="HRI62" s="962">
        <f>MIN(HRI60*$C$62,'Sources and Uses Budget'!$J$99-SUM('15 Year Pro Forma'!$E$62:HRH62))</f>
        <v>0</v>
      </c>
      <c r="HRK62" s="962">
        <f>MIN(HRK60*$C$62,'Sources and Uses Budget'!$J$99-SUM('15 Year Pro Forma'!$E$62:HRJ62))</f>
        <v>0</v>
      </c>
      <c r="HRM62" s="962">
        <f>MIN(HRM60*$C$62,'Sources and Uses Budget'!$J$99-SUM('15 Year Pro Forma'!$E$62:HRL62))</f>
        <v>0</v>
      </c>
      <c r="HRO62" s="962">
        <f>MIN(HRO60*$C$62,'Sources and Uses Budget'!$J$99-SUM('15 Year Pro Forma'!$E$62:HRN62))</f>
        <v>0</v>
      </c>
      <c r="HRQ62" s="962">
        <f>MIN(HRQ60*$C$62,'Sources and Uses Budget'!$J$99-SUM('15 Year Pro Forma'!$E$62:HRP62))</f>
        <v>0</v>
      </c>
      <c r="HRS62" s="962">
        <f>MIN(HRS60*$C$62,'Sources and Uses Budget'!$J$99-SUM('15 Year Pro Forma'!$E$62:HRR62))</f>
        <v>0</v>
      </c>
      <c r="HRU62" s="962">
        <f>MIN(HRU60*$C$62,'Sources and Uses Budget'!$J$99-SUM('15 Year Pro Forma'!$E$62:HRT62))</f>
        <v>0</v>
      </c>
      <c r="HRW62" s="962">
        <f>MIN(HRW60*$C$62,'Sources and Uses Budget'!$J$99-SUM('15 Year Pro Forma'!$E$62:HRV62))</f>
        <v>0</v>
      </c>
      <c r="HRY62" s="962">
        <f>MIN(HRY60*$C$62,'Sources and Uses Budget'!$J$99-SUM('15 Year Pro Forma'!$E$62:HRX62))</f>
        <v>0</v>
      </c>
      <c r="HSA62" s="962">
        <f>MIN(HSA60*$C$62,'Sources and Uses Budget'!$J$99-SUM('15 Year Pro Forma'!$E$62:HRZ62))</f>
        <v>0</v>
      </c>
      <c r="HSC62" s="962">
        <f>MIN(HSC60*$C$62,'Sources and Uses Budget'!$J$99-SUM('15 Year Pro Forma'!$E$62:HSB62))</f>
        <v>0</v>
      </c>
      <c r="HSE62" s="962">
        <f>MIN(HSE60*$C$62,'Sources and Uses Budget'!$J$99-SUM('15 Year Pro Forma'!$E$62:HSD62))</f>
        <v>0</v>
      </c>
      <c r="HSG62" s="962">
        <f>MIN(HSG60*$C$62,'Sources and Uses Budget'!$J$99-SUM('15 Year Pro Forma'!$E$62:HSF62))</f>
        <v>0</v>
      </c>
      <c r="HSI62" s="962">
        <f>MIN(HSI60*$C$62,'Sources and Uses Budget'!$J$99-SUM('15 Year Pro Forma'!$E$62:HSH62))</f>
        <v>0</v>
      </c>
      <c r="HSK62" s="962">
        <f>MIN(HSK60*$C$62,'Sources and Uses Budget'!$J$99-SUM('15 Year Pro Forma'!$E$62:HSJ62))</f>
        <v>0</v>
      </c>
      <c r="HSM62" s="962">
        <f>MIN(HSM60*$C$62,'Sources and Uses Budget'!$J$99-SUM('15 Year Pro Forma'!$E$62:HSL62))</f>
        <v>0</v>
      </c>
      <c r="HSO62" s="962">
        <f>MIN(HSO60*$C$62,'Sources and Uses Budget'!$J$99-SUM('15 Year Pro Forma'!$E$62:HSN62))</f>
        <v>0</v>
      </c>
      <c r="HSQ62" s="962">
        <f>MIN(HSQ60*$C$62,'Sources and Uses Budget'!$J$99-SUM('15 Year Pro Forma'!$E$62:HSP62))</f>
        <v>0</v>
      </c>
      <c r="HSS62" s="962">
        <f>MIN(HSS60*$C$62,'Sources and Uses Budget'!$J$99-SUM('15 Year Pro Forma'!$E$62:HSR62))</f>
        <v>0</v>
      </c>
      <c r="HSU62" s="962">
        <f>MIN(HSU60*$C$62,'Sources and Uses Budget'!$J$99-SUM('15 Year Pro Forma'!$E$62:HST62))</f>
        <v>0</v>
      </c>
      <c r="HSW62" s="962">
        <f>MIN(HSW60*$C$62,'Sources and Uses Budget'!$J$99-SUM('15 Year Pro Forma'!$E$62:HSV62))</f>
        <v>0</v>
      </c>
      <c r="HSY62" s="962">
        <f>MIN(HSY60*$C$62,'Sources and Uses Budget'!$J$99-SUM('15 Year Pro Forma'!$E$62:HSX62))</f>
        <v>0</v>
      </c>
      <c r="HTA62" s="962">
        <f>MIN(HTA60*$C$62,'Sources and Uses Budget'!$J$99-SUM('15 Year Pro Forma'!$E$62:HSZ62))</f>
        <v>0</v>
      </c>
      <c r="HTC62" s="962">
        <f>MIN(HTC60*$C$62,'Sources and Uses Budget'!$J$99-SUM('15 Year Pro Forma'!$E$62:HTB62))</f>
        <v>0</v>
      </c>
      <c r="HTE62" s="962">
        <f>MIN(HTE60*$C$62,'Sources and Uses Budget'!$J$99-SUM('15 Year Pro Forma'!$E$62:HTD62))</f>
        <v>0</v>
      </c>
      <c r="HTG62" s="962">
        <f>MIN(HTG60*$C$62,'Sources and Uses Budget'!$J$99-SUM('15 Year Pro Forma'!$E$62:HTF62))</f>
        <v>0</v>
      </c>
      <c r="HTI62" s="962">
        <f>MIN(HTI60*$C$62,'Sources and Uses Budget'!$J$99-SUM('15 Year Pro Forma'!$E$62:HTH62))</f>
        <v>0</v>
      </c>
      <c r="HTK62" s="962">
        <f>MIN(HTK60*$C$62,'Sources and Uses Budget'!$J$99-SUM('15 Year Pro Forma'!$E$62:HTJ62))</f>
        <v>0</v>
      </c>
      <c r="HTM62" s="962">
        <f>MIN(HTM60*$C$62,'Sources and Uses Budget'!$J$99-SUM('15 Year Pro Forma'!$E$62:HTL62))</f>
        <v>0</v>
      </c>
      <c r="HTO62" s="962">
        <f>MIN(HTO60*$C$62,'Sources and Uses Budget'!$J$99-SUM('15 Year Pro Forma'!$E$62:HTN62))</f>
        <v>0</v>
      </c>
      <c r="HTQ62" s="962">
        <f>MIN(HTQ60*$C$62,'Sources and Uses Budget'!$J$99-SUM('15 Year Pro Forma'!$E$62:HTP62))</f>
        <v>0</v>
      </c>
      <c r="HTS62" s="962">
        <f>MIN(HTS60*$C$62,'Sources and Uses Budget'!$J$99-SUM('15 Year Pro Forma'!$E$62:HTR62))</f>
        <v>0</v>
      </c>
      <c r="HTU62" s="962">
        <f>MIN(HTU60*$C$62,'Sources and Uses Budget'!$J$99-SUM('15 Year Pro Forma'!$E$62:HTT62))</f>
        <v>0</v>
      </c>
      <c r="HTW62" s="962">
        <f>MIN(HTW60*$C$62,'Sources and Uses Budget'!$J$99-SUM('15 Year Pro Forma'!$E$62:HTV62))</f>
        <v>0</v>
      </c>
      <c r="HTY62" s="962">
        <f>MIN(HTY60*$C$62,'Sources and Uses Budget'!$J$99-SUM('15 Year Pro Forma'!$E$62:HTX62))</f>
        <v>0</v>
      </c>
      <c r="HUA62" s="962">
        <f>MIN(HUA60*$C$62,'Sources and Uses Budget'!$J$99-SUM('15 Year Pro Forma'!$E$62:HTZ62))</f>
        <v>0</v>
      </c>
      <c r="HUC62" s="962">
        <f>MIN(HUC60*$C$62,'Sources and Uses Budget'!$J$99-SUM('15 Year Pro Forma'!$E$62:HUB62))</f>
        <v>0</v>
      </c>
      <c r="HUE62" s="962">
        <f>MIN(HUE60*$C$62,'Sources and Uses Budget'!$J$99-SUM('15 Year Pro Forma'!$E$62:HUD62))</f>
        <v>0</v>
      </c>
      <c r="HUG62" s="962">
        <f>MIN(HUG60*$C$62,'Sources and Uses Budget'!$J$99-SUM('15 Year Pro Forma'!$E$62:HUF62))</f>
        <v>0</v>
      </c>
      <c r="HUI62" s="962">
        <f>MIN(HUI60*$C$62,'Sources and Uses Budget'!$J$99-SUM('15 Year Pro Forma'!$E$62:HUH62))</f>
        <v>0</v>
      </c>
      <c r="HUK62" s="962">
        <f>MIN(HUK60*$C$62,'Sources and Uses Budget'!$J$99-SUM('15 Year Pro Forma'!$E$62:HUJ62))</f>
        <v>0</v>
      </c>
      <c r="HUM62" s="962">
        <f>MIN(HUM60*$C$62,'Sources and Uses Budget'!$J$99-SUM('15 Year Pro Forma'!$E$62:HUL62))</f>
        <v>0</v>
      </c>
      <c r="HUO62" s="962">
        <f>MIN(HUO60*$C$62,'Sources and Uses Budget'!$J$99-SUM('15 Year Pro Forma'!$E$62:HUN62))</f>
        <v>0</v>
      </c>
      <c r="HUQ62" s="962">
        <f>MIN(HUQ60*$C$62,'Sources and Uses Budget'!$J$99-SUM('15 Year Pro Forma'!$E$62:HUP62))</f>
        <v>0</v>
      </c>
      <c r="HUS62" s="962">
        <f>MIN(HUS60*$C$62,'Sources and Uses Budget'!$J$99-SUM('15 Year Pro Forma'!$E$62:HUR62))</f>
        <v>0</v>
      </c>
      <c r="HUU62" s="962">
        <f>MIN(HUU60*$C$62,'Sources and Uses Budget'!$J$99-SUM('15 Year Pro Forma'!$E$62:HUT62))</f>
        <v>0</v>
      </c>
      <c r="HUW62" s="962">
        <f>MIN(HUW60*$C$62,'Sources and Uses Budget'!$J$99-SUM('15 Year Pro Forma'!$E$62:HUV62))</f>
        <v>0</v>
      </c>
      <c r="HUY62" s="962">
        <f>MIN(HUY60*$C$62,'Sources and Uses Budget'!$J$99-SUM('15 Year Pro Forma'!$E$62:HUX62))</f>
        <v>0</v>
      </c>
      <c r="HVA62" s="962">
        <f>MIN(HVA60*$C$62,'Sources and Uses Budget'!$J$99-SUM('15 Year Pro Forma'!$E$62:HUZ62))</f>
        <v>0</v>
      </c>
      <c r="HVC62" s="962">
        <f>MIN(HVC60*$C$62,'Sources and Uses Budget'!$J$99-SUM('15 Year Pro Forma'!$E$62:HVB62))</f>
        <v>0</v>
      </c>
      <c r="HVE62" s="962">
        <f>MIN(HVE60*$C$62,'Sources and Uses Budget'!$J$99-SUM('15 Year Pro Forma'!$E$62:HVD62))</f>
        <v>0</v>
      </c>
      <c r="HVG62" s="962">
        <f>MIN(HVG60*$C$62,'Sources and Uses Budget'!$J$99-SUM('15 Year Pro Forma'!$E$62:HVF62))</f>
        <v>0</v>
      </c>
      <c r="HVI62" s="962">
        <f>MIN(HVI60*$C$62,'Sources and Uses Budget'!$J$99-SUM('15 Year Pro Forma'!$E$62:HVH62))</f>
        <v>0</v>
      </c>
      <c r="HVK62" s="962">
        <f>MIN(HVK60*$C$62,'Sources and Uses Budget'!$J$99-SUM('15 Year Pro Forma'!$E$62:HVJ62))</f>
        <v>0</v>
      </c>
      <c r="HVM62" s="962">
        <f>MIN(HVM60*$C$62,'Sources and Uses Budget'!$J$99-SUM('15 Year Pro Forma'!$E$62:HVL62))</f>
        <v>0</v>
      </c>
      <c r="HVO62" s="962">
        <f>MIN(HVO60*$C$62,'Sources and Uses Budget'!$J$99-SUM('15 Year Pro Forma'!$E$62:HVN62))</f>
        <v>0</v>
      </c>
      <c r="HVQ62" s="962">
        <f>MIN(HVQ60*$C$62,'Sources and Uses Budget'!$J$99-SUM('15 Year Pro Forma'!$E$62:HVP62))</f>
        <v>0</v>
      </c>
      <c r="HVS62" s="962">
        <f>MIN(HVS60*$C$62,'Sources and Uses Budget'!$J$99-SUM('15 Year Pro Forma'!$E$62:HVR62))</f>
        <v>0</v>
      </c>
      <c r="HVU62" s="962">
        <f>MIN(HVU60*$C$62,'Sources and Uses Budget'!$J$99-SUM('15 Year Pro Forma'!$E$62:HVT62))</f>
        <v>0</v>
      </c>
      <c r="HVW62" s="962">
        <f>MIN(HVW60*$C$62,'Sources and Uses Budget'!$J$99-SUM('15 Year Pro Forma'!$E$62:HVV62))</f>
        <v>0</v>
      </c>
      <c r="HVY62" s="962">
        <f>MIN(HVY60*$C$62,'Sources and Uses Budget'!$J$99-SUM('15 Year Pro Forma'!$E$62:HVX62))</f>
        <v>0</v>
      </c>
      <c r="HWA62" s="962">
        <f>MIN(HWA60*$C$62,'Sources and Uses Budget'!$J$99-SUM('15 Year Pro Forma'!$E$62:HVZ62))</f>
        <v>0</v>
      </c>
      <c r="HWC62" s="962">
        <f>MIN(HWC60*$C$62,'Sources and Uses Budget'!$J$99-SUM('15 Year Pro Forma'!$E$62:HWB62))</f>
        <v>0</v>
      </c>
      <c r="HWE62" s="962">
        <f>MIN(HWE60*$C$62,'Sources and Uses Budget'!$J$99-SUM('15 Year Pro Forma'!$E$62:HWD62))</f>
        <v>0</v>
      </c>
      <c r="HWG62" s="962">
        <f>MIN(HWG60*$C$62,'Sources and Uses Budget'!$J$99-SUM('15 Year Pro Forma'!$E$62:HWF62))</f>
        <v>0</v>
      </c>
      <c r="HWI62" s="962">
        <f>MIN(HWI60*$C$62,'Sources and Uses Budget'!$J$99-SUM('15 Year Pro Forma'!$E$62:HWH62))</f>
        <v>0</v>
      </c>
      <c r="HWK62" s="962">
        <f>MIN(HWK60*$C$62,'Sources and Uses Budget'!$J$99-SUM('15 Year Pro Forma'!$E$62:HWJ62))</f>
        <v>0</v>
      </c>
      <c r="HWM62" s="962">
        <f>MIN(HWM60*$C$62,'Sources and Uses Budget'!$J$99-SUM('15 Year Pro Forma'!$E$62:HWL62))</f>
        <v>0</v>
      </c>
      <c r="HWO62" s="962">
        <f>MIN(HWO60*$C$62,'Sources and Uses Budget'!$J$99-SUM('15 Year Pro Forma'!$E$62:HWN62))</f>
        <v>0</v>
      </c>
      <c r="HWQ62" s="962">
        <f>MIN(HWQ60*$C$62,'Sources and Uses Budget'!$J$99-SUM('15 Year Pro Forma'!$E$62:HWP62))</f>
        <v>0</v>
      </c>
      <c r="HWS62" s="962">
        <f>MIN(HWS60*$C$62,'Sources and Uses Budget'!$J$99-SUM('15 Year Pro Forma'!$E$62:HWR62))</f>
        <v>0</v>
      </c>
      <c r="HWU62" s="962">
        <f>MIN(HWU60*$C$62,'Sources and Uses Budget'!$J$99-SUM('15 Year Pro Forma'!$E$62:HWT62))</f>
        <v>0</v>
      </c>
      <c r="HWW62" s="962">
        <f>MIN(HWW60*$C$62,'Sources and Uses Budget'!$J$99-SUM('15 Year Pro Forma'!$E$62:HWV62))</f>
        <v>0</v>
      </c>
      <c r="HWY62" s="962">
        <f>MIN(HWY60*$C$62,'Sources and Uses Budget'!$J$99-SUM('15 Year Pro Forma'!$E$62:HWX62))</f>
        <v>0</v>
      </c>
      <c r="HXA62" s="962">
        <f>MIN(HXA60*$C$62,'Sources and Uses Budget'!$J$99-SUM('15 Year Pro Forma'!$E$62:HWZ62))</f>
        <v>0</v>
      </c>
      <c r="HXC62" s="962">
        <f>MIN(HXC60*$C$62,'Sources and Uses Budget'!$J$99-SUM('15 Year Pro Forma'!$E$62:HXB62))</f>
        <v>0</v>
      </c>
      <c r="HXE62" s="962">
        <f>MIN(HXE60*$C$62,'Sources and Uses Budget'!$J$99-SUM('15 Year Pro Forma'!$E$62:HXD62))</f>
        <v>0</v>
      </c>
      <c r="HXG62" s="962">
        <f>MIN(HXG60*$C$62,'Sources and Uses Budget'!$J$99-SUM('15 Year Pro Forma'!$E$62:HXF62))</f>
        <v>0</v>
      </c>
      <c r="HXI62" s="962">
        <f>MIN(HXI60*$C$62,'Sources and Uses Budget'!$J$99-SUM('15 Year Pro Forma'!$E$62:HXH62))</f>
        <v>0</v>
      </c>
      <c r="HXK62" s="962">
        <f>MIN(HXK60*$C$62,'Sources and Uses Budget'!$J$99-SUM('15 Year Pro Forma'!$E$62:HXJ62))</f>
        <v>0</v>
      </c>
      <c r="HXM62" s="962">
        <f>MIN(HXM60*$C$62,'Sources and Uses Budget'!$J$99-SUM('15 Year Pro Forma'!$E$62:HXL62))</f>
        <v>0</v>
      </c>
      <c r="HXO62" s="962">
        <f>MIN(HXO60*$C$62,'Sources and Uses Budget'!$J$99-SUM('15 Year Pro Forma'!$E$62:HXN62))</f>
        <v>0</v>
      </c>
      <c r="HXQ62" s="962">
        <f>MIN(HXQ60*$C$62,'Sources and Uses Budget'!$J$99-SUM('15 Year Pro Forma'!$E$62:HXP62))</f>
        <v>0</v>
      </c>
      <c r="HXS62" s="962">
        <f>MIN(HXS60*$C$62,'Sources and Uses Budget'!$J$99-SUM('15 Year Pro Forma'!$E$62:HXR62))</f>
        <v>0</v>
      </c>
      <c r="HXU62" s="962">
        <f>MIN(HXU60*$C$62,'Sources and Uses Budget'!$J$99-SUM('15 Year Pro Forma'!$E$62:HXT62))</f>
        <v>0</v>
      </c>
      <c r="HXW62" s="962">
        <f>MIN(HXW60*$C$62,'Sources and Uses Budget'!$J$99-SUM('15 Year Pro Forma'!$E$62:HXV62))</f>
        <v>0</v>
      </c>
      <c r="HXY62" s="962">
        <f>MIN(HXY60*$C$62,'Sources and Uses Budget'!$J$99-SUM('15 Year Pro Forma'!$E$62:HXX62))</f>
        <v>0</v>
      </c>
      <c r="HYA62" s="962">
        <f>MIN(HYA60*$C$62,'Sources and Uses Budget'!$J$99-SUM('15 Year Pro Forma'!$E$62:HXZ62))</f>
        <v>0</v>
      </c>
      <c r="HYC62" s="962">
        <f>MIN(HYC60*$C$62,'Sources and Uses Budget'!$J$99-SUM('15 Year Pro Forma'!$E$62:HYB62))</f>
        <v>0</v>
      </c>
      <c r="HYE62" s="962">
        <f>MIN(HYE60*$C$62,'Sources and Uses Budget'!$J$99-SUM('15 Year Pro Forma'!$E$62:HYD62))</f>
        <v>0</v>
      </c>
      <c r="HYG62" s="962">
        <f>MIN(HYG60*$C$62,'Sources and Uses Budget'!$J$99-SUM('15 Year Pro Forma'!$E$62:HYF62))</f>
        <v>0</v>
      </c>
      <c r="HYI62" s="962">
        <f>MIN(HYI60*$C$62,'Sources and Uses Budget'!$J$99-SUM('15 Year Pro Forma'!$E$62:HYH62))</f>
        <v>0</v>
      </c>
      <c r="HYK62" s="962">
        <f>MIN(HYK60*$C$62,'Sources and Uses Budget'!$J$99-SUM('15 Year Pro Forma'!$E$62:HYJ62))</f>
        <v>0</v>
      </c>
      <c r="HYM62" s="962">
        <f>MIN(HYM60*$C$62,'Sources and Uses Budget'!$J$99-SUM('15 Year Pro Forma'!$E$62:HYL62))</f>
        <v>0</v>
      </c>
      <c r="HYO62" s="962">
        <f>MIN(HYO60*$C$62,'Sources and Uses Budget'!$J$99-SUM('15 Year Pro Forma'!$E$62:HYN62))</f>
        <v>0</v>
      </c>
      <c r="HYQ62" s="962">
        <f>MIN(HYQ60*$C$62,'Sources and Uses Budget'!$J$99-SUM('15 Year Pro Forma'!$E$62:HYP62))</f>
        <v>0</v>
      </c>
      <c r="HYS62" s="962">
        <f>MIN(HYS60*$C$62,'Sources and Uses Budget'!$J$99-SUM('15 Year Pro Forma'!$E$62:HYR62))</f>
        <v>0</v>
      </c>
      <c r="HYU62" s="962">
        <f>MIN(HYU60*$C$62,'Sources and Uses Budget'!$J$99-SUM('15 Year Pro Forma'!$E$62:HYT62))</f>
        <v>0</v>
      </c>
      <c r="HYW62" s="962">
        <f>MIN(HYW60*$C$62,'Sources and Uses Budget'!$J$99-SUM('15 Year Pro Forma'!$E$62:HYV62))</f>
        <v>0</v>
      </c>
      <c r="HYY62" s="962">
        <f>MIN(HYY60*$C$62,'Sources and Uses Budget'!$J$99-SUM('15 Year Pro Forma'!$E$62:HYX62))</f>
        <v>0</v>
      </c>
      <c r="HZA62" s="962">
        <f>MIN(HZA60*$C$62,'Sources and Uses Budget'!$J$99-SUM('15 Year Pro Forma'!$E$62:HYZ62))</f>
        <v>0</v>
      </c>
      <c r="HZC62" s="962">
        <f>MIN(HZC60*$C$62,'Sources and Uses Budget'!$J$99-SUM('15 Year Pro Forma'!$E$62:HZB62))</f>
        <v>0</v>
      </c>
      <c r="HZE62" s="962">
        <f>MIN(HZE60*$C$62,'Sources and Uses Budget'!$J$99-SUM('15 Year Pro Forma'!$E$62:HZD62))</f>
        <v>0</v>
      </c>
      <c r="HZG62" s="962">
        <f>MIN(HZG60*$C$62,'Sources and Uses Budget'!$J$99-SUM('15 Year Pro Forma'!$E$62:HZF62))</f>
        <v>0</v>
      </c>
      <c r="HZI62" s="962">
        <f>MIN(HZI60*$C$62,'Sources and Uses Budget'!$J$99-SUM('15 Year Pro Forma'!$E$62:HZH62))</f>
        <v>0</v>
      </c>
      <c r="HZK62" s="962">
        <f>MIN(HZK60*$C$62,'Sources and Uses Budget'!$J$99-SUM('15 Year Pro Forma'!$E$62:HZJ62))</f>
        <v>0</v>
      </c>
      <c r="HZM62" s="962">
        <f>MIN(HZM60*$C$62,'Sources and Uses Budget'!$J$99-SUM('15 Year Pro Forma'!$E$62:HZL62))</f>
        <v>0</v>
      </c>
      <c r="HZO62" s="962">
        <f>MIN(HZO60*$C$62,'Sources and Uses Budget'!$J$99-SUM('15 Year Pro Forma'!$E$62:HZN62))</f>
        <v>0</v>
      </c>
      <c r="HZQ62" s="962">
        <f>MIN(HZQ60*$C$62,'Sources and Uses Budget'!$J$99-SUM('15 Year Pro Forma'!$E$62:HZP62))</f>
        <v>0</v>
      </c>
      <c r="HZS62" s="962">
        <f>MIN(HZS60*$C$62,'Sources and Uses Budget'!$J$99-SUM('15 Year Pro Forma'!$E$62:HZR62))</f>
        <v>0</v>
      </c>
      <c r="HZU62" s="962">
        <f>MIN(HZU60*$C$62,'Sources and Uses Budget'!$J$99-SUM('15 Year Pro Forma'!$E$62:HZT62))</f>
        <v>0</v>
      </c>
      <c r="HZW62" s="962">
        <f>MIN(HZW60*$C$62,'Sources and Uses Budget'!$J$99-SUM('15 Year Pro Forma'!$E$62:HZV62))</f>
        <v>0</v>
      </c>
      <c r="HZY62" s="962">
        <f>MIN(HZY60*$C$62,'Sources and Uses Budget'!$J$99-SUM('15 Year Pro Forma'!$E$62:HZX62))</f>
        <v>0</v>
      </c>
      <c r="IAA62" s="962">
        <f>MIN(IAA60*$C$62,'Sources and Uses Budget'!$J$99-SUM('15 Year Pro Forma'!$E$62:HZZ62))</f>
        <v>0</v>
      </c>
      <c r="IAC62" s="962">
        <f>MIN(IAC60*$C$62,'Sources and Uses Budget'!$J$99-SUM('15 Year Pro Forma'!$E$62:IAB62))</f>
        <v>0</v>
      </c>
      <c r="IAE62" s="962">
        <f>MIN(IAE60*$C$62,'Sources and Uses Budget'!$J$99-SUM('15 Year Pro Forma'!$E$62:IAD62))</f>
        <v>0</v>
      </c>
      <c r="IAG62" s="962">
        <f>MIN(IAG60*$C$62,'Sources and Uses Budget'!$J$99-SUM('15 Year Pro Forma'!$E$62:IAF62))</f>
        <v>0</v>
      </c>
      <c r="IAI62" s="962">
        <f>MIN(IAI60*$C$62,'Sources and Uses Budget'!$J$99-SUM('15 Year Pro Forma'!$E$62:IAH62))</f>
        <v>0</v>
      </c>
      <c r="IAK62" s="962">
        <f>MIN(IAK60*$C$62,'Sources and Uses Budget'!$J$99-SUM('15 Year Pro Forma'!$E$62:IAJ62))</f>
        <v>0</v>
      </c>
      <c r="IAM62" s="962">
        <f>MIN(IAM60*$C$62,'Sources and Uses Budget'!$J$99-SUM('15 Year Pro Forma'!$E$62:IAL62))</f>
        <v>0</v>
      </c>
      <c r="IAO62" s="962">
        <f>MIN(IAO60*$C$62,'Sources and Uses Budget'!$J$99-SUM('15 Year Pro Forma'!$E$62:IAN62))</f>
        <v>0</v>
      </c>
      <c r="IAQ62" s="962">
        <f>MIN(IAQ60*$C$62,'Sources and Uses Budget'!$J$99-SUM('15 Year Pro Forma'!$E$62:IAP62))</f>
        <v>0</v>
      </c>
      <c r="IAS62" s="962">
        <f>MIN(IAS60*$C$62,'Sources and Uses Budget'!$J$99-SUM('15 Year Pro Forma'!$E$62:IAR62))</f>
        <v>0</v>
      </c>
      <c r="IAU62" s="962">
        <f>MIN(IAU60*$C$62,'Sources and Uses Budget'!$J$99-SUM('15 Year Pro Forma'!$E$62:IAT62))</f>
        <v>0</v>
      </c>
      <c r="IAW62" s="962">
        <f>MIN(IAW60*$C$62,'Sources and Uses Budget'!$J$99-SUM('15 Year Pro Forma'!$E$62:IAV62))</f>
        <v>0</v>
      </c>
      <c r="IAY62" s="962">
        <f>MIN(IAY60*$C$62,'Sources and Uses Budget'!$J$99-SUM('15 Year Pro Forma'!$E$62:IAX62))</f>
        <v>0</v>
      </c>
      <c r="IBA62" s="962">
        <f>MIN(IBA60*$C$62,'Sources and Uses Budget'!$J$99-SUM('15 Year Pro Forma'!$E$62:IAZ62))</f>
        <v>0</v>
      </c>
      <c r="IBC62" s="962">
        <f>MIN(IBC60*$C$62,'Sources and Uses Budget'!$J$99-SUM('15 Year Pro Forma'!$E$62:IBB62))</f>
        <v>0</v>
      </c>
      <c r="IBE62" s="962">
        <f>MIN(IBE60*$C$62,'Sources and Uses Budget'!$J$99-SUM('15 Year Pro Forma'!$E$62:IBD62))</f>
        <v>0</v>
      </c>
      <c r="IBG62" s="962">
        <f>MIN(IBG60*$C$62,'Sources and Uses Budget'!$J$99-SUM('15 Year Pro Forma'!$E$62:IBF62))</f>
        <v>0</v>
      </c>
      <c r="IBI62" s="962">
        <f>MIN(IBI60*$C$62,'Sources and Uses Budget'!$J$99-SUM('15 Year Pro Forma'!$E$62:IBH62))</f>
        <v>0</v>
      </c>
      <c r="IBK62" s="962">
        <f>MIN(IBK60*$C$62,'Sources and Uses Budget'!$J$99-SUM('15 Year Pro Forma'!$E$62:IBJ62))</f>
        <v>0</v>
      </c>
      <c r="IBM62" s="962">
        <f>MIN(IBM60*$C$62,'Sources and Uses Budget'!$J$99-SUM('15 Year Pro Forma'!$E$62:IBL62))</f>
        <v>0</v>
      </c>
      <c r="IBO62" s="962">
        <f>MIN(IBO60*$C$62,'Sources and Uses Budget'!$J$99-SUM('15 Year Pro Forma'!$E$62:IBN62))</f>
        <v>0</v>
      </c>
      <c r="IBQ62" s="962">
        <f>MIN(IBQ60*$C$62,'Sources and Uses Budget'!$J$99-SUM('15 Year Pro Forma'!$E$62:IBP62))</f>
        <v>0</v>
      </c>
      <c r="IBS62" s="962">
        <f>MIN(IBS60*$C$62,'Sources and Uses Budget'!$J$99-SUM('15 Year Pro Forma'!$E$62:IBR62))</f>
        <v>0</v>
      </c>
      <c r="IBU62" s="962">
        <f>MIN(IBU60*$C$62,'Sources and Uses Budget'!$J$99-SUM('15 Year Pro Forma'!$E$62:IBT62))</f>
        <v>0</v>
      </c>
      <c r="IBW62" s="962">
        <f>MIN(IBW60*$C$62,'Sources and Uses Budget'!$J$99-SUM('15 Year Pro Forma'!$E$62:IBV62))</f>
        <v>0</v>
      </c>
      <c r="IBY62" s="962">
        <f>MIN(IBY60*$C$62,'Sources and Uses Budget'!$J$99-SUM('15 Year Pro Forma'!$E$62:IBX62))</f>
        <v>0</v>
      </c>
      <c r="ICA62" s="962">
        <f>MIN(ICA60*$C$62,'Sources and Uses Budget'!$J$99-SUM('15 Year Pro Forma'!$E$62:IBZ62))</f>
        <v>0</v>
      </c>
      <c r="ICC62" s="962">
        <f>MIN(ICC60*$C$62,'Sources and Uses Budget'!$J$99-SUM('15 Year Pro Forma'!$E$62:ICB62))</f>
        <v>0</v>
      </c>
      <c r="ICE62" s="962">
        <f>MIN(ICE60*$C$62,'Sources and Uses Budget'!$J$99-SUM('15 Year Pro Forma'!$E$62:ICD62))</f>
        <v>0</v>
      </c>
      <c r="ICG62" s="962">
        <f>MIN(ICG60*$C$62,'Sources and Uses Budget'!$J$99-SUM('15 Year Pro Forma'!$E$62:ICF62))</f>
        <v>0</v>
      </c>
      <c r="ICI62" s="962">
        <f>MIN(ICI60*$C$62,'Sources and Uses Budget'!$J$99-SUM('15 Year Pro Forma'!$E$62:ICH62))</f>
        <v>0</v>
      </c>
      <c r="ICK62" s="962">
        <f>MIN(ICK60*$C$62,'Sources and Uses Budget'!$J$99-SUM('15 Year Pro Forma'!$E$62:ICJ62))</f>
        <v>0</v>
      </c>
      <c r="ICM62" s="962">
        <f>MIN(ICM60*$C$62,'Sources and Uses Budget'!$J$99-SUM('15 Year Pro Forma'!$E$62:ICL62))</f>
        <v>0</v>
      </c>
      <c r="ICO62" s="962">
        <f>MIN(ICO60*$C$62,'Sources and Uses Budget'!$J$99-SUM('15 Year Pro Forma'!$E$62:ICN62))</f>
        <v>0</v>
      </c>
      <c r="ICQ62" s="962">
        <f>MIN(ICQ60*$C$62,'Sources and Uses Budget'!$J$99-SUM('15 Year Pro Forma'!$E$62:ICP62))</f>
        <v>0</v>
      </c>
      <c r="ICS62" s="962">
        <f>MIN(ICS60*$C$62,'Sources and Uses Budget'!$J$99-SUM('15 Year Pro Forma'!$E$62:ICR62))</f>
        <v>0</v>
      </c>
      <c r="ICU62" s="962">
        <f>MIN(ICU60*$C$62,'Sources and Uses Budget'!$J$99-SUM('15 Year Pro Forma'!$E$62:ICT62))</f>
        <v>0</v>
      </c>
      <c r="ICW62" s="962">
        <f>MIN(ICW60*$C$62,'Sources and Uses Budget'!$J$99-SUM('15 Year Pro Forma'!$E$62:ICV62))</f>
        <v>0</v>
      </c>
      <c r="ICY62" s="962">
        <f>MIN(ICY60*$C$62,'Sources and Uses Budget'!$J$99-SUM('15 Year Pro Forma'!$E$62:ICX62))</f>
        <v>0</v>
      </c>
      <c r="IDA62" s="962">
        <f>MIN(IDA60*$C$62,'Sources and Uses Budget'!$J$99-SUM('15 Year Pro Forma'!$E$62:ICZ62))</f>
        <v>0</v>
      </c>
      <c r="IDC62" s="962">
        <f>MIN(IDC60*$C$62,'Sources and Uses Budget'!$J$99-SUM('15 Year Pro Forma'!$E$62:IDB62))</f>
        <v>0</v>
      </c>
      <c r="IDE62" s="962">
        <f>MIN(IDE60*$C$62,'Sources and Uses Budget'!$J$99-SUM('15 Year Pro Forma'!$E$62:IDD62))</f>
        <v>0</v>
      </c>
      <c r="IDG62" s="962">
        <f>MIN(IDG60*$C$62,'Sources and Uses Budget'!$J$99-SUM('15 Year Pro Forma'!$E$62:IDF62))</f>
        <v>0</v>
      </c>
      <c r="IDI62" s="962">
        <f>MIN(IDI60*$C$62,'Sources and Uses Budget'!$J$99-SUM('15 Year Pro Forma'!$E$62:IDH62))</f>
        <v>0</v>
      </c>
      <c r="IDK62" s="962">
        <f>MIN(IDK60*$C$62,'Sources and Uses Budget'!$J$99-SUM('15 Year Pro Forma'!$E$62:IDJ62))</f>
        <v>0</v>
      </c>
      <c r="IDM62" s="962">
        <f>MIN(IDM60*$C$62,'Sources and Uses Budget'!$J$99-SUM('15 Year Pro Forma'!$E$62:IDL62))</f>
        <v>0</v>
      </c>
      <c r="IDO62" s="962">
        <f>MIN(IDO60*$C$62,'Sources and Uses Budget'!$J$99-SUM('15 Year Pro Forma'!$E$62:IDN62))</f>
        <v>0</v>
      </c>
      <c r="IDQ62" s="962">
        <f>MIN(IDQ60*$C$62,'Sources and Uses Budget'!$J$99-SUM('15 Year Pro Forma'!$E$62:IDP62))</f>
        <v>0</v>
      </c>
      <c r="IDS62" s="962">
        <f>MIN(IDS60*$C$62,'Sources and Uses Budget'!$J$99-SUM('15 Year Pro Forma'!$E$62:IDR62))</f>
        <v>0</v>
      </c>
      <c r="IDU62" s="962">
        <f>MIN(IDU60*$C$62,'Sources and Uses Budget'!$J$99-SUM('15 Year Pro Forma'!$E$62:IDT62))</f>
        <v>0</v>
      </c>
      <c r="IDW62" s="962">
        <f>MIN(IDW60*$C$62,'Sources and Uses Budget'!$J$99-SUM('15 Year Pro Forma'!$E$62:IDV62))</f>
        <v>0</v>
      </c>
      <c r="IDY62" s="962">
        <f>MIN(IDY60*$C$62,'Sources and Uses Budget'!$J$99-SUM('15 Year Pro Forma'!$E$62:IDX62))</f>
        <v>0</v>
      </c>
      <c r="IEA62" s="962">
        <f>MIN(IEA60*$C$62,'Sources and Uses Budget'!$J$99-SUM('15 Year Pro Forma'!$E$62:IDZ62))</f>
        <v>0</v>
      </c>
      <c r="IEC62" s="962">
        <f>MIN(IEC60*$C$62,'Sources and Uses Budget'!$J$99-SUM('15 Year Pro Forma'!$E$62:IEB62))</f>
        <v>0</v>
      </c>
      <c r="IEE62" s="962">
        <f>MIN(IEE60*$C$62,'Sources and Uses Budget'!$J$99-SUM('15 Year Pro Forma'!$E$62:IED62))</f>
        <v>0</v>
      </c>
      <c r="IEG62" s="962">
        <f>MIN(IEG60*$C$62,'Sources and Uses Budget'!$J$99-SUM('15 Year Pro Forma'!$E$62:IEF62))</f>
        <v>0</v>
      </c>
      <c r="IEI62" s="962">
        <f>MIN(IEI60*$C$62,'Sources and Uses Budget'!$J$99-SUM('15 Year Pro Forma'!$E$62:IEH62))</f>
        <v>0</v>
      </c>
      <c r="IEK62" s="962">
        <f>MIN(IEK60*$C$62,'Sources and Uses Budget'!$J$99-SUM('15 Year Pro Forma'!$E$62:IEJ62))</f>
        <v>0</v>
      </c>
      <c r="IEM62" s="962">
        <f>MIN(IEM60*$C$62,'Sources and Uses Budget'!$J$99-SUM('15 Year Pro Forma'!$E$62:IEL62))</f>
        <v>0</v>
      </c>
      <c r="IEO62" s="962">
        <f>MIN(IEO60*$C$62,'Sources and Uses Budget'!$J$99-SUM('15 Year Pro Forma'!$E$62:IEN62))</f>
        <v>0</v>
      </c>
      <c r="IEQ62" s="962">
        <f>MIN(IEQ60*$C$62,'Sources and Uses Budget'!$J$99-SUM('15 Year Pro Forma'!$E$62:IEP62))</f>
        <v>0</v>
      </c>
      <c r="IES62" s="962">
        <f>MIN(IES60*$C$62,'Sources and Uses Budget'!$J$99-SUM('15 Year Pro Forma'!$E$62:IER62))</f>
        <v>0</v>
      </c>
      <c r="IEU62" s="962">
        <f>MIN(IEU60*$C$62,'Sources and Uses Budget'!$J$99-SUM('15 Year Pro Forma'!$E$62:IET62))</f>
        <v>0</v>
      </c>
      <c r="IEW62" s="962">
        <f>MIN(IEW60*$C$62,'Sources and Uses Budget'!$J$99-SUM('15 Year Pro Forma'!$E$62:IEV62))</f>
        <v>0</v>
      </c>
      <c r="IEY62" s="962">
        <f>MIN(IEY60*$C$62,'Sources and Uses Budget'!$J$99-SUM('15 Year Pro Forma'!$E$62:IEX62))</f>
        <v>0</v>
      </c>
      <c r="IFA62" s="962">
        <f>MIN(IFA60*$C$62,'Sources and Uses Budget'!$J$99-SUM('15 Year Pro Forma'!$E$62:IEZ62))</f>
        <v>0</v>
      </c>
      <c r="IFC62" s="962">
        <f>MIN(IFC60*$C$62,'Sources and Uses Budget'!$J$99-SUM('15 Year Pro Forma'!$E$62:IFB62))</f>
        <v>0</v>
      </c>
      <c r="IFE62" s="962">
        <f>MIN(IFE60*$C$62,'Sources and Uses Budget'!$J$99-SUM('15 Year Pro Forma'!$E$62:IFD62))</f>
        <v>0</v>
      </c>
      <c r="IFG62" s="962">
        <f>MIN(IFG60*$C$62,'Sources and Uses Budget'!$J$99-SUM('15 Year Pro Forma'!$E$62:IFF62))</f>
        <v>0</v>
      </c>
      <c r="IFI62" s="962">
        <f>MIN(IFI60*$C$62,'Sources and Uses Budget'!$J$99-SUM('15 Year Pro Forma'!$E$62:IFH62))</f>
        <v>0</v>
      </c>
      <c r="IFK62" s="962">
        <f>MIN(IFK60*$C$62,'Sources and Uses Budget'!$J$99-SUM('15 Year Pro Forma'!$E$62:IFJ62))</f>
        <v>0</v>
      </c>
      <c r="IFM62" s="962">
        <f>MIN(IFM60*$C$62,'Sources and Uses Budget'!$J$99-SUM('15 Year Pro Forma'!$E$62:IFL62))</f>
        <v>0</v>
      </c>
      <c r="IFO62" s="962">
        <f>MIN(IFO60*$C$62,'Sources and Uses Budget'!$J$99-SUM('15 Year Pro Forma'!$E$62:IFN62))</f>
        <v>0</v>
      </c>
      <c r="IFQ62" s="962">
        <f>MIN(IFQ60*$C$62,'Sources and Uses Budget'!$J$99-SUM('15 Year Pro Forma'!$E$62:IFP62))</f>
        <v>0</v>
      </c>
      <c r="IFS62" s="962">
        <f>MIN(IFS60*$C$62,'Sources and Uses Budget'!$J$99-SUM('15 Year Pro Forma'!$E$62:IFR62))</f>
        <v>0</v>
      </c>
      <c r="IFU62" s="962">
        <f>MIN(IFU60*$C$62,'Sources and Uses Budget'!$J$99-SUM('15 Year Pro Forma'!$E$62:IFT62))</f>
        <v>0</v>
      </c>
      <c r="IFW62" s="962">
        <f>MIN(IFW60*$C$62,'Sources and Uses Budget'!$J$99-SUM('15 Year Pro Forma'!$E$62:IFV62))</f>
        <v>0</v>
      </c>
      <c r="IFY62" s="962">
        <f>MIN(IFY60*$C$62,'Sources and Uses Budget'!$J$99-SUM('15 Year Pro Forma'!$E$62:IFX62))</f>
        <v>0</v>
      </c>
      <c r="IGA62" s="962">
        <f>MIN(IGA60*$C$62,'Sources and Uses Budget'!$J$99-SUM('15 Year Pro Forma'!$E$62:IFZ62))</f>
        <v>0</v>
      </c>
      <c r="IGC62" s="962">
        <f>MIN(IGC60*$C$62,'Sources and Uses Budget'!$J$99-SUM('15 Year Pro Forma'!$E$62:IGB62))</f>
        <v>0</v>
      </c>
      <c r="IGE62" s="962">
        <f>MIN(IGE60*$C$62,'Sources and Uses Budget'!$J$99-SUM('15 Year Pro Forma'!$E$62:IGD62))</f>
        <v>0</v>
      </c>
      <c r="IGG62" s="962">
        <f>MIN(IGG60*$C$62,'Sources and Uses Budget'!$J$99-SUM('15 Year Pro Forma'!$E$62:IGF62))</f>
        <v>0</v>
      </c>
      <c r="IGI62" s="962">
        <f>MIN(IGI60*$C$62,'Sources and Uses Budget'!$J$99-SUM('15 Year Pro Forma'!$E$62:IGH62))</f>
        <v>0</v>
      </c>
      <c r="IGK62" s="962">
        <f>MIN(IGK60*$C$62,'Sources and Uses Budget'!$J$99-SUM('15 Year Pro Forma'!$E$62:IGJ62))</f>
        <v>0</v>
      </c>
      <c r="IGM62" s="962">
        <f>MIN(IGM60*$C$62,'Sources and Uses Budget'!$J$99-SUM('15 Year Pro Forma'!$E$62:IGL62))</f>
        <v>0</v>
      </c>
      <c r="IGO62" s="962">
        <f>MIN(IGO60*$C$62,'Sources and Uses Budget'!$J$99-SUM('15 Year Pro Forma'!$E$62:IGN62))</f>
        <v>0</v>
      </c>
      <c r="IGQ62" s="962">
        <f>MIN(IGQ60*$C$62,'Sources and Uses Budget'!$J$99-SUM('15 Year Pro Forma'!$E$62:IGP62))</f>
        <v>0</v>
      </c>
      <c r="IGS62" s="962">
        <f>MIN(IGS60*$C$62,'Sources and Uses Budget'!$J$99-SUM('15 Year Pro Forma'!$E$62:IGR62))</f>
        <v>0</v>
      </c>
      <c r="IGU62" s="962">
        <f>MIN(IGU60*$C$62,'Sources and Uses Budget'!$J$99-SUM('15 Year Pro Forma'!$E$62:IGT62))</f>
        <v>0</v>
      </c>
      <c r="IGW62" s="962">
        <f>MIN(IGW60*$C$62,'Sources and Uses Budget'!$J$99-SUM('15 Year Pro Forma'!$E$62:IGV62))</f>
        <v>0</v>
      </c>
      <c r="IGY62" s="962">
        <f>MIN(IGY60*$C$62,'Sources and Uses Budget'!$J$99-SUM('15 Year Pro Forma'!$E$62:IGX62))</f>
        <v>0</v>
      </c>
      <c r="IHA62" s="962">
        <f>MIN(IHA60*$C$62,'Sources and Uses Budget'!$J$99-SUM('15 Year Pro Forma'!$E$62:IGZ62))</f>
        <v>0</v>
      </c>
      <c r="IHC62" s="962">
        <f>MIN(IHC60*$C$62,'Sources and Uses Budget'!$J$99-SUM('15 Year Pro Forma'!$E$62:IHB62))</f>
        <v>0</v>
      </c>
      <c r="IHE62" s="962">
        <f>MIN(IHE60*$C$62,'Sources and Uses Budget'!$J$99-SUM('15 Year Pro Forma'!$E$62:IHD62))</f>
        <v>0</v>
      </c>
      <c r="IHG62" s="962">
        <f>MIN(IHG60*$C$62,'Sources and Uses Budget'!$J$99-SUM('15 Year Pro Forma'!$E$62:IHF62))</f>
        <v>0</v>
      </c>
      <c r="IHI62" s="962">
        <f>MIN(IHI60*$C$62,'Sources and Uses Budget'!$J$99-SUM('15 Year Pro Forma'!$E$62:IHH62))</f>
        <v>0</v>
      </c>
      <c r="IHK62" s="962">
        <f>MIN(IHK60*$C$62,'Sources and Uses Budget'!$J$99-SUM('15 Year Pro Forma'!$E$62:IHJ62))</f>
        <v>0</v>
      </c>
      <c r="IHM62" s="962">
        <f>MIN(IHM60*$C$62,'Sources and Uses Budget'!$J$99-SUM('15 Year Pro Forma'!$E$62:IHL62))</f>
        <v>0</v>
      </c>
      <c r="IHO62" s="962">
        <f>MIN(IHO60*$C$62,'Sources and Uses Budget'!$J$99-SUM('15 Year Pro Forma'!$E$62:IHN62))</f>
        <v>0</v>
      </c>
      <c r="IHQ62" s="962">
        <f>MIN(IHQ60*$C$62,'Sources and Uses Budget'!$J$99-SUM('15 Year Pro Forma'!$E$62:IHP62))</f>
        <v>0</v>
      </c>
      <c r="IHS62" s="962">
        <f>MIN(IHS60*$C$62,'Sources and Uses Budget'!$J$99-SUM('15 Year Pro Forma'!$E$62:IHR62))</f>
        <v>0</v>
      </c>
      <c r="IHU62" s="962">
        <f>MIN(IHU60*$C$62,'Sources and Uses Budget'!$J$99-SUM('15 Year Pro Forma'!$E$62:IHT62))</f>
        <v>0</v>
      </c>
      <c r="IHW62" s="962">
        <f>MIN(IHW60*$C$62,'Sources and Uses Budget'!$J$99-SUM('15 Year Pro Forma'!$E$62:IHV62))</f>
        <v>0</v>
      </c>
      <c r="IHY62" s="962">
        <f>MIN(IHY60*$C$62,'Sources and Uses Budget'!$J$99-SUM('15 Year Pro Forma'!$E$62:IHX62))</f>
        <v>0</v>
      </c>
      <c r="IIA62" s="962">
        <f>MIN(IIA60*$C$62,'Sources and Uses Budget'!$J$99-SUM('15 Year Pro Forma'!$E$62:IHZ62))</f>
        <v>0</v>
      </c>
      <c r="IIC62" s="962">
        <f>MIN(IIC60*$C$62,'Sources and Uses Budget'!$J$99-SUM('15 Year Pro Forma'!$E$62:IIB62))</f>
        <v>0</v>
      </c>
      <c r="IIE62" s="962">
        <f>MIN(IIE60*$C$62,'Sources and Uses Budget'!$J$99-SUM('15 Year Pro Forma'!$E$62:IID62))</f>
        <v>0</v>
      </c>
      <c r="IIG62" s="962">
        <f>MIN(IIG60*$C$62,'Sources and Uses Budget'!$J$99-SUM('15 Year Pro Forma'!$E$62:IIF62))</f>
        <v>0</v>
      </c>
      <c r="III62" s="962">
        <f>MIN(III60*$C$62,'Sources and Uses Budget'!$J$99-SUM('15 Year Pro Forma'!$E$62:IIH62))</f>
        <v>0</v>
      </c>
      <c r="IIK62" s="962">
        <f>MIN(IIK60*$C$62,'Sources and Uses Budget'!$J$99-SUM('15 Year Pro Forma'!$E$62:IIJ62))</f>
        <v>0</v>
      </c>
      <c r="IIM62" s="962">
        <f>MIN(IIM60*$C$62,'Sources and Uses Budget'!$J$99-SUM('15 Year Pro Forma'!$E$62:IIL62))</f>
        <v>0</v>
      </c>
      <c r="IIO62" s="962">
        <f>MIN(IIO60*$C$62,'Sources and Uses Budget'!$J$99-SUM('15 Year Pro Forma'!$E$62:IIN62))</f>
        <v>0</v>
      </c>
      <c r="IIQ62" s="962">
        <f>MIN(IIQ60*$C$62,'Sources and Uses Budget'!$J$99-SUM('15 Year Pro Forma'!$E$62:IIP62))</f>
        <v>0</v>
      </c>
      <c r="IIS62" s="962">
        <f>MIN(IIS60*$C$62,'Sources and Uses Budget'!$J$99-SUM('15 Year Pro Forma'!$E$62:IIR62))</f>
        <v>0</v>
      </c>
      <c r="IIU62" s="962">
        <f>MIN(IIU60*$C$62,'Sources and Uses Budget'!$J$99-SUM('15 Year Pro Forma'!$E$62:IIT62))</f>
        <v>0</v>
      </c>
      <c r="IIW62" s="962">
        <f>MIN(IIW60*$C$62,'Sources and Uses Budget'!$J$99-SUM('15 Year Pro Forma'!$E$62:IIV62))</f>
        <v>0</v>
      </c>
      <c r="IIY62" s="962">
        <f>MIN(IIY60*$C$62,'Sources and Uses Budget'!$J$99-SUM('15 Year Pro Forma'!$E$62:IIX62))</f>
        <v>0</v>
      </c>
      <c r="IJA62" s="962">
        <f>MIN(IJA60*$C$62,'Sources and Uses Budget'!$J$99-SUM('15 Year Pro Forma'!$E$62:IIZ62))</f>
        <v>0</v>
      </c>
      <c r="IJC62" s="962">
        <f>MIN(IJC60*$C$62,'Sources and Uses Budget'!$J$99-SUM('15 Year Pro Forma'!$E$62:IJB62))</f>
        <v>0</v>
      </c>
      <c r="IJE62" s="962">
        <f>MIN(IJE60*$C$62,'Sources and Uses Budget'!$J$99-SUM('15 Year Pro Forma'!$E$62:IJD62))</f>
        <v>0</v>
      </c>
      <c r="IJG62" s="962">
        <f>MIN(IJG60*$C$62,'Sources and Uses Budget'!$J$99-SUM('15 Year Pro Forma'!$E$62:IJF62))</f>
        <v>0</v>
      </c>
      <c r="IJI62" s="962">
        <f>MIN(IJI60*$C$62,'Sources and Uses Budget'!$J$99-SUM('15 Year Pro Forma'!$E$62:IJH62))</f>
        <v>0</v>
      </c>
      <c r="IJK62" s="962">
        <f>MIN(IJK60*$C$62,'Sources and Uses Budget'!$J$99-SUM('15 Year Pro Forma'!$E$62:IJJ62))</f>
        <v>0</v>
      </c>
      <c r="IJM62" s="962">
        <f>MIN(IJM60*$C$62,'Sources and Uses Budget'!$J$99-SUM('15 Year Pro Forma'!$E$62:IJL62))</f>
        <v>0</v>
      </c>
      <c r="IJO62" s="962">
        <f>MIN(IJO60*$C$62,'Sources and Uses Budget'!$J$99-SUM('15 Year Pro Forma'!$E$62:IJN62))</f>
        <v>0</v>
      </c>
      <c r="IJQ62" s="962">
        <f>MIN(IJQ60*$C$62,'Sources and Uses Budget'!$J$99-SUM('15 Year Pro Forma'!$E$62:IJP62))</f>
        <v>0</v>
      </c>
      <c r="IJS62" s="962">
        <f>MIN(IJS60*$C$62,'Sources and Uses Budget'!$J$99-SUM('15 Year Pro Forma'!$E$62:IJR62))</f>
        <v>0</v>
      </c>
      <c r="IJU62" s="962">
        <f>MIN(IJU60*$C$62,'Sources and Uses Budget'!$J$99-SUM('15 Year Pro Forma'!$E$62:IJT62))</f>
        <v>0</v>
      </c>
      <c r="IJW62" s="962">
        <f>MIN(IJW60*$C$62,'Sources and Uses Budget'!$J$99-SUM('15 Year Pro Forma'!$E$62:IJV62))</f>
        <v>0</v>
      </c>
      <c r="IJY62" s="962">
        <f>MIN(IJY60*$C$62,'Sources and Uses Budget'!$J$99-SUM('15 Year Pro Forma'!$E$62:IJX62))</f>
        <v>0</v>
      </c>
      <c r="IKA62" s="962">
        <f>MIN(IKA60*$C$62,'Sources and Uses Budget'!$J$99-SUM('15 Year Pro Forma'!$E$62:IJZ62))</f>
        <v>0</v>
      </c>
      <c r="IKC62" s="962">
        <f>MIN(IKC60*$C$62,'Sources and Uses Budget'!$J$99-SUM('15 Year Pro Forma'!$E$62:IKB62))</f>
        <v>0</v>
      </c>
      <c r="IKE62" s="962">
        <f>MIN(IKE60*$C$62,'Sources and Uses Budget'!$J$99-SUM('15 Year Pro Forma'!$E$62:IKD62))</f>
        <v>0</v>
      </c>
      <c r="IKG62" s="962">
        <f>MIN(IKG60*$C$62,'Sources and Uses Budget'!$J$99-SUM('15 Year Pro Forma'!$E$62:IKF62))</f>
        <v>0</v>
      </c>
      <c r="IKI62" s="962">
        <f>MIN(IKI60*$C$62,'Sources and Uses Budget'!$J$99-SUM('15 Year Pro Forma'!$E$62:IKH62))</f>
        <v>0</v>
      </c>
      <c r="IKK62" s="962">
        <f>MIN(IKK60*$C$62,'Sources and Uses Budget'!$J$99-SUM('15 Year Pro Forma'!$E$62:IKJ62))</f>
        <v>0</v>
      </c>
      <c r="IKM62" s="962">
        <f>MIN(IKM60*$C$62,'Sources and Uses Budget'!$J$99-SUM('15 Year Pro Forma'!$E$62:IKL62))</f>
        <v>0</v>
      </c>
      <c r="IKO62" s="962">
        <f>MIN(IKO60*$C$62,'Sources and Uses Budget'!$J$99-SUM('15 Year Pro Forma'!$E$62:IKN62))</f>
        <v>0</v>
      </c>
      <c r="IKQ62" s="962">
        <f>MIN(IKQ60*$C$62,'Sources and Uses Budget'!$J$99-SUM('15 Year Pro Forma'!$E$62:IKP62))</f>
        <v>0</v>
      </c>
      <c r="IKS62" s="962">
        <f>MIN(IKS60*$C$62,'Sources and Uses Budget'!$J$99-SUM('15 Year Pro Forma'!$E$62:IKR62))</f>
        <v>0</v>
      </c>
      <c r="IKU62" s="962">
        <f>MIN(IKU60*$C$62,'Sources and Uses Budget'!$J$99-SUM('15 Year Pro Forma'!$E$62:IKT62))</f>
        <v>0</v>
      </c>
      <c r="IKW62" s="962">
        <f>MIN(IKW60*$C$62,'Sources and Uses Budget'!$J$99-SUM('15 Year Pro Forma'!$E$62:IKV62))</f>
        <v>0</v>
      </c>
      <c r="IKY62" s="962">
        <f>MIN(IKY60*$C$62,'Sources and Uses Budget'!$J$99-SUM('15 Year Pro Forma'!$E$62:IKX62))</f>
        <v>0</v>
      </c>
      <c r="ILA62" s="962">
        <f>MIN(ILA60*$C$62,'Sources and Uses Budget'!$J$99-SUM('15 Year Pro Forma'!$E$62:IKZ62))</f>
        <v>0</v>
      </c>
      <c r="ILC62" s="962">
        <f>MIN(ILC60*$C$62,'Sources and Uses Budget'!$J$99-SUM('15 Year Pro Forma'!$E$62:ILB62))</f>
        <v>0</v>
      </c>
      <c r="ILE62" s="962">
        <f>MIN(ILE60*$C$62,'Sources and Uses Budget'!$J$99-SUM('15 Year Pro Forma'!$E$62:ILD62))</f>
        <v>0</v>
      </c>
      <c r="ILG62" s="962">
        <f>MIN(ILG60*$C$62,'Sources and Uses Budget'!$J$99-SUM('15 Year Pro Forma'!$E$62:ILF62))</f>
        <v>0</v>
      </c>
      <c r="ILI62" s="962">
        <f>MIN(ILI60*$C$62,'Sources and Uses Budget'!$J$99-SUM('15 Year Pro Forma'!$E$62:ILH62))</f>
        <v>0</v>
      </c>
      <c r="ILK62" s="962">
        <f>MIN(ILK60*$C$62,'Sources and Uses Budget'!$J$99-SUM('15 Year Pro Forma'!$E$62:ILJ62))</f>
        <v>0</v>
      </c>
      <c r="ILM62" s="962">
        <f>MIN(ILM60*$C$62,'Sources and Uses Budget'!$J$99-SUM('15 Year Pro Forma'!$E$62:ILL62))</f>
        <v>0</v>
      </c>
      <c r="ILO62" s="962">
        <f>MIN(ILO60*$C$62,'Sources and Uses Budget'!$J$99-SUM('15 Year Pro Forma'!$E$62:ILN62))</f>
        <v>0</v>
      </c>
      <c r="ILQ62" s="962">
        <f>MIN(ILQ60*$C$62,'Sources and Uses Budget'!$J$99-SUM('15 Year Pro Forma'!$E$62:ILP62))</f>
        <v>0</v>
      </c>
      <c r="ILS62" s="962">
        <f>MIN(ILS60*$C$62,'Sources and Uses Budget'!$J$99-SUM('15 Year Pro Forma'!$E$62:ILR62))</f>
        <v>0</v>
      </c>
      <c r="ILU62" s="962">
        <f>MIN(ILU60*$C$62,'Sources and Uses Budget'!$J$99-SUM('15 Year Pro Forma'!$E$62:ILT62))</f>
        <v>0</v>
      </c>
      <c r="ILW62" s="962">
        <f>MIN(ILW60*$C$62,'Sources and Uses Budget'!$J$99-SUM('15 Year Pro Forma'!$E$62:ILV62))</f>
        <v>0</v>
      </c>
      <c r="ILY62" s="962">
        <f>MIN(ILY60*$C$62,'Sources and Uses Budget'!$J$99-SUM('15 Year Pro Forma'!$E$62:ILX62))</f>
        <v>0</v>
      </c>
      <c r="IMA62" s="962">
        <f>MIN(IMA60*$C$62,'Sources and Uses Budget'!$J$99-SUM('15 Year Pro Forma'!$E$62:ILZ62))</f>
        <v>0</v>
      </c>
      <c r="IMC62" s="962">
        <f>MIN(IMC60*$C$62,'Sources and Uses Budget'!$J$99-SUM('15 Year Pro Forma'!$E$62:IMB62))</f>
        <v>0</v>
      </c>
      <c r="IME62" s="962">
        <f>MIN(IME60*$C$62,'Sources and Uses Budget'!$J$99-SUM('15 Year Pro Forma'!$E$62:IMD62))</f>
        <v>0</v>
      </c>
      <c r="IMG62" s="962">
        <f>MIN(IMG60*$C$62,'Sources and Uses Budget'!$J$99-SUM('15 Year Pro Forma'!$E$62:IMF62))</f>
        <v>0</v>
      </c>
      <c r="IMI62" s="962">
        <f>MIN(IMI60*$C$62,'Sources and Uses Budget'!$J$99-SUM('15 Year Pro Forma'!$E$62:IMH62))</f>
        <v>0</v>
      </c>
      <c r="IMK62" s="962">
        <f>MIN(IMK60*$C$62,'Sources and Uses Budget'!$J$99-SUM('15 Year Pro Forma'!$E$62:IMJ62))</f>
        <v>0</v>
      </c>
      <c r="IMM62" s="962">
        <f>MIN(IMM60*$C$62,'Sources and Uses Budget'!$J$99-SUM('15 Year Pro Forma'!$E$62:IML62))</f>
        <v>0</v>
      </c>
      <c r="IMO62" s="962">
        <f>MIN(IMO60*$C$62,'Sources and Uses Budget'!$J$99-SUM('15 Year Pro Forma'!$E$62:IMN62))</f>
        <v>0</v>
      </c>
      <c r="IMQ62" s="962">
        <f>MIN(IMQ60*$C$62,'Sources and Uses Budget'!$J$99-SUM('15 Year Pro Forma'!$E$62:IMP62))</f>
        <v>0</v>
      </c>
      <c r="IMS62" s="962">
        <f>MIN(IMS60*$C$62,'Sources and Uses Budget'!$J$99-SUM('15 Year Pro Forma'!$E$62:IMR62))</f>
        <v>0</v>
      </c>
      <c r="IMU62" s="962">
        <f>MIN(IMU60*$C$62,'Sources and Uses Budget'!$J$99-SUM('15 Year Pro Forma'!$E$62:IMT62))</f>
        <v>0</v>
      </c>
      <c r="IMW62" s="962">
        <f>MIN(IMW60*$C$62,'Sources and Uses Budget'!$J$99-SUM('15 Year Pro Forma'!$E$62:IMV62))</f>
        <v>0</v>
      </c>
      <c r="IMY62" s="962">
        <f>MIN(IMY60*$C$62,'Sources and Uses Budget'!$J$99-SUM('15 Year Pro Forma'!$E$62:IMX62))</f>
        <v>0</v>
      </c>
      <c r="INA62" s="962">
        <f>MIN(INA60*$C$62,'Sources and Uses Budget'!$J$99-SUM('15 Year Pro Forma'!$E$62:IMZ62))</f>
        <v>0</v>
      </c>
      <c r="INC62" s="962">
        <f>MIN(INC60*$C$62,'Sources and Uses Budget'!$J$99-SUM('15 Year Pro Forma'!$E$62:INB62))</f>
        <v>0</v>
      </c>
      <c r="INE62" s="962">
        <f>MIN(INE60*$C$62,'Sources and Uses Budget'!$J$99-SUM('15 Year Pro Forma'!$E$62:IND62))</f>
        <v>0</v>
      </c>
      <c r="ING62" s="962">
        <f>MIN(ING60*$C$62,'Sources and Uses Budget'!$J$99-SUM('15 Year Pro Forma'!$E$62:INF62))</f>
        <v>0</v>
      </c>
      <c r="INI62" s="962">
        <f>MIN(INI60*$C$62,'Sources and Uses Budget'!$J$99-SUM('15 Year Pro Forma'!$E$62:INH62))</f>
        <v>0</v>
      </c>
      <c r="INK62" s="962">
        <f>MIN(INK60*$C$62,'Sources and Uses Budget'!$J$99-SUM('15 Year Pro Forma'!$E$62:INJ62))</f>
        <v>0</v>
      </c>
      <c r="INM62" s="962">
        <f>MIN(INM60*$C$62,'Sources and Uses Budget'!$J$99-SUM('15 Year Pro Forma'!$E$62:INL62))</f>
        <v>0</v>
      </c>
      <c r="INO62" s="962">
        <f>MIN(INO60*$C$62,'Sources and Uses Budget'!$J$99-SUM('15 Year Pro Forma'!$E$62:INN62))</f>
        <v>0</v>
      </c>
      <c r="INQ62" s="962">
        <f>MIN(INQ60*$C$62,'Sources and Uses Budget'!$J$99-SUM('15 Year Pro Forma'!$E$62:INP62))</f>
        <v>0</v>
      </c>
      <c r="INS62" s="962">
        <f>MIN(INS60*$C$62,'Sources and Uses Budget'!$J$99-SUM('15 Year Pro Forma'!$E$62:INR62))</f>
        <v>0</v>
      </c>
      <c r="INU62" s="962">
        <f>MIN(INU60*$C$62,'Sources and Uses Budget'!$J$99-SUM('15 Year Pro Forma'!$E$62:INT62))</f>
        <v>0</v>
      </c>
      <c r="INW62" s="962">
        <f>MIN(INW60*$C$62,'Sources and Uses Budget'!$J$99-SUM('15 Year Pro Forma'!$E$62:INV62))</f>
        <v>0</v>
      </c>
      <c r="INY62" s="962">
        <f>MIN(INY60*$C$62,'Sources and Uses Budget'!$J$99-SUM('15 Year Pro Forma'!$E$62:INX62))</f>
        <v>0</v>
      </c>
      <c r="IOA62" s="962">
        <f>MIN(IOA60*$C$62,'Sources and Uses Budget'!$J$99-SUM('15 Year Pro Forma'!$E$62:INZ62))</f>
        <v>0</v>
      </c>
      <c r="IOC62" s="962">
        <f>MIN(IOC60*$C$62,'Sources and Uses Budget'!$J$99-SUM('15 Year Pro Forma'!$E$62:IOB62))</f>
        <v>0</v>
      </c>
      <c r="IOE62" s="962">
        <f>MIN(IOE60*$C$62,'Sources and Uses Budget'!$J$99-SUM('15 Year Pro Forma'!$E$62:IOD62))</f>
        <v>0</v>
      </c>
      <c r="IOG62" s="962">
        <f>MIN(IOG60*$C$62,'Sources and Uses Budget'!$J$99-SUM('15 Year Pro Forma'!$E$62:IOF62))</f>
        <v>0</v>
      </c>
      <c r="IOI62" s="962">
        <f>MIN(IOI60*$C$62,'Sources and Uses Budget'!$J$99-SUM('15 Year Pro Forma'!$E$62:IOH62))</f>
        <v>0</v>
      </c>
      <c r="IOK62" s="962">
        <f>MIN(IOK60*$C$62,'Sources and Uses Budget'!$J$99-SUM('15 Year Pro Forma'!$E$62:IOJ62))</f>
        <v>0</v>
      </c>
      <c r="IOM62" s="962">
        <f>MIN(IOM60*$C$62,'Sources and Uses Budget'!$J$99-SUM('15 Year Pro Forma'!$E$62:IOL62))</f>
        <v>0</v>
      </c>
      <c r="IOO62" s="962">
        <f>MIN(IOO60*$C$62,'Sources and Uses Budget'!$J$99-SUM('15 Year Pro Forma'!$E$62:ION62))</f>
        <v>0</v>
      </c>
      <c r="IOQ62" s="962">
        <f>MIN(IOQ60*$C$62,'Sources and Uses Budget'!$J$99-SUM('15 Year Pro Forma'!$E$62:IOP62))</f>
        <v>0</v>
      </c>
      <c r="IOS62" s="962">
        <f>MIN(IOS60*$C$62,'Sources and Uses Budget'!$J$99-SUM('15 Year Pro Forma'!$E$62:IOR62))</f>
        <v>0</v>
      </c>
      <c r="IOU62" s="962">
        <f>MIN(IOU60*$C$62,'Sources and Uses Budget'!$J$99-SUM('15 Year Pro Forma'!$E$62:IOT62))</f>
        <v>0</v>
      </c>
      <c r="IOW62" s="962">
        <f>MIN(IOW60*$C$62,'Sources and Uses Budget'!$J$99-SUM('15 Year Pro Forma'!$E$62:IOV62))</f>
        <v>0</v>
      </c>
      <c r="IOY62" s="962">
        <f>MIN(IOY60*$C$62,'Sources and Uses Budget'!$J$99-SUM('15 Year Pro Forma'!$E$62:IOX62))</f>
        <v>0</v>
      </c>
      <c r="IPA62" s="962">
        <f>MIN(IPA60*$C$62,'Sources and Uses Budget'!$J$99-SUM('15 Year Pro Forma'!$E$62:IOZ62))</f>
        <v>0</v>
      </c>
      <c r="IPC62" s="962">
        <f>MIN(IPC60*$C$62,'Sources and Uses Budget'!$J$99-SUM('15 Year Pro Forma'!$E$62:IPB62))</f>
        <v>0</v>
      </c>
      <c r="IPE62" s="962">
        <f>MIN(IPE60*$C$62,'Sources and Uses Budget'!$J$99-SUM('15 Year Pro Forma'!$E$62:IPD62))</f>
        <v>0</v>
      </c>
      <c r="IPG62" s="962">
        <f>MIN(IPG60*$C$62,'Sources and Uses Budget'!$J$99-SUM('15 Year Pro Forma'!$E$62:IPF62))</f>
        <v>0</v>
      </c>
      <c r="IPI62" s="962">
        <f>MIN(IPI60*$C$62,'Sources and Uses Budget'!$J$99-SUM('15 Year Pro Forma'!$E$62:IPH62))</f>
        <v>0</v>
      </c>
      <c r="IPK62" s="962">
        <f>MIN(IPK60*$C$62,'Sources and Uses Budget'!$J$99-SUM('15 Year Pro Forma'!$E$62:IPJ62))</f>
        <v>0</v>
      </c>
      <c r="IPM62" s="962">
        <f>MIN(IPM60*$C$62,'Sources and Uses Budget'!$J$99-SUM('15 Year Pro Forma'!$E$62:IPL62))</f>
        <v>0</v>
      </c>
      <c r="IPO62" s="962">
        <f>MIN(IPO60*$C$62,'Sources and Uses Budget'!$J$99-SUM('15 Year Pro Forma'!$E$62:IPN62))</f>
        <v>0</v>
      </c>
      <c r="IPQ62" s="962">
        <f>MIN(IPQ60*$C$62,'Sources and Uses Budget'!$J$99-SUM('15 Year Pro Forma'!$E$62:IPP62))</f>
        <v>0</v>
      </c>
      <c r="IPS62" s="962">
        <f>MIN(IPS60*$C$62,'Sources and Uses Budget'!$J$99-SUM('15 Year Pro Forma'!$E$62:IPR62))</f>
        <v>0</v>
      </c>
      <c r="IPU62" s="962">
        <f>MIN(IPU60*$C$62,'Sources and Uses Budget'!$J$99-SUM('15 Year Pro Forma'!$E$62:IPT62))</f>
        <v>0</v>
      </c>
      <c r="IPW62" s="962">
        <f>MIN(IPW60*$C$62,'Sources and Uses Budget'!$J$99-SUM('15 Year Pro Forma'!$E$62:IPV62))</f>
        <v>0</v>
      </c>
      <c r="IPY62" s="962">
        <f>MIN(IPY60*$C$62,'Sources and Uses Budget'!$J$99-SUM('15 Year Pro Forma'!$E$62:IPX62))</f>
        <v>0</v>
      </c>
      <c r="IQA62" s="962">
        <f>MIN(IQA60*$C$62,'Sources and Uses Budget'!$J$99-SUM('15 Year Pro Forma'!$E$62:IPZ62))</f>
        <v>0</v>
      </c>
      <c r="IQC62" s="962">
        <f>MIN(IQC60*$C$62,'Sources and Uses Budget'!$J$99-SUM('15 Year Pro Forma'!$E$62:IQB62))</f>
        <v>0</v>
      </c>
      <c r="IQE62" s="962">
        <f>MIN(IQE60*$C$62,'Sources and Uses Budget'!$J$99-SUM('15 Year Pro Forma'!$E$62:IQD62))</f>
        <v>0</v>
      </c>
      <c r="IQG62" s="962">
        <f>MIN(IQG60*$C$62,'Sources and Uses Budget'!$J$99-SUM('15 Year Pro Forma'!$E$62:IQF62))</f>
        <v>0</v>
      </c>
      <c r="IQI62" s="962">
        <f>MIN(IQI60*$C$62,'Sources and Uses Budget'!$J$99-SUM('15 Year Pro Forma'!$E$62:IQH62))</f>
        <v>0</v>
      </c>
      <c r="IQK62" s="962">
        <f>MIN(IQK60*$C$62,'Sources and Uses Budget'!$J$99-SUM('15 Year Pro Forma'!$E$62:IQJ62))</f>
        <v>0</v>
      </c>
      <c r="IQM62" s="962">
        <f>MIN(IQM60*$C$62,'Sources and Uses Budget'!$J$99-SUM('15 Year Pro Forma'!$E$62:IQL62))</f>
        <v>0</v>
      </c>
      <c r="IQO62" s="962">
        <f>MIN(IQO60*$C$62,'Sources and Uses Budget'!$J$99-SUM('15 Year Pro Forma'!$E$62:IQN62))</f>
        <v>0</v>
      </c>
      <c r="IQQ62" s="962">
        <f>MIN(IQQ60*$C$62,'Sources and Uses Budget'!$J$99-SUM('15 Year Pro Forma'!$E$62:IQP62))</f>
        <v>0</v>
      </c>
      <c r="IQS62" s="962">
        <f>MIN(IQS60*$C$62,'Sources and Uses Budget'!$J$99-SUM('15 Year Pro Forma'!$E$62:IQR62))</f>
        <v>0</v>
      </c>
      <c r="IQU62" s="962">
        <f>MIN(IQU60*$C$62,'Sources and Uses Budget'!$J$99-SUM('15 Year Pro Forma'!$E$62:IQT62))</f>
        <v>0</v>
      </c>
      <c r="IQW62" s="962">
        <f>MIN(IQW60*$C$62,'Sources and Uses Budget'!$J$99-SUM('15 Year Pro Forma'!$E$62:IQV62))</f>
        <v>0</v>
      </c>
      <c r="IQY62" s="962">
        <f>MIN(IQY60*$C$62,'Sources and Uses Budget'!$J$99-SUM('15 Year Pro Forma'!$E$62:IQX62))</f>
        <v>0</v>
      </c>
      <c r="IRA62" s="962">
        <f>MIN(IRA60*$C$62,'Sources and Uses Budget'!$J$99-SUM('15 Year Pro Forma'!$E$62:IQZ62))</f>
        <v>0</v>
      </c>
      <c r="IRC62" s="962">
        <f>MIN(IRC60*$C$62,'Sources and Uses Budget'!$J$99-SUM('15 Year Pro Forma'!$E$62:IRB62))</f>
        <v>0</v>
      </c>
      <c r="IRE62" s="962">
        <f>MIN(IRE60*$C$62,'Sources and Uses Budget'!$J$99-SUM('15 Year Pro Forma'!$E$62:IRD62))</f>
        <v>0</v>
      </c>
      <c r="IRG62" s="962">
        <f>MIN(IRG60*$C$62,'Sources and Uses Budget'!$J$99-SUM('15 Year Pro Forma'!$E$62:IRF62))</f>
        <v>0</v>
      </c>
      <c r="IRI62" s="962">
        <f>MIN(IRI60*$C$62,'Sources and Uses Budget'!$J$99-SUM('15 Year Pro Forma'!$E$62:IRH62))</f>
        <v>0</v>
      </c>
      <c r="IRK62" s="962">
        <f>MIN(IRK60*$C$62,'Sources and Uses Budget'!$J$99-SUM('15 Year Pro Forma'!$E$62:IRJ62))</f>
        <v>0</v>
      </c>
      <c r="IRM62" s="962">
        <f>MIN(IRM60*$C$62,'Sources and Uses Budget'!$J$99-SUM('15 Year Pro Forma'!$E$62:IRL62))</f>
        <v>0</v>
      </c>
      <c r="IRO62" s="962">
        <f>MIN(IRO60*$C$62,'Sources and Uses Budget'!$J$99-SUM('15 Year Pro Forma'!$E$62:IRN62))</f>
        <v>0</v>
      </c>
      <c r="IRQ62" s="962">
        <f>MIN(IRQ60*$C$62,'Sources and Uses Budget'!$J$99-SUM('15 Year Pro Forma'!$E$62:IRP62))</f>
        <v>0</v>
      </c>
      <c r="IRS62" s="962">
        <f>MIN(IRS60*$C$62,'Sources and Uses Budget'!$J$99-SUM('15 Year Pro Forma'!$E$62:IRR62))</f>
        <v>0</v>
      </c>
      <c r="IRU62" s="962">
        <f>MIN(IRU60*$C$62,'Sources and Uses Budget'!$J$99-SUM('15 Year Pro Forma'!$E$62:IRT62))</f>
        <v>0</v>
      </c>
      <c r="IRW62" s="962">
        <f>MIN(IRW60*$C$62,'Sources and Uses Budget'!$J$99-SUM('15 Year Pro Forma'!$E$62:IRV62))</f>
        <v>0</v>
      </c>
      <c r="IRY62" s="962">
        <f>MIN(IRY60*$C$62,'Sources and Uses Budget'!$J$99-SUM('15 Year Pro Forma'!$E$62:IRX62))</f>
        <v>0</v>
      </c>
      <c r="ISA62" s="962">
        <f>MIN(ISA60*$C$62,'Sources and Uses Budget'!$J$99-SUM('15 Year Pro Forma'!$E$62:IRZ62))</f>
        <v>0</v>
      </c>
      <c r="ISC62" s="962">
        <f>MIN(ISC60*$C$62,'Sources and Uses Budget'!$J$99-SUM('15 Year Pro Forma'!$E$62:ISB62))</f>
        <v>0</v>
      </c>
      <c r="ISE62" s="962">
        <f>MIN(ISE60*$C$62,'Sources and Uses Budget'!$J$99-SUM('15 Year Pro Forma'!$E$62:ISD62))</f>
        <v>0</v>
      </c>
      <c r="ISG62" s="962">
        <f>MIN(ISG60*$C$62,'Sources and Uses Budget'!$J$99-SUM('15 Year Pro Forma'!$E$62:ISF62))</f>
        <v>0</v>
      </c>
      <c r="ISI62" s="962">
        <f>MIN(ISI60*$C$62,'Sources and Uses Budget'!$J$99-SUM('15 Year Pro Forma'!$E$62:ISH62))</f>
        <v>0</v>
      </c>
      <c r="ISK62" s="962">
        <f>MIN(ISK60*$C$62,'Sources and Uses Budget'!$J$99-SUM('15 Year Pro Forma'!$E$62:ISJ62))</f>
        <v>0</v>
      </c>
      <c r="ISM62" s="962">
        <f>MIN(ISM60*$C$62,'Sources and Uses Budget'!$J$99-SUM('15 Year Pro Forma'!$E$62:ISL62))</f>
        <v>0</v>
      </c>
      <c r="ISO62" s="962">
        <f>MIN(ISO60*$C$62,'Sources and Uses Budget'!$J$99-SUM('15 Year Pro Forma'!$E$62:ISN62))</f>
        <v>0</v>
      </c>
      <c r="ISQ62" s="962">
        <f>MIN(ISQ60*$C$62,'Sources and Uses Budget'!$J$99-SUM('15 Year Pro Forma'!$E$62:ISP62))</f>
        <v>0</v>
      </c>
      <c r="ISS62" s="962">
        <f>MIN(ISS60*$C$62,'Sources and Uses Budget'!$J$99-SUM('15 Year Pro Forma'!$E$62:ISR62))</f>
        <v>0</v>
      </c>
      <c r="ISU62" s="962">
        <f>MIN(ISU60*$C$62,'Sources and Uses Budget'!$J$99-SUM('15 Year Pro Forma'!$E$62:IST62))</f>
        <v>0</v>
      </c>
      <c r="ISW62" s="962">
        <f>MIN(ISW60*$C$62,'Sources and Uses Budget'!$J$99-SUM('15 Year Pro Forma'!$E$62:ISV62))</f>
        <v>0</v>
      </c>
      <c r="ISY62" s="962">
        <f>MIN(ISY60*$C$62,'Sources and Uses Budget'!$J$99-SUM('15 Year Pro Forma'!$E$62:ISX62))</f>
        <v>0</v>
      </c>
      <c r="ITA62" s="962">
        <f>MIN(ITA60*$C$62,'Sources and Uses Budget'!$J$99-SUM('15 Year Pro Forma'!$E$62:ISZ62))</f>
        <v>0</v>
      </c>
      <c r="ITC62" s="962">
        <f>MIN(ITC60*$C$62,'Sources and Uses Budget'!$J$99-SUM('15 Year Pro Forma'!$E$62:ITB62))</f>
        <v>0</v>
      </c>
      <c r="ITE62" s="962">
        <f>MIN(ITE60*$C$62,'Sources and Uses Budget'!$J$99-SUM('15 Year Pro Forma'!$E$62:ITD62))</f>
        <v>0</v>
      </c>
      <c r="ITG62" s="962">
        <f>MIN(ITG60*$C$62,'Sources and Uses Budget'!$J$99-SUM('15 Year Pro Forma'!$E$62:ITF62))</f>
        <v>0</v>
      </c>
      <c r="ITI62" s="962">
        <f>MIN(ITI60*$C$62,'Sources and Uses Budget'!$J$99-SUM('15 Year Pro Forma'!$E$62:ITH62))</f>
        <v>0</v>
      </c>
      <c r="ITK62" s="962">
        <f>MIN(ITK60*$C$62,'Sources and Uses Budget'!$J$99-SUM('15 Year Pro Forma'!$E$62:ITJ62))</f>
        <v>0</v>
      </c>
      <c r="ITM62" s="962">
        <f>MIN(ITM60*$C$62,'Sources and Uses Budget'!$J$99-SUM('15 Year Pro Forma'!$E$62:ITL62))</f>
        <v>0</v>
      </c>
      <c r="ITO62" s="962">
        <f>MIN(ITO60*$C$62,'Sources and Uses Budget'!$J$99-SUM('15 Year Pro Forma'!$E$62:ITN62))</f>
        <v>0</v>
      </c>
      <c r="ITQ62" s="962">
        <f>MIN(ITQ60*$C$62,'Sources and Uses Budget'!$J$99-SUM('15 Year Pro Forma'!$E$62:ITP62))</f>
        <v>0</v>
      </c>
      <c r="ITS62" s="962">
        <f>MIN(ITS60*$C$62,'Sources and Uses Budget'!$J$99-SUM('15 Year Pro Forma'!$E$62:ITR62))</f>
        <v>0</v>
      </c>
      <c r="ITU62" s="962">
        <f>MIN(ITU60*$C$62,'Sources and Uses Budget'!$J$99-SUM('15 Year Pro Forma'!$E$62:ITT62))</f>
        <v>0</v>
      </c>
      <c r="ITW62" s="962">
        <f>MIN(ITW60*$C$62,'Sources and Uses Budget'!$J$99-SUM('15 Year Pro Forma'!$E$62:ITV62))</f>
        <v>0</v>
      </c>
      <c r="ITY62" s="962">
        <f>MIN(ITY60*$C$62,'Sources and Uses Budget'!$J$99-SUM('15 Year Pro Forma'!$E$62:ITX62))</f>
        <v>0</v>
      </c>
      <c r="IUA62" s="962">
        <f>MIN(IUA60*$C$62,'Sources and Uses Budget'!$J$99-SUM('15 Year Pro Forma'!$E$62:ITZ62))</f>
        <v>0</v>
      </c>
      <c r="IUC62" s="962">
        <f>MIN(IUC60*$C$62,'Sources and Uses Budget'!$J$99-SUM('15 Year Pro Forma'!$E$62:IUB62))</f>
        <v>0</v>
      </c>
      <c r="IUE62" s="962">
        <f>MIN(IUE60*$C$62,'Sources and Uses Budget'!$J$99-SUM('15 Year Pro Forma'!$E$62:IUD62))</f>
        <v>0</v>
      </c>
      <c r="IUG62" s="962">
        <f>MIN(IUG60*$C$62,'Sources and Uses Budget'!$J$99-SUM('15 Year Pro Forma'!$E$62:IUF62))</f>
        <v>0</v>
      </c>
      <c r="IUI62" s="962">
        <f>MIN(IUI60*$C$62,'Sources and Uses Budget'!$J$99-SUM('15 Year Pro Forma'!$E$62:IUH62))</f>
        <v>0</v>
      </c>
      <c r="IUK62" s="962">
        <f>MIN(IUK60*$C$62,'Sources and Uses Budget'!$J$99-SUM('15 Year Pro Forma'!$E$62:IUJ62))</f>
        <v>0</v>
      </c>
      <c r="IUM62" s="962">
        <f>MIN(IUM60*$C$62,'Sources and Uses Budget'!$J$99-SUM('15 Year Pro Forma'!$E$62:IUL62))</f>
        <v>0</v>
      </c>
      <c r="IUO62" s="962">
        <f>MIN(IUO60*$C$62,'Sources and Uses Budget'!$J$99-SUM('15 Year Pro Forma'!$E$62:IUN62))</f>
        <v>0</v>
      </c>
      <c r="IUQ62" s="962">
        <f>MIN(IUQ60*$C$62,'Sources and Uses Budget'!$J$99-SUM('15 Year Pro Forma'!$E$62:IUP62))</f>
        <v>0</v>
      </c>
      <c r="IUS62" s="962">
        <f>MIN(IUS60*$C$62,'Sources and Uses Budget'!$J$99-SUM('15 Year Pro Forma'!$E$62:IUR62))</f>
        <v>0</v>
      </c>
      <c r="IUU62" s="962">
        <f>MIN(IUU60*$C$62,'Sources and Uses Budget'!$J$99-SUM('15 Year Pro Forma'!$E$62:IUT62))</f>
        <v>0</v>
      </c>
      <c r="IUW62" s="962">
        <f>MIN(IUW60*$C$62,'Sources and Uses Budget'!$J$99-SUM('15 Year Pro Forma'!$E$62:IUV62))</f>
        <v>0</v>
      </c>
      <c r="IUY62" s="962">
        <f>MIN(IUY60*$C$62,'Sources and Uses Budget'!$J$99-SUM('15 Year Pro Forma'!$E$62:IUX62))</f>
        <v>0</v>
      </c>
      <c r="IVA62" s="962">
        <f>MIN(IVA60*$C$62,'Sources and Uses Budget'!$J$99-SUM('15 Year Pro Forma'!$E$62:IUZ62))</f>
        <v>0</v>
      </c>
      <c r="IVC62" s="962">
        <f>MIN(IVC60*$C$62,'Sources and Uses Budget'!$J$99-SUM('15 Year Pro Forma'!$E$62:IVB62))</f>
        <v>0</v>
      </c>
      <c r="IVE62" s="962">
        <f>MIN(IVE60*$C$62,'Sources and Uses Budget'!$J$99-SUM('15 Year Pro Forma'!$E$62:IVD62))</f>
        <v>0</v>
      </c>
      <c r="IVG62" s="962">
        <f>MIN(IVG60*$C$62,'Sources and Uses Budget'!$J$99-SUM('15 Year Pro Forma'!$E$62:IVF62))</f>
        <v>0</v>
      </c>
      <c r="IVI62" s="962">
        <f>MIN(IVI60*$C$62,'Sources and Uses Budget'!$J$99-SUM('15 Year Pro Forma'!$E$62:IVH62))</f>
        <v>0</v>
      </c>
      <c r="IVK62" s="962">
        <f>MIN(IVK60*$C$62,'Sources and Uses Budget'!$J$99-SUM('15 Year Pro Forma'!$E$62:IVJ62))</f>
        <v>0</v>
      </c>
      <c r="IVM62" s="962">
        <f>MIN(IVM60*$C$62,'Sources and Uses Budget'!$J$99-SUM('15 Year Pro Forma'!$E$62:IVL62))</f>
        <v>0</v>
      </c>
      <c r="IVO62" s="962">
        <f>MIN(IVO60*$C$62,'Sources and Uses Budget'!$J$99-SUM('15 Year Pro Forma'!$E$62:IVN62))</f>
        <v>0</v>
      </c>
      <c r="IVQ62" s="962">
        <f>MIN(IVQ60*$C$62,'Sources and Uses Budget'!$J$99-SUM('15 Year Pro Forma'!$E$62:IVP62))</f>
        <v>0</v>
      </c>
      <c r="IVS62" s="962">
        <f>MIN(IVS60*$C$62,'Sources and Uses Budget'!$J$99-SUM('15 Year Pro Forma'!$E$62:IVR62))</f>
        <v>0</v>
      </c>
      <c r="IVU62" s="962">
        <f>MIN(IVU60*$C$62,'Sources and Uses Budget'!$J$99-SUM('15 Year Pro Forma'!$E$62:IVT62))</f>
        <v>0</v>
      </c>
      <c r="IVW62" s="962">
        <f>MIN(IVW60*$C$62,'Sources and Uses Budget'!$J$99-SUM('15 Year Pro Forma'!$E$62:IVV62))</f>
        <v>0</v>
      </c>
      <c r="IVY62" s="962">
        <f>MIN(IVY60*$C$62,'Sources and Uses Budget'!$J$99-SUM('15 Year Pro Forma'!$E$62:IVX62))</f>
        <v>0</v>
      </c>
      <c r="IWA62" s="962">
        <f>MIN(IWA60*$C$62,'Sources and Uses Budget'!$J$99-SUM('15 Year Pro Forma'!$E$62:IVZ62))</f>
        <v>0</v>
      </c>
      <c r="IWC62" s="962">
        <f>MIN(IWC60*$C$62,'Sources and Uses Budget'!$J$99-SUM('15 Year Pro Forma'!$E$62:IWB62))</f>
        <v>0</v>
      </c>
      <c r="IWE62" s="962">
        <f>MIN(IWE60*$C$62,'Sources and Uses Budget'!$J$99-SUM('15 Year Pro Forma'!$E$62:IWD62))</f>
        <v>0</v>
      </c>
      <c r="IWG62" s="962">
        <f>MIN(IWG60*$C$62,'Sources and Uses Budget'!$J$99-SUM('15 Year Pro Forma'!$E$62:IWF62))</f>
        <v>0</v>
      </c>
      <c r="IWI62" s="962">
        <f>MIN(IWI60*$C$62,'Sources and Uses Budget'!$J$99-SUM('15 Year Pro Forma'!$E$62:IWH62))</f>
        <v>0</v>
      </c>
      <c r="IWK62" s="962">
        <f>MIN(IWK60*$C$62,'Sources and Uses Budget'!$J$99-SUM('15 Year Pro Forma'!$E$62:IWJ62))</f>
        <v>0</v>
      </c>
      <c r="IWM62" s="962">
        <f>MIN(IWM60*$C$62,'Sources and Uses Budget'!$J$99-SUM('15 Year Pro Forma'!$E$62:IWL62))</f>
        <v>0</v>
      </c>
      <c r="IWO62" s="962">
        <f>MIN(IWO60*$C$62,'Sources and Uses Budget'!$J$99-SUM('15 Year Pro Forma'!$E$62:IWN62))</f>
        <v>0</v>
      </c>
      <c r="IWQ62" s="962">
        <f>MIN(IWQ60*$C$62,'Sources and Uses Budget'!$J$99-SUM('15 Year Pro Forma'!$E$62:IWP62))</f>
        <v>0</v>
      </c>
      <c r="IWS62" s="962">
        <f>MIN(IWS60*$C$62,'Sources and Uses Budget'!$J$99-SUM('15 Year Pro Forma'!$E$62:IWR62))</f>
        <v>0</v>
      </c>
      <c r="IWU62" s="962">
        <f>MIN(IWU60*$C$62,'Sources and Uses Budget'!$J$99-SUM('15 Year Pro Forma'!$E$62:IWT62))</f>
        <v>0</v>
      </c>
      <c r="IWW62" s="962">
        <f>MIN(IWW60*$C$62,'Sources and Uses Budget'!$J$99-SUM('15 Year Pro Forma'!$E$62:IWV62))</f>
        <v>0</v>
      </c>
      <c r="IWY62" s="962">
        <f>MIN(IWY60*$C$62,'Sources and Uses Budget'!$J$99-SUM('15 Year Pro Forma'!$E$62:IWX62))</f>
        <v>0</v>
      </c>
      <c r="IXA62" s="962">
        <f>MIN(IXA60*$C$62,'Sources and Uses Budget'!$J$99-SUM('15 Year Pro Forma'!$E$62:IWZ62))</f>
        <v>0</v>
      </c>
      <c r="IXC62" s="962">
        <f>MIN(IXC60*$C$62,'Sources and Uses Budget'!$J$99-SUM('15 Year Pro Forma'!$E$62:IXB62))</f>
        <v>0</v>
      </c>
      <c r="IXE62" s="962">
        <f>MIN(IXE60*$C$62,'Sources and Uses Budget'!$J$99-SUM('15 Year Pro Forma'!$E$62:IXD62))</f>
        <v>0</v>
      </c>
      <c r="IXG62" s="962">
        <f>MIN(IXG60*$C$62,'Sources and Uses Budget'!$J$99-SUM('15 Year Pro Forma'!$E$62:IXF62))</f>
        <v>0</v>
      </c>
      <c r="IXI62" s="962">
        <f>MIN(IXI60*$C$62,'Sources and Uses Budget'!$J$99-SUM('15 Year Pro Forma'!$E$62:IXH62))</f>
        <v>0</v>
      </c>
      <c r="IXK62" s="962">
        <f>MIN(IXK60*$C$62,'Sources and Uses Budget'!$J$99-SUM('15 Year Pro Forma'!$E$62:IXJ62))</f>
        <v>0</v>
      </c>
      <c r="IXM62" s="962">
        <f>MIN(IXM60*$C$62,'Sources and Uses Budget'!$J$99-SUM('15 Year Pro Forma'!$E$62:IXL62))</f>
        <v>0</v>
      </c>
      <c r="IXO62" s="962">
        <f>MIN(IXO60*$C$62,'Sources and Uses Budget'!$J$99-SUM('15 Year Pro Forma'!$E$62:IXN62))</f>
        <v>0</v>
      </c>
      <c r="IXQ62" s="962">
        <f>MIN(IXQ60*$C$62,'Sources and Uses Budget'!$J$99-SUM('15 Year Pro Forma'!$E$62:IXP62))</f>
        <v>0</v>
      </c>
      <c r="IXS62" s="962">
        <f>MIN(IXS60*$C$62,'Sources and Uses Budget'!$J$99-SUM('15 Year Pro Forma'!$E$62:IXR62))</f>
        <v>0</v>
      </c>
      <c r="IXU62" s="962">
        <f>MIN(IXU60*$C$62,'Sources and Uses Budget'!$J$99-SUM('15 Year Pro Forma'!$E$62:IXT62))</f>
        <v>0</v>
      </c>
      <c r="IXW62" s="962">
        <f>MIN(IXW60*$C$62,'Sources and Uses Budget'!$J$99-SUM('15 Year Pro Forma'!$E$62:IXV62))</f>
        <v>0</v>
      </c>
      <c r="IXY62" s="962">
        <f>MIN(IXY60*$C$62,'Sources and Uses Budget'!$J$99-SUM('15 Year Pro Forma'!$E$62:IXX62))</f>
        <v>0</v>
      </c>
      <c r="IYA62" s="962">
        <f>MIN(IYA60*$C$62,'Sources and Uses Budget'!$J$99-SUM('15 Year Pro Forma'!$E$62:IXZ62))</f>
        <v>0</v>
      </c>
      <c r="IYC62" s="962">
        <f>MIN(IYC60*$C$62,'Sources and Uses Budget'!$J$99-SUM('15 Year Pro Forma'!$E$62:IYB62))</f>
        <v>0</v>
      </c>
      <c r="IYE62" s="962">
        <f>MIN(IYE60*$C$62,'Sources and Uses Budget'!$J$99-SUM('15 Year Pro Forma'!$E$62:IYD62))</f>
        <v>0</v>
      </c>
      <c r="IYG62" s="962">
        <f>MIN(IYG60*$C$62,'Sources and Uses Budget'!$J$99-SUM('15 Year Pro Forma'!$E$62:IYF62))</f>
        <v>0</v>
      </c>
      <c r="IYI62" s="962">
        <f>MIN(IYI60*$C$62,'Sources and Uses Budget'!$J$99-SUM('15 Year Pro Forma'!$E$62:IYH62))</f>
        <v>0</v>
      </c>
      <c r="IYK62" s="962">
        <f>MIN(IYK60*$C$62,'Sources and Uses Budget'!$J$99-SUM('15 Year Pro Forma'!$E$62:IYJ62))</f>
        <v>0</v>
      </c>
      <c r="IYM62" s="962">
        <f>MIN(IYM60*$C$62,'Sources and Uses Budget'!$J$99-SUM('15 Year Pro Forma'!$E$62:IYL62))</f>
        <v>0</v>
      </c>
      <c r="IYO62" s="962">
        <f>MIN(IYO60*$C$62,'Sources and Uses Budget'!$J$99-SUM('15 Year Pro Forma'!$E$62:IYN62))</f>
        <v>0</v>
      </c>
      <c r="IYQ62" s="962">
        <f>MIN(IYQ60*$C$62,'Sources and Uses Budget'!$J$99-SUM('15 Year Pro Forma'!$E$62:IYP62))</f>
        <v>0</v>
      </c>
      <c r="IYS62" s="962">
        <f>MIN(IYS60*$C$62,'Sources and Uses Budget'!$J$99-SUM('15 Year Pro Forma'!$E$62:IYR62))</f>
        <v>0</v>
      </c>
      <c r="IYU62" s="962">
        <f>MIN(IYU60*$C$62,'Sources and Uses Budget'!$J$99-SUM('15 Year Pro Forma'!$E$62:IYT62))</f>
        <v>0</v>
      </c>
      <c r="IYW62" s="962">
        <f>MIN(IYW60*$C$62,'Sources and Uses Budget'!$J$99-SUM('15 Year Pro Forma'!$E$62:IYV62))</f>
        <v>0</v>
      </c>
      <c r="IYY62" s="962">
        <f>MIN(IYY60*$C$62,'Sources and Uses Budget'!$J$99-SUM('15 Year Pro Forma'!$E$62:IYX62))</f>
        <v>0</v>
      </c>
      <c r="IZA62" s="962">
        <f>MIN(IZA60*$C$62,'Sources and Uses Budget'!$J$99-SUM('15 Year Pro Forma'!$E$62:IYZ62))</f>
        <v>0</v>
      </c>
      <c r="IZC62" s="962">
        <f>MIN(IZC60*$C$62,'Sources and Uses Budget'!$J$99-SUM('15 Year Pro Forma'!$E$62:IZB62))</f>
        <v>0</v>
      </c>
      <c r="IZE62" s="962">
        <f>MIN(IZE60*$C$62,'Sources and Uses Budget'!$J$99-SUM('15 Year Pro Forma'!$E$62:IZD62))</f>
        <v>0</v>
      </c>
      <c r="IZG62" s="962">
        <f>MIN(IZG60*$C$62,'Sources and Uses Budget'!$J$99-SUM('15 Year Pro Forma'!$E$62:IZF62))</f>
        <v>0</v>
      </c>
      <c r="IZI62" s="962">
        <f>MIN(IZI60*$C$62,'Sources and Uses Budget'!$J$99-SUM('15 Year Pro Forma'!$E$62:IZH62))</f>
        <v>0</v>
      </c>
      <c r="IZK62" s="962">
        <f>MIN(IZK60*$C$62,'Sources and Uses Budget'!$J$99-SUM('15 Year Pro Forma'!$E$62:IZJ62))</f>
        <v>0</v>
      </c>
      <c r="IZM62" s="962">
        <f>MIN(IZM60*$C$62,'Sources and Uses Budget'!$J$99-SUM('15 Year Pro Forma'!$E$62:IZL62))</f>
        <v>0</v>
      </c>
      <c r="IZO62" s="962">
        <f>MIN(IZO60*$C$62,'Sources and Uses Budget'!$J$99-SUM('15 Year Pro Forma'!$E$62:IZN62))</f>
        <v>0</v>
      </c>
      <c r="IZQ62" s="962">
        <f>MIN(IZQ60*$C$62,'Sources and Uses Budget'!$J$99-SUM('15 Year Pro Forma'!$E$62:IZP62))</f>
        <v>0</v>
      </c>
      <c r="IZS62" s="962">
        <f>MIN(IZS60*$C$62,'Sources and Uses Budget'!$J$99-SUM('15 Year Pro Forma'!$E$62:IZR62))</f>
        <v>0</v>
      </c>
      <c r="IZU62" s="962">
        <f>MIN(IZU60*$C$62,'Sources and Uses Budget'!$J$99-SUM('15 Year Pro Forma'!$E$62:IZT62))</f>
        <v>0</v>
      </c>
      <c r="IZW62" s="962">
        <f>MIN(IZW60*$C$62,'Sources and Uses Budget'!$J$99-SUM('15 Year Pro Forma'!$E$62:IZV62))</f>
        <v>0</v>
      </c>
      <c r="IZY62" s="962">
        <f>MIN(IZY60*$C$62,'Sources and Uses Budget'!$J$99-SUM('15 Year Pro Forma'!$E$62:IZX62))</f>
        <v>0</v>
      </c>
      <c r="JAA62" s="962">
        <f>MIN(JAA60*$C$62,'Sources and Uses Budget'!$J$99-SUM('15 Year Pro Forma'!$E$62:IZZ62))</f>
        <v>0</v>
      </c>
      <c r="JAC62" s="962">
        <f>MIN(JAC60*$C$62,'Sources and Uses Budget'!$J$99-SUM('15 Year Pro Forma'!$E$62:JAB62))</f>
        <v>0</v>
      </c>
      <c r="JAE62" s="962">
        <f>MIN(JAE60*$C$62,'Sources and Uses Budget'!$J$99-SUM('15 Year Pro Forma'!$E$62:JAD62))</f>
        <v>0</v>
      </c>
      <c r="JAG62" s="962">
        <f>MIN(JAG60*$C$62,'Sources and Uses Budget'!$J$99-SUM('15 Year Pro Forma'!$E$62:JAF62))</f>
        <v>0</v>
      </c>
      <c r="JAI62" s="962">
        <f>MIN(JAI60*$C$62,'Sources and Uses Budget'!$J$99-SUM('15 Year Pro Forma'!$E$62:JAH62))</f>
        <v>0</v>
      </c>
      <c r="JAK62" s="962">
        <f>MIN(JAK60*$C$62,'Sources and Uses Budget'!$J$99-SUM('15 Year Pro Forma'!$E$62:JAJ62))</f>
        <v>0</v>
      </c>
      <c r="JAM62" s="962">
        <f>MIN(JAM60*$C$62,'Sources and Uses Budget'!$J$99-SUM('15 Year Pro Forma'!$E$62:JAL62))</f>
        <v>0</v>
      </c>
      <c r="JAO62" s="962">
        <f>MIN(JAO60*$C$62,'Sources and Uses Budget'!$J$99-SUM('15 Year Pro Forma'!$E$62:JAN62))</f>
        <v>0</v>
      </c>
      <c r="JAQ62" s="962">
        <f>MIN(JAQ60*$C$62,'Sources and Uses Budget'!$J$99-SUM('15 Year Pro Forma'!$E$62:JAP62))</f>
        <v>0</v>
      </c>
      <c r="JAS62" s="962">
        <f>MIN(JAS60*$C$62,'Sources and Uses Budget'!$J$99-SUM('15 Year Pro Forma'!$E$62:JAR62))</f>
        <v>0</v>
      </c>
      <c r="JAU62" s="962">
        <f>MIN(JAU60*$C$62,'Sources and Uses Budget'!$J$99-SUM('15 Year Pro Forma'!$E$62:JAT62))</f>
        <v>0</v>
      </c>
      <c r="JAW62" s="962">
        <f>MIN(JAW60*$C$62,'Sources and Uses Budget'!$J$99-SUM('15 Year Pro Forma'!$E$62:JAV62))</f>
        <v>0</v>
      </c>
      <c r="JAY62" s="962">
        <f>MIN(JAY60*$C$62,'Sources and Uses Budget'!$J$99-SUM('15 Year Pro Forma'!$E$62:JAX62))</f>
        <v>0</v>
      </c>
      <c r="JBA62" s="962">
        <f>MIN(JBA60*$C$62,'Sources and Uses Budget'!$J$99-SUM('15 Year Pro Forma'!$E$62:JAZ62))</f>
        <v>0</v>
      </c>
      <c r="JBC62" s="962">
        <f>MIN(JBC60*$C$62,'Sources and Uses Budget'!$J$99-SUM('15 Year Pro Forma'!$E$62:JBB62))</f>
        <v>0</v>
      </c>
      <c r="JBE62" s="962">
        <f>MIN(JBE60*$C$62,'Sources and Uses Budget'!$J$99-SUM('15 Year Pro Forma'!$E$62:JBD62))</f>
        <v>0</v>
      </c>
      <c r="JBG62" s="962">
        <f>MIN(JBG60*$C$62,'Sources and Uses Budget'!$J$99-SUM('15 Year Pro Forma'!$E$62:JBF62))</f>
        <v>0</v>
      </c>
      <c r="JBI62" s="962">
        <f>MIN(JBI60*$C$62,'Sources and Uses Budget'!$J$99-SUM('15 Year Pro Forma'!$E$62:JBH62))</f>
        <v>0</v>
      </c>
      <c r="JBK62" s="962">
        <f>MIN(JBK60*$C$62,'Sources and Uses Budget'!$J$99-SUM('15 Year Pro Forma'!$E$62:JBJ62))</f>
        <v>0</v>
      </c>
      <c r="JBM62" s="962">
        <f>MIN(JBM60*$C$62,'Sources and Uses Budget'!$J$99-SUM('15 Year Pro Forma'!$E$62:JBL62))</f>
        <v>0</v>
      </c>
      <c r="JBO62" s="962">
        <f>MIN(JBO60*$C$62,'Sources and Uses Budget'!$J$99-SUM('15 Year Pro Forma'!$E$62:JBN62))</f>
        <v>0</v>
      </c>
      <c r="JBQ62" s="962">
        <f>MIN(JBQ60*$C$62,'Sources and Uses Budget'!$J$99-SUM('15 Year Pro Forma'!$E$62:JBP62))</f>
        <v>0</v>
      </c>
      <c r="JBS62" s="962">
        <f>MIN(JBS60*$C$62,'Sources and Uses Budget'!$J$99-SUM('15 Year Pro Forma'!$E$62:JBR62))</f>
        <v>0</v>
      </c>
      <c r="JBU62" s="962">
        <f>MIN(JBU60*$C$62,'Sources and Uses Budget'!$J$99-SUM('15 Year Pro Forma'!$E$62:JBT62))</f>
        <v>0</v>
      </c>
      <c r="JBW62" s="962">
        <f>MIN(JBW60*$C$62,'Sources and Uses Budget'!$J$99-SUM('15 Year Pro Forma'!$E$62:JBV62))</f>
        <v>0</v>
      </c>
      <c r="JBY62" s="962">
        <f>MIN(JBY60*$C$62,'Sources and Uses Budget'!$J$99-SUM('15 Year Pro Forma'!$E$62:JBX62))</f>
        <v>0</v>
      </c>
      <c r="JCA62" s="962">
        <f>MIN(JCA60*$C$62,'Sources and Uses Budget'!$J$99-SUM('15 Year Pro Forma'!$E$62:JBZ62))</f>
        <v>0</v>
      </c>
      <c r="JCC62" s="962">
        <f>MIN(JCC60*$C$62,'Sources and Uses Budget'!$J$99-SUM('15 Year Pro Forma'!$E$62:JCB62))</f>
        <v>0</v>
      </c>
      <c r="JCE62" s="962">
        <f>MIN(JCE60*$C$62,'Sources and Uses Budget'!$J$99-SUM('15 Year Pro Forma'!$E$62:JCD62))</f>
        <v>0</v>
      </c>
      <c r="JCG62" s="962">
        <f>MIN(JCG60*$C$62,'Sources and Uses Budget'!$J$99-SUM('15 Year Pro Forma'!$E$62:JCF62))</f>
        <v>0</v>
      </c>
      <c r="JCI62" s="962">
        <f>MIN(JCI60*$C$62,'Sources and Uses Budget'!$J$99-SUM('15 Year Pro Forma'!$E$62:JCH62))</f>
        <v>0</v>
      </c>
      <c r="JCK62" s="962">
        <f>MIN(JCK60*$C$62,'Sources and Uses Budget'!$J$99-SUM('15 Year Pro Forma'!$E$62:JCJ62))</f>
        <v>0</v>
      </c>
      <c r="JCM62" s="962">
        <f>MIN(JCM60*$C$62,'Sources and Uses Budget'!$J$99-SUM('15 Year Pro Forma'!$E$62:JCL62))</f>
        <v>0</v>
      </c>
      <c r="JCO62" s="962">
        <f>MIN(JCO60*$C$62,'Sources and Uses Budget'!$J$99-SUM('15 Year Pro Forma'!$E$62:JCN62))</f>
        <v>0</v>
      </c>
      <c r="JCQ62" s="962">
        <f>MIN(JCQ60*$C$62,'Sources and Uses Budget'!$J$99-SUM('15 Year Pro Forma'!$E$62:JCP62))</f>
        <v>0</v>
      </c>
      <c r="JCS62" s="962">
        <f>MIN(JCS60*$C$62,'Sources and Uses Budget'!$J$99-SUM('15 Year Pro Forma'!$E$62:JCR62))</f>
        <v>0</v>
      </c>
      <c r="JCU62" s="962">
        <f>MIN(JCU60*$C$62,'Sources and Uses Budget'!$J$99-SUM('15 Year Pro Forma'!$E$62:JCT62))</f>
        <v>0</v>
      </c>
      <c r="JCW62" s="962">
        <f>MIN(JCW60*$C$62,'Sources and Uses Budget'!$J$99-SUM('15 Year Pro Forma'!$E$62:JCV62))</f>
        <v>0</v>
      </c>
      <c r="JCY62" s="962">
        <f>MIN(JCY60*$C$62,'Sources and Uses Budget'!$J$99-SUM('15 Year Pro Forma'!$E$62:JCX62))</f>
        <v>0</v>
      </c>
      <c r="JDA62" s="962">
        <f>MIN(JDA60*$C$62,'Sources and Uses Budget'!$J$99-SUM('15 Year Pro Forma'!$E$62:JCZ62))</f>
        <v>0</v>
      </c>
      <c r="JDC62" s="962">
        <f>MIN(JDC60*$C$62,'Sources and Uses Budget'!$J$99-SUM('15 Year Pro Forma'!$E$62:JDB62))</f>
        <v>0</v>
      </c>
      <c r="JDE62" s="962">
        <f>MIN(JDE60*$C$62,'Sources and Uses Budget'!$J$99-SUM('15 Year Pro Forma'!$E$62:JDD62))</f>
        <v>0</v>
      </c>
      <c r="JDG62" s="962">
        <f>MIN(JDG60*$C$62,'Sources and Uses Budget'!$J$99-SUM('15 Year Pro Forma'!$E$62:JDF62))</f>
        <v>0</v>
      </c>
      <c r="JDI62" s="962">
        <f>MIN(JDI60*$C$62,'Sources and Uses Budget'!$J$99-SUM('15 Year Pro Forma'!$E$62:JDH62))</f>
        <v>0</v>
      </c>
      <c r="JDK62" s="962">
        <f>MIN(JDK60*$C$62,'Sources and Uses Budget'!$J$99-SUM('15 Year Pro Forma'!$E$62:JDJ62))</f>
        <v>0</v>
      </c>
      <c r="JDM62" s="962">
        <f>MIN(JDM60*$C$62,'Sources and Uses Budget'!$J$99-SUM('15 Year Pro Forma'!$E$62:JDL62))</f>
        <v>0</v>
      </c>
      <c r="JDO62" s="962">
        <f>MIN(JDO60*$C$62,'Sources and Uses Budget'!$J$99-SUM('15 Year Pro Forma'!$E$62:JDN62))</f>
        <v>0</v>
      </c>
      <c r="JDQ62" s="962">
        <f>MIN(JDQ60*$C$62,'Sources and Uses Budget'!$J$99-SUM('15 Year Pro Forma'!$E$62:JDP62))</f>
        <v>0</v>
      </c>
      <c r="JDS62" s="962">
        <f>MIN(JDS60*$C$62,'Sources and Uses Budget'!$J$99-SUM('15 Year Pro Forma'!$E$62:JDR62))</f>
        <v>0</v>
      </c>
      <c r="JDU62" s="962">
        <f>MIN(JDU60*$C$62,'Sources and Uses Budget'!$J$99-SUM('15 Year Pro Forma'!$E$62:JDT62))</f>
        <v>0</v>
      </c>
      <c r="JDW62" s="962">
        <f>MIN(JDW60*$C$62,'Sources and Uses Budget'!$J$99-SUM('15 Year Pro Forma'!$E$62:JDV62))</f>
        <v>0</v>
      </c>
      <c r="JDY62" s="962">
        <f>MIN(JDY60*$C$62,'Sources and Uses Budget'!$J$99-SUM('15 Year Pro Forma'!$E$62:JDX62))</f>
        <v>0</v>
      </c>
      <c r="JEA62" s="962">
        <f>MIN(JEA60*$C$62,'Sources and Uses Budget'!$J$99-SUM('15 Year Pro Forma'!$E$62:JDZ62))</f>
        <v>0</v>
      </c>
      <c r="JEC62" s="962">
        <f>MIN(JEC60*$C$62,'Sources and Uses Budget'!$J$99-SUM('15 Year Pro Forma'!$E$62:JEB62))</f>
        <v>0</v>
      </c>
      <c r="JEE62" s="962">
        <f>MIN(JEE60*$C$62,'Sources and Uses Budget'!$J$99-SUM('15 Year Pro Forma'!$E$62:JED62))</f>
        <v>0</v>
      </c>
      <c r="JEG62" s="962">
        <f>MIN(JEG60*$C$62,'Sources and Uses Budget'!$J$99-SUM('15 Year Pro Forma'!$E$62:JEF62))</f>
        <v>0</v>
      </c>
      <c r="JEI62" s="962">
        <f>MIN(JEI60*$C$62,'Sources and Uses Budget'!$J$99-SUM('15 Year Pro Forma'!$E$62:JEH62))</f>
        <v>0</v>
      </c>
      <c r="JEK62" s="962">
        <f>MIN(JEK60*$C$62,'Sources and Uses Budget'!$J$99-SUM('15 Year Pro Forma'!$E$62:JEJ62))</f>
        <v>0</v>
      </c>
      <c r="JEM62" s="962">
        <f>MIN(JEM60*$C$62,'Sources and Uses Budget'!$J$99-SUM('15 Year Pro Forma'!$E$62:JEL62))</f>
        <v>0</v>
      </c>
      <c r="JEO62" s="962">
        <f>MIN(JEO60*$C$62,'Sources and Uses Budget'!$J$99-SUM('15 Year Pro Forma'!$E$62:JEN62))</f>
        <v>0</v>
      </c>
      <c r="JEQ62" s="962">
        <f>MIN(JEQ60*$C$62,'Sources and Uses Budget'!$J$99-SUM('15 Year Pro Forma'!$E$62:JEP62))</f>
        <v>0</v>
      </c>
      <c r="JES62" s="962">
        <f>MIN(JES60*$C$62,'Sources and Uses Budget'!$J$99-SUM('15 Year Pro Forma'!$E$62:JER62))</f>
        <v>0</v>
      </c>
      <c r="JEU62" s="962">
        <f>MIN(JEU60*$C$62,'Sources and Uses Budget'!$J$99-SUM('15 Year Pro Forma'!$E$62:JET62))</f>
        <v>0</v>
      </c>
      <c r="JEW62" s="962">
        <f>MIN(JEW60*$C$62,'Sources and Uses Budget'!$J$99-SUM('15 Year Pro Forma'!$E$62:JEV62))</f>
        <v>0</v>
      </c>
      <c r="JEY62" s="962">
        <f>MIN(JEY60*$C$62,'Sources and Uses Budget'!$J$99-SUM('15 Year Pro Forma'!$E$62:JEX62))</f>
        <v>0</v>
      </c>
      <c r="JFA62" s="962">
        <f>MIN(JFA60*$C$62,'Sources and Uses Budget'!$J$99-SUM('15 Year Pro Forma'!$E$62:JEZ62))</f>
        <v>0</v>
      </c>
      <c r="JFC62" s="962">
        <f>MIN(JFC60*$C$62,'Sources and Uses Budget'!$J$99-SUM('15 Year Pro Forma'!$E$62:JFB62))</f>
        <v>0</v>
      </c>
      <c r="JFE62" s="962">
        <f>MIN(JFE60*$C$62,'Sources and Uses Budget'!$J$99-SUM('15 Year Pro Forma'!$E$62:JFD62))</f>
        <v>0</v>
      </c>
      <c r="JFG62" s="962">
        <f>MIN(JFG60*$C$62,'Sources and Uses Budget'!$J$99-SUM('15 Year Pro Forma'!$E$62:JFF62))</f>
        <v>0</v>
      </c>
      <c r="JFI62" s="962">
        <f>MIN(JFI60*$C$62,'Sources and Uses Budget'!$J$99-SUM('15 Year Pro Forma'!$E$62:JFH62))</f>
        <v>0</v>
      </c>
      <c r="JFK62" s="962">
        <f>MIN(JFK60*$C$62,'Sources and Uses Budget'!$J$99-SUM('15 Year Pro Forma'!$E$62:JFJ62))</f>
        <v>0</v>
      </c>
      <c r="JFM62" s="962">
        <f>MIN(JFM60*$C$62,'Sources and Uses Budget'!$J$99-SUM('15 Year Pro Forma'!$E$62:JFL62))</f>
        <v>0</v>
      </c>
      <c r="JFO62" s="962">
        <f>MIN(JFO60*$C$62,'Sources and Uses Budget'!$J$99-SUM('15 Year Pro Forma'!$E$62:JFN62))</f>
        <v>0</v>
      </c>
      <c r="JFQ62" s="962">
        <f>MIN(JFQ60*$C$62,'Sources and Uses Budget'!$J$99-SUM('15 Year Pro Forma'!$E$62:JFP62))</f>
        <v>0</v>
      </c>
      <c r="JFS62" s="962">
        <f>MIN(JFS60*$C$62,'Sources and Uses Budget'!$J$99-SUM('15 Year Pro Forma'!$E$62:JFR62))</f>
        <v>0</v>
      </c>
      <c r="JFU62" s="962">
        <f>MIN(JFU60*$C$62,'Sources and Uses Budget'!$J$99-SUM('15 Year Pro Forma'!$E$62:JFT62))</f>
        <v>0</v>
      </c>
      <c r="JFW62" s="962">
        <f>MIN(JFW60*$C$62,'Sources and Uses Budget'!$J$99-SUM('15 Year Pro Forma'!$E$62:JFV62))</f>
        <v>0</v>
      </c>
      <c r="JFY62" s="962">
        <f>MIN(JFY60*$C$62,'Sources and Uses Budget'!$J$99-SUM('15 Year Pro Forma'!$E$62:JFX62))</f>
        <v>0</v>
      </c>
      <c r="JGA62" s="962">
        <f>MIN(JGA60*$C$62,'Sources and Uses Budget'!$J$99-SUM('15 Year Pro Forma'!$E$62:JFZ62))</f>
        <v>0</v>
      </c>
      <c r="JGC62" s="962">
        <f>MIN(JGC60*$C$62,'Sources and Uses Budget'!$J$99-SUM('15 Year Pro Forma'!$E$62:JGB62))</f>
        <v>0</v>
      </c>
      <c r="JGE62" s="962">
        <f>MIN(JGE60*$C$62,'Sources and Uses Budget'!$J$99-SUM('15 Year Pro Forma'!$E$62:JGD62))</f>
        <v>0</v>
      </c>
      <c r="JGG62" s="962">
        <f>MIN(JGG60*$C$62,'Sources and Uses Budget'!$J$99-SUM('15 Year Pro Forma'!$E$62:JGF62))</f>
        <v>0</v>
      </c>
      <c r="JGI62" s="962">
        <f>MIN(JGI60*$C$62,'Sources and Uses Budget'!$J$99-SUM('15 Year Pro Forma'!$E$62:JGH62))</f>
        <v>0</v>
      </c>
      <c r="JGK62" s="962">
        <f>MIN(JGK60*$C$62,'Sources and Uses Budget'!$J$99-SUM('15 Year Pro Forma'!$E$62:JGJ62))</f>
        <v>0</v>
      </c>
      <c r="JGM62" s="962">
        <f>MIN(JGM60*$C$62,'Sources and Uses Budget'!$J$99-SUM('15 Year Pro Forma'!$E$62:JGL62))</f>
        <v>0</v>
      </c>
      <c r="JGO62" s="962">
        <f>MIN(JGO60*$C$62,'Sources and Uses Budget'!$J$99-SUM('15 Year Pro Forma'!$E$62:JGN62))</f>
        <v>0</v>
      </c>
      <c r="JGQ62" s="962">
        <f>MIN(JGQ60*$C$62,'Sources and Uses Budget'!$J$99-SUM('15 Year Pro Forma'!$E$62:JGP62))</f>
        <v>0</v>
      </c>
      <c r="JGS62" s="962">
        <f>MIN(JGS60*$C$62,'Sources and Uses Budget'!$J$99-SUM('15 Year Pro Forma'!$E$62:JGR62))</f>
        <v>0</v>
      </c>
      <c r="JGU62" s="962">
        <f>MIN(JGU60*$C$62,'Sources and Uses Budget'!$J$99-SUM('15 Year Pro Forma'!$E$62:JGT62))</f>
        <v>0</v>
      </c>
      <c r="JGW62" s="962">
        <f>MIN(JGW60*$C$62,'Sources and Uses Budget'!$J$99-SUM('15 Year Pro Forma'!$E$62:JGV62))</f>
        <v>0</v>
      </c>
      <c r="JGY62" s="962">
        <f>MIN(JGY60*$C$62,'Sources and Uses Budget'!$J$99-SUM('15 Year Pro Forma'!$E$62:JGX62))</f>
        <v>0</v>
      </c>
      <c r="JHA62" s="962">
        <f>MIN(JHA60*$C$62,'Sources and Uses Budget'!$J$99-SUM('15 Year Pro Forma'!$E$62:JGZ62))</f>
        <v>0</v>
      </c>
      <c r="JHC62" s="962">
        <f>MIN(JHC60*$C$62,'Sources and Uses Budget'!$J$99-SUM('15 Year Pro Forma'!$E$62:JHB62))</f>
        <v>0</v>
      </c>
      <c r="JHE62" s="962">
        <f>MIN(JHE60*$C$62,'Sources and Uses Budget'!$J$99-SUM('15 Year Pro Forma'!$E$62:JHD62))</f>
        <v>0</v>
      </c>
      <c r="JHG62" s="962">
        <f>MIN(JHG60*$C$62,'Sources and Uses Budget'!$J$99-SUM('15 Year Pro Forma'!$E$62:JHF62))</f>
        <v>0</v>
      </c>
      <c r="JHI62" s="962">
        <f>MIN(JHI60*$C$62,'Sources and Uses Budget'!$J$99-SUM('15 Year Pro Forma'!$E$62:JHH62))</f>
        <v>0</v>
      </c>
      <c r="JHK62" s="962">
        <f>MIN(JHK60*$C$62,'Sources and Uses Budget'!$J$99-SUM('15 Year Pro Forma'!$E$62:JHJ62))</f>
        <v>0</v>
      </c>
      <c r="JHM62" s="962">
        <f>MIN(JHM60*$C$62,'Sources and Uses Budget'!$J$99-SUM('15 Year Pro Forma'!$E$62:JHL62))</f>
        <v>0</v>
      </c>
      <c r="JHO62" s="962">
        <f>MIN(JHO60*$C$62,'Sources and Uses Budget'!$J$99-SUM('15 Year Pro Forma'!$E$62:JHN62))</f>
        <v>0</v>
      </c>
      <c r="JHQ62" s="962">
        <f>MIN(JHQ60*$C$62,'Sources and Uses Budget'!$J$99-SUM('15 Year Pro Forma'!$E$62:JHP62))</f>
        <v>0</v>
      </c>
      <c r="JHS62" s="962">
        <f>MIN(JHS60*$C$62,'Sources and Uses Budget'!$J$99-SUM('15 Year Pro Forma'!$E$62:JHR62))</f>
        <v>0</v>
      </c>
      <c r="JHU62" s="962">
        <f>MIN(JHU60*$C$62,'Sources and Uses Budget'!$J$99-SUM('15 Year Pro Forma'!$E$62:JHT62))</f>
        <v>0</v>
      </c>
      <c r="JHW62" s="962">
        <f>MIN(JHW60*$C$62,'Sources and Uses Budget'!$J$99-SUM('15 Year Pro Forma'!$E$62:JHV62))</f>
        <v>0</v>
      </c>
      <c r="JHY62" s="962">
        <f>MIN(JHY60*$C$62,'Sources and Uses Budget'!$J$99-SUM('15 Year Pro Forma'!$E$62:JHX62))</f>
        <v>0</v>
      </c>
      <c r="JIA62" s="962">
        <f>MIN(JIA60*$C$62,'Sources and Uses Budget'!$J$99-SUM('15 Year Pro Forma'!$E$62:JHZ62))</f>
        <v>0</v>
      </c>
      <c r="JIC62" s="962">
        <f>MIN(JIC60*$C$62,'Sources and Uses Budget'!$J$99-SUM('15 Year Pro Forma'!$E$62:JIB62))</f>
        <v>0</v>
      </c>
      <c r="JIE62" s="962">
        <f>MIN(JIE60*$C$62,'Sources and Uses Budget'!$J$99-SUM('15 Year Pro Forma'!$E$62:JID62))</f>
        <v>0</v>
      </c>
      <c r="JIG62" s="962">
        <f>MIN(JIG60*$C$62,'Sources and Uses Budget'!$J$99-SUM('15 Year Pro Forma'!$E$62:JIF62))</f>
        <v>0</v>
      </c>
      <c r="JII62" s="962">
        <f>MIN(JII60*$C$62,'Sources and Uses Budget'!$J$99-SUM('15 Year Pro Forma'!$E$62:JIH62))</f>
        <v>0</v>
      </c>
      <c r="JIK62" s="962">
        <f>MIN(JIK60*$C$62,'Sources and Uses Budget'!$J$99-SUM('15 Year Pro Forma'!$E$62:JIJ62))</f>
        <v>0</v>
      </c>
      <c r="JIM62" s="962">
        <f>MIN(JIM60*$C$62,'Sources and Uses Budget'!$J$99-SUM('15 Year Pro Forma'!$E$62:JIL62))</f>
        <v>0</v>
      </c>
      <c r="JIO62" s="962">
        <f>MIN(JIO60*$C$62,'Sources and Uses Budget'!$J$99-SUM('15 Year Pro Forma'!$E$62:JIN62))</f>
        <v>0</v>
      </c>
      <c r="JIQ62" s="962">
        <f>MIN(JIQ60*$C$62,'Sources and Uses Budget'!$J$99-SUM('15 Year Pro Forma'!$E$62:JIP62))</f>
        <v>0</v>
      </c>
      <c r="JIS62" s="962">
        <f>MIN(JIS60*$C$62,'Sources and Uses Budget'!$J$99-SUM('15 Year Pro Forma'!$E$62:JIR62))</f>
        <v>0</v>
      </c>
      <c r="JIU62" s="962">
        <f>MIN(JIU60*$C$62,'Sources and Uses Budget'!$J$99-SUM('15 Year Pro Forma'!$E$62:JIT62))</f>
        <v>0</v>
      </c>
      <c r="JIW62" s="962">
        <f>MIN(JIW60*$C$62,'Sources and Uses Budget'!$J$99-SUM('15 Year Pro Forma'!$E$62:JIV62))</f>
        <v>0</v>
      </c>
      <c r="JIY62" s="962">
        <f>MIN(JIY60*$C$62,'Sources and Uses Budget'!$J$99-SUM('15 Year Pro Forma'!$E$62:JIX62))</f>
        <v>0</v>
      </c>
      <c r="JJA62" s="962">
        <f>MIN(JJA60*$C$62,'Sources and Uses Budget'!$J$99-SUM('15 Year Pro Forma'!$E$62:JIZ62))</f>
        <v>0</v>
      </c>
      <c r="JJC62" s="962">
        <f>MIN(JJC60*$C$62,'Sources and Uses Budget'!$J$99-SUM('15 Year Pro Forma'!$E$62:JJB62))</f>
        <v>0</v>
      </c>
      <c r="JJE62" s="962">
        <f>MIN(JJE60*$C$62,'Sources and Uses Budget'!$J$99-SUM('15 Year Pro Forma'!$E$62:JJD62))</f>
        <v>0</v>
      </c>
      <c r="JJG62" s="962">
        <f>MIN(JJG60*$C$62,'Sources and Uses Budget'!$J$99-SUM('15 Year Pro Forma'!$E$62:JJF62))</f>
        <v>0</v>
      </c>
      <c r="JJI62" s="962">
        <f>MIN(JJI60*$C$62,'Sources and Uses Budget'!$J$99-SUM('15 Year Pro Forma'!$E$62:JJH62))</f>
        <v>0</v>
      </c>
      <c r="JJK62" s="962">
        <f>MIN(JJK60*$C$62,'Sources and Uses Budget'!$J$99-SUM('15 Year Pro Forma'!$E$62:JJJ62))</f>
        <v>0</v>
      </c>
      <c r="JJM62" s="962">
        <f>MIN(JJM60*$C$62,'Sources and Uses Budget'!$J$99-SUM('15 Year Pro Forma'!$E$62:JJL62))</f>
        <v>0</v>
      </c>
      <c r="JJO62" s="962">
        <f>MIN(JJO60*$C$62,'Sources and Uses Budget'!$J$99-SUM('15 Year Pro Forma'!$E$62:JJN62))</f>
        <v>0</v>
      </c>
      <c r="JJQ62" s="962">
        <f>MIN(JJQ60*$C$62,'Sources and Uses Budget'!$J$99-SUM('15 Year Pro Forma'!$E$62:JJP62))</f>
        <v>0</v>
      </c>
      <c r="JJS62" s="962">
        <f>MIN(JJS60*$C$62,'Sources and Uses Budget'!$J$99-SUM('15 Year Pro Forma'!$E$62:JJR62))</f>
        <v>0</v>
      </c>
      <c r="JJU62" s="962">
        <f>MIN(JJU60*$C$62,'Sources and Uses Budget'!$J$99-SUM('15 Year Pro Forma'!$E$62:JJT62))</f>
        <v>0</v>
      </c>
      <c r="JJW62" s="962">
        <f>MIN(JJW60*$C$62,'Sources and Uses Budget'!$J$99-SUM('15 Year Pro Forma'!$E$62:JJV62))</f>
        <v>0</v>
      </c>
      <c r="JJY62" s="962">
        <f>MIN(JJY60*$C$62,'Sources and Uses Budget'!$J$99-SUM('15 Year Pro Forma'!$E$62:JJX62))</f>
        <v>0</v>
      </c>
      <c r="JKA62" s="962">
        <f>MIN(JKA60*$C$62,'Sources and Uses Budget'!$J$99-SUM('15 Year Pro Forma'!$E$62:JJZ62))</f>
        <v>0</v>
      </c>
      <c r="JKC62" s="962">
        <f>MIN(JKC60*$C$62,'Sources and Uses Budget'!$J$99-SUM('15 Year Pro Forma'!$E$62:JKB62))</f>
        <v>0</v>
      </c>
      <c r="JKE62" s="962">
        <f>MIN(JKE60*$C$62,'Sources and Uses Budget'!$J$99-SUM('15 Year Pro Forma'!$E$62:JKD62))</f>
        <v>0</v>
      </c>
      <c r="JKG62" s="962">
        <f>MIN(JKG60*$C$62,'Sources and Uses Budget'!$J$99-SUM('15 Year Pro Forma'!$E$62:JKF62))</f>
        <v>0</v>
      </c>
      <c r="JKI62" s="962">
        <f>MIN(JKI60*$C$62,'Sources and Uses Budget'!$J$99-SUM('15 Year Pro Forma'!$E$62:JKH62))</f>
        <v>0</v>
      </c>
      <c r="JKK62" s="962">
        <f>MIN(JKK60*$C$62,'Sources and Uses Budget'!$J$99-SUM('15 Year Pro Forma'!$E$62:JKJ62))</f>
        <v>0</v>
      </c>
      <c r="JKM62" s="962">
        <f>MIN(JKM60*$C$62,'Sources and Uses Budget'!$J$99-SUM('15 Year Pro Forma'!$E$62:JKL62))</f>
        <v>0</v>
      </c>
      <c r="JKO62" s="962">
        <f>MIN(JKO60*$C$62,'Sources and Uses Budget'!$J$99-SUM('15 Year Pro Forma'!$E$62:JKN62))</f>
        <v>0</v>
      </c>
      <c r="JKQ62" s="962">
        <f>MIN(JKQ60*$C$62,'Sources and Uses Budget'!$J$99-SUM('15 Year Pro Forma'!$E$62:JKP62))</f>
        <v>0</v>
      </c>
      <c r="JKS62" s="962">
        <f>MIN(JKS60*$C$62,'Sources and Uses Budget'!$J$99-SUM('15 Year Pro Forma'!$E$62:JKR62))</f>
        <v>0</v>
      </c>
      <c r="JKU62" s="962">
        <f>MIN(JKU60*$C$62,'Sources and Uses Budget'!$J$99-SUM('15 Year Pro Forma'!$E$62:JKT62))</f>
        <v>0</v>
      </c>
      <c r="JKW62" s="962">
        <f>MIN(JKW60*$C$62,'Sources and Uses Budget'!$J$99-SUM('15 Year Pro Forma'!$E$62:JKV62))</f>
        <v>0</v>
      </c>
      <c r="JKY62" s="962">
        <f>MIN(JKY60*$C$62,'Sources and Uses Budget'!$J$99-SUM('15 Year Pro Forma'!$E$62:JKX62))</f>
        <v>0</v>
      </c>
      <c r="JLA62" s="962">
        <f>MIN(JLA60*$C$62,'Sources and Uses Budget'!$J$99-SUM('15 Year Pro Forma'!$E$62:JKZ62))</f>
        <v>0</v>
      </c>
      <c r="JLC62" s="962">
        <f>MIN(JLC60*$C$62,'Sources and Uses Budget'!$J$99-SUM('15 Year Pro Forma'!$E$62:JLB62))</f>
        <v>0</v>
      </c>
      <c r="JLE62" s="962">
        <f>MIN(JLE60*$C$62,'Sources and Uses Budget'!$J$99-SUM('15 Year Pro Forma'!$E$62:JLD62))</f>
        <v>0</v>
      </c>
      <c r="JLG62" s="962">
        <f>MIN(JLG60*$C$62,'Sources and Uses Budget'!$J$99-SUM('15 Year Pro Forma'!$E$62:JLF62))</f>
        <v>0</v>
      </c>
      <c r="JLI62" s="962">
        <f>MIN(JLI60*$C$62,'Sources and Uses Budget'!$J$99-SUM('15 Year Pro Forma'!$E$62:JLH62))</f>
        <v>0</v>
      </c>
      <c r="JLK62" s="962">
        <f>MIN(JLK60*$C$62,'Sources and Uses Budget'!$J$99-SUM('15 Year Pro Forma'!$E$62:JLJ62))</f>
        <v>0</v>
      </c>
      <c r="JLM62" s="962">
        <f>MIN(JLM60*$C$62,'Sources and Uses Budget'!$J$99-SUM('15 Year Pro Forma'!$E$62:JLL62))</f>
        <v>0</v>
      </c>
      <c r="JLO62" s="962">
        <f>MIN(JLO60*$C$62,'Sources and Uses Budget'!$J$99-SUM('15 Year Pro Forma'!$E$62:JLN62))</f>
        <v>0</v>
      </c>
      <c r="JLQ62" s="962">
        <f>MIN(JLQ60*$C$62,'Sources and Uses Budget'!$J$99-SUM('15 Year Pro Forma'!$E$62:JLP62))</f>
        <v>0</v>
      </c>
      <c r="JLS62" s="962">
        <f>MIN(JLS60*$C$62,'Sources and Uses Budget'!$J$99-SUM('15 Year Pro Forma'!$E$62:JLR62))</f>
        <v>0</v>
      </c>
      <c r="JLU62" s="962">
        <f>MIN(JLU60*$C$62,'Sources and Uses Budget'!$J$99-SUM('15 Year Pro Forma'!$E$62:JLT62))</f>
        <v>0</v>
      </c>
      <c r="JLW62" s="962">
        <f>MIN(JLW60*$C$62,'Sources and Uses Budget'!$J$99-SUM('15 Year Pro Forma'!$E$62:JLV62))</f>
        <v>0</v>
      </c>
      <c r="JLY62" s="962">
        <f>MIN(JLY60*$C$62,'Sources and Uses Budget'!$J$99-SUM('15 Year Pro Forma'!$E$62:JLX62))</f>
        <v>0</v>
      </c>
      <c r="JMA62" s="962">
        <f>MIN(JMA60*$C$62,'Sources and Uses Budget'!$J$99-SUM('15 Year Pro Forma'!$E$62:JLZ62))</f>
        <v>0</v>
      </c>
      <c r="JMC62" s="962">
        <f>MIN(JMC60*$C$62,'Sources and Uses Budget'!$J$99-SUM('15 Year Pro Forma'!$E$62:JMB62))</f>
        <v>0</v>
      </c>
      <c r="JME62" s="962">
        <f>MIN(JME60*$C$62,'Sources and Uses Budget'!$J$99-SUM('15 Year Pro Forma'!$E$62:JMD62))</f>
        <v>0</v>
      </c>
      <c r="JMG62" s="962">
        <f>MIN(JMG60*$C$62,'Sources and Uses Budget'!$J$99-SUM('15 Year Pro Forma'!$E$62:JMF62))</f>
        <v>0</v>
      </c>
      <c r="JMI62" s="962">
        <f>MIN(JMI60*$C$62,'Sources and Uses Budget'!$J$99-SUM('15 Year Pro Forma'!$E$62:JMH62))</f>
        <v>0</v>
      </c>
      <c r="JMK62" s="962">
        <f>MIN(JMK60*$C$62,'Sources and Uses Budget'!$J$99-SUM('15 Year Pro Forma'!$E$62:JMJ62))</f>
        <v>0</v>
      </c>
      <c r="JMM62" s="962">
        <f>MIN(JMM60*$C$62,'Sources and Uses Budget'!$J$99-SUM('15 Year Pro Forma'!$E$62:JML62))</f>
        <v>0</v>
      </c>
      <c r="JMO62" s="962">
        <f>MIN(JMO60*$C$62,'Sources and Uses Budget'!$J$99-SUM('15 Year Pro Forma'!$E$62:JMN62))</f>
        <v>0</v>
      </c>
      <c r="JMQ62" s="962">
        <f>MIN(JMQ60*$C$62,'Sources and Uses Budget'!$J$99-SUM('15 Year Pro Forma'!$E$62:JMP62))</f>
        <v>0</v>
      </c>
      <c r="JMS62" s="962">
        <f>MIN(JMS60*$C$62,'Sources and Uses Budget'!$J$99-SUM('15 Year Pro Forma'!$E$62:JMR62))</f>
        <v>0</v>
      </c>
      <c r="JMU62" s="962">
        <f>MIN(JMU60*$C$62,'Sources and Uses Budget'!$J$99-SUM('15 Year Pro Forma'!$E$62:JMT62))</f>
        <v>0</v>
      </c>
      <c r="JMW62" s="962">
        <f>MIN(JMW60*$C$62,'Sources and Uses Budget'!$J$99-SUM('15 Year Pro Forma'!$E$62:JMV62))</f>
        <v>0</v>
      </c>
      <c r="JMY62" s="962">
        <f>MIN(JMY60*$C$62,'Sources and Uses Budget'!$J$99-SUM('15 Year Pro Forma'!$E$62:JMX62))</f>
        <v>0</v>
      </c>
      <c r="JNA62" s="962">
        <f>MIN(JNA60*$C$62,'Sources and Uses Budget'!$J$99-SUM('15 Year Pro Forma'!$E$62:JMZ62))</f>
        <v>0</v>
      </c>
      <c r="JNC62" s="962">
        <f>MIN(JNC60*$C$62,'Sources and Uses Budget'!$J$99-SUM('15 Year Pro Forma'!$E$62:JNB62))</f>
        <v>0</v>
      </c>
      <c r="JNE62" s="962">
        <f>MIN(JNE60*$C$62,'Sources and Uses Budget'!$J$99-SUM('15 Year Pro Forma'!$E$62:JND62))</f>
        <v>0</v>
      </c>
      <c r="JNG62" s="962">
        <f>MIN(JNG60*$C$62,'Sources and Uses Budget'!$J$99-SUM('15 Year Pro Forma'!$E$62:JNF62))</f>
        <v>0</v>
      </c>
      <c r="JNI62" s="962">
        <f>MIN(JNI60*$C$62,'Sources and Uses Budget'!$J$99-SUM('15 Year Pro Forma'!$E$62:JNH62))</f>
        <v>0</v>
      </c>
      <c r="JNK62" s="962">
        <f>MIN(JNK60*$C$62,'Sources and Uses Budget'!$J$99-SUM('15 Year Pro Forma'!$E$62:JNJ62))</f>
        <v>0</v>
      </c>
      <c r="JNM62" s="962">
        <f>MIN(JNM60*$C$62,'Sources and Uses Budget'!$J$99-SUM('15 Year Pro Forma'!$E$62:JNL62))</f>
        <v>0</v>
      </c>
      <c r="JNO62" s="962">
        <f>MIN(JNO60*$C$62,'Sources and Uses Budget'!$J$99-SUM('15 Year Pro Forma'!$E$62:JNN62))</f>
        <v>0</v>
      </c>
      <c r="JNQ62" s="962">
        <f>MIN(JNQ60*$C$62,'Sources and Uses Budget'!$J$99-SUM('15 Year Pro Forma'!$E$62:JNP62))</f>
        <v>0</v>
      </c>
      <c r="JNS62" s="962">
        <f>MIN(JNS60*$C$62,'Sources and Uses Budget'!$J$99-SUM('15 Year Pro Forma'!$E$62:JNR62))</f>
        <v>0</v>
      </c>
      <c r="JNU62" s="962">
        <f>MIN(JNU60*$C$62,'Sources and Uses Budget'!$J$99-SUM('15 Year Pro Forma'!$E$62:JNT62))</f>
        <v>0</v>
      </c>
      <c r="JNW62" s="962">
        <f>MIN(JNW60*$C$62,'Sources and Uses Budget'!$J$99-SUM('15 Year Pro Forma'!$E$62:JNV62))</f>
        <v>0</v>
      </c>
      <c r="JNY62" s="962">
        <f>MIN(JNY60*$C$62,'Sources and Uses Budget'!$J$99-SUM('15 Year Pro Forma'!$E$62:JNX62))</f>
        <v>0</v>
      </c>
      <c r="JOA62" s="962">
        <f>MIN(JOA60*$C$62,'Sources and Uses Budget'!$J$99-SUM('15 Year Pro Forma'!$E$62:JNZ62))</f>
        <v>0</v>
      </c>
      <c r="JOC62" s="962">
        <f>MIN(JOC60*$C$62,'Sources and Uses Budget'!$J$99-SUM('15 Year Pro Forma'!$E$62:JOB62))</f>
        <v>0</v>
      </c>
      <c r="JOE62" s="962">
        <f>MIN(JOE60*$C$62,'Sources and Uses Budget'!$J$99-SUM('15 Year Pro Forma'!$E$62:JOD62))</f>
        <v>0</v>
      </c>
      <c r="JOG62" s="962">
        <f>MIN(JOG60*$C$62,'Sources and Uses Budget'!$J$99-SUM('15 Year Pro Forma'!$E$62:JOF62))</f>
        <v>0</v>
      </c>
      <c r="JOI62" s="962">
        <f>MIN(JOI60*$C$62,'Sources and Uses Budget'!$J$99-SUM('15 Year Pro Forma'!$E$62:JOH62))</f>
        <v>0</v>
      </c>
      <c r="JOK62" s="962">
        <f>MIN(JOK60*$C$62,'Sources and Uses Budget'!$J$99-SUM('15 Year Pro Forma'!$E$62:JOJ62))</f>
        <v>0</v>
      </c>
      <c r="JOM62" s="962">
        <f>MIN(JOM60*$C$62,'Sources and Uses Budget'!$J$99-SUM('15 Year Pro Forma'!$E$62:JOL62))</f>
        <v>0</v>
      </c>
      <c r="JOO62" s="962">
        <f>MIN(JOO60*$C$62,'Sources and Uses Budget'!$J$99-SUM('15 Year Pro Forma'!$E$62:JON62))</f>
        <v>0</v>
      </c>
      <c r="JOQ62" s="962">
        <f>MIN(JOQ60*$C$62,'Sources and Uses Budget'!$J$99-SUM('15 Year Pro Forma'!$E$62:JOP62))</f>
        <v>0</v>
      </c>
      <c r="JOS62" s="962">
        <f>MIN(JOS60*$C$62,'Sources and Uses Budget'!$J$99-SUM('15 Year Pro Forma'!$E$62:JOR62))</f>
        <v>0</v>
      </c>
      <c r="JOU62" s="962">
        <f>MIN(JOU60*$C$62,'Sources and Uses Budget'!$J$99-SUM('15 Year Pro Forma'!$E$62:JOT62))</f>
        <v>0</v>
      </c>
      <c r="JOW62" s="962">
        <f>MIN(JOW60*$C$62,'Sources and Uses Budget'!$J$99-SUM('15 Year Pro Forma'!$E$62:JOV62))</f>
        <v>0</v>
      </c>
      <c r="JOY62" s="962">
        <f>MIN(JOY60*$C$62,'Sources and Uses Budget'!$J$99-SUM('15 Year Pro Forma'!$E$62:JOX62))</f>
        <v>0</v>
      </c>
      <c r="JPA62" s="962">
        <f>MIN(JPA60*$C$62,'Sources and Uses Budget'!$J$99-SUM('15 Year Pro Forma'!$E$62:JOZ62))</f>
        <v>0</v>
      </c>
      <c r="JPC62" s="962">
        <f>MIN(JPC60*$C$62,'Sources and Uses Budget'!$J$99-SUM('15 Year Pro Forma'!$E$62:JPB62))</f>
        <v>0</v>
      </c>
      <c r="JPE62" s="962">
        <f>MIN(JPE60*$C$62,'Sources and Uses Budget'!$J$99-SUM('15 Year Pro Forma'!$E$62:JPD62))</f>
        <v>0</v>
      </c>
      <c r="JPG62" s="962">
        <f>MIN(JPG60*$C$62,'Sources and Uses Budget'!$J$99-SUM('15 Year Pro Forma'!$E$62:JPF62))</f>
        <v>0</v>
      </c>
      <c r="JPI62" s="962">
        <f>MIN(JPI60*$C$62,'Sources and Uses Budget'!$J$99-SUM('15 Year Pro Forma'!$E$62:JPH62))</f>
        <v>0</v>
      </c>
      <c r="JPK62" s="962">
        <f>MIN(JPK60*$C$62,'Sources and Uses Budget'!$J$99-SUM('15 Year Pro Forma'!$E$62:JPJ62))</f>
        <v>0</v>
      </c>
      <c r="JPM62" s="962">
        <f>MIN(JPM60*$C$62,'Sources and Uses Budget'!$J$99-SUM('15 Year Pro Forma'!$E$62:JPL62))</f>
        <v>0</v>
      </c>
      <c r="JPO62" s="962">
        <f>MIN(JPO60*$C$62,'Sources and Uses Budget'!$J$99-SUM('15 Year Pro Forma'!$E$62:JPN62))</f>
        <v>0</v>
      </c>
      <c r="JPQ62" s="962">
        <f>MIN(JPQ60*$C$62,'Sources and Uses Budget'!$J$99-SUM('15 Year Pro Forma'!$E$62:JPP62))</f>
        <v>0</v>
      </c>
      <c r="JPS62" s="962">
        <f>MIN(JPS60*$C$62,'Sources and Uses Budget'!$J$99-SUM('15 Year Pro Forma'!$E$62:JPR62))</f>
        <v>0</v>
      </c>
      <c r="JPU62" s="962">
        <f>MIN(JPU60*$C$62,'Sources and Uses Budget'!$J$99-SUM('15 Year Pro Forma'!$E$62:JPT62))</f>
        <v>0</v>
      </c>
      <c r="JPW62" s="962">
        <f>MIN(JPW60*$C$62,'Sources and Uses Budget'!$J$99-SUM('15 Year Pro Forma'!$E$62:JPV62))</f>
        <v>0</v>
      </c>
      <c r="JPY62" s="962">
        <f>MIN(JPY60*$C$62,'Sources and Uses Budget'!$J$99-SUM('15 Year Pro Forma'!$E$62:JPX62))</f>
        <v>0</v>
      </c>
      <c r="JQA62" s="962">
        <f>MIN(JQA60*$C$62,'Sources and Uses Budget'!$J$99-SUM('15 Year Pro Forma'!$E$62:JPZ62))</f>
        <v>0</v>
      </c>
      <c r="JQC62" s="962">
        <f>MIN(JQC60*$C$62,'Sources and Uses Budget'!$J$99-SUM('15 Year Pro Forma'!$E$62:JQB62))</f>
        <v>0</v>
      </c>
      <c r="JQE62" s="962">
        <f>MIN(JQE60*$C$62,'Sources and Uses Budget'!$J$99-SUM('15 Year Pro Forma'!$E$62:JQD62))</f>
        <v>0</v>
      </c>
      <c r="JQG62" s="962">
        <f>MIN(JQG60*$C$62,'Sources and Uses Budget'!$J$99-SUM('15 Year Pro Forma'!$E$62:JQF62))</f>
        <v>0</v>
      </c>
      <c r="JQI62" s="962">
        <f>MIN(JQI60*$C$62,'Sources and Uses Budget'!$J$99-SUM('15 Year Pro Forma'!$E$62:JQH62))</f>
        <v>0</v>
      </c>
      <c r="JQK62" s="962">
        <f>MIN(JQK60*$C$62,'Sources and Uses Budget'!$J$99-SUM('15 Year Pro Forma'!$E$62:JQJ62))</f>
        <v>0</v>
      </c>
      <c r="JQM62" s="962">
        <f>MIN(JQM60*$C$62,'Sources and Uses Budget'!$J$99-SUM('15 Year Pro Forma'!$E$62:JQL62))</f>
        <v>0</v>
      </c>
      <c r="JQO62" s="962">
        <f>MIN(JQO60*$C$62,'Sources and Uses Budget'!$J$99-SUM('15 Year Pro Forma'!$E$62:JQN62))</f>
        <v>0</v>
      </c>
      <c r="JQQ62" s="962">
        <f>MIN(JQQ60*$C$62,'Sources and Uses Budget'!$J$99-SUM('15 Year Pro Forma'!$E$62:JQP62))</f>
        <v>0</v>
      </c>
      <c r="JQS62" s="962">
        <f>MIN(JQS60*$C$62,'Sources and Uses Budget'!$J$99-SUM('15 Year Pro Forma'!$E$62:JQR62))</f>
        <v>0</v>
      </c>
      <c r="JQU62" s="962">
        <f>MIN(JQU60*$C$62,'Sources and Uses Budget'!$J$99-SUM('15 Year Pro Forma'!$E$62:JQT62))</f>
        <v>0</v>
      </c>
      <c r="JQW62" s="962">
        <f>MIN(JQW60*$C$62,'Sources and Uses Budget'!$J$99-SUM('15 Year Pro Forma'!$E$62:JQV62))</f>
        <v>0</v>
      </c>
      <c r="JQY62" s="962">
        <f>MIN(JQY60*$C$62,'Sources and Uses Budget'!$J$99-SUM('15 Year Pro Forma'!$E$62:JQX62))</f>
        <v>0</v>
      </c>
      <c r="JRA62" s="962">
        <f>MIN(JRA60*$C$62,'Sources and Uses Budget'!$J$99-SUM('15 Year Pro Forma'!$E$62:JQZ62))</f>
        <v>0</v>
      </c>
      <c r="JRC62" s="962">
        <f>MIN(JRC60*$C$62,'Sources and Uses Budget'!$J$99-SUM('15 Year Pro Forma'!$E$62:JRB62))</f>
        <v>0</v>
      </c>
      <c r="JRE62" s="962">
        <f>MIN(JRE60*$C$62,'Sources and Uses Budget'!$J$99-SUM('15 Year Pro Forma'!$E$62:JRD62))</f>
        <v>0</v>
      </c>
      <c r="JRG62" s="962">
        <f>MIN(JRG60*$C$62,'Sources and Uses Budget'!$J$99-SUM('15 Year Pro Forma'!$E$62:JRF62))</f>
        <v>0</v>
      </c>
      <c r="JRI62" s="962">
        <f>MIN(JRI60*$C$62,'Sources and Uses Budget'!$J$99-SUM('15 Year Pro Forma'!$E$62:JRH62))</f>
        <v>0</v>
      </c>
      <c r="JRK62" s="962">
        <f>MIN(JRK60*$C$62,'Sources and Uses Budget'!$J$99-SUM('15 Year Pro Forma'!$E$62:JRJ62))</f>
        <v>0</v>
      </c>
      <c r="JRM62" s="962">
        <f>MIN(JRM60*$C$62,'Sources and Uses Budget'!$J$99-SUM('15 Year Pro Forma'!$E$62:JRL62))</f>
        <v>0</v>
      </c>
      <c r="JRO62" s="962">
        <f>MIN(JRO60*$C$62,'Sources and Uses Budget'!$J$99-SUM('15 Year Pro Forma'!$E$62:JRN62))</f>
        <v>0</v>
      </c>
      <c r="JRQ62" s="962">
        <f>MIN(JRQ60*$C$62,'Sources and Uses Budget'!$J$99-SUM('15 Year Pro Forma'!$E$62:JRP62))</f>
        <v>0</v>
      </c>
      <c r="JRS62" s="962">
        <f>MIN(JRS60*$C$62,'Sources and Uses Budget'!$J$99-SUM('15 Year Pro Forma'!$E$62:JRR62))</f>
        <v>0</v>
      </c>
      <c r="JRU62" s="962">
        <f>MIN(JRU60*$C$62,'Sources and Uses Budget'!$J$99-SUM('15 Year Pro Forma'!$E$62:JRT62))</f>
        <v>0</v>
      </c>
      <c r="JRW62" s="962">
        <f>MIN(JRW60*$C$62,'Sources and Uses Budget'!$J$99-SUM('15 Year Pro Forma'!$E$62:JRV62))</f>
        <v>0</v>
      </c>
      <c r="JRY62" s="962">
        <f>MIN(JRY60*$C$62,'Sources and Uses Budget'!$J$99-SUM('15 Year Pro Forma'!$E$62:JRX62))</f>
        <v>0</v>
      </c>
      <c r="JSA62" s="962">
        <f>MIN(JSA60*$C$62,'Sources and Uses Budget'!$J$99-SUM('15 Year Pro Forma'!$E$62:JRZ62))</f>
        <v>0</v>
      </c>
      <c r="JSC62" s="962">
        <f>MIN(JSC60*$C$62,'Sources and Uses Budget'!$J$99-SUM('15 Year Pro Forma'!$E$62:JSB62))</f>
        <v>0</v>
      </c>
      <c r="JSE62" s="962">
        <f>MIN(JSE60*$C$62,'Sources and Uses Budget'!$J$99-SUM('15 Year Pro Forma'!$E$62:JSD62))</f>
        <v>0</v>
      </c>
      <c r="JSG62" s="962">
        <f>MIN(JSG60*$C$62,'Sources and Uses Budget'!$J$99-SUM('15 Year Pro Forma'!$E$62:JSF62))</f>
        <v>0</v>
      </c>
      <c r="JSI62" s="962">
        <f>MIN(JSI60*$C$62,'Sources and Uses Budget'!$J$99-SUM('15 Year Pro Forma'!$E$62:JSH62))</f>
        <v>0</v>
      </c>
      <c r="JSK62" s="962">
        <f>MIN(JSK60*$C$62,'Sources and Uses Budget'!$J$99-SUM('15 Year Pro Forma'!$E$62:JSJ62))</f>
        <v>0</v>
      </c>
      <c r="JSM62" s="962">
        <f>MIN(JSM60*$C$62,'Sources and Uses Budget'!$J$99-SUM('15 Year Pro Forma'!$E$62:JSL62))</f>
        <v>0</v>
      </c>
      <c r="JSO62" s="962">
        <f>MIN(JSO60*$C$62,'Sources and Uses Budget'!$J$99-SUM('15 Year Pro Forma'!$E$62:JSN62))</f>
        <v>0</v>
      </c>
      <c r="JSQ62" s="962">
        <f>MIN(JSQ60*$C$62,'Sources and Uses Budget'!$J$99-SUM('15 Year Pro Forma'!$E$62:JSP62))</f>
        <v>0</v>
      </c>
      <c r="JSS62" s="962">
        <f>MIN(JSS60*$C$62,'Sources and Uses Budget'!$J$99-SUM('15 Year Pro Forma'!$E$62:JSR62))</f>
        <v>0</v>
      </c>
      <c r="JSU62" s="962">
        <f>MIN(JSU60*$C$62,'Sources and Uses Budget'!$J$99-SUM('15 Year Pro Forma'!$E$62:JST62))</f>
        <v>0</v>
      </c>
      <c r="JSW62" s="962">
        <f>MIN(JSW60*$C$62,'Sources and Uses Budget'!$J$99-SUM('15 Year Pro Forma'!$E$62:JSV62))</f>
        <v>0</v>
      </c>
      <c r="JSY62" s="962">
        <f>MIN(JSY60*$C$62,'Sources and Uses Budget'!$J$99-SUM('15 Year Pro Forma'!$E$62:JSX62))</f>
        <v>0</v>
      </c>
      <c r="JTA62" s="962">
        <f>MIN(JTA60*$C$62,'Sources and Uses Budget'!$J$99-SUM('15 Year Pro Forma'!$E$62:JSZ62))</f>
        <v>0</v>
      </c>
      <c r="JTC62" s="962">
        <f>MIN(JTC60*$C$62,'Sources and Uses Budget'!$J$99-SUM('15 Year Pro Forma'!$E$62:JTB62))</f>
        <v>0</v>
      </c>
      <c r="JTE62" s="962">
        <f>MIN(JTE60*$C$62,'Sources and Uses Budget'!$J$99-SUM('15 Year Pro Forma'!$E$62:JTD62))</f>
        <v>0</v>
      </c>
      <c r="JTG62" s="962">
        <f>MIN(JTG60*$C$62,'Sources and Uses Budget'!$J$99-SUM('15 Year Pro Forma'!$E$62:JTF62))</f>
        <v>0</v>
      </c>
      <c r="JTI62" s="962">
        <f>MIN(JTI60*$C$62,'Sources and Uses Budget'!$J$99-SUM('15 Year Pro Forma'!$E$62:JTH62))</f>
        <v>0</v>
      </c>
      <c r="JTK62" s="962">
        <f>MIN(JTK60*$C$62,'Sources and Uses Budget'!$J$99-SUM('15 Year Pro Forma'!$E$62:JTJ62))</f>
        <v>0</v>
      </c>
      <c r="JTM62" s="962">
        <f>MIN(JTM60*$C$62,'Sources and Uses Budget'!$J$99-SUM('15 Year Pro Forma'!$E$62:JTL62))</f>
        <v>0</v>
      </c>
      <c r="JTO62" s="962">
        <f>MIN(JTO60*$C$62,'Sources and Uses Budget'!$J$99-SUM('15 Year Pro Forma'!$E$62:JTN62))</f>
        <v>0</v>
      </c>
      <c r="JTQ62" s="962">
        <f>MIN(JTQ60*$C$62,'Sources and Uses Budget'!$J$99-SUM('15 Year Pro Forma'!$E$62:JTP62))</f>
        <v>0</v>
      </c>
      <c r="JTS62" s="962">
        <f>MIN(JTS60*$C$62,'Sources and Uses Budget'!$J$99-SUM('15 Year Pro Forma'!$E$62:JTR62))</f>
        <v>0</v>
      </c>
      <c r="JTU62" s="962">
        <f>MIN(JTU60*$C$62,'Sources and Uses Budget'!$J$99-SUM('15 Year Pro Forma'!$E$62:JTT62))</f>
        <v>0</v>
      </c>
      <c r="JTW62" s="962">
        <f>MIN(JTW60*$C$62,'Sources and Uses Budget'!$J$99-SUM('15 Year Pro Forma'!$E$62:JTV62))</f>
        <v>0</v>
      </c>
      <c r="JTY62" s="962">
        <f>MIN(JTY60*$C$62,'Sources and Uses Budget'!$J$99-SUM('15 Year Pro Forma'!$E$62:JTX62))</f>
        <v>0</v>
      </c>
      <c r="JUA62" s="962">
        <f>MIN(JUA60*$C$62,'Sources and Uses Budget'!$J$99-SUM('15 Year Pro Forma'!$E$62:JTZ62))</f>
        <v>0</v>
      </c>
      <c r="JUC62" s="962">
        <f>MIN(JUC60*$C$62,'Sources and Uses Budget'!$J$99-SUM('15 Year Pro Forma'!$E$62:JUB62))</f>
        <v>0</v>
      </c>
      <c r="JUE62" s="962">
        <f>MIN(JUE60*$C$62,'Sources and Uses Budget'!$J$99-SUM('15 Year Pro Forma'!$E$62:JUD62))</f>
        <v>0</v>
      </c>
      <c r="JUG62" s="962">
        <f>MIN(JUG60*$C$62,'Sources and Uses Budget'!$J$99-SUM('15 Year Pro Forma'!$E$62:JUF62))</f>
        <v>0</v>
      </c>
      <c r="JUI62" s="962">
        <f>MIN(JUI60*$C$62,'Sources and Uses Budget'!$J$99-SUM('15 Year Pro Forma'!$E$62:JUH62))</f>
        <v>0</v>
      </c>
      <c r="JUK62" s="962">
        <f>MIN(JUK60*$C$62,'Sources and Uses Budget'!$J$99-SUM('15 Year Pro Forma'!$E$62:JUJ62))</f>
        <v>0</v>
      </c>
      <c r="JUM62" s="962">
        <f>MIN(JUM60*$C$62,'Sources and Uses Budget'!$J$99-SUM('15 Year Pro Forma'!$E$62:JUL62))</f>
        <v>0</v>
      </c>
      <c r="JUO62" s="962">
        <f>MIN(JUO60*$C$62,'Sources and Uses Budget'!$J$99-SUM('15 Year Pro Forma'!$E$62:JUN62))</f>
        <v>0</v>
      </c>
      <c r="JUQ62" s="962">
        <f>MIN(JUQ60*$C$62,'Sources and Uses Budget'!$J$99-SUM('15 Year Pro Forma'!$E$62:JUP62))</f>
        <v>0</v>
      </c>
      <c r="JUS62" s="962">
        <f>MIN(JUS60*$C$62,'Sources and Uses Budget'!$J$99-SUM('15 Year Pro Forma'!$E$62:JUR62))</f>
        <v>0</v>
      </c>
      <c r="JUU62" s="962">
        <f>MIN(JUU60*$C$62,'Sources and Uses Budget'!$J$99-SUM('15 Year Pro Forma'!$E$62:JUT62))</f>
        <v>0</v>
      </c>
      <c r="JUW62" s="962">
        <f>MIN(JUW60*$C$62,'Sources and Uses Budget'!$J$99-SUM('15 Year Pro Forma'!$E$62:JUV62))</f>
        <v>0</v>
      </c>
      <c r="JUY62" s="962">
        <f>MIN(JUY60*$C$62,'Sources and Uses Budget'!$J$99-SUM('15 Year Pro Forma'!$E$62:JUX62))</f>
        <v>0</v>
      </c>
      <c r="JVA62" s="962">
        <f>MIN(JVA60*$C$62,'Sources and Uses Budget'!$J$99-SUM('15 Year Pro Forma'!$E$62:JUZ62))</f>
        <v>0</v>
      </c>
      <c r="JVC62" s="962">
        <f>MIN(JVC60*$C$62,'Sources and Uses Budget'!$J$99-SUM('15 Year Pro Forma'!$E$62:JVB62))</f>
        <v>0</v>
      </c>
      <c r="JVE62" s="962">
        <f>MIN(JVE60*$C$62,'Sources and Uses Budget'!$J$99-SUM('15 Year Pro Forma'!$E$62:JVD62))</f>
        <v>0</v>
      </c>
      <c r="JVG62" s="962">
        <f>MIN(JVG60*$C$62,'Sources and Uses Budget'!$J$99-SUM('15 Year Pro Forma'!$E$62:JVF62))</f>
        <v>0</v>
      </c>
      <c r="JVI62" s="962">
        <f>MIN(JVI60*$C$62,'Sources and Uses Budget'!$J$99-SUM('15 Year Pro Forma'!$E$62:JVH62))</f>
        <v>0</v>
      </c>
      <c r="JVK62" s="962">
        <f>MIN(JVK60*$C$62,'Sources and Uses Budget'!$J$99-SUM('15 Year Pro Forma'!$E$62:JVJ62))</f>
        <v>0</v>
      </c>
      <c r="JVM62" s="962">
        <f>MIN(JVM60*$C$62,'Sources and Uses Budget'!$J$99-SUM('15 Year Pro Forma'!$E$62:JVL62))</f>
        <v>0</v>
      </c>
      <c r="JVO62" s="962">
        <f>MIN(JVO60*$C$62,'Sources and Uses Budget'!$J$99-SUM('15 Year Pro Forma'!$E$62:JVN62))</f>
        <v>0</v>
      </c>
      <c r="JVQ62" s="962">
        <f>MIN(JVQ60*$C$62,'Sources and Uses Budget'!$J$99-SUM('15 Year Pro Forma'!$E$62:JVP62))</f>
        <v>0</v>
      </c>
      <c r="JVS62" s="962">
        <f>MIN(JVS60*$C$62,'Sources and Uses Budget'!$J$99-SUM('15 Year Pro Forma'!$E$62:JVR62))</f>
        <v>0</v>
      </c>
      <c r="JVU62" s="962">
        <f>MIN(JVU60*$C$62,'Sources and Uses Budget'!$J$99-SUM('15 Year Pro Forma'!$E$62:JVT62))</f>
        <v>0</v>
      </c>
      <c r="JVW62" s="962">
        <f>MIN(JVW60*$C$62,'Sources and Uses Budget'!$J$99-SUM('15 Year Pro Forma'!$E$62:JVV62))</f>
        <v>0</v>
      </c>
      <c r="JVY62" s="962">
        <f>MIN(JVY60*$C$62,'Sources and Uses Budget'!$J$99-SUM('15 Year Pro Forma'!$E$62:JVX62))</f>
        <v>0</v>
      </c>
      <c r="JWA62" s="962">
        <f>MIN(JWA60*$C$62,'Sources and Uses Budget'!$J$99-SUM('15 Year Pro Forma'!$E$62:JVZ62))</f>
        <v>0</v>
      </c>
      <c r="JWC62" s="962">
        <f>MIN(JWC60*$C$62,'Sources and Uses Budget'!$J$99-SUM('15 Year Pro Forma'!$E$62:JWB62))</f>
        <v>0</v>
      </c>
      <c r="JWE62" s="962">
        <f>MIN(JWE60*$C$62,'Sources and Uses Budget'!$J$99-SUM('15 Year Pro Forma'!$E$62:JWD62))</f>
        <v>0</v>
      </c>
      <c r="JWG62" s="962">
        <f>MIN(JWG60*$C$62,'Sources and Uses Budget'!$J$99-SUM('15 Year Pro Forma'!$E$62:JWF62))</f>
        <v>0</v>
      </c>
      <c r="JWI62" s="962">
        <f>MIN(JWI60*$C$62,'Sources and Uses Budget'!$J$99-SUM('15 Year Pro Forma'!$E$62:JWH62))</f>
        <v>0</v>
      </c>
      <c r="JWK62" s="962">
        <f>MIN(JWK60*$C$62,'Sources and Uses Budget'!$J$99-SUM('15 Year Pro Forma'!$E$62:JWJ62))</f>
        <v>0</v>
      </c>
      <c r="JWM62" s="962">
        <f>MIN(JWM60*$C$62,'Sources and Uses Budget'!$J$99-SUM('15 Year Pro Forma'!$E$62:JWL62))</f>
        <v>0</v>
      </c>
      <c r="JWO62" s="962">
        <f>MIN(JWO60*$C$62,'Sources and Uses Budget'!$J$99-SUM('15 Year Pro Forma'!$E$62:JWN62))</f>
        <v>0</v>
      </c>
      <c r="JWQ62" s="962">
        <f>MIN(JWQ60*$C$62,'Sources and Uses Budget'!$J$99-SUM('15 Year Pro Forma'!$E$62:JWP62))</f>
        <v>0</v>
      </c>
      <c r="JWS62" s="962">
        <f>MIN(JWS60*$C$62,'Sources and Uses Budget'!$J$99-SUM('15 Year Pro Forma'!$E$62:JWR62))</f>
        <v>0</v>
      </c>
      <c r="JWU62" s="962">
        <f>MIN(JWU60*$C$62,'Sources and Uses Budget'!$J$99-SUM('15 Year Pro Forma'!$E$62:JWT62))</f>
        <v>0</v>
      </c>
      <c r="JWW62" s="962">
        <f>MIN(JWW60*$C$62,'Sources and Uses Budget'!$J$99-SUM('15 Year Pro Forma'!$E$62:JWV62))</f>
        <v>0</v>
      </c>
      <c r="JWY62" s="962">
        <f>MIN(JWY60*$C$62,'Sources and Uses Budget'!$J$99-SUM('15 Year Pro Forma'!$E$62:JWX62))</f>
        <v>0</v>
      </c>
      <c r="JXA62" s="962">
        <f>MIN(JXA60*$C$62,'Sources and Uses Budget'!$J$99-SUM('15 Year Pro Forma'!$E$62:JWZ62))</f>
        <v>0</v>
      </c>
      <c r="JXC62" s="962">
        <f>MIN(JXC60*$C$62,'Sources and Uses Budget'!$J$99-SUM('15 Year Pro Forma'!$E$62:JXB62))</f>
        <v>0</v>
      </c>
      <c r="JXE62" s="962">
        <f>MIN(JXE60*$C$62,'Sources and Uses Budget'!$J$99-SUM('15 Year Pro Forma'!$E$62:JXD62))</f>
        <v>0</v>
      </c>
      <c r="JXG62" s="962">
        <f>MIN(JXG60*$C$62,'Sources and Uses Budget'!$J$99-SUM('15 Year Pro Forma'!$E$62:JXF62))</f>
        <v>0</v>
      </c>
      <c r="JXI62" s="962">
        <f>MIN(JXI60*$C$62,'Sources and Uses Budget'!$J$99-SUM('15 Year Pro Forma'!$E$62:JXH62))</f>
        <v>0</v>
      </c>
      <c r="JXK62" s="962">
        <f>MIN(JXK60*$C$62,'Sources and Uses Budget'!$J$99-SUM('15 Year Pro Forma'!$E$62:JXJ62))</f>
        <v>0</v>
      </c>
      <c r="JXM62" s="962">
        <f>MIN(JXM60*$C$62,'Sources and Uses Budget'!$J$99-SUM('15 Year Pro Forma'!$E$62:JXL62))</f>
        <v>0</v>
      </c>
      <c r="JXO62" s="962">
        <f>MIN(JXO60*$C$62,'Sources and Uses Budget'!$J$99-SUM('15 Year Pro Forma'!$E$62:JXN62))</f>
        <v>0</v>
      </c>
      <c r="JXQ62" s="962">
        <f>MIN(JXQ60*$C$62,'Sources and Uses Budget'!$J$99-SUM('15 Year Pro Forma'!$E$62:JXP62))</f>
        <v>0</v>
      </c>
      <c r="JXS62" s="962">
        <f>MIN(JXS60*$C$62,'Sources and Uses Budget'!$J$99-SUM('15 Year Pro Forma'!$E$62:JXR62))</f>
        <v>0</v>
      </c>
      <c r="JXU62" s="962">
        <f>MIN(JXU60*$C$62,'Sources and Uses Budget'!$J$99-SUM('15 Year Pro Forma'!$E$62:JXT62))</f>
        <v>0</v>
      </c>
      <c r="JXW62" s="962">
        <f>MIN(JXW60*$C$62,'Sources and Uses Budget'!$J$99-SUM('15 Year Pro Forma'!$E$62:JXV62))</f>
        <v>0</v>
      </c>
      <c r="JXY62" s="962">
        <f>MIN(JXY60*$C$62,'Sources and Uses Budget'!$J$99-SUM('15 Year Pro Forma'!$E$62:JXX62))</f>
        <v>0</v>
      </c>
      <c r="JYA62" s="962">
        <f>MIN(JYA60*$C$62,'Sources and Uses Budget'!$J$99-SUM('15 Year Pro Forma'!$E$62:JXZ62))</f>
        <v>0</v>
      </c>
      <c r="JYC62" s="962">
        <f>MIN(JYC60*$C$62,'Sources and Uses Budget'!$J$99-SUM('15 Year Pro Forma'!$E$62:JYB62))</f>
        <v>0</v>
      </c>
      <c r="JYE62" s="962">
        <f>MIN(JYE60*$C$62,'Sources and Uses Budget'!$J$99-SUM('15 Year Pro Forma'!$E$62:JYD62))</f>
        <v>0</v>
      </c>
      <c r="JYG62" s="962">
        <f>MIN(JYG60*$C$62,'Sources and Uses Budget'!$J$99-SUM('15 Year Pro Forma'!$E$62:JYF62))</f>
        <v>0</v>
      </c>
      <c r="JYI62" s="962">
        <f>MIN(JYI60*$C$62,'Sources and Uses Budget'!$J$99-SUM('15 Year Pro Forma'!$E$62:JYH62))</f>
        <v>0</v>
      </c>
      <c r="JYK62" s="962">
        <f>MIN(JYK60*$C$62,'Sources and Uses Budget'!$J$99-SUM('15 Year Pro Forma'!$E$62:JYJ62))</f>
        <v>0</v>
      </c>
      <c r="JYM62" s="962">
        <f>MIN(JYM60*$C$62,'Sources and Uses Budget'!$J$99-SUM('15 Year Pro Forma'!$E$62:JYL62))</f>
        <v>0</v>
      </c>
      <c r="JYO62" s="962">
        <f>MIN(JYO60*$C$62,'Sources and Uses Budget'!$J$99-SUM('15 Year Pro Forma'!$E$62:JYN62))</f>
        <v>0</v>
      </c>
      <c r="JYQ62" s="962">
        <f>MIN(JYQ60*$C$62,'Sources and Uses Budget'!$J$99-SUM('15 Year Pro Forma'!$E$62:JYP62))</f>
        <v>0</v>
      </c>
      <c r="JYS62" s="962">
        <f>MIN(JYS60*$C$62,'Sources and Uses Budget'!$J$99-SUM('15 Year Pro Forma'!$E$62:JYR62))</f>
        <v>0</v>
      </c>
      <c r="JYU62" s="962">
        <f>MIN(JYU60*$C$62,'Sources and Uses Budget'!$J$99-SUM('15 Year Pro Forma'!$E$62:JYT62))</f>
        <v>0</v>
      </c>
      <c r="JYW62" s="962">
        <f>MIN(JYW60*$C$62,'Sources and Uses Budget'!$J$99-SUM('15 Year Pro Forma'!$E$62:JYV62))</f>
        <v>0</v>
      </c>
      <c r="JYY62" s="962">
        <f>MIN(JYY60*$C$62,'Sources and Uses Budget'!$J$99-SUM('15 Year Pro Forma'!$E$62:JYX62))</f>
        <v>0</v>
      </c>
      <c r="JZA62" s="962">
        <f>MIN(JZA60*$C$62,'Sources and Uses Budget'!$J$99-SUM('15 Year Pro Forma'!$E$62:JYZ62))</f>
        <v>0</v>
      </c>
      <c r="JZC62" s="962">
        <f>MIN(JZC60*$C$62,'Sources and Uses Budget'!$J$99-SUM('15 Year Pro Forma'!$E$62:JZB62))</f>
        <v>0</v>
      </c>
      <c r="JZE62" s="962">
        <f>MIN(JZE60*$C$62,'Sources and Uses Budget'!$J$99-SUM('15 Year Pro Forma'!$E$62:JZD62))</f>
        <v>0</v>
      </c>
      <c r="JZG62" s="962">
        <f>MIN(JZG60*$C$62,'Sources and Uses Budget'!$J$99-SUM('15 Year Pro Forma'!$E$62:JZF62))</f>
        <v>0</v>
      </c>
      <c r="JZI62" s="962">
        <f>MIN(JZI60*$C$62,'Sources and Uses Budget'!$J$99-SUM('15 Year Pro Forma'!$E$62:JZH62))</f>
        <v>0</v>
      </c>
      <c r="JZK62" s="962">
        <f>MIN(JZK60*$C$62,'Sources and Uses Budget'!$J$99-SUM('15 Year Pro Forma'!$E$62:JZJ62))</f>
        <v>0</v>
      </c>
      <c r="JZM62" s="962">
        <f>MIN(JZM60*$C$62,'Sources and Uses Budget'!$J$99-SUM('15 Year Pro Forma'!$E$62:JZL62))</f>
        <v>0</v>
      </c>
      <c r="JZO62" s="962">
        <f>MIN(JZO60*$C$62,'Sources and Uses Budget'!$J$99-SUM('15 Year Pro Forma'!$E$62:JZN62))</f>
        <v>0</v>
      </c>
      <c r="JZQ62" s="962">
        <f>MIN(JZQ60*$C$62,'Sources and Uses Budget'!$J$99-SUM('15 Year Pro Forma'!$E$62:JZP62))</f>
        <v>0</v>
      </c>
      <c r="JZS62" s="962">
        <f>MIN(JZS60*$C$62,'Sources and Uses Budget'!$J$99-SUM('15 Year Pro Forma'!$E$62:JZR62))</f>
        <v>0</v>
      </c>
      <c r="JZU62" s="962">
        <f>MIN(JZU60*$C$62,'Sources and Uses Budget'!$J$99-SUM('15 Year Pro Forma'!$E$62:JZT62))</f>
        <v>0</v>
      </c>
      <c r="JZW62" s="962">
        <f>MIN(JZW60*$C$62,'Sources and Uses Budget'!$J$99-SUM('15 Year Pro Forma'!$E$62:JZV62))</f>
        <v>0</v>
      </c>
      <c r="JZY62" s="962">
        <f>MIN(JZY60*$C$62,'Sources and Uses Budget'!$J$99-SUM('15 Year Pro Forma'!$E$62:JZX62))</f>
        <v>0</v>
      </c>
      <c r="KAA62" s="962">
        <f>MIN(KAA60*$C$62,'Sources and Uses Budget'!$J$99-SUM('15 Year Pro Forma'!$E$62:JZZ62))</f>
        <v>0</v>
      </c>
      <c r="KAC62" s="962">
        <f>MIN(KAC60*$C$62,'Sources and Uses Budget'!$J$99-SUM('15 Year Pro Forma'!$E$62:KAB62))</f>
        <v>0</v>
      </c>
      <c r="KAE62" s="962">
        <f>MIN(KAE60*$C$62,'Sources and Uses Budget'!$J$99-SUM('15 Year Pro Forma'!$E$62:KAD62))</f>
        <v>0</v>
      </c>
      <c r="KAG62" s="962">
        <f>MIN(KAG60*$C$62,'Sources and Uses Budget'!$J$99-SUM('15 Year Pro Forma'!$E$62:KAF62))</f>
        <v>0</v>
      </c>
      <c r="KAI62" s="962">
        <f>MIN(KAI60*$C$62,'Sources and Uses Budget'!$J$99-SUM('15 Year Pro Forma'!$E$62:KAH62))</f>
        <v>0</v>
      </c>
      <c r="KAK62" s="962">
        <f>MIN(KAK60*$C$62,'Sources and Uses Budget'!$J$99-SUM('15 Year Pro Forma'!$E$62:KAJ62))</f>
        <v>0</v>
      </c>
      <c r="KAM62" s="962">
        <f>MIN(KAM60*$C$62,'Sources and Uses Budget'!$J$99-SUM('15 Year Pro Forma'!$E$62:KAL62))</f>
        <v>0</v>
      </c>
      <c r="KAO62" s="962">
        <f>MIN(KAO60*$C$62,'Sources and Uses Budget'!$J$99-SUM('15 Year Pro Forma'!$E$62:KAN62))</f>
        <v>0</v>
      </c>
      <c r="KAQ62" s="962">
        <f>MIN(KAQ60*$C$62,'Sources and Uses Budget'!$J$99-SUM('15 Year Pro Forma'!$E$62:KAP62))</f>
        <v>0</v>
      </c>
      <c r="KAS62" s="962">
        <f>MIN(KAS60*$C$62,'Sources and Uses Budget'!$J$99-SUM('15 Year Pro Forma'!$E$62:KAR62))</f>
        <v>0</v>
      </c>
      <c r="KAU62" s="962">
        <f>MIN(KAU60*$C$62,'Sources and Uses Budget'!$J$99-SUM('15 Year Pro Forma'!$E$62:KAT62))</f>
        <v>0</v>
      </c>
      <c r="KAW62" s="962">
        <f>MIN(KAW60*$C$62,'Sources and Uses Budget'!$J$99-SUM('15 Year Pro Forma'!$E$62:KAV62))</f>
        <v>0</v>
      </c>
      <c r="KAY62" s="962">
        <f>MIN(KAY60*$C$62,'Sources and Uses Budget'!$J$99-SUM('15 Year Pro Forma'!$E$62:KAX62))</f>
        <v>0</v>
      </c>
      <c r="KBA62" s="962">
        <f>MIN(KBA60*$C$62,'Sources and Uses Budget'!$J$99-SUM('15 Year Pro Forma'!$E$62:KAZ62))</f>
        <v>0</v>
      </c>
      <c r="KBC62" s="962">
        <f>MIN(KBC60*$C$62,'Sources and Uses Budget'!$J$99-SUM('15 Year Pro Forma'!$E$62:KBB62))</f>
        <v>0</v>
      </c>
      <c r="KBE62" s="962">
        <f>MIN(KBE60*$C$62,'Sources and Uses Budget'!$J$99-SUM('15 Year Pro Forma'!$E$62:KBD62))</f>
        <v>0</v>
      </c>
      <c r="KBG62" s="962">
        <f>MIN(KBG60*$C$62,'Sources and Uses Budget'!$J$99-SUM('15 Year Pro Forma'!$E$62:KBF62))</f>
        <v>0</v>
      </c>
      <c r="KBI62" s="962">
        <f>MIN(KBI60*$C$62,'Sources and Uses Budget'!$J$99-SUM('15 Year Pro Forma'!$E$62:KBH62))</f>
        <v>0</v>
      </c>
      <c r="KBK62" s="962">
        <f>MIN(KBK60*$C$62,'Sources and Uses Budget'!$J$99-SUM('15 Year Pro Forma'!$E$62:KBJ62))</f>
        <v>0</v>
      </c>
      <c r="KBM62" s="962">
        <f>MIN(KBM60*$C$62,'Sources and Uses Budget'!$J$99-SUM('15 Year Pro Forma'!$E$62:KBL62))</f>
        <v>0</v>
      </c>
      <c r="KBO62" s="962">
        <f>MIN(KBO60*$C$62,'Sources and Uses Budget'!$J$99-SUM('15 Year Pro Forma'!$E$62:KBN62))</f>
        <v>0</v>
      </c>
      <c r="KBQ62" s="962">
        <f>MIN(KBQ60*$C$62,'Sources and Uses Budget'!$J$99-SUM('15 Year Pro Forma'!$E$62:KBP62))</f>
        <v>0</v>
      </c>
      <c r="KBS62" s="962">
        <f>MIN(KBS60*$C$62,'Sources and Uses Budget'!$J$99-SUM('15 Year Pro Forma'!$E$62:KBR62))</f>
        <v>0</v>
      </c>
      <c r="KBU62" s="962">
        <f>MIN(KBU60*$C$62,'Sources and Uses Budget'!$J$99-SUM('15 Year Pro Forma'!$E$62:KBT62))</f>
        <v>0</v>
      </c>
      <c r="KBW62" s="962">
        <f>MIN(KBW60*$C$62,'Sources and Uses Budget'!$J$99-SUM('15 Year Pro Forma'!$E$62:KBV62))</f>
        <v>0</v>
      </c>
      <c r="KBY62" s="962">
        <f>MIN(KBY60*$C$62,'Sources and Uses Budget'!$J$99-SUM('15 Year Pro Forma'!$E$62:KBX62))</f>
        <v>0</v>
      </c>
      <c r="KCA62" s="962">
        <f>MIN(KCA60*$C$62,'Sources and Uses Budget'!$J$99-SUM('15 Year Pro Forma'!$E$62:KBZ62))</f>
        <v>0</v>
      </c>
      <c r="KCC62" s="962">
        <f>MIN(KCC60*$C$62,'Sources and Uses Budget'!$J$99-SUM('15 Year Pro Forma'!$E$62:KCB62))</f>
        <v>0</v>
      </c>
      <c r="KCE62" s="962">
        <f>MIN(KCE60*$C$62,'Sources and Uses Budget'!$J$99-SUM('15 Year Pro Forma'!$E$62:KCD62))</f>
        <v>0</v>
      </c>
      <c r="KCG62" s="962">
        <f>MIN(KCG60*$C$62,'Sources and Uses Budget'!$J$99-SUM('15 Year Pro Forma'!$E$62:KCF62))</f>
        <v>0</v>
      </c>
      <c r="KCI62" s="962">
        <f>MIN(KCI60*$C$62,'Sources and Uses Budget'!$J$99-SUM('15 Year Pro Forma'!$E$62:KCH62))</f>
        <v>0</v>
      </c>
      <c r="KCK62" s="962">
        <f>MIN(KCK60*$C$62,'Sources and Uses Budget'!$J$99-SUM('15 Year Pro Forma'!$E$62:KCJ62))</f>
        <v>0</v>
      </c>
      <c r="KCM62" s="962">
        <f>MIN(KCM60*$C$62,'Sources and Uses Budget'!$J$99-SUM('15 Year Pro Forma'!$E$62:KCL62))</f>
        <v>0</v>
      </c>
      <c r="KCO62" s="962">
        <f>MIN(KCO60*$C$62,'Sources and Uses Budget'!$J$99-SUM('15 Year Pro Forma'!$E$62:KCN62))</f>
        <v>0</v>
      </c>
      <c r="KCQ62" s="962">
        <f>MIN(KCQ60*$C$62,'Sources and Uses Budget'!$J$99-SUM('15 Year Pro Forma'!$E$62:KCP62))</f>
        <v>0</v>
      </c>
      <c r="KCS62" s="962">
        <f>MIN(KCS60*$C$62,'Sources and Uses Budget'!$J$99-SUM('15 Year Pro Forma'!$E$62:KCR62))</f>
        <v>0</v>
      </c>
      <c r="KCU62" s="962">
        <f>MIN(KCU60*$C$62,'Sources and Uses Budget'!$J$99-SUM('15 Year Pro Forma'!$E$62:KCT62))</f>
        <v>0</v>
      </c>
      <c r="KCW62" s="962">
        <f>MIN(KCW60*$C$62,'Sources and Uses Budget'!$J$99-SUM('15 Year Pro Forma'!$E$62:KCV62))</f>
        <v>0</v>
      </c>
      <c r="KCY62" s="962">
        <f>MIN(KCY60*$C$62,'Sources and Uses Budget'!$J$99-SUM('15 Year Pro Forma'!$E$62:KCX62))</f>
        <v>0</v>
      </c>
      <c r="KDA62" s="962">
        <f>MIN(KDA60*$C$62,'Sources and Uses Budget'!$J$99-SUM('15 Year Pro Forma'!$E$62:KCZ62))</f>
        <v>0</v>
      </c>
      <c r="KDC62" s="962">
        <f>MIN(KDC60*$C$62,'Sources and Uses Budget'!$J$99-SUM('15 Year Pro Forma'!$E$62:KDB62))</f>
        <v>0</v>
      </c>
      <c r="KDE62" s="962">
        <f>MIN(KDE60*$C$62,'Sources and Uses Budget'!$J$99-SUM('15 Year Pro Forma'!$E$62:KDD62))</f>
        <v>0</v>
      </c>
      <c r="KDG62" s="962">
        <f>MIN(KDG60*$C$62,'Sources and Uses Budget'!$J$99-SUM('15 Year Pro Forma'!$E$62:KDF62))</f>
        <v>0</v>
      </c>
      <c r="KDI62" s="962">
        <f>MIN(KDI60*$C$62,'Sources and Uses Budget'!$J$99-SUM('15 Year Pro Forma'!$E$62:KDH62))</f>
        <v>0</v>
      </c>
      <c r="KDK62" s="962">
        <f>MIN(KDK60*$C$62,'Sources and Uses Budget'!$J$99-SUM('15 Year Pro Forma'!$E$62:KDJ62))</f>
        <v>0</v>
      </c>
      <c r="KDM62" s="962">
        <f>MIN(KDM60*$C$62,'Sources and Uses Budget'!$J$99-SUM('15 Year Pro Forma'!$E$62:KDL62))</f>
        <v>0</v>
      </c>
      <c r="KDO62" s="962">
        <f>MIN(KDO60*$C$62,'Sources and Uses Budget'!$J$99-SUM('15 Year Pro Forma'!$E$62:KDN62))</f>
        <v>0</v>
      </c>
      <c r="KDQ62" s="962">
        <f>MIN(KDQ60*$C$62,'Sources and Uses Budget'!$J$99-SUM('15 Year Pro Forma'!$E$62:KDP62))</f>
        <v>0</v>
      </c>
      <c r="KDS62" s="962">
        <f>MIN(KDS60*$C$62,'Sources and Uses Budget'!$J$99-SUM('15 Year Pro Forma'!$E$62:KDR62))</f>
        <v>0</v>
      </c>
      <c r="KDU62" s="962">
        <f>MIN(KDU60*$C$62,'Sources and Uses Budget'!$J$99-SUM('15 Year Pro Forma'!$E$62:KDT62))</f>
        <v>0</v>
      </c>
      <c r="KDW62" s="962">
        <f>MIN(KDW60*$C$62,'Sources and Uses Budget'!$J$99-SUM('15 Year Pro Forma'!$E$62:KDV62))</f>
        <v>0</v>
      </c>
      <c r="KDY62" s="962">
        <f>MIN(KDY60*$C$62,'Sources and Uses Budget'!$J$99-SUM('15 Year Pro Forma'!$E$62:KDX62))</f>
        <v>0</v>
      </c>
      <c r="KEA62" s="962">
        <f>MIN(KEA60*$C$62,'Sources and Uses Budget'!$J$99-SUM('15 Year Pro Forma'!$E$62:KDZ62))</f>
        <v>0</v>
      </c>
      <c r="KEC62" s="962">
        <f>MIN(KEC60*$C$62,'Sources and Uses Budget'!$J$99-SUM('15 Year Pro Forma'!$E$62:KEB62))</f>
        <v>0</v>
      </c>
      <c r="KEE62" s="962">
        <f>MIN(KEE60*$C$62,'Sources and Uses Budget'!$J$99-SUM('15 Year Pro Forma'!$E$62:KED62))</f>
        <v>0</v>
      </c>
      <c r="KEG62" s="962">
        <f>MIN(KEG60*$C$62,'Sources and Uses Budget'!$J$99-SUM('15 Year Pro Forma'!$E$62:KEF62))</f>
        <v>0</v>
      </c>
      <c r="KEI62" s="962">
        <f>MIN(KEI60*$C$62,'Sources and Uses Budget'!$J$99-SUM('15 Year Pro Forma'!$E$62:KEH62))</f>
        <v>0</v>
      </c>
      <c r="KEK62" s="962">
        <f>MIN(KEK60*$C$62,'Sources and Uses Budget'!$J$99-SUM('15 Year Pro Forma'!$E$62:KEJ62))</f>
        <v>0</v>
      </c>
      <c r="KEM62" s="962">
        <f>MIN(KEM60*$C$62,'Sources and Uses Budget'!$J$99-SUM('15 Year Pro Forma'!$E$62:KEL62))</f>
        <v>0</v>
      </c>
      <c r="KEO62" s="962">
        <f>MIN(KEO60*$C$62,'Sources and Uses Budget'!$J$99-SUM('15 Year Pro Forma'!$E$62:KEN62))</f>
        <v>0</v>
      </c>
      <c r="KEQ62" s="962">
        <f>MIN(KEQ60*$C$62,'Sources and Uses Budget'!$J$99-SUM('15 Year Pro Forma'!$E$62:KEP62))</f>
        <v>0</v>
      </c>
      <c r="KES62" s="962">
        <f>MIN(KES60*$C$62,'Sources and Uses Budget'!$J$99-SUM('15 Year Pro Forma'!$E$62:KER62))</f>
        <v>0</v>
      </c>
      <c r="KEU62" s="962">
        <f>MIN(KEU60*$C$62,'Sources and Uses Budget'!$J$99-SUM('15 Year Pro Forma'!$E$62:KET62))</f>
        <v>0</v>
      </c>
      <c r="KEW62" s="962">
        <f>MIN(KEW60*$C$62,'Sources and Uses Budget'!$J$99-SUM('15 Year Pro Forma'!$E$62:KEV62))</f>
        <v>0</v>
      </c>
      <c r="KEY62" s="962">
        <f>MIN(KEY60*$C$62,'Sources and Uses Budget'!$J$99-SUM('15 Year Pro Forma'!$E$62:KEX62))</f>
        <v>0</v>
      </c>
      <c r="KFA62" s="962">
        <f>MIN(KFA60*$C$62,'Sources and Uses Budget'!$J$99-SUM('15 Year Pro Forma'!$E$62:KEZ62))</f>
        <v>0</v>
      </c>
      <c r="KFC62" s="962">
        <f>MIN(KFC60*$C$62,'Sources and Uses Budget'!$J$99-SUM('15 Year Pro Forma'!$E$62:KFB62))</f>
        <v>0</v>
      </c>
      <c r="KFE62" s="962">
        <f>MIN(KFE60*$C$62,'Sources and Uses Budget'!$J$99-SUM('15 Year Pro Forma'!$E$62:KFD62))</f>
        <v>0</v>
      </c>
      <c r="KFG62" s="962">
        <f>MIN(KFG60*$C$62,'Sources and Uses Budget'!$J$99-SUM('15 Year Pro Forma'!$E$62:KFF62))</f>
        <v>0</v>
      </c>
      <c r="KFI62" s="962">
        <f>MIN(KFI60*$C$62,'Sources and Uses Budget'!$J$99-SUM('15 Year Pro Forma'!$E$62:KFH62))</f>
        <v>0</v>
      </c>
      <c r="KFK62" s="962">
        <f>MIN(KFK60*$C$62,'Sources and Uses Budget'!$J$99-SUM('15 Year Pro Forma'!$E$62:KFJ62))</f>
        <v>0</v>
      </c>
      <c r="KFM62" s="962">
        <f>MIN(KFM60*$C$62,'Sources and Uses Budget'!$J$99-SUM('15 Year Pro Forma'!$E$62:KFL62))</f>
        <v>0</v>
      </c>
      <c r="KFO62" s="962">
        <f>MIN(KFO60*$C$62,'Sources and Uses Budget'!$J$99-SUM('15 Year Pro Forma'!$E$62:KFN62))</f>
        <v>0</v>
      </c>
      <c r="KFQ62" s="962">
        <f>MIN(KFQ60*$C$62,'Sources and Uses Budget'!$J$99-SUM('15 Year Pro Forma'!$E$62:KFP62))</f>
        <v>0</v>
      </c>
      <c r="KFS62" s="962">
        <f>MIN(KFS60*$C$62,'Sources and Uses Budget'!$J$99-SUM('15 Year Pro Forma'!$E$62:KFR62))</f>
        <v>0</v>
      </c>
      <c r="KFU62" s="962">
        <f>MIN(KFU60*$C$62,'Sources and Uses Budget'!$J$99-SUM('15 Year Pro Forma'!$E$62:KFT62))</f>
        <v>0</v>
      </c>
      <c r="KFW62" s="962">
        <f>MIN(KFW60*$C$62,'Sources and Uses Budget'!$J$99-SUM('15 Year Pro Forma'!$E$62:KFV62))</f>
        <v>0</v>
      </c>
      <c r="KFY62" s="962">
        <f>MIN(KFY60*$C$62,'Sources and Uses Budget'!$J$99-SUM('15 Year Pro Forma'!$E$62:KFX62))</f>
        <v>0</v>
      </c>
      <c r="KGA62" s="962">
        <f>MIN(KGA60*$C$62,'Sources and Uses Budget'!$J$99-SUM('15 Year Pro Forma'!$E$62:KFZ62))</f>
        <v>0</v>
      </c>
      <c r="KGC62" s="962">
        <f>MIN(KGC60*$C$62,'Sources and Uses Budget'!$J$99-SUM('15 Year Pro Forma'!$E$62:KGB62))</f>
        <v>0</v>
      </c>
      <c r="KGE62" s="962">
        <f>MIN(KGE60*$C$62,'Sources and Uses Budget'!$J$99-SUM('15 Year Pro Forma'!$E$62:KGD62))</f>
        <v>0</v>
      </c>
      <c r="KGG62" s="962">
        <f>MIN(KGG60*$C$62,'Sources and Uses Budget'!$J$99-SUM('15 Year Pro Forma'!$E$62:KGF62))</f>
        <v>0</v>
      </c>
      <c r="KGI62" s="962">
        <f>MIN(KGI60*$C$62,'Sources and Uses Budget'!$J$99-SUM('15 Year Pro Forma'!$E$62:KGH62))</f>
        <v>0</v>
      </c>
      <c r="KGK62" s="962">
        <f>MIN(KGK60*$C$62,'Sources and Uses Budget'!$J$99-SUM('15 Year Pro Forma'!$E$62:KGJ62))</f>
        <v>0</v>
      </c>
      <c r="KGM62" s="962">
        <f>MIN(KGM60*$C$62,'Sources and Uses Budget'!$J$99-SUM('15 Year Pro Forma'!$E$62:KGL62))</f>
        <v>0</v>
      </c>
      <c r="KGO62" s="962">
        <f>MIN(KGO60*$C$62,'Sources and Uses Budget'!$J$99-SUM('15 Year Pro Forma'!$E$62:KGN62))</f>
        <v>0</v>
      </c>
      <c r="KGQ62" s="962">
        <f>MIN(KGQ60*$C$62,'Sources and Uses Budget'!$J$99-SUM('15 Year Pro Forma'!$E$62:KGP62))</f>
        <v>0</v>
      </c>
      <c r="KGS62" s="962">
        <f>MIN(KGS60*$C$62,'Sources and Uses Budget'!$J$99-SUM('15 Year Pro Forma'!$E$62:KGR62))</f>
        <v>0</v>
      </c>
      <c r="KGU62" s="962">
        <f>MIN(KGU60*$C$62,'Sources and Uses Budget'!$J$99-SUM('15 Year Pro Forma'!$E$62:KGT62))</f>
        <v>0</v>
      </c>
      <c r="KGW62" s="962">
        <f>MIN(KGW60*$C$62,'Sources and Uses Budget'!$J$99-SUM('15 Year Pro Forma'!$E$62:KGV62))</f>
        <v>0</v>
      </c>
      <c r="KGY62" s="962">
        <f>MIN(KGY60*$C$62,'Sources and Uses Budget'!$J$99-SUM('15 Year Pro Forma'!$E$62:KGX62))</f>
        <v>0</v>
      </c>
      <c r="KHA62" s="962">
        <f>MIN(KHA60*$C$62,'Sources and Uses Budget'!$J$99-SUM('15 Year Pro Forma'!$E$62:KGZ62))</f>
        <v>0</v>
      </c>
      <c r="KHC62" s="962">
        <f>MIN(KHC60*$C$62,'Sources and Uses Budget'!$J$99-SUM('15 Year Pro Forma'!$E$62:KHB62))</f>
        <v>0</v>
      </c>
      <c r="KHE62" s="962">
        <f>MIN(KHE60*$C$62,'Sources and Uses Budget'!$J$99-SUM('15 Year Pro Forma'!$E$62:KHD62))</f>
        <v>0</v>
      </c>
      <c r="KHG62" s="962">
        <f>MIN(KHG60*$C$62,'Sources and Uses Budget'!$J$99-SUM('15 Year Pro Forma'!$E$62:KHF62))</f>
        <v>0</v>
      </c>
      <c r="KHI62" s="962">
        <f>MIN(KHI60*$C$62,'Sources and Uses Budget'!$J$99-SUM('15 Year Pro Forma'!$E$62:KHH62))</f>
        <v>0</v>
      </c>
      <c r="KHK62" s="962">
        <f>MIN(KHK60*$C$62,'Sources and Uses Budget'!$J$99-SUM('15 Year Pro Forma'!$E$62:KHJ62))</f>
        <v>0</v>
      </c>
      <c r="KHM62" s="962">
        <f>MIN(KHM60*$C$62,'Sources and Uses Budget'!$J$99-SUM('15 Year Pro Forma'!$E$62:KHL62))</f>
        <v>0</v>
      </c>
      <c r="KHO62" s="962">
        <f>MIN(KHO60*$C$62,'Sources and Uses Budget'!$J$99-SUM('15 Year Pro Forma'!$E$62:KHN62))</f>
        <v>0</v>
      </c>
      <c r="KHQ62" s="962">
        <f>MIN(KHQ60*$C$62,'Sources and Uses Budget'!$J$99-SUM('15 Year Pro Forma'!$E$62:KHP62))</f>
        <v>0</v>
      </c>
      <c r="KHS62" s="962">
        <f>MIN(KHS60*$C$62,'Sources and Uses Budget'!$J$99-SUM('15 Year Pro Forma'!$E$62:KHR62))</f>
        <v>0</v>
      </c>
      <c r="KHU62" s="962">
        <f>MIN(KHU60*$C$62,'Sources and Uses Budget'!$J$99-SUM('15 Year Pro Forma'!$E$62:KHT62))</f>
        <v>0</v>
      </c>
      <c r="KHW62" s="962">
        <f>MIN(KHW60*$C$62,'Sources and Uses Budget'!$J$99-SUM('15 Year Pro Forma'!$E$62:KHV62))</f>
        <v>0</v>
      </c>
      <c r="KHY62" s="962">
        <f>MIN(KHY60*$C$62,'Sources and Uses Budget'!$J$99-SUM('15 Year Pro Forma'!$E$62:KHX62))</f>
        <v>0</v>
      </c>
      <c r="KIA62" s="962">
        <f>MIN(KIA60*$C$62,'Sources and Uses Budget'!$J$99-SUM('15 Year Pro Forma'!$E$62:KHZ62))</f>
        <v>0</v>
      </c>
      <c r="KIC62" s="962">
        <f>MIN(KIC60*$C$62,'Sources and Uses Budget'!$J$99-SUM('15 Year Pro Forma'!$E$62:KIB62))</f>
        <v>0</v>
      </c>
      <c r="KIE62" s="962">
        <f>MIN(KIE60*$C$62,'Sources and Uses Budget'!$J$99-SUM('15 Year Pro Forma'!$E$62:KID62))</f>
        <v>0</v>
      </c>
      <c r="KIG62" s="962">
        <f>MIN(KIG60*$C$62,'Sources and Uses Budget'!$J$99-SUM('15 Year Pro Forma'!$E$62:KIF62))</f>
        <v>0</v>
      </c>
      <c r="KII62" s="962">
        <f>MIN(KII60*$C$62,'Sources and Uses Budget'!$J$99-SUM('15 Year Pro Forma'!$E$62:KIH62))</f>
        <v>0</v>
      </c>
      <c r="KIK62" s="962">
        <f>MIN(KIK60*$C$62,'Sources and Uses Budget'!$J$99-SUM('15 Year Pro Forma'!$E$62:KIJ62))</f>
        <v>0</v>
      </c>
      <c r="KIM62" s="962">
        <f>MIN(KIM60*$C$62,'Sources and Uses Budget'!$J$99-SUM('15 Year Pro Forma'!$E$62:KIL62))</f>
        <v>0</v>
      </c>
      <c r="KIO62" s="962">
        <f>MIN(KIO60*$C$62,'Sources and Uses Budget'!$J$99-SUM('15 Year Pro Forma'!$E$62:KIN62))</f>
        <v>0</v>
      </c>
      <c r="KIQ62" s="962">
        <f>MIN(KIQ60*$C$62,'Sources and Uses Budget'!$J$99-SUM('15 Year Pro Forma'!$E$62:KIP62))</f>
        <v>0</v>
      </c>
      <c r="KIS62" s="962">
        <f>MIN(KIS60*$C$62,'Sources and Uses Budget'!$J$99-SUM('15 Year Pro Forma'!$E$62:KIR62))</f>
        <v>0</v>
      </c>
      <c r="KIU62" s="962">
        <f>MIN(KIU60*$C$62,'Sources and Uses Budget'!$J$99-SUM('15 Year Pro Forma'!$E$62:KIT62))</f>
        <v>0</v>
      </c>
      <c r="KIW62" s="962">
        <f>MIN(KIW60*$C$62,'Sources and Uses Budget'!$J$99-SUM('15 Year Pro Forma'!$E$62:KIV62))</f>
        <v>0</v>
      </c>
      <c r="KIY62" s="962">
        <f>MIN(KIY60*$C$62,'Sources and Uses Budget'!$J$99-SUM('15 Year Pro Forma'!$E$62:KIX62))</f>
        <v>0</v>
      </c>
      <c r="KJA62" s="962">
        <f>MIN(KJA60*$C$62,'Sources and Uses Budget'!$J$99-SUM('15 Year Pro Forma'!$E$62:KIZ62))</f>
        <v>0</v>
      </c>
      <c r="KJC62" s="962">
        <f>MIN(KJC60*$C$62,'Sources and Uses Budget'!$J$99-SUM('15 Year Pro Forma'!$E$62:KJB62))</f>
        <v>0</v>
      </c>
      <c r="KJE62" s="962">
        <f>MIN(KJE60*$C$62,'Sources and Uses Budget'!$J$99-SUM('15 Year Pro Forma'!$E$62:KJD62))</f>
        <v>0</v>
      </c>
      <c r="KJG62" s="962">
        <f>MIN(KJG60*$C$62,'Sources and Uses Budget'!$J$99-SUM('15 Year Pro Forma'!$E$62:KJF62))</f>
        <v>0</v>
      </c>
      <c r="KJI62" s="962">
        <f>MIN(KJI60*$C$62,'Sources and Uses Budget'!$J$99-SUM('15 Year Pro Forma'!$E$62:KJH62))</f>
        <v>0</v>
      </c>
      <c r="KJK62" s="962">
        <f>MIN(KJK60*$C$62,'Sources and Uses Budget'!$J$99-SUM('15 Year Pro Forma'!$E$62:KJJ62))</f>
        <v>0</v>
      </c>
      <c r="KJM62" s="962">
        <f>MIN(KJM60*$C$62,'Sources and Uses Budget'!$J$99-SUM('15 Year Pro Forma'!$E$62:KJL62))</f>
        <v>0</v>
      </c>
      <c r="KJO62" s="962">
        <f>MIN(KJO60*$C$62,'Sources and Uses Budget'!$J$99-SUM('15 Year Pro Forma'!$E$62:KJN62))</f>
        <v>0</v>
      </c>
      <c r="KJQ62" s="962">
        <f>MIN(KJQ60*$C$62,'Sources and Uses Budget'!$J$99-SUM('15 Year Pro Forma'!$E$62:KJP62))</f>
        <v>0</v>
      </c>
      <c r="KJS62" s="962">
        <f>MIN(KJS60*$C$62,'Sources and Uses Budget'!$J$99-SUM('15 Year Pro Forma'!$E$62:KJR62))</f>
        <v>0</v>
      </c>
      <c r="KJU62" s="962">
        <f>MIN(KJU60*$C$62,'Sources and Uses Budget'!$J$99-SUM('15 Year Pro Forma'!$E$62:KJT62))</f>
        <v>0</v>
      </c>
      <c r="KJW62" s="962">
        <f>MIN(KJW60*$C$62,'Sources and Uses Budget'!$J$99-SUM('15 Year Pro Forma'!$E$62:KJV62))</f>
        <v>0</v>
      </c>
      <c r="KJY62" s="962">
        <f>MIN(KJY60*$C$62,'Sources and Uses Budget'!$J$99-SUM('15 Year Pro Forma'!$E$62:KJX62))</f>
        <v>0</v>
      </c>
      <c r="KKA62" s="962">
        <f>MIN(KKA60*$C$62,'Sources and Uses Budget'!$J$99-SUM('15 Year Pro Forma'!$E$62:KJZ62))</f>
        <v>0</v>
      </c>
      <c r="KKC62" s="962">
        <f>MIN(KKC60*$C$62,'Sources and Uses Budget'!$J$99-SUM('15 Year Pro Forma'!$E$62:KKB62))</f>
        <v>0</v>
      </c>
      <c r="KKE62" s="962">
        <f>MIN(KKE60*$C$62,'Sources and Uses Budget'!$J$99-SUM('15 Year Pro Forma'!$E$62:KKD62))</f>
        <v>0</v>
      </c>
      <c r="KKG62" s="962">
        <f>MIN(KKG60*$C$62,'Sources and Uses Budget'!$J$99-SUM('15 Year Pro Forma'!$E$62:KKF62))</f>
        <v>0</v>
      </c>
      <c r="KKI62" s="962">
        <f>MIN(KKI60*$C$62,'Sources and Uses Budget'!$J$99-SUM('15 Year Pro Forma'!$E$62:KKH62))</f>
        <v>0</v>
      </c>
      <c r="KKK62" s="962">
        <f>MIN(KKK60*$C$62,'Sources and Uses Budget'!$J$99-SUM('15 Year Pro Forma'!$E$62:KKJ62))</f>
        <v>0</v>
      </c>
      <c r="KKM62" s="962">
        <f>MIN(KKM60*$C$62,'Sources and Uses Budget'!$J$99-SUM('15 Year Pro Forma'!$E$62:KKL62))</f>
        <v>0</v>
      </c>
      <c r="KKO62" s="962">
        <f>MIN(KKO60*$C$62,'Sources and Uses Budget'!$J$99-SUM('15 Year Pro Forma'!$E$62:KKN62))</f>
        <v>0</v>
      </c>
      <c r="KKQ62" s="962">
        <f>MIN(KKQ60*$C$62,'Sources and Uses Budget'!$J$99-SUM('15 Year Pro Forma'!$E$62:KKP62))</f>
        <v>0</v>
      </c>
      <c r="KKS62" s="962">
        <f>MIN(KKS60*$C$62,'Sources and Uses Budget'!$J$99-SUM('15 Year Pro Forma'!$E$62:KKR62))</f>
        <v>0</v>
      </c>
      <c r="KKU62" s="962">
        <f>MIN(KKU60*$C$62,'Sources and Uses Budget'!$J$99-SUM('15 Year Pro Forma'!$E$62:KKT62))</f>
        <v>0</v>
      </c>
      <c r="KKW62" s="962">
        <f>MIN(KKW60*$C$62,'Sources and Uses Budget'!$J$99-SUM('15 Year Pro Forma'!$E$62:KKV62))</f>
        <v>0</v>
      </c>
      <c r="KKY62" s="962">
        <f>MIN(KKY60*$C$62,'Sources and Uses Budget'!$J$99-SUM('15 Year Pro Forma'!$E$62:KKX62))</f>
        <v>0</v>
      </c>
      <c r="KLA62" s="962">
        <f>MIN(KLA60*$C$62,'Sources and Uses Budget'!$J$99-SUM('15 Year Pro Forma'!$E$62:KKZ62))</f>
        <v>0</v>
      </c>
      <c r="KLC62" s="962">
        <f>MIN(KLC60*$C$62,'Sources and Uses Budget'!$J$99-SUM('15 Year Pro Forma'!$E$62:KLB62))</f>
        <v>0</v>
      </c>
      <c r="KLE62" s="962">
        <f>MIN(KLE60*$C$62,'Sources and Uses Budget'!$J$99-SUM('15 Year Pro Forma'!$E$62:KLD62))</f>
        <v>0</v>
      </c>
      <c r="KLG62" s="962">
        <f>MIN(KLG60*$C$62,'Sources and Uses Budget'!$J$99-SUM('15 Year Pro Forma'!$E$62:KLF62))</f>
        <v>0</v>
      </c>
      <c r="KLI62" s="962">
        <f>MIN(KLI60*$C$62,'Sources and Uses Budget'!$J$99-SUM('15 Year Pro Forma'!$E$62:KLH62))</f>
        <v>0</v>
      </c>
      <c r="KLK62" s="962">
        <f>MIN(KLK60*$C$62,'Sources and Uses Budget'!$J$99-SUM('15 Year Pro Forma'!$E$62:KLJ62))</f>
        <v>0</v>
      </c>
      <c r="KLM62" s="962">
        <f>MIN(KLM60*$C$62,'Sources and Uses Budget'!$J$99-SUM('15 Year Pro Forma'!$E$62:KLL62))</f>
        <v>0</v>
      </c>
      <c r="KLO62" s="962">
        <f>MIN(KLO60*$C$62,'Sources and Uses Budget'!$J$99-SUM('15 Year Pro Forma'!$E$62:KLN62))</f>
        <v>0</v>
      </c>
      <c r="KLQ62" s="962">
        <f>MIN(KLQ60*$C$62,'Sources and Uses Budget'!$J$99-SUM('15 Year Pro Forma'!$E$62:KLP62))</f>
        <v>0</v>
      </c>
      <c r="KLS62" s="962">
        <f>MIN(KLS60*$C$62,'Sources and Uses Budget'!$J$99-SUM('15 Year Pro Forma'!$E$62:KLR62))</f>
        <v>0</v>
      </c>
      <c r="KLU62" s="962">
        <f>MIN(KLU60*$C$62,'Sources and Uses Budget'!$J$99-SUM('15 Year Pro Forma'!$E$62:KLT62))</f>
        <v>0</v>
      </c>
      <c r="KLW62" s="962">
        <f>MIN(KLW60*$C$62,'Sources and Uses Budget'!$J$99-SUM('15 Year Pro Forma'!$E$62:KLV62))</f>
        <v>0</v>
      </c>
      <c r="KLY62" s="962">
        <f>MIN(KLY60*$C$62,'Sources and Uses Budget'!$J$99-SUM('15 Year Pro Forma'!$E$62:KLX62))</f>
        <v>0</v>
      </c>
      <c r="KMA62" s="962">
        <f>MIN(KMA60*$C$62,'Sources and Uses Budget'!$J$99-SUM('15 Year Pro Forma'!$E$62:KLZ62))</f>
        <v>0</v>
      </c>
      <c r="KMC62" s="962">
        <f>MIN(KMC60*$C$62,'Sources and Uses Budget'!$J$99-SUM('15 Year Pro Forma'!$E$62:KMB62))</f>
        <v>0</v>
      </c>
      <c r="KME62" s="962">
        <f>MIN(KME60*$C$62,'Sources and Uses Budget'!$J$99-SUM('15 Year Pro Forma'!$E$62:KMD62))</f>
        <v>0</v>
      </c>
      <c r="KMG62" s="962">
        <f>MIN(KMG60*$C$62,'Sources and Uses Budget'!$J$99-SUM('15 Year Pro Forma'!$E$62:KMF62))</f>
        <v>0</v>
      </c>
      <c r="KMI62" s="962">
        <f>MIN(KMI60*$C$62,'Sources and Uses Budget'!$J$99-SUM('15 Year Pro Forma'!$E$62:KMH62))</f>
        <v>0</v>
      </c>
      <c r="KMK62" s="962">
        <f>MIN(KMK60*$C$62,'Sources and Uses Budget'!$J$99-SUM('15 Year Pro Forma'!$E$62:KMJ62))</f>
        <v>0</v>
      </c>
      <c r="KMM62" s="962">
        <f>MIN(KMM60*$C$62,'Sources and Uses Budget'!$J$99-SUM('15 Year Pro Forma'!$E$62:KML62))</f>
        <v>0</v>
      </c>
      <c r="KMO62" s="962">
        <f>MIN(KMO60*$C$62,'Sources and Uses Budget'!$J$99-SUM('15 Year Pro Forma'!$E$62:KMN62))</f>
        <v>0</v>
      </c>
      <c r="KMQ62" s="962">
        <f>MIN(KMQ60*$C$62,'Sources and Uses Budget'!$J$99-SUM('15 Year Pro Forma'!$E$62:KMP62))</f>
        <v>0</v>
      </c>
      <c r="KMS62" s="962">
        <f>MIN(KMS60*$C$62,'Sources and Uses Budget'!$J$99-SUM('15 Year Pro Forma'!$E$62:KMR62))</f>
        <v>0</v>
      </c>
      <c r="KMU62" s="962">
        <f>MIN(KMU60*$C$62,'Sources and Uses Budget'!$J$99-SUM('15 Year Pro Forma'!$E$62:KMT62))</f>
        <v>0</v>
      </c>
      <c r="KMW62" s="962">
        <f>MIN(KMW60*$C$62,'Sources and Uses Budget'!$J$99-SUM('15 Year Pro Forma'!$E$62:KMV62))</f>
        <v>0</v>
      </c>
      <c r="KMY62" s="962">
        <f>MIN(KMY60*$C$62,'Sources and Uses Budget'!$J$99-SUM('15 Year Pro Forma'!$E$62:KMX62))</f>
        <v>0</v>
      </c>
      <c r="KNA62" s="962">
        <f>MIN(KNA60*$C$62,'Sources and Uses Budget'!$J$99-SUM('15 Year Pro Forma'!$E$62:KMZ62))</f>
        <v>0</v>
      </c>
      <c r="KNC62" s="962">
        <f>MIN(KNC60*$C$62,'Sources and Uses Budget'!$J$99-SUM('15 Year Pro Forma'!$E$62:KNB62))</f>
        <v>0</v>
      </c>
      <c r="KNE62" s="962">
        <f>MIN(KNE60*$C$62,'Sources and Uses Budget'!$J$99-SUM('15 Year Pro Forma'!$E$62:KND62))</f>
        <v>0</v>
      </c>
      <c r="KNG62" s="962">
        <f>MIN(KNG60*$C$62,'Sources and Uses Budget'!$J$99-SUM('15 Year Pro Forma'!$E$62:KNF62))</f>
        <v>0</v>
      </c>
      <c r="KNI62" s="962">
        <f>MIN(KNI60*$C$62,'Sources and Uses Budget'!$J$99-SUM('15 Year Pro Forma'!$E$62:KNH62))</f>
        <v>0</v>
      </c>
      <c r="KNK62" s="962">
        <f>MIN(KNK60*$C$62,'Sources and Uses Budget'!$J$99-SUM('15 Year Pro Forma'!$E$62:KNJ62))</f>
        <v>0</v>
      </c>
      <c r="KNM62" s="962">
        <f>MIN(KNM60*$C$62,'Sources and Uses Budget'!$J$99-SUM('15 Year Pro Forma'!$E$62:KNL62))</f>
        <v>0</v>
      </c>
      <c r="KNO62" s="962">
        <f>MIN(KNO60*$C$62,'Sources and Uses Budget'!$J$99-SUM('15 Year Pro Forma'!$E$62:KNN62))</f>
        <v>0</v>
      </c>
      <c r="KNQ62" s="962">
        <f>MIN(KNQ60*$C$62,'Sources and Uses Budget'!$J$99-SUM('15 Year Pro Forma'!$E$62:KNP62))</f>
        <v>0</v>
      </c>
      <c r="KNS62" s="962">
        <f>MIN(KNS60*$C$62,'Sources and Uses Budget'!$J$99-SUM('15 Year Pro Forma'!$E$62:KNR62))</f>
        <v>0</v>
      </c>
      <c r="KNU62" s="962">
        <f>MIN(KNU60*$C$62,'Sources and Uses Budget'!$J$99-SUM('15 Year Pro Forma'!$E$62:KNT62))</f>
        <v>0</v>
      </c>
      <c r="KNW62" s="962">
        <f>MIN(KNW60*$C$62,'Sources and Uses Budget'!$J$99-SUM('15 Year Pro Forma'!$E$62:KNV62))</f>
        <v>0</v>
      </c>
      <c r="KNY62" s="962">
        <f>MIN(KNY60*$C$62,'Sources and Uses Budget'!$J$99-SUM('15 Year Pro Forma'!$E$62:KNX62))</f>
        <v>0</v>
      </c>
      <c r="KOA62" s="962">
        <f>MIN(KOA60*$C$62,'Sources and Uses Budget'!$J$99-SUM('15 Year Pro Forma'!$E$62:KNZ62))</f>
        <v>0</v>
      </c>
      <c r="KOC62" s="962">
        <f>MIN(KOC60*$C$62,'Sources and Uses Budget'!$J$99-SUM('15 Year Pro Forma'!$E$62:KOB62))</f>
        <v>0</v>
      </c>
      <c r="KOE62" s="962">
        <f>MIN(KOE60*$C$62,'Sources and Uses Budget'!$J$99-SUM('15 Year Pro Forma'!$E$62:KOD62))</f>
        <v>0</v>
      </c>
      <c r="KOG62" s="962">
        <f>MIN(KOG60*$C$62,'Sources and Uses Budget'!$J$99-SUM('15 Year Pro Forma'!$E$62:KOF62))</f>
        <v>0</v>
      </c>
      <c r="KOI62" s="962">
        <f>MIN(KOI60*$C$62,'Sources and Uses Budget'!$J$99-SUM('15 Year Pro Forma'!$E$62:KOH62))</f>
        <v>0</v>
      </c>
      <c r="KOK62" s="962">
        <f>MIN(KOK60*$C$62,'Sources and Uses Budget'!$J$99-SUM('15 Year Pro Forma'!$E$62:KOJ62))</f>
        <v>0</v>
      </c>
      <c r="KOM62" s="962">
        <f>MIN(KOM60*$C$62,'Sources and Uses Budget'!$J$99-SUM('15 Year Pro Forma'!$E$62:KOL62))</f>
        <v>0</v>
      </c>
      <c r="KOO62" s="962">
        <f>MIN(KOO60*$C$62,'Sources and Uses Budget'!$J$99-SUM('15 Year Pro Forma'!$E$62:KON62))</f>
        <v>0</v>
      </c>
      <c r="KOQ62" s="962">
        <f>MIN(KOQ60*$C$62,'Sources and Uses Budget'!$J$99-SUM('15 Year Pro Forma'!$E$62:KOP62))</f>
        <v>0</v>
      </c>
      <c r="KOS62" s="962">
        <f>MIN(KOS60*$C$62,'Sources and Uses Budget'!$J$99-SUM('15 Year Pro Forma'!$E$62:KOR62))</f>
        <v>0</v>
      </c>
      <c r="KOU62" s="962">
        <f>MIN(KOU60*$C$62,'Sources and Uses Budget'!$J$99-SUM('15 Year Pro Forma'!$E$62:KOT62))</f>
        <v>0</v>
      </c>
      <c r="KOW62" s="962">
        <f>MIN(KOW60*$C$62,'Sources and Uses Budget'!$J$99-SUM('15 Year Pro Forma'!$E$62:KOV62))</f>
        <v>0</v>
      </c>
      <c r="KOY62" s="962">
        <f>MIN(KOY60*$C$62,'Sources and Uses Budget'!$J$99-SUM('15 Year Pro Forma'!$E$62:KOX62))</f>
        <v>0</v>
      </c>
      <c r="KPA62" s="962">
        <f>MIN(KPA60*$C$62,'Sources and Uses Budget'!$J$99-SUM('15 Year Pro Forma'!$E$62:KOZ62))</f>
        <v>0</v>
      </c>
      <c r="KPC62" s="962">
        <f>MIN(KPC60*$C$62,'Sources and Uses Budget'!$J$99-SUM('15 Year Pro Forma'!$E$62:KPB62))</f>
        <v>0</v>
      </c>
      <c r="KPE62" s="962">
        <f>MIN(KPE60*$C$62,'Sources and Uses Budget'!$J$99-SUM('15 Year Pro Forma'!$E$62:KPD62))</f>
        <v>0</v>
      </c>
      <c r="KPG62" s="962">
        <f>MIN(KPG60*$C$62,'Sources and Uses Budget'!$J$99-SUM('15 Year Pro Forma'!$E$62:KPF62))</f>
        <v>0</v>
      </c>
      <c r="KPI62" s="962">
        <f>MIN(KPI60*$C$62,'Sources and Uses Budget'!$J$99-SUM('15 Year Pro Forma'!$E$62:KPH62))</f>
        <v>0</v>
      </c>
      <c r="KPK62" s="962">
        <f>MIN(KPK60*$C$62,'Sources and Uses Budget'!$J$99-SUM('15 Year Pro Forma'!$E$62:KPJ62))</f>
        <v>0</v>
      </c>
      <c r="KPM62" s="962">
        <f>MIN(KPM60*$C$62,'Sources and Uses Budget'!$J$99-SUM('15 Year Pro Forma'!$E$62:KPL62))</f>
        <v>0</v>
      </c>
      <c r="KPO62" s="962">
        <f>MIN(KPO60*$C$62,'Sources and Uses Budget'!$J$99-SUM('15 Year Pro Forma'!$E$62:KPN62))</f>
        <v>0</v>
      </c>
      <c r="KPQ62" s="962">
        <f>MIN(KPQ60*$C$62,'Sources and Uses Budget'!$J$99-SUM('15 Year Pro Forma'!$E$62:KPP62))</f>
        <v>0</v>
      </c>
      <c r="KPS62" s="962">
        <f>MIN(KPS60*$C$62,'Sources and Uses Budget'!$J$99-SUM('15 Year Pro Forma'!$E$62:KPR62))</f>
        <v>0</v>
      </c>
      <c r="KPU62" s="962">
        <f>MIN(KPU60*$C$62,'Sources and Uses Budget'!$J$99-SUM('15 Year Pro Forma'!$E$62:KPT62))</f>
        <v>0</v>
      </c>
      <c r="KPW62" s="962">
        <f>MIN(KPW60*$C$62,'Sources and Uses Budget'!$J$99-SUM('15 Year Pro Forma'!$E$62:KPV62))</f>
        <v>0</v>
      </c>
      <c r="KPY62" s="962">
        <f>MIN(KPY60*$C$62,'Sources and Uses Budget'!$J$99-SUM('15 Year Pro Forma'!$E$62:KPX62))</f>
        <v>0</v>
      </c>
      <c r="KQA62" s="962">
        <f>MIN(KQA60*$C$62,'Sources and Uses Budget'!$J$99-SUM('15 Year Pro Forma'!$E$62:KPZ62))</f>
        <v>0</v>
      </c>
      <c r="KQC62" s="962">
        <f>MIN(KQC60*$C$62,'Sources and Uses Budget'!$J$99-SUM('15 Year Pro Forma'!$E$62:KQB62))</f>
        <v>0</v>
      </c>
      <c r="KQE62" s="962">
        <f>MIN(KQE60*$C$62,'Sources and Uses Budget'!$J$99-SUM('15 Year Pro Forma'!$E$62:KQD62))</f>
        <v>0</v>
      </c>
      <c r="KQG62" s="962">
        <f>MIN(KQG60*$C$62,'Sources and Uses Budget'!$J$99-SUM('15 Year Pro Forma'!$E$62:KQF62))</f>
        <v>0</v>
      </c>
      <c r="KQI62" s="962">
        <f>MIN(KQI60*$C$62,'Sources and Uses Budget'!$J$99-SUM('15 Year Pro Forma'!$E$62:KQH62))</f>
        <v>0</v>
      </c>
      <c r="KQK62" s="962">
        <f>MIN(KQK60*$C$62,'Sources and Uses Budget'!$J$99-SUM('15 Year Pro Forma'!$E$62:KQJ62))</f>
        <v>0</v>
      </c>
      <c r="KQM62" s="962">
        <f>MIN(KQM60*$C$62,'Sources and Uses Budget'!$J$99-SUM('15 Year Pro Forma'!$E$62:KQL62))</f>
        <v>0</v>
      </c>
      <c r="KQO62" s="962">
        <f>MIN(KQO60*$C$62,'Sources and Uses Budget'!$J$99-SUM('15 Year Pro Forma'!$E$62:KQN62))</f>
        <v>0</v>
      </c>
      <c r="KQQ62" s="962">
        <f>MIN(KQQ60*$C$62,'Sources and Uses Budget'!$J$99-SUM('15 Year Pro Forma'!$E$62:KQP62))</f>
        <v>0</v>
      </c>
      <c r="KQS62" s="962">
        <f>MIN(KQS60*$C$62,'Sources and Uses Budget'!$J$99-SUM('15 Year Pro Forma'!$E$62:KQR62))</f>
        <v>0</v>
      </c>
      <c r="KQU62" s="962">
        <f>MIN(KQU60*$C$62,'Sources and Uses Budget'!$J$99-SUM('15 Year Pro Forma'!$E$62:KQT62))</f>
        <v>0</v>
      </c>
      <c r="KQW62" s="962">
        <f>MIN(KQW60*$C$62,'Sources and Uses Budget'!$J$99-SUM('15 Year Pro Forma'!$E$62:KQV62))</f>
        <v>0</v>
      </c>
      <c r="KQY62" s="962">
        <f>MIN(KQY60*$C$62,'Sources and Uses Budget'!$J$99-SUM('15 Year Pro Forma'!$E$62:KQX62))</f>
        <v>0</v>
      </c>
      <c r="KRA62" s="962">
        <f>MIN(KRA60*$C$62,'Sources and Uses Budget'!$J$99-SUM('15 Year Pro Forma'!$E$62:KQZ62))</f>
        <v>0</v>
      </c>
      <c r="KRC62" s="962">
        <f>MIN(KRC60*$C$62,'Sources and Uses Budget'!$J$99-SUM('15 Year Pro Forma'!$E$62:KRB62))</f>
        <v>0</v>
      </c>
      <c r="KRE62" s="962">
        <f>MIN(KRE60*$C$62,'Sources and Uses Budget'!$J$99-SUM('15 Year Pro Forma'!$E$62:KRD62))</f>
        <v>0</v>
      </c>
      <c r="KRG62" s="962">
        <f>MIN(KRG60*$C$62,'Sources and Uses Budget'!$J$99-SUM('15 Year Pro Forma'!$E$62:KRF62))</f>
        <v>0</v>
      </c>
      <c r="KRI62" s="962">
        <f>MIN(KRI60*$C$62,'Sources and Uses Budget'!$J$99-SUM('15 Year Pro Forma'!$E$62:KRH62))</f>
        <v>0</v>
      </c>
      <c r="KRK62" s="962">
        <f>MIN(KRK60*$C$62,'Sources and Uses Budget'!$J$99-SUM('15 Year Pro Forma'!$E$62:KRJ62))</f>
        <v>0</v>
      </c>
      <c r="KRM62" s="962">
        <f>MIN(KRM60*$C$62,'Sources and Uses Budget'!$J$99-SUM('15 Year Pro Forma'!$E$62:KRL62))</f>
        <v>0</v>
      </c>
      <c r="KRO62" s="962">
        <f>MIN(KRO60*$C$62,'Sources and Uses Budget'!$J$99-SUM('15 Year Pro Forma'!$E$62:KRN62))</f>
        <v>0</v>
      </c>
      <c r="KRQ62" s="962">
        <f>MIN(KRQ60*$C$62,'Sources and Uses Budget'!$J$99-SUM('15 Year Pro Forma'!$E$62:KRP62))</f>
        <v>0</v>
      </c>
      <c r="KRS62" s="962">
        <f>MIN(KRS60*$C$62,'Sources and Uses Budget'!$J$99-SUM('15 Year Pro Forma'!$E$62:KRR62))</f>
        <v>0</v>
      </c>
      <c r="KRU62" s="962">
        <f>MIN(KRU60*$C$62,'Sources and Uses Budget'!$J$99-SUM('15 Year Pro Forma'!$E$62:KRT62))</f>
        <v>0</v>
      </c>
      <c r="KRW62" s="962">
        <f>MIN(KRW60*$C$62,'Sources and Uses Budget'!$J$99-SUM('15 Year Pro Forma'!$E$62:KRV62))</f>
        <v>0</v>
      </c>
      <c r="KRY62" s="962">
        <f>MIN(KRY60*$C$62,'Sources and Uses Budget'!$J$99-SUM('15 Year Pro Forma'!$E$62:KRX62))</f>
        <v>0</v>
      </c>
      <c r="KSA62" s="962">
        <f>MIN(KSA60*$C$62,'Sources and Uses Budget'!$J$99-SUM('15 Year Pro Forma'!$E$62:KRZ62))</f>
        <v>0</v>
      </c>
      <c r="KSC62" s="962">
        <f>MIN(KSC60*$C$62,'Sources and Uses Budget'!$J$99-SUM('15 Year Pro Forma'!$E$62:KSB62))</f>
        <v>0</v>
      </c>
      <c r="KSE62" s="962">
        <f>MIN(KSE60*$C$62,'Sources and Uses Budget'!$J$99-SUM('15 Year Pro Forma'!$E$62:KSD62))</f>
        <v>0</v>
      </c>
      <c r="KSG62" s="962">
        <f>MIN(KSG60*$C$62,'Sources and Uses Budget'!$J$99-SUM('15 Year Pro Forma'!$E$62:KSF62))</f>
        <v>0</v>
      </c>
      <c r="KSI62" s="962">
        <f>MIN(KSI60*$C$62,'Sources and Uses Budget'!$J$99-SUM('15 Year Pro Forma'!$E$62:KSH62))</f>
        <v>0</v>
      </c>
      <c r="KSK62" s="962">
        <f>MIN(KSK60*$C$62,'Sources and Uses Budget'!$J$99-SUM('15 Year Pro Forma'!$E$62:KSJ62))</f>
        <v>0</v>
      </c>
      <c r="KSM62" s="962">
        <f>MIN(KSM60*$C$62,'Sources and Uses Budget'!$J$99-SUM('15 Year Pro Forma'!$E$62:KSL62))</f>
        <v>0</v>
      </c>
      <c r="KSO62" s="962">
        <f>MIN(KSO60*$C$62,'Sources and Uses Budget'!$J$99-SUM('15 Year Pro Forma'!$E$62:KSN62))</f>
        <v>0</v>
      </c>
      <c r="KSQ62" s="962">
        <f>MIN(KSQ60*$C$62,'Sources and Uses Budget'!$J$99-SUM('15 Year Pro Forma'!$E$62:KSP62))</f>
        <v>0</v>
      </c>
      <c r="KSS62" s="962">
        <f>MIN(KSS60*$C$62,'Sources and Uses Budget'!$J$99-SUM('15 Year Pro Forma'!$E$62:KSR62))</f>
        <v>0</v>
      </c>
      <c r="KSU62" s="962">
        <f>MIN(KSU60*$C$62,'Sources and Uses Budget'!$J$99-SUM('15 Year Pro Forma'!$E$62:KST62))</f>
        <v>0</v>
      </c>
      <c r="KSW62" s="962">
        <f>MIN(KSW60*$C$62,'Sources and Uses Budget'!$J$99-SUM('15 Year Pro Forma'!$E$62:KSV62))</f>
        <v>0</v>
      </c>
      <c r="KSY62" s="962">
        <f>MIN(KSY60*$C$62,'Sources and Uses Budget'!$J$99-SUM('15 Year Pro Forma'!$E$62:KSX62))</f>
        <v>0</v>
      </c>
      <c r="KTA62" s="962">
        <f>MIN(KTA60*$C$62,'Sources and Uses Budget'!$J$99-SUM('15 Year Pro Forma'!$E$62:KSZ62))</f>
        <v>0</v>
      </c>
      <c r="KTC62" s="962">
        <f>MIN(KTC60*$C$62,'Sources and Uses Budget'!$J$99-SUM('15 Year Pro Forma'!$E$62:KTB62))</f>
        <v>0</v>
      </c>
      <c r="KTE62" s="962">
        <f>MIN(KTE60*$C$62,'Sources and Uses Budget'!$J$99-SUM('15 Year Pro Forma'!$E$62:KTD62))</f>
        <v>0</v>
      </c>
      <c r="KTG62" s="962">
        <f>MIN(KTG60*$C$62,'Sources and Uses Budget'!$J$99-SUM('15 Year Pro Forma'!$E$62:KTF62))</f>
        <v>0</v>
      </c>
      <c r="KTI62" s="962">
        <f>MIN(KTI60*$C$62,'Sources and Uses Budget'!$J$99-SUM('15 Year Pro Forma'!$E$62:KTH62))</f>
        <v>0</v>
      </c>
      <c r="KTK62" s="962">
        <f>MIN(KTK60*$C$62,'Sources and Uses Budget'!$J$99-SUM('15 Year Pro Forma'!$E$62:KTJ62))</f>
        <v>0</v>
      </c>
      <c r="KTM62" s="962">
        <f>MIN(KTM60*$C$62,'Sources and Uses Budget'!$J$99-SUM('15 Year Pro Forma'!$E$62:KTL62))</f>
        <v>0</v>
      </c>
      <c r="KTO62" s="962">
        <f>MIN(KTO60*$C$62,'Sources and Uses Budget'!$J$99-SUM('15 Year Pro Forma'!$E$62:KTN62))</f>
        <v>0</v>
      </c>
      <c r="KTQ62" s="962">
        <f>MIN(KTQ60*$C$62,'Sources and Uses Budget'!$J$99-SUM('15 Year Pro Forma'!$E$62:KTP62))</f>
        <v>0</v>
      </c>
      <c r="KTS62" s="962">
        <f>MIN(KTS60*$C$62,'Sources and Uses Budget'!$J$99-SUM('15 Year Pro Forma'!$E$62:KTR62))</f>
        <v>0</v>
      </c>
      <c r="KTU62" s="962">
        <f>MIN(KTU60*$C$62,'Sources and Uses Budget'!$J$99-SUM('15 Year Pro Forma'!$E$62:KTT62))</f>
        <v>0</v>
      </c>
      <c r="KTW62" s="962">
        <f>MIN(KTW60*$C$62,'Sources and Uses Budget'!$J$99-SUM('15 Year Pro Forma'!$E$62:KTV62))</f>
        <v>0</v>
      </c>
      <c r="KTY62" s="962">
        <f>MIN(KTY60*$C$62,'Sources and Uses Budget'!$J$99-SUM('15 Year Pro Forma'!$E$62:KTX62))</f>
        <v>0</v>
      </c>
      <c r="KUA62" s="962">
        <f>MIN(KUA60*$C$62,'Sources and Uses Budget'!$J$99-SUM('15 Year Pro Forma'!$E$62:KTZ62))</f>
        <v>0</v>
      </c>
      <c r="KUC62" s="962">
        <f>MIN(KUC60*$C$62,'Sources and Uses Budget'!$J$99-SUM('15 Year Pro Forma'!$E$62:KUB62))</f>
        <v>0</v>
      </c>
      <c r="KUE62" s="962">
        <f>MIN(KUE60*$C$62,'Sources and Uses Budget'!$J$99-SUM('15 Year Pro Forma'!$E$62:KUD62))</f>
        <v>0</v>
      </c>
      <c r="KUG62" s="962">
        <f>MIN(KUG60*$C$62,'Sources and Uses Budget'!$J$99-SUM('15 Year Pro Forma'!$E$62:KUF62))</f>
        <v>0</v>
      </c>
      <c r="KUI62" s="962">
        <f>MIN(KUI60*$C$62,'Sources and Uses Budget'!$J$99-SUM('15 Year Pro Forma'!$E$62:KUH62))</f>
        <v>0</v>
      </c>
      <c r="KUK62" s="962">
        <f>MIN(KUK60*$C$62,'Sources and Uses Budget'!$J$99-SUM('15 Year Pro Forma'!$E$62:KUJ62))</f>
        <v>0</v>
      </c>
      <c r="KUM62" s="962">
        <f>MIN(KUM60*$C$62,'Sources and Uses Budget'!$J$99-SUM('15 Year Pro Forma'!$E$62:KUL62))</f>
        <v>0</v>
      </c>
      <c r="KUO62" s="962">
        <f>MIN(KUO60*$C$62,'Sources and Uses Budget'!$J$99-SUM('15 Year Pro Forma'!$E$62:KUN62))</f>
        <v>0</v>
      </c>
      <c r="KUQ62" s="962">
        <f>MIN(KUQ60*$C$62,'Sources and Uses Budget'!$J$99-SUM('15 Year Pro Forma'!$E$62:KUP62))</f>
        <v>0</v>
      </c>
      <c r="KUS62" s="962">
        <f>MIN(KUS60*$C$62,'Sources and Uses Budget'!$J$99-SUM('15 Year Pro Forma'!$E$62:KUR62))</f>
        <v>0</v>
      </c>
      <c r="KUU62" s="962">
        <f>MIN(KUU60*$C$62,'Sources and Uses Budget'!$J$99-SUM('15 Year Pro Forma'!$E$62:KUT62))</f>
        <v>0</v>
      </c>
      <c r="KUW62" s="962">
        <f>MIN(KUW60*$C$62,'Sources and Uses Budget'!$J$99-SUM('15 Year Pro Forma'!$E$62:KUV62))</f>
        <v>0</v>
      </c>
      <c r="KUY62" s="962">
        <f>MIN(KUY60*$C$62,'Sources and Uses Budget'!$J$99-SUM('15 Year Pro Forma'!$E$62:KUX62))</f>
        <v>0</v>
      </c>
      <c r="KVA62" s="962">
        <f>MIN(KVA60*$C$62,'Sources and Uses Budget'!$J$99-SUM('15 Year Pro Forma'!$E$62:KUZ62))</f>
        <v>0</v>
      </c>
      <c r="KVC62" s="962">
        <f>MIN(KVC60*$C$62,'Sources and Uses Budget'!$J$99-SUM('15 Year Pro Forma'!$E$62:KVB62))</f>
        <v>0</v>
      </c>
      <c r="KVE62" s="962">
        <f>MIN(KVE60*$C$62,'Sources and Uses Budget'!$J$99-SUM('15 Year Pro Forma'!$E$62:KVD62))</f>
        <v>0</v>
      </c>
      <c r="KVG62" s="962">
        <f>MIN(KVG60*$C$62,'Sources and Uses Budget'!$J$99-SUM('15 Year Pro Forma'!$E$62:KVF62))</f>
        <v>0</v>
      </c>
      <c r="KVI62" s="962">
        <f>MIN(KVI60*$C$62,'Sources and Uses Budget'!$J$99-SUM('15 Year Pro Forma'!$E$62:KVH62))</f>
        <v>0</v>
      </c>
      <c r="KVK62" s="962">
        <f>MIN(KVK60*$C$62,'Sources and Uses Budget'!$J$99-SUM('15 Year Pro Forma'!$E$62:KVJ62))</f>
        <v>0</v>
      </c>
      <c r="KVM62" s="962">
        <f>MIN(KVM60*$C$62,'Sources and Uses Budget'!$J$99-SUM('15 Year Pro Forma'!$E$62:KVL62))</f>
        <v>0</v>
      </c>
      <c r="KVO62" s="962">
        <f>MIN(KVO60*$C$62,'Sources and Uses Budget'!$J$99-SUM('15 Year Pro Forma'!$E$62:KVN62))</f>
        <v>0</v>
      </c>
      <c r="KVQ62" s="962">
        <f>MIN(KVQ60*$C$62,'Sources and Uses Budget'!$J$99-SUM('15 Year Pro Forma'!$E$62:KVP62))</f>
        <v>0</v>
      </c>
      <c r="KVS62" s="962">
        <f>MIN(KVS60*$C$62,'Sources and Uses Budget'!$J$99-SUM('15 Year Pro Forma'!$E$62:KVR62))</f>
        <v>0</v>
      </c>
      <c r="KVU62" s="962">
        <f>MIN(KVU60*$C$62,'Sources and Uses Budget'!$J$99-SUM('15 Year Pro Forma'!$E$62:KVT62))</f>
        <v>0</v>
      </c>
      <c r="KVW62" s="962">
        <f>MIN(KVW60*$C$62,'Sources and Uses Budget'!$J$99-SUM('15 Year Pro Forma'!$E$62:KVV62))</f>
        <v>0</v>
      </c>
      <c r="KVY62" s="962">
        <f>MIN(KVY60*$C$62,'Sources and Uses Budget'!$J$99-SUM('15 Year Pro Forma'!$E$62:KVX62))</f>
        <v>0</v>
      </c>
      <c r="KWA62" s="962">
        <f>MIN(KWA60*$C$62,'Sources and Uses Budget'!$J$99-SUM('15 Year Pro Forma'!$E$62:KVZ62))</f>
        <v>0</v>
      </c>
      <c r="KWC62" s="962">
        <f>MIN(KWC60*$C$62,'Sources and Uses Budget'!$J$99-SUM('15 Year Pro Forma'!$E$62:KWB62))</f>
        <v>0</v>
      </c>
      <c r="KWE62" s="962">
        <f>MIN(KWE60*$C$62,'Sources and Uses Budget'!$J$99-SUM('15 Year Pro Forma'!$E$62:KWD62))</f>
        <v>0</v>
      </c>
      <c r="KWG62" s="962">
        <f>MIN(KWG60*$C$62,'Sources and Uses Budget'!$J$99-SUM('15 Year Pro Forma'!$E$62:KWF62))</f>
        <v>0</v>
      </c>
      <c r="KWI62" s="962">
        <f>MIN(KWI60*$C$62,'Sources and Uses Budget'!$J$99-SUM('15 Year Pro Forma'!$E$62:KWH62))</f>
        <v>0</v>
      </c>
      <c r="KWK62" s="962">
        <f>MIN(KWK60*$C$62,'Sources and Uses Budget'!$J$99-SUM('15 Year Pro Forma'!$E$62:KWJ62))</f>
        <v>0</v>
      </c>
      <c r="KWM62" s="962">
        <f>MIN(KWM60*$C$62,'Sources and Uses Budget'!$J$99-SUM('15 Year Pro Forma'!$E$62:KWL62))</f>
        <v>0</v>
      </c>
      <c r="KWO62" s="962">
        <f>MIN(KWO60*$C$62,'Sources and Uses Budget'!$J$99-SUM('15 Year Pro Forma'!$E$62:KWN62))</f>
        <v>0</v>
      </c>
      <c r="KWQ62" s="962">
        <f>MIN(KWQ60*$C$62,'Sources and Uses Budget'!$J$99-SUM('15 Year Pro Forma'!$E$62:KWP62))</f>
        <v>0</v>
      </c>
      <c r="KWS62" s="962">
        <f>MIN(KWS60*$C$62,'Sources and Uses Budget'!$J$99-SUM('15 Year Pro Forma'!$E$62:KWR62))</f>
        <v>0</v>
      </c>
      <c r="KWU62" s="962">
        <f>MIN(KWU60*$C$62,'Sources and Uses Budget'!$J$99-SUM('15 Year Pro Forma'!$E$62:KWT62))</f>
        <v>0</v>
      </c>
      <c r="KWW62" s="962">
        <f>MIN(KWW60*$C$62,'Sources and Uses Budget'!$J$99-SUM('15 Year Pro Forma'!$E$62:KWV62))</f>
        <v>0</v>
      </c>
      <c r="KWY62" s="962">
        <f>MIN(KWY60*$C$62,'Sources and Uses Budget'!$J$99-SUM('15 Year Pro Forma'!$E$62:KWX62))</f>
        <v>0</v>
      </c>
      <c r="KXA62" s="962">
        <f>MIN(KXA60*$C$62,'Sources and Uses Budget'!$J$99-SUM('15 Year Pro Forma'!$E$62:KWZ62))</f>
        <v>0</v>
      </c>
      <c r="KXC62" s="962">
        <f>MIN(KXC60*$C$62,'Sources and Uses Budget'!$J$99-SUM('15 Year Pro Forma'!$E$62:KXB62))</f>
        <v>0</v>
      </c>
      <c r="KXE62" s="962">
        <f>MIN(KXE60*$C$62,'Sources and Uses Budget'!$J$99-SUM('15 Year Pro Forma'!$E$62:KXD62))</f>
        <v>0</v>
      </c>
      <c r="KXG62" s="962">
        <f>MIN(KXG60*$C$62,'Sources and Uses Budget'!$J$99-SUM('15 Year Pro Forma'!$E$62:KXF62))</f>
        <v>0</v>
      </c>
      <c r="KXI62" s="962">
        <f>MIN(KXI60*$C$62,'Sources and Uses Budget'!$J$99-SUM('15 Year Pro Forma'!$E$62:KXH62))</f>
        <v>0</v>
      </c>
      <c r="KXK62" s="962">
        <f>MIN(KXK60*$C$62,'Sources and Uses Budget'!$J$99-SUM('15 Year Pro Forma'!$E$62:KXJ62))</f>
        <v>0</v>
      </c>
      <c r="KXM62" s="962">
        <f>MIN(KXM60*$C$62,'Sources and Uses Budget'!$J$99-SUM('15 Year Pro Forma'!$E$62:KXL62))</f>
        <v>0</v>
      </c>
      <c r="KXO62" s="962">
        <f>MIN(KXO60*$C$62,'Sources and Uses Budget'!$J$99-SUM('15 Year Pro Forma'!$E$62:KXN62))</f>
        <v>0</v>
      </c>
      <c r="KXQ62" s="962">
        <f>MIN(KXQ60*$C$62,'Sources and Uses Budget'!$J$99-SUM('15 Year Pro Forma'!$E$62:KXP62))</f>
        <v>0</v>
      </c>
      <c r="KXS62" s="962">
        <f>MIN(KXS60*$C$62,'Sources and Uses Budget'!$J$99-SUM('15 Year Pro Forma'!$E$62:KXR62))</f>
        <v>0</v>
      </c>
      <c r="KXU62" s="962">
        <f>MIN(KXU60*$C$62,'Sources and Uses Budget'!$J$99-SUM('15 Year Pro Forma'!$E$62:KXT62))</f>
        <v>0</v>
      </c>
      <c r="KXW62" s="962">
        <f>MIN(KXW60*$C$62,'Sources and Uses Budget'!$J$99-SUM('15 Year Pro Forma'!$E$62:KXV62))</f>
        <v>0</v>
      </c>
      <c r="KXY62" s="962">
        <f>MIN(KXY60*$C$62,'Sources and Uses Budget'!$J$99-SUM('15 Year Pro Forma'!$E$62:KXX62))</f>
        <v>0</v>
      </c>
      <c r="KYA62" s="962">
        <f>MIN(KYA60*$C$62,'Sources and Uses Budget'!$J$99-SUM('15 Year Pro Forma'!$E$62:KXZ62))</f>
        <v>0</v>
      </c>
      <c r="KYC62" s="962">
        <f>MIN(KYC60*$C$62,'Sources and Uses Budget'!$J$99-SUM('15 Year Pro Forma'!$E$62:KYB62))</f>
        <v>0</v>
      </c>
      <c r="KYE62" s="962">
        <f>MIN(KYE60*$C$62,'Sources and Uses Budget'!$J$99-SUM('15 Year Pro Forma'!$E$62:KYD62))</f>
        <v>0</v>
      </c>
      <c r="KYG62" s="962">
        <f>MIN(KYG60*$C$62,'Sources and Uses Budget'!$J$99-SUM('15 Year Pro Forma'!$E$62:KYF62))</f>
        <v>0</v>
      </c>
      <c r="KYI62" s="962">
        <f>MIN(KYI60*$C$62,'Sources and Uses Budget'!$J$99-SUM('15 Year Pro Forma'!$E$62:KYH62))</f>
        <v>0</v>
      </c>
      <c r="KYK62" s="962">
        <f>MIN(KYK60*$C$62,'Sources and Uses Budget'!$J$99-SUM('15 Year Pro Forma'!$E$62:KYJ62))</f>
        <v>0</v>
      </c>
      <c r="KYM62" s="962">
        <f>MIN(KYM60*$C$62,'Sources and Uses Budget'!$J$99-SUM('15 Year Pro Forma'!$E$62:KYL62))</f>
        <v>0</v>
      </c>
      <c r="KYO62" s="962">
        <f>MIN(KYO60*$C$62,'Sources and Uses Budget'!$J$99-SUM('15 Year Pro Forma'!$E$62:KYN62))</f>
        <v>0</v>
      </c>
      <c r="KYQ62" s="962">
        <f>MIN(KYQ60*$C$62,'Sources and Uses Budget'!$J$99-SUM('15 Year Pro Forma'!$E$62:KYP62))</f>
        <v>0</v>
      </c>
      <c r="KYS62" s="962">
        <f>MIN(KYS60*$C$62,'Sources and Uses Budget'!$J$99-SUM('15 Year Pro Forma'!$E$62:KYR62))</f>
        <v>0</v>
      </c>
      <c r="KYU62" s="962">
        <f>MIN(KYU60*$C$62,'Sources and Uses Budget'!$J$99-SUM('15 Year Pro Forma'!$E$62:KYT62))</f>
        <v>0</v>
      </c>
      <c r="KYW62" s="962">
        <f>MIN(KYW60*$C$62,'Sources and Uses Budget'!$J$99-SUM('15 Year Pro Forma'!$E$62:KYV62))</f>
        <v>0</v>
      </c>
      <c r="KYY62" s="962">
        <f>MIN(KYY60*$C$62,'Sources and Uses Budget'!$J$99-SUM('15 Year Pro Forma'!$E$62:KYX62))</f>
        <v>0</v>
      </c>
      <c r="KZA62" s="962">
        <f>MIN(KZA60*$C$62,'Sources and Uses Budget'!$J$99-SUM('15 Year Pro Forma'!$E$62:KYZ62))</f>
        <v>0</v>
      </c>
      <c r="KZC62" s="962">
        <f>MIN(KZC60*$C$62,'Sources and Uses Budget'!$J$99-SUM('15 Year Pro Forma'!$E$62:KZB62))</f>
        <v>0</v>
      </c>
      <c r="KZE62" s="962">
        <f>MIN(KZE60*$C$62,'Sources and Uses Budget'!$J$99-SUM('15 Year Pro Forma'!$E$62:KZD62))</f>
        <v>0</v>
      </c>
      <c r="KZG62" s="962">
        <f>MIN(KZG60*$C$62,'Sources and Uses Budget'!$J$99-SUM('15 Year Pro Forma'!$E$62:KZF62))</f>
        <v>0</v>
      </c>
      <c r="KZI62" s="962">
        <f>MIN(KZI60*$C$62,'Sources and Uses Budget'!$J$99-SUM('15 Year Pro Forma'!$E$62:KZH62))</f>
        <v>0</v>
      </c>
      <c r="KZK62" s="962">
        <f>MIN(KZK60*$C$62,'Sources and Uses Budget'!$J$99-SUM('15 Year Pro Forma'!$E$62:KZJ62))</f>
        <v>0</v>
      </c>
      <c r="KZM62" s="962">
        <f>MIN(KZM60*$C$62,'Sources and Uses Budget'!$J$99-SUM('15 Year Pro Forma'!$E$62:KZL62))</f>
        <v>0</v>
      </c>
      <c r="KZO62" s="962">
        <f>MIN(KZO60*$C$62,'Sources and Uses Budget'!$J$99-SUM('15 Year Pro Forma'!$E$62:KZN62))</f>
        <v>0</v>
      </c>
      <c r="KZQ62" s="962">
        <f>MIN(KZQ60*$C$62,'Sources and Uses Budget'!$J$99-SUM('15 Year Pro Forma'!$E$62:KZP62))</f>
        <v>0</v>
      </c>
      <c r="KZS62" s="962">
        <f>MIN(KZS60*$C$62,'Sources and Uses Budget'!$J$99-SUM('15 Year Pro Forma'!$E$62:KZR62))</f>
        <v>0</v>
      </c>
      <c r="KZU62" s="962">
        <f>MIN(KZU60*$C$62,'Sources and Uses Budget'!$J$99-SUM('15 Year Pro Forma'!$E$62:KZT62))</f>
        <v>0</v>
      </c>
      <c r="KZW62" s="962">
        <f>MIN(KZW60*$C$62,'Sources and Uses Budget'!$J$99-SUM('15 Year Pro Forma'!$E$62:KZV62))</f>
        <v>0</v>
      </c>
      <c r="KZY62" s="962">
        <f>MIN(KZY60*$C$62,'Sources and Uses Budget'!$J$99-SUM('15 Year Pro Forma'!$E$62:KZX62))</f>
        <v>0</v>
      </c>
      <c r="LAA62" s="962">
        <f>MIN(LAA60*$C$62,'Sources and Uses Budget'!$J$99-SUM('15 Year Pro Forma'!$E$62:KZZ62))</f>
        <v>0</v>
      </c>
      <c r="LAC62" s="962">
        <f>MIN(LAC60*$C$62,'Sources and Uses Budget'!$J$99-SUM('15 Year Pro Forma'!$E$62:LAB62))</f>
        <v>0</v>
      </c>
      <c r="LAE62" s="962">
        <f>MIN(LAE60*$C$62,'Sources and Uses Budget'!$J$99-SUM('15 Year Pro Forma'!$E$62:LAD62))</f>
        <v>0</v>
      </c>
      <c r="LAG62" s="962">
        <f>MIN(LAG60*$C$62,'Sources and Uses Budget'!$J$99-SUM('15 Year Pro Forma'!$E$62:LAF62))</f>
        <v>0</v>
      </c>
      <c r="LAI62" s="962">
        <f>MIN(LAI60*$C$62,'Sources and Uses Budget'!$J$99-SUM('15 Year Pro Forma'!$E$62:LAH62))</f>
        <v>0</v>
      </c>
      <c r="LAK62" s="962">
        <f>MIN(LAK60*$C$62,'Sources and Uses Budget'!$J$99-SUM('15 Year Pro Forma'!$E$62:LAJ62))</f>
        <v>0</v>
      </c>
      <c r="LAM62" s="962">
        <f>MIN(LAM60*$C$62,'Sources and Uses Budget'!$J$99-SUM('15 Year Pro Forma'!$E$62:LAL62))</f>
        <v>0</v>
      </c>
      <c r="LAO62" s="962">
        <f>MIN(LAO60*$C$62,'Sources and Uses Budget'!$J$99-SUM('15 Year Pro Forma'!$E$62:LAN62))</f>
        <v>0</v>
      </c>
      <c r="LAQ62" s="962">
        <f>MIN(LAQ60*$C$62,'Sources and Uses Budget'!$J$99-SUM('15 Year Pro Forma'!$E$62:LAP62))</f>
        <v>0</v>
      </c>
      <c r="LAS62" s="962">
        <f>MIN(LAS60*$C$62,'Sources and Uses Budget'!$J$99-SUM('15 Year Pro Forma'!$E$62:LAR62))</f>
        <v>0</v>
      </c>
      <c r="LAU62" s="962">
        <f>MIN(LAU60*$C$62,'Sources and Uses Budget'!$J$99-SUM('15 Year Pro Forma'!$E$62:LAT62))</f>
        <v>0</v>
      </c>
      <c r="LAW62" s="962">
        <f>MIN(LAW60*$C$62,'Sources and Uses Budget'!$J$99-SUM('15 Year Pro Forma'!$E$62:LAV62))</f>
        <v>0</v>
      </c>
      <c r="LAY62" s="962">
        <f>MIN(LAY60*$C$62,'Sources and Uses Budget'!$J$99-SUM('15 Year Pro Forma'!$E$62:LAX62))</f>
        <v>0</v>
      </c>
      <c r="LBA62" s="962">
        <f>MIN(LBA60*$C$62,'Sources and Uses Budget'!$J$99-SUM('15 Year Pro Forma'!$E$62:LAZ62))</f>
        <v>0</v>
      </c>
      <c r="LBC62" s="962">
        <f>MIN(LBC60*$C$62,'Sources and Uses Budget'!$J$99-SUM('15 Year Pro Forma'!$E$62:LBB62))</f>
        <v>0</v>
      </c>
      <c r="LBE62" s="962">
        <f>MIN(LBE60*$C$62,'Sources and Uses Budget'!$J$99-SUM('15 Year Pro Forma'!$E$62:LBD62))</f>
        <v>0</v>
      </c>
      <c r="LBG62" s="962">
        <f>MIN(LBG60*$C$62,'Sources and Uses Budget'!$J$99-SUM('15 Year Pro Forma'!$E$62:LBF62))</f>
        <v>0</v>
      </c>
      <c r="LBI62" s="962">
        <f>MIN(LBI60*$C$62,'Sources and Uses Budget'!$J$99-SUM('15 Year Pro Forma'!$E$62:LBH62))</f>
        <v>0</v>
      </c>
      <c r="LBK62" s="962">
        <f>MIN(LBK60*$C$62,'Sources and Uses Budget'!$J$99-SUM('15 Year Pro Forma'!$E$62:LBJ62))</f>
        <v>0</v>
      </c>
      <c r="LBM62" s="962">
        <f>MIN(LBM60*$C$62,'Sources and Uses Budget'!$J$99-SUM('15 Year Pro Forma'!$E$62:LBL62))</f>
        <v>0</v>
      </c>
      <c r="LBO62" s="962">
        <f>MIN(LBO60*$C$62,'Sources and Uses Budget'!$J$99-SUM('15 Year Pro Forma'!$E$62:LBN62))</f>
        <v>0</v>
      </c>
      <c r="LBQ62" s="962">
        <f>MIN(LBQ60*$C$62,'Sources and Uses Budget'!$J$99-SUM('15 Year Pro Forma'!$E$62:LBP62))</f>
        <v>0</v>
      </c>
      <c r="LBS62" s="962">
        <f>MIN(LBS60*$C$62,'Sources and Uses Budget'!$J$99-SUM('15 Year Pro Forma'!$E$62:LBR62))</f>
        <v>0</v>
      </c>
      <c r="LBU62" s="962">
        <f>MIN(LBU60*$C$62,'Sources and Uses Budget'!$J$99-SUM('15 Year Pro Forma'!$E$62:LBT62))</f>
        <v>0</v>
      </c>
      <c r="LBW62" s="962">
        <f>MIN(LBW60*$C$62,'Sources and Uses Budget'!$J$99-SUM('15 Year Pro Forma'!$E$62:LBV62))</f>
        <v>0</v>
      </c>
      <c r="LBY62" s="962">
        <f>MIN(LBY60*$C$62,'Sources and Uses Budget'!$J$99-SUM('15 Year Pro Forma'!$E$62:LBX62))</f>
        <v>0</v>
      </c>
      <c r="LCA62" s="962">
        <f>MIN(LCA60*$C$62,'Sources and Uses Budget'!$J$99-SUM('15 Year Pro Forma'!$E$62:LBZ62))</f>
        <v>0</v>
      </c>
      <c r="LCC62" s="962">
        <f>MIN(LCC60*$C$62,'Sources and Uses Budget'!$J$99-SUM('15 Year Pro Forma'!$E$62:LCB62))</f>
        <v>0</v>
      </c>
      <c r="LCE62" s="962">
        <f>MIN(LCE60*$C$62,'Sources and Uses Budget'!$J$99-SUM('15 Year Pro Forma'!$E$62:LCD62))</f>
        <v>0</v>
      </c>
      <c r="LCG62" s="962">
        <f>MIN(LCG60*$C$62,'Sources and Uses Budget'!$J$99-SUM('15 Year Pro Forma'!$E$62:LCF62))</f>
        <v>0</v>
      </c>
      <c r="LCI62" s="962">
        <f>MIN(LCI60*$C$62,'Sources and Uses Budget'!$J$99-SUM('15 Year Pro Forma'!$E$62:LCH62))</f>
        <v>0</v>
      </c>
      <c r="LCK62" s="962">
        <f>MIN(LCK60*$C$62,'Sources and Uses Budget'!$J$99-SUM('15 Year Pro Forma'!$E$62:LCJ62))</f>
        <v>0</v>
      </c>
      <c r="LCM62" s="962">
        <f>MIN(LCM60*$C$62,'Sources and Uses Budget'!$J$99-SUM('15 Year Pro Forma'!$E$62:LCL62))</f>
        <v>0</v>
      </c>
      <c r="LCO62" s="962">
        <f>MIN(LCO60*$C$62,'Sources and Uses Budget'!$J$99-SUM('15 Year Pro Forma'!$E$62:LCN62))</f>
        <v>0</v>
      </c>
      <c r="LCQ62" s="962">
        <f>MIN(LCQ60*$C$62,'Sources and Uses Budget'!$J$99-SUM('15 Year Pro Forma'!$E$62:LCP62))</f>
        <v>0</v>
      </c>
      <c r="LCS62" s="962">
        <f>MIN(LCS60*$C$62,'Sources and Uses Budget'!$J$99-SUM('15 Year Pro Forma'!$E$62:LCR62))</f>
        <v>0</v>
      </c>
      <c r="LCU62" s="962">
        <f>MIN(LCU60*$C$62,'Sources and Uses Budget'!$J$99-SUM('15 Year Pro Forma'!$E$62:LCT62))</f>
        <v>0</v>
      </c>
      <c r="LCW62" s="962">
        <f>MIN(LCW60*$C$62,'Sources and Uses Budget'!$J$99-SUM('15 Year Pro Forma'!$E$62:LCV62))</f>
        <v>0</v>
      </c>
      <c r="LCY62" s="962">
        <f>MIN(LCY60*$C$62,'Sources and Uses Budget'!$J$99-SUM('15 Year Pro Forma'!$E$62:LCX62))</f>
        <v>0</v>
      </c>
      <c r="LDA62" s="962">
        <f>MIN(LDA60*$C$62,'Sources and Uses Budget'!$J$99-SUM('15 Year Pro Forma'!$E$62:LCZ62))</f>
        <v>0</v>
      </c>
      <c r="LDC62" s="962">
        <f>MIN(LDC60*$C$62,'Sources and Uses Budget'!$J$99-SUM('15 Year Pro Forma'!$E$62:LDB62))</f>
        <v>0</v>
      </c>
      <c r="LDE62" s="962">
        <f>MIN(LDE60*$C$62,'Sources and Uses Budget'!$J$99-SUM('15 Year Pro Forma'!$E$62:LDD62))</f>
        <v>0</v>
      </c>
      <c r="LDG62" s="962">
        <f>MIN(LDG60*$C$62,'Sources and Uses Budget'!$J$99-SUM('15 Year Pro Forma'!$E$62:LDF62))</f>
        <v>0</v>
      </c>
      <c r="LDI62" s="962">
        <f>MIN(LDI60*$C$62,'Sources and Uses Budget'!$J$99-SUM('15 Year Pro Forma'!$E$62:LDH62))</f>
        <v>0</v>
      </c>
      <c r="LDK62" s="962">
        <f>MIN(LDK60*$C$62,'Sources and Uses Budget'!$J$99-SUM('15 Year Pro Forma'!$E$62:LDJ62))</f>
        <v>0</v>
      </c>
      <c r="LDM62" s="962">
        <f>MIN(LDM60*$C$62,'Sources and Uses Budget'!$J$99-SUM('15 Year Pro Forma'!$E$62:LDL62))</f>
        <v>0</v>
      </c>
      <c r="LDO62" s="962">
        <f>MIN(LDO60*$C$62,'Sources and Uses Budget'!$J$99-SUM('15 Year Pro Forma'!$E$62:LDN62))</f>
        <v>0</v>
      </c>
      <c r="LDQ62" s="962">
        <f>MIN(LDQ60*$C$62,'Sources and Uses Budget'!$J$99-SUM('15 Year Pro Forma'!$E$62:LDP62))</f>
        <v>0</v>
      </c>
      <c r="LDS62" s="962">
        <f>MIN(LDS60*$C$62,'Sources and Uses Budget'!$J$99-SUM('15 Year Pro Forma'!$E$62:LDR62))</f>
        <v>0</v>
      </c>
      <c r="LDU62" s="962">
        <f>MIN(LDU60*$C$62,'Sources and Uses Budget'!$J$99-SUM('15 Year Pro Forma'!$E$62:LDT62))</f>
        <v>0</v>
      </c>
      <c r="LDW62" s="962">
        <f>MIN(LDW60*$C$62,'Sources and Uses Budget'!$J$99-SUM('15 Year Pro Forma'!$E$62:LDV62))</f>
        <v>0</v>
      </c>
      <c r="LDY62" s="962">
        <f>MIN(LDY60*$C$62,'Sources and Uses Budget'!$J$99-SUM('15 Year Pro Forma'!$E$62:LDX62))</f>
        <v>0</v>
      </c>
      <c r="LEA62" s="962">
        <f>MIN(LEA60*$C$62,'Sources and Uses Budget'!$J$99-SUM('15 Year Pro Forma'!$E$62:LDZ62))</f>
        <v>0</v>
      </c>
      <c r="LEC62" s="962">
        <f>MIN(LEC60*$C$62,'Sources and Uses Budget'!$J$99-SUM('15 Year Pro Forma'!$E$62:LEB62))</f>
        <v>0</v>
      </c>
      <c r="LEE62" s="962">
        <f>MIN(LEE60*$C$62,'Sources and Uses Budget'!$J$99-SUM('15 Year Pro Forma'!$E$62:LED62))</f>
        <v>0</v>
      </c>
      <c r="LEG62" s="962">
        <f>MIN(LEG60*$C$62,'Sources and Uses Budget'!$J$99-SUM('15 Year Pro Forma'!$E$62:LEF62))</f>
        <v>0</v>
      </c>
      <c r="LEI62" s="962">
        <f>MIN(LEI60*$C$62,'Sources and Uses Budget'!$J$99-SUM('15 Year Pro Forma'!$E$62:LEH62))</f>
        <v>0</v>
      </c>
      <c r="LEK62" s="962">
        <f>MIN(LEK60*$C$62,'Sources and Uses Budget'!$J$99-SUM('15 Year Pro Forma'!$E$62:LEJ62))</f>
        <v>0</v>
      </c>
      <c r="LEM62" s="962">
        <f>MIN(LEM60*$C$62,'Sources and Uses Budget'!$J$99-SUM('15 Year Pro Forma'!$E$62:LEL62))</f>
        <v>0</v>
      </c>
      <c r="LEO62" s="962">
        <f>MIN(LEO60*$C$62,'Sources and Uses Budget'!$J$99-SUM('15 Year Pro Forma'!$E$62:LEN62))</f>
        <v>0</v>
      </c>
      <c r="LEQ62" s="962">
        <f>MIN(LEQ60*$C$62,'Sources and Uses Budget'!$J$99-SUM('15 Year Pro Forma'!$E$62:LEP62))</f>
        <v>0</v>
      </c>
      <c r="LES62" s="962">
        <f>MIN(LES60*$C$62,'Sources and Uses Budget'!$J$99-SUM('15 Year Pro Forma'!$E$62:LER62))</f>
        <v>0</v>
      </c>
      <c r="LEU62" s="962">
        <f>MIN(LEU60*$C$62,'Sources and Uses Budget'!$J$99-SUM('15 Year Pro Forma'!$E$62:LET62))</f>
        <v>0</v>
      </c>
      <c r="LEW62" s="962">
        <f>MIN(LEW60*$C$62,'Sources and Uses Budget'!$J$99-SUM('15 Year Pro Forma'!$E$62:LEV62))</f>
        <v>0</v>
      </c>
      <c r="LEY62" s="962">
        <f>MIN(LEY60*$C$62,'Sources and Uses Budget'!$J$99-SUM('15 Year Pro Forma'!$E$62:LEX62))</f>
        <v>0</v>
      </c>
      <c r="LFA62" s="962">
        <f>MIN(LFA60*$C$62,'Sources and Uses Budget'!$J$99-SUM('15 Year Pro Forma'!$E$62:LEZ62))</f>
        <v>0</v>
      </c>
      <c r="LFC62" s="962">
        <f>MIN(LFC60*$C$62,'Sources and Uses Budget'!$J$99-SUM('15 Year Pro Forma'!$E$62:LFB62))</f>
        <v>0</v>
      </c>
      <c r="LFE62" s="962">
        <f>MIN(LFE60*$C$62,'Sources and Uses Budget'!$J$99-SUM('15 Year Pro Forma'!$E$62:LFD62))</f>
        <v>0</v>
      </c>
      <c r="LFG62" s="962">
        <f>MIN(LFG60*$C$62,'Sources and Uses Budget'!$J$99-SUM('15 Year Pro Forma'!$E$62:LFF62))</f>
        <v>0</v>
      </c>
      <c r="LFI62" s="962">
        <f>MIN(LFI60*$C$62,'Sources and Uses Budget'!$J$99-SUM('15 Year Pro Forma'!$E$62:LFH62))</f>
        <v>0</v>
      </c>
      <c r="LFK62" s="962">
        <f>MIN(LFK60*$C$62,'Sources and Uses Budget'!$J$99-SUM('15 Year Pro Forma'!$E$62:LFJ62))</f>
        <v>0</v>
      </c>
      <c r="LFM62" s="962">
        <f>MIN(LFM60*$C$62,'Sources and Uses Budget'!$J$99-SUM('15 Year Pro Forma'!$E$62:LFL62))</f>
        <v>0</v>
      </c>
      <c r="LFO62" s="962">
        <f>MIN(LFO60*$C$62,'Sources and Uses Budget'!$J$99-SUM('15 Year Pro Forma'!$E$62:LFN62))</f>
        <v>0</v>
      </c>
      <c r="LFQ62" s="962">
        <f>MIN(LFQ60*$C$62,'Sources and Uses Budget'!$J$99-SUM('15 Year Pro Forma'!$E$62:LFP62))</f>
        <v>0</v>
      </c>
      <c r="LFS62" s="962">
        <f>MIN(LFS60*$C$62,'Sources and Uses Budget'!$J$99-SUM('15 Year Pro Forma'!$E$62:LFR62))</f>
        <v>0</v>
      </c>
      <c r="LFU62" s="962">
        <f>MIN(LFU60*$C$62,'Sources and Uses Budget'!$J$99-SUM('15 Year Pro Forma'!$E$62:LFT62))</f>
        <v>0</v>
      </c>
      <c r="LFW62" s="962">
        <f>MIN(LFW60*$C$62,'Sources and Uses Budget'!$J$99-SUM('15 Year Pro Forma'!$E$62:LFV62))</f>
        <v>0</v>
      </c>
      <c r="LFY62" s="962">
        <f>MIN(LFY60*$C$62,'Sources and Uses Budget'!$J$99-SUM('15 Year Pro Forma'!$E$62:LFX62))</f>
        <v>0</v>
      </c>
      <c r="LGA62" s="962">
        <f>MIN(LGA60*$C$62,'Sources and Uses Budget'!$J$99-SUM('15 Year Pro Forma'!$E$62:LFZ62))</f>
        <v>0</v>
      </c>
      <c r="LGC62" s="962">
        <f>MIN(LGC60*$C$62,'Sources and Uses Budget'!$J$99-SUM('15 Year Pro Forma'!$E$62:LGB62))</f>
        <v>0</v>
      </c>
      <c r="LGE62" s="962">
        <f>MIN(LGE60*$C$62,'Sources and Uses Budget'!$J$99-SUM('15 Year Pro Forma'!$E$62:LGD62))</f>
        <v>0</v>
      </c>
      <c r="LGG62" s="962">
        <f>MIN(LGG60*$C$62,'Sources and Uses Budget'!$J$99-SUM('15 Year Pro Forma'!$E$62:LGF62))</f>
        <v>0</v>
      </c>
      <c r="LGI62" s="962">
        <f>MIN(LGI60*$C$62,'Sources and Uses Budget'!$J$99-SUM('15 Year Pro Forma'!$E$62:LGH62))</f>
        <v>0</v>
      </c>
      <c r="LGK62" s="962">
        <f>MIN(LGK60*$C$62,'Sources and Uses Budget'!$J$99-SUM('15 Year Pro Forma'!$E$62:LGJ62))</f>
        <v>0</v>
      </c>
      <c r="LGM62" s="962">
        <f>MIN(LGM60*$C$62,'Sources and Uses Budget'!$J$99-SUM('15 Year Pro Forma'!$E$62:LGL62))</f>
        <v>0</v>
      </c>
      <c r="LGO62" s="962">
        <f>MIN(LGO60*$C$62,'Sources and Uses Budget'!$J$99-SUM('15 Year Pro Forma'!$E$62:LGN62))</f>
        <v>0</v>
      </c>
      <c r="LGQ62" s="962">
        <f>MIN(LGQ60*$C$62,'Sources and Uses Budget'!$J$99-SUM('15 Year Pro Forma'!$E$62:LGP62))</f>
        <v>0</v>
      </c>
      <c r="LGS62" s="962">
        <f>MIN(LGS60*$C$62,'Sources and Uses Budget'!$J$99-SUM('15 Year Pro Forma'!$E$62:LGR62))</f>
        <v>0</v>
      </c>
      <c r="LGU62" s="962">
        <f>MIN(LGU60*$C$62,'Sources and Uses Budget'!$J$99-SUM('15 Year Pro Forma'!$E$62:LGT62))</f>
        <v>0</v>
      </c>
      <c r="LGW62" s="962">
        <f>MIN(LGW60*$C$62,'Sources and Uses Budget'!$J$99-SUM('15 Year Pro Forma'!$E$62:LGV62))</f>
        <v>0</v>
      </c>
      <c r="LGY62" s="962">
        <f>MIN(LGY60*$C$62,'Sources and Uses Budget'!$J$99-SUM('15 Year Pro Forma'!$E$62:LGX62))</f>
        <v>0</v>
      </c>
      <c r="LHA62" s="962">
        <f>MIN(LHA60*$C$62,'Sources and Uses Budget'!$J$99-SUM('15 Year Pro Forma'!$E$62:LGZ62))</f>
        <v>0</v>
      </c>
      <c r="LHC62" s="962">
        <f>MIN(LHC60*$C$62,'Sources and Uses Budget'!$J$99-SUM('15 Year Pro Forma'!$E$62:LHB62))</f>
        <v>0</v>
      </c>
      <c r="LHE62" s="962">
        <f>MIN(LHE60*$C$62,'Sources and Uses Budget'!$J$99-SUM('15 Year Pro Forma'!$E$62:LHD62))</f>
        <v>0</v>
      </c>
      <c r="LHG62" s="962">
        <f>MIN(LHG60*$C$62,'Sources and Uses Budget'!$J$99-SUM('15 Year Pro Forma'!$E$62:LHF62))</f>
        <v>0</v>
      </c>
      <c r="LHI62" s="962">
        <f>MIN(LHI60*$C$62,'Sources and Uses Budget'!$J$99-SUM('15 Year Pro Forma'!$E$62:LHH62))</f>
        <v>0</v>
      </c>
      <c r="LHK62" s="962">
        <f>MIN(LHK60*$C$62,'Sources and Uses Budget'!$J$99-SUM('15 Year Pro Forma'!$E$62:LHJ62))</f>
        <v>0</v>
      </c>
      <c r="LHM62" s="962">
        <f>MIN(LHM60*$C$62,'Sources and Uses Budget'!$J$99-SUM('15 Year Pro Forma'!$E$62:LHL62))</f>
        <v>0</v>
      </c>
      <c r="LHO62" s="962">
        <f>MIN(LHO60*$C$62,'Sources and Uses Budget'!$J$99-SUM('15 Year Pro Forma'!$E$62:LHN62))</f>
        <v>0</v>
      </c>
      <c r="LHQ62" s="962">
        <f>MIN(LHQ60*$C$62,'Sources and Uses Budget'!$J$99-SUM('15 Year Pro Forma'!$E$62:LHP62))</f>
        <v>0</v>
      </c>
      <c r="LHS62" s="962">
        <f>MIN(LHS60*$C$62,'Sources and Uses Budget'!$J$99-SUM('15 Year Pro Forma'!$E$62:LHR62))</f>
        <v>0</v>
      </c>
      <c r="LHU62" s="962">
        <f>MIN(LHU60*$C$62,'Sources and Uses Budget'!$J$99-SUM('15 Year Pro Forma'!$E$62:LHT62))</f>
        <v>0</v>
      </c>
      <c r="LHW62" s="962">
        <f>MIN(LHW60*$C$62,'Sources and Uses Budget'!$J$99-SUM('15 Year Pro Forma'!$E$62:LHV62))</f>
        <v>0</v>
      </c>
      <c r="LHY62" s="962">
        <f>MIN(LHY60*$C$62,'Sources and Uses Budget'!$J$99-SUM('15 Year Pro Forma'!$E$62:LHX62))</f>
        <v>0</v>
      </c>
      <c r="LIA62" s="962">
        <f>MIN(LIA60*$C$62,'Sources and Uses Budget'!$J$99-SUM('15 Year Pro Forma'!$E$62:LHZ62))</f>
        <v>0</v>
      </c>
      <c r="LIC62" s="962">
        <f>MIN(LIC60*$C$62,'Sources and Uses Budget'!$J$99-SUM('15 Year Pro Forma'!$E$62:LIB62))</f>
        <v>0</v>
      </c>
      <c r="LIE62" s="962">
        <f>MIN(LIE60*$C$62,'Sources and Uses Budget'!$J$99-SUM('15 Year Pro Forma'!$E$62:LID62))</f>
        <v>0</v>
      </c>
      <c r="LIG62" s="962">
        <f>MIN(LIG60*$C$62,'Sources and Uses Budget'!$J$99-SUM('15 Year Pro Forma'!$E$62:LIF62))</f>
        <v>0</v>
      </c>
      <c r="LII62" s="962">
        <f>MIN(LII60*$C$62,'Sources and Uses Budget'!$J$99-SUM('15 Year Pro Forma'!$E$62:LIH62))</f>
        <v>0</v>
      </c>
      <c r="LIK62" s="962">
        <f>MIN(LIK60*$C$62,'Sources and Uses Budget'!$J$99-SUM('15 Year Pro Forma'!$E$62:LIJ62))</f>
        <v>0</v>
      </c>
      <c r="LIM62" s="962">
        <f>MIN(LIM60*$C$62,'Sources and Uses Budget'!$J$99-SUM('15 Year Pro Forma'!$E$62:LIL62))</f>
        <v>0</v>
      </c>
      <c r="LIO62" s="962">
        <f>MIN(LIO60*$C$62,'Sources and Uses Budget'!$J$99-SUM('15 Year Pro Forma'!$E$62:LIN62))</f>
        <v>0</v>
      </c>
      <c r="LIQ62" s="962">
        <f>MIN(LIQ60*$C$62,'Sources and Uses Budget'!$J$99-SUM('15 Year Pro Forma'!$E$62:LIP62))</f>
        <v>0</v>
      </c>
      <c r="LIS62" s="962">
        <f>MIN(LIS60*$C$62,'Sources and Uses Budget'!$J$99-SUM('15 Year Pro Forma'!$E$62:LIR62))</f>
        <v>0</v>
      </c>
      <c r="LIU62" s="962">
        <f>MIN(LIU60*$C$62,'Sources and Uses Budget'!$J$99-SUM('15 Year Pro Forma'!$E$62:LIT62))</f>
        <v>0</v>
      </c>
      <c r="LIW62" s="962">
        <f>MIN(LIW60*$C$62,'Sources and Uses Budget'!$J$99-SUM('15 Year Pro Forma'!$E$62:LIV62))</f>
        <v>0</v>
      </c>
      <c r="LIY62" s="962">
        <f>MIN(LIY60*$C$62,'Sources and Uses Budget'!$J$99-SUM('15 Year Pro Forma'!$E$62:LIX62))</f>
        <v>0</v>
      </c>
      <c r="LJA62" s="962">
        <f>MIN(LJA60*$C$62,'Sources and Uses Budget'!$J$99-SUM('15 Year Pro Forma'!$E$62:LIZ62))</f>
        <v>0</v>
      </c>
      <c r="LJC62" s="962">
        <f>MIN(LJC60*$C$62,'Sources and Uses Budget'!$J$99-SUM('15 Year Pro Forma'!$E$62:LJB62))</f>
        <v>0</v>
      </c>
      <c r="LJE62" s="962">
        <f>MIN(LJE60*$C$62,'Sources and Uses Budget'!$J$99-SUM('15 Year Pro Forma'!$E$62:LJD62))</f>
        <v>0</v>
      </c>
      <c r="LJG62" s="962">
        <f>MIN(LJG60*$C$62,'Sources and Uses Budget'!$J$99-SUM('15 Year Pro Forma'!$E$62:LJF62))</f>
        <v>0</v>
      </c>
      <c r="LJI62" s="962">
        <f>MIN(LJI60*$C$62,'Sources and Uses Budget'!$J$99-SUM('15 Year Pro Forma'!$E$62:LJH62))</f>
        <v>0</v>
      </c>
      <c r="LJK62" s="962">
        <f>MIN(LJK60*$C$62,'Sources and Uses Budget'!$J$99-SUM('15 Year Pro Forma'!$E$62:LJJ62))</f>
        <v>0</v>
      </c>
      <c r="LJM62" s="962">
        <f>MIN(LJM60*$C$62,'Sources and Uses Budget'!$J$99-SUM('15 Year Pro Forma'!$E$62:LJL62))</f>
        <v>0</v>
      </c>
      <c r="LJO62" s="962">
        <f>MIN(LJO60*$C$62,'Sources and Uses Budget'!$J$99-SUM('15 Year Pro Forma'!$E$62:LJN62))</f>
        <v>0</v>
      </c>
      <c r="LJQ62" s="962">
        <f>MIN(LJQ60*$C$62,'Sources and Uses Budget'!$J$99-SUM('15 Year Pro Forma'!$E$62:LJP62))</f>
        <v>0</v>
      </c>
      <c r="LJS62" s="962">
        <f>MIN(LJS60*$C$62,'Sources and Uses Budget'!$J$99-SUM('15 Year Pro Forma'!$E$62:LJR62))</f>
        <v>0</v>
      </c>
      <c r="LJU62" s="962">
        <f>MIN(LJU60*$C$62,'Sources and Uses Budget'!$J$99-SUM('15 Year Pro Forma'!$E$62:LJT62))</f>
        <v>0</v>
      </c>
      <c r="LJW62" s="962">
        <f>MIN(LJW60*$C$62,'Sources and Uses Budget'!$J$99-SUM('15 Year Pro Forma'!$E$62:LJV62))</f>
        <v>0</v>
      </c>
      <c r="LJY62" s="962">
        <f>MIN(LJY60*$C$62,'Sources and Uses Budget'!$J$99-SUM('15 Year Pro Forma'!$E$62:LJX62))</f>
        <v>0</v>
      </c>
      <c r="LKA62" s="962">
        <f>MIN(LKA60*$C$62,'Sources and Uses Budget'!$J$99-SUM('15 Year Pro Forma'!$E$62:LJZ62))</f>
        <v>0</v>
      </c>
      <c r="LKC62" s="962">
        <f>MIN(LKC60*$C$62,'Sources and Uses Budget'!$J$99-SUM('15 Year Pro Forma'!$E$62:LKB62))</f>
        <v>0</v>
      </c>
      <c r="LKE62" s="962">
        <f>MIN(LKE60*$C$62,'Sources and Uses Budget'!$J$99-SUM('15 Year Pro Forma'!$E$62:LKD62))</f>
        <v>0</v>
      </c>
      <c r="LKG62" s="962">
        <f>MIN(LKG60*$C$62,'Sources and Uses Budget'!$J$99-SUM('15 Year Pro Forma'!$E$62:LKF62))</f>
        <v>0</v>
      </c>
      <c r="LKI62" s="962">
        <f>MIN(LKI60*$C$62,'Sources and Uses Budget'!$J$99-SUM('15 Year Pro Forma'!$E$62:LKH62))</f>
        <v>0</v>
      </c>
      <c r="LKK62" s="962">
        <f>MIN(LKK60*$C$62,'Sources and Uses Budget'!$J$99-SUM('15 Year Pro Forma'!$E$62:LKJ62))</f>
        <v>0</v>
      </c>
      <c r="LKM62" s="962">
        <f>MIN(LKM60*$C$62,'Sources and Uses Budget'!$J$99-SUM('15 Year Pro Forma'!$E$62:LKL62))</f>
        <v>0</v>
      </c>
      <c r="LKO62" s="962">
        <f>MIN(LKO60*$C$62,'Sources and Uses Budget'!$J$99-SUM('15 Year Pro Forma'!$E$62:LKN62))</f>
        <v>0</v>
      </c>
      <c r="LKQ62" s="962">
        <f>MIN(LKQ60*$C$62,'Sources and Uses Budget'!$J$99-SUM('15 Year Pro Forma'!$E$62:LKP62))</f>
        <v>0</v>
      </c>
      <c r="LKS62" s="962">
        <f>MIN(LKS60*$C$62,'Sources and Uses Budget'!$J$99-SUM('15 Year Pro Forma'!$E$62:LKR62))</f>
        <v>0</v>
      </c>
      <c r="LKU62" s="962">
        <f>MIN(LKU60*$C$62,'Sources and Uses Budget'!$J$99-SUM('15 Year Pro Forma'!$E$62:LKT62))</f>
        <v>0</v>
      </c>
      <c r="LKW62" s="962">
        <f>MIN(LKW60*$C$62,'Sources and Uses Budget'!$J$99-SUM('15 Year Pro Forma'!$E$62:LKV62))</f>
        <v>0</v>
      </c>
      <c r="LKY62" s="962">
        <f>MIN(LKY60*$C$62,'Sources and Uses Budget'!$J$99-SUM('15 Year Pro Forma'!$E$62:LKX62))</f>
        <v>0</v>
      </c>
      <c r="LLA62" s="962">
        <f>MIN(LLA60*$C$62,'Sources and Uses Budget'!$J$99-SUM('15 Year Pro Forma'!$E$62:LKZ62))</f>
        <v>0</v>
      </c>
      <c r="LLC62" s="962">
        <f>MIN(LLC60*$C$62,'Sources and Uses Budget'!$J$99-SUM('15 Year Pro Forma'!$E$62:LLB62))</f>
        <v>0</v>
      </c>
      <c r="LLE62" s="962">
        <f>MIN(LLE60*$C$62,'Sources and Uses Budget'!$J$99-SUM('15 Year Pro Forma'!$E$62:LLD62))</f>
        <v>0</v>
      </c>
      <c r="LLG62" s="962">
        <f>MIN(LLG60*$C$62,'Sources and Uses Budget'!$J$99-SUM('15 Year Pro Forma'!$E$62:LLF62))</f>
        <v>0</v>
      </c>
      <c r="LLI62" s="962">
        <f>MIN(LLI60*$C$62,'Sources and Uses Budget'!$J$99-SUM('15 Year Pro Forma'!$E$62:LLH62))</f>
        <v>0</v>
      </c>
      <c r="LLK62" s="962">
        <f>MIN(LLK60*$C$62,'Sources and Uses Budget'!$J$99-SUM('15 Year Pro Forma'!$E$62:LLJ62))</f>
        <v>0</v>
      </c>
      <c r="LLM62" s="962">
        <f>MIN(LLM60*$C$62,'Sources and Uses Budget'!$J$99-SUM('15 Year Pro Forma'!$E$62:LLL62))</f>
        <v>0</v>
      </c>
      <c r="LLO62" s="962">
        <f>MIN(LLO60*$C$62,'Sources and Uses Budget'!$J$99-SUM('15 Year Pro Forma'!$E$62:LLN62))</f>
        <v>0</v>
      </c>
      <c r="LLQ62" s="962">
        <f>MIN(LLQ60*$C$62,'Sources and Uses Budget'!$J$99-SUM('15 Year Pro Forma'!$E$62:LLP62))</f>
        <v>0</v>
      </c>
      <c r="LLS62" s="962">
        <f>MIN(LLS60*$C$62,'Sources and Uses Budget'!$J$99-SUM('15 Year Pro Forma'!$E$62:LLR62))</f>
        <v>0</v>
      </c>
      <c r="LLU62" s="962">
        <f>MIN(LLU60*$C$62,'Sources and Uses Budget'!$J$99-SUM('15 Year Pro Forma'!$E$62:LLT62))</f>
        <v>0</v>
      </c>
      <c r="LLW62" s="962">
        <f>MIN(LLW60*$C$62,'Sources and Uses Budget'!$J$99-SUM('15 Year Pro Forma'!$E$62:LLV62))</f>
        <v>0</v>
      </c>
      <c r="LLY62" s="962">
        <f>MIN(LLY60*$C$62,'Sources and Uses Budget'!$J$99-SUM('15 Year Pro Forma'!$E$62:LLX62))</f>
        <v>0</v>
      </c>
      <c r="LMA62" s="962">
        <f>MIN(LMA60*$C$62,'Sources and Uses Budget'!$J$99-SUM('15 Year Pro Forma'!$E$62:LLZ62))</f>
        <v>0</v>
      </c>
      <c r="LMC62" s="962">
        <f>MIN(LMC60*$C$62,'Sources and Uses Budget'!$J$99-SUM('15 Year Pro Forma'!$E$62:LMB62))</f>
        <v>0</v>
      </c>
      <c r="LME62" s="962">
        <f>MIN(LME60*$C$62,'Sources and Uses Budget'!$J$99-SUM('15 Year Pro Forma'!$E$62:LMD62))</f>
        <v>0</v>
      </c>
      <c r="LMG62" s="962">
        <f>MIN(LMG60*$C$62,'Sources and Uses Budget'!$J$99-SUM('15 Year Pro Forma'!$E$62:LMF62))</f>
        <v>0</v>
      </c>
      <c r="LMI62" s="962">
        <f>MIN(LMI60*$C$62,'Sources and Uses Budget'!$J$99-SUM('15 Year Pro Forma'!$E$62:LMH62))</f>
        <v>0</v>
      </c>
      <c r="LMK62" s="962">
        <f>MIN(LMK60*$C$62,'Sources and Uses Budget'!$J$99-SUM('15 Year Pro Forma'!$E$62:LMJ62))</f>
        <v>0</v>
      </c>
      <c r="LMM62" s="962">
        <f>MIN(LMM60*$C$62,'Sources and Uses Budget'!$J$99-SUM('15 Year Pro Forma'!$E$62:LML62))</f>
        <v>0</v>
      </c>
      <c r="LMO62" s="962">
        <f>MIN(LMO60*$C$62,'Sources and Uses Budget'!$J$99-SUM('15 Year Pro Forma'!$E$62:LMN62))</f>
        <v>0</v>
      </c>
      <c r="LMQ62" s="962">
        <f>MIN(LMQ60*$C$62,'Sources and Uses Budget'!$J$99-SUM('15 Year Pro Forma'!$E$62:LMP62))</f>
        <v>0</v>
      </c>
      <c r="LMS62" s="962">
        <f>MIN(LMS60*$C$62,'Sources and Uses Budget'!$J$99-SUM('15 Year Pro Forma'!$E$62:LMR62))</f>
        <v>0</v>
      </c>
      <c r="LMU62" s="962">
        <f>MIN(LMU60*$C$62,'Sources and Uses Budget'!$J$99-SUM('15 Year Pro Forma'!$E$62:LMT62))</f>
        <v>0</v>
      </c>
      <c r="LMW62" s="962">
        <f>MIN(LMW60*$C$62,'Sources and Uses Budget'!$J$99-SUM('15 Year Pro Forma'!$E$62:LMV62))</f>
        <v>0</v>
      </c>
      <c r="LMY62" s="962">
        <f>MIN(LMY60*$C$62,'Sources and Uses Budget'!$J$99-SUM('15 Year Pro Forma'!$E$62:LMX62))</f>
        <v>0</v>
      </c>
      <c r="LNA62" s="962">
        <f>MIN(LNA60*$C$62,'Sources and Uses Budget'!$J$99-SUM('15 Year Pro Forma'!$E$62:LMZ62))</f>
        <v>0</v>
      </c>
      <c r="LNC62" s="962">
        <f>MIN(LNC60*$C$62,'Sources and Uses Budget'!$J$99-SUM('15 Year Pro Forma'!$E$62:LNB62))</f>
        <v>0</v>
      </c>
      <c r="LNE62" s="962">
        <f>MIN(LNE60*$C$62,'Sources and Uses Budget'!$J$99-SUM('15 Year Pro Forma'!$E$62:LND62))</f>
        <v>0</v>
      </c>
      <c r="LNG62" s="962">
        <f>MIN(LNG60*$C$62,'Sources and Uses Budget'!$J$99-SUM('15 Year Pro Forma'!$E$62:LNF62))</f>
        <v>0</v>
      </c>
      <c r="LNI62" s="962">
        <f>MIN(LNI60*$C$62,'Sources and Uses Budget'!$J$99-SUM('15 Year Pro Forma'!$E$62:LNH62))</f>
        <v>0</v>
      </c>
      <c r="LNK62" s="962">
        <f>MIN(LNK60*$C$62,'Sources and Uses Budget'!$J$99-SUM('15 Year Pro Forma'!$E$62:LNJ62))</f>
        <v>0</v>
      </c>
      <c r="LNM62" s="962">
        <f>MIN(LNM60*$C$62,'Sources and Uses Budget'!$J$99-SUM('15 Year Pro Forma'!$E$62:LNL62))</f>
        <v>0</v>
      </c>
      <c r="LNO62" s="962">
        <f>MIN(LNO60*$C$62,'Sources and Uses Budget'!$J$99-SUM('15 Year Pro Forma'!$E$62:LNN62))</f>
        <v>0</v>
      </c>
      <c r="LNQ62" s="962">
        <f>MIN(LNQ60*$C$62,'Sources and Uses Budget'!$J$99-SUM('15 Year Pro Forma'!$E$62:LNP62))</f>
        <v>0</v>
      </c>
      <c r="LNS62" s="962">
        <f>MIN(LNS60*$C$62,'Sources and Uses Budget'!$J$99-SUM('15 Year Pro Forma'!$E$62:LNR62))</f>
        <v>0</v>
      </c>
      <c r="LNU62" s="962">
        <f>MIN(LNU60*$C$62,'Sources and Uses Budget'!$J$99-SUM('15 Year Pro Forma'!$E$62:LNT62))</f>
        <v>0</v>
      </c>
      <c r="LNW62" s="962">
        <f>MIN(LNW60*$C$62,'Sources and Uses Budget'!$J$99-SUM('15 Year Pro Forma'!$E$62:LNV62))</f>
        <v>0</v>
      </c>
      <c r="LNY62" s="962">
        <f>MIN(LNY60*$C$62,'Sources and Uses Budget'!$J$99-SUM('15 Year Pro Forma'!$E$62:LNX62))</f>
        <v>0</v>
      </c>
      <c r="LOA62" s="962">
        <f>MIN(LOA60*$C$62,'Sources and Uses Budget'!$J$99-SUM('15 Year Pro Forma'!$E$62:LNZ62))</f>
        <v>0</v>
      </c>
      <c r="LOC62" s="962">
        <f>MIN(LOC60*$C$62,'Sources and Uses Budget'!$J$99-SUM('15 Year Pro Forma'!$E$62:LOB62))</f>
        <v>0</v>
      </c>
      <c r="LOE62" s="962">
        <f>MIN(LOE60*$C$62,'Sources and Uses Budget'!$J$99-SUM('15 Year Pro Forma'!$E$62:LOD62))</f>
        <v>0</v>
      </c>
      <c r="LOG62" s="962">
        <f>MIN(LOG60*$C$62,'Sources and Uses Budget'!$J$99-SUM('15 Year Pro Forma'!$E$62:LOF62))</f>
        <v>0</v>
      </c>
      <c r="LOI62" s="962">
        <f>MIN(LOI60*$C$62,'Sources and Uses Budget'!$J$99-SUM('15 Year Pro Forma'!$E$62:LOH62))</f>
        <v>0</v>
      </c>
      <c r="LOK62" s="962">
        <f>MIN(LOK60*$C$62,'Sources and Uses Budget'!$J$99-SUM('15 Year Pro Forma'!$E$62:LOJ62))</f>
        <v>0</v>
      </c>
      <c r="LOM62" s="962">
        <f>MIN(LOM60*$C$62,'Sources and Uses Budget'!$J$99-SUM('15 Year Pro Forma'!$E$62:LOL62))</f>
        <v>0</v>
      </c>
      <c r="LOO62" s="962">
        <f>MIN(LOO60*$C$62,'Sources and Uses Budget'!$J$99-SUM('15 Year Pro Forma'!$E$62:LON62))</f>
        <v>0</v>
      </c>
      <c r="LOQ62" s="962">
        <f>MIN(LOQ60*$C$62,'Sources and Uses Budget'!$J$99-SUM('15 Year Pro Forma'!$E$62:LOP62))</f>
        <v>0</v>
      </c>
      <c r="LOS62" s="962">
        <f>MIN(LOS60*$C$62,'Sources and Uses Budget'!$J$99-SUM('15 Year Pro Forma'!$E$62:LOR62))</f>
        <v>0</v>
      </c>
      <c r="LOU62" s="962">
        <f>MIN(LOU60*$C$62,'Sources and Uses Budget'!$J$99-SUM('15 Year Pro Forma'!$E$62:LOT62))</f>
        <v>0</v>
      </c>
      <c r="LOW62" s="962">
        <f>MIN(LOW60*$C$62,'Sources and Uses Budget'!$J$99-SUM('15 Year Pro Forma'!$E$62:LOV62))</f>
        <v>0</v>
      </c>
      <c r="LOY62" s="962">
        <f>MIN(LOY60*$C$62,'Sources and Uses Budget'!$J$99-SUM('15 Year Pro Forma'!$E$62:LOX62))</f>
        <v>0</v>
      </c>
      <c r="LPA62" s="962">
        <f>MIN(LPA60*$C$62,'Sources and Uses Budget'!$J$99-SUM('15 Year Pro Forma'!$E$62:LOZ62))</f>
        <v>0</v>
      </c>
      <c r="LPC62" s="962">
        <f>MIN(LPC60*$C$62,'Sources and Uses Budget'!$J$99-SUM('15 Year Pro Forma'!$E$62:LPB62))</f>
        <v>0</v>
      </c>
      <c r="LPE62" s="962">
        <f>MIN(LPE60*$C$62,'Sources and Uses Budget'!$J$99-SUM('15 Year Pro Forma'!$E$62:LPD62))</f>
        <v>0</v>
      </c>
      <c r="LPG62" s="962">
        <f>MIN(LPG60*$C$62,'Sources and Uses Budget'!$J$99-SUM('15 Year Pro Forma'!$E$62:LPF62))</f>
        <v>0</v>
      </c>
      <c r="LPI62" s="962">
        <f>MIN(LPI60*$C$62,'Sources and Uses Budget'!$J$99-SUM('15 Year Pro Forma'!$E$62:LPH62))</f>
        <v>0</v>
      </c>
      <c r="LPK62" s="962">
        <f>MIN(LPK60*$C$62,'Sources and Uses Budget'!$J$99-SUM('15 Year Pro Forma'!$E$62:LPJ62))</f>
        <v>0</v>
      </c>
      <c r="LPM62" s="962">
        <f>MIN(LPM60*$C$62,'Sources and Uses Budget'!$J$99-SUM('15 Year Pro Forma'!$E$62:LPL62))</f>
        <v>0</v>
      </c>
      <c r="LPO62" s="962">
        <f>MIN(LPO60*$C$62,'Sources and Uses Budget'!$J$99-SUM('15 Year Pro Forma'!$E$62:LPN62))</f>
        <v>0</v>
      </c>
      <c r="LPQ62" s="962">
        <f>MIN(LPQ60*$C$62,'Sources and Uses Budget'!$J$99-SUM('15 Year Pro Forma'!$E$62:LPP62))</f>
        <v>0</v>
      </c>
      <c r="LPS62" s="962">
        <f>MIN(LPS60*$C$62,'Sources and Uses Budget'!$J$99-SUM('15 Year Pro Forma'!$E$62:LPR62))</f>
        <v>0</v>
      </c>
      <c r="LPU62" s="962">
        <f>MIN(LPU60*$C$62,'Sources and Uses Budget'!$J$99-SUM('15 Year Pro Forma'!$E$62:LPT62))</f>
        <v>0</v>
      </c>
      <c r="LPW62" s="962">
        <f>MIN(LPW60*$C$62,'Sources and Uses Budget'!$J$99-SUM('15 Year Pro Forma'!$E$62:LPV62))</f>
        <v>0</v>
      </c>
      <c r="LPY62" s="962">
        <f>MIN(LPY60*$C$62,'Sources and Uses Budget'!$J$99-SUM('15 Year Pro Forma'!$E$62:LPX62))</f>
        <v>0</v>
      </c>
      <c r="LQA62" s="962">
        <f>MIN(LQA60*$C$62,'Sources and Uses Budget'!$J$99-SUM('15 Year Pro Forma'!$E$62:LPZ62))</f>
        <v>0</v>
      </c>
      <c r="LQC62" s="962">
        <f>MIN(LQC60*$C$62,'Sources and Uses Budget'!$J$99-SUM('15 Year Pro Forma'!$E$62:LQB62))</f>
        <v>0</v>
      </c>
      <c r="LQE62" s="962">
        <f>MIN(LQE60*$C$62,'Sources and Uses Budget'!$J$99-SUM('15 Year Pro Forma'!$E$62:LQD62))</f>
        <v>0</v>
      </c>
      <c r="LQG62" s="962">
        <f>MIN(LQG60*$C$62,'Sources and Uses Budget'!$J$99-SUM('15 Year Pro Forma'!$E$62:LQF62))</f>
        <v>0</v>
      </c>
      <c r="LQI62" s="962">
        <f>MIN(LQI60*$C$62,'Sources and Uses Budget'!$J$99-SUM('15 Year Pro Forma'!$E$62:LQH62))</f>
        <v>0</v>
      </c>
      <c r="LQK62" s="962">
        <f>MIN(LQK60*$C$62,'Sources and Uses Budget'!$J$99-SUM('15 Year Pro Forma'!$E$62:LQJ62))</f>
        <v>0</v>
      </c>
      <c r="LQM62" s="962">
        <f>MIN(LQM60*$C$62,'Sources and Uses Budget'!$J$99-SUM('15 Year Pro Forma'!$E$62:LQL62))</f>
        <v>0</v>
      </c>
      <c r="LQO62" s="962">
        <f>MIN(LQO60*$C$62,'Sources and Uses Budget'!$J$99-SUM('15 Year Pro Forma'!$E$62:LQN62))</f>
        <v>0</v>
      </c>
      <c r="LQQ62" s="962">
        <f>MIN(LQQ60*$C$62,'Sources and Uses Budget'!$J$99-SUM('15 Year Pro Forma'!$E$62:LQP62))</f>
        <v>0</v>
      </c>
      <c r="LQS62" s="962">
        <f>MIN(LQS60*$C$62,'Sources and Uses Budget'!$J$99-SUM('15 Year Pro Forma'!$E$62:LQR62))</f>
        <v>0</v>
      </c>
      <c r="LQU62" s="962">
        <f>MIN(LQU60*$C$62,'Sources and Uses Budget'!$J$99-SUM('15 Year Pro Forma'!$E$62:LQT62))</f>
        <v>0</v>
      </c>
      <c r="LQW62" s="962">
        <f>MIN(LQW60*$C$62,'Sources and Uses Budget'!$J$99-SUM('15 Year Pro Forma'!$E$62:LQV62))</f>
        <v>0</v>
      </c>
      <c r="LQY62" s="962">
        <f>MIN(LQY60*$C$62,'Sources and Uses Budget'!$J$99-SUM('15 Year Pro Forma'!$E$62:LQX62))</f>
        <v>0</v>
      </c>
      <c r="LRA62" s="962">
        <f>MIN(LRA60*$C$62,'Sources and Uses Budget'!$J$99-SUM('15 Year Pro Forma'!$E$62:LQZ62))</f>
        <v>0</v>
      </c>
      <c r="LRC62" s="962">
        <f>MIN(LRC60*$C$62,'Sources and Uses Budget'!$J$99-SUM('15 Year Pro Forma'!$E$62:LRB62))</f>
        <v>0</v>
      </c>
      <c r="LRE62" s="962">
        <f>MIN(LRE60*$C$62,'Sources and Uses Budget'!$J$99-SUM('15 Year Pro Forma'!$E$62:LRD62))</f>
        <v>0</v>
      </c>
      <c r="LRG62" s="962">
        <f>MIN(LRG60*$C$62,'Sources and Uses Budget'!$J$99-SUM('15 Year Pro Forma'!$E$62:LRF62))</f>
        <v>0</v>
      </c>
      <c r="LRI62" s="962">
        <f>MIN(LRI60*$C$62,'Sources and Uses Budget'!$J$99-SUM('15 Year Pro Forma'!$E$62:LRH62))</f>
        <v>0</v>
      </c>
      <c r="LRK62" s="962">
        <f>MIN(LRK60*$C$62,'Sources and Uses Budget'!$J$99-SUM('15 Year Pro Forma'!$E$62:LRJ62))</f>
        <v>0</v>
      </c>
      <c r="LRM62" s="962">
        <f>MIN(LRM60*$C$62,'Sources and Uses Budget'!$J$99-SUM('15 Year Pro Forma'!$E$62:LRL62))</f>
        <v>0</v>
      </c>
      <c r="LRO62" s="962">
        <f>MIN(LRO60*$C$62,'Sources and Uses Budget'!$J$99-SUM('15 Year Pro Forma'!$E$62:LRN62))</f>
        <v>0</v>
      </c>
      <c r="LRQ62" s="962">
        <f>MIN(LRQ60*$C$62,'Sources and Uses Budget'!$J$99-SUM('15 Year Pro Forma'!$E$62:LRP62))</f>
        <v>0</v>
      </c>
      <c r="LRS62" s="962">
        <f>MIN(LRS60*$C$62,'Sources and Uses Budget'!$J$99-SUM('15 Year Pro Forma'!$E$62:LRR62))</f>
        <v>0</v>
      </c>
      <c r="LRU62" s="962">
        <f>MIN(LRU60*$C$62,'Sources and Uses Budget'!$J$99-SUM('15 Year Pro Forma'!$E$62:LRT62))</f>
        <v>0</v>
      </c>
      <c r="LRW62" s="962">
        <f>MIN(LRW60*$C$62,'Sources and Uses Budget'!$J$99-SUM('15 Year Pro Forma'!$E$62:LRV62))</f>
        <v>0</v>
      </c>
      <c r="LRY62" s="962">
        <f>MIN(LRY60*$C$62,'Sources and Uses Budget'!$J$99-SUM('15 Year Pro Forma'!$E$62:LRX62))</f>
        <v>0</v>
      </c>
      <c r="LSA62" s="962">
        <f>MIN(LSA60*$C$62,'Sources and Uses Budget'!$J$99-SUM('15 Year Pro Forma'!$E$62:LRZ62))</f>
        <v>0</v>
      </c>
      <c r="LSC62" s="962">
        <f>MIN(LSC60*$C$62,'Sources and Uses Budget'!$J$99-SUM('15 Year Pro Forma'!$E$62:LSB62))</f>
        <v>0</v>
      </c>
      <c r="LSE62" s="962">
        <f>MIN(LSE60*$C$62,'Sources and Uses Budget'!$J$99-SUM('15 Year Pro Forma'!$E$62:LSD62))</f>
        <v>0</v>
      </c>
      <c r="LSG62" s="962">
        <f>MIN(LSG60*$C$62,'Sources and Uses Budget'!$J$99-SUM('15 Year Pro Forma'!$E$62:LSF62))</f>
        <v>0</v>
      </c>
      <c r="LSI62" s="962">
        <f>MIN(LSI60*$C$62,'Sources and Uses Budget'!$J$99-SUM('15 Year Pro Forma'!$E$62:LSH62))</f>
        <v>0</v>
      </c>
      <c r="LSK62" s="962">
        <f>MIN(LSK60*$C$62,'Sources and Uses Budget'!$J$99-SUM('15 Year Pro Forma'!$E$62:LSJ62))</f>
        <v>0</v>
      </c>
      <c r="LSM62" s="962">
        <f>MIN(LSM60*$C$62,'Sources and Uses Budget'!$J$99-SUM('15 Year Pro Forma'!$E$62:LSL62))</f>
        <v>0</v>
      </c>
      <c r="LSO62" s="962">
        <f>MIN(LSO60*$C$62,'Sources and Uses Budget'!$J$99-SUM('15 Year Pro Forma'!$E$62:LSN62))</f>
        <v>0</v>
      </c>
      <c r="LSQ62" s="962">
        <f>MIN(LSQ60*$C$62,'Sources and Uses Budget'!$J$99-SUM('15 Year Pro Forma'!$E$62:LSP62))</f>
        <v>0</v>
      </c>
      <c r="LSS62" s="962">
        <f>MIN(LSS60*$C$62,'Sources and Uses Budget'!$J$99-SUM('15 Year Pro Forma'!$E$62:LSR62))</f>
        <v>0</v>
      </c>
      <c r="LSU62" s="962">
        <f>MIN(LSU60*$C$62,'Sources and Uses Budget'!$J$99-SUM('15 Year Pro Forma'!$E$62:LST62))</f>
        <v>0</v>
      </c>
      <c r="LSW62" s="962">
        <f>MIN(LSW60*$C$62,'Sources and Uses Budget'!$J$99-SUM('15 Year Pro Forma'!$E$62:LSV62))</f>
        <v>0</v>
      </c>
      <c r="LSY62" s="962">
        <f>MIN(LSY60*$C$62,'Sources and Uses Budget'!$J$99-SUM('15 Year Pro Forma'!$E$62:LSX62))</f>
        <v>0</v>
      </c>
      <c r="LTA62" s="962">
        <f>MIN(LTA60*$C$62,'Sources and Uses Budget'!$J$99-SUM('15 Year Pro Forma'!$E$62:LSZ62))</f>
        <v>0</v>
      </c>
      <c r="LTC62" s="962">
        <f>MIN(LTC60*$C$62,'Sources and Uses Budget'!$J$99-SUM('15 Year Pro Forma'!$E$62:LTB62))</f>
        <v>0</v>
      </c>
      <c r="LTE62" s="962">
        <f>MIN(LTE60*$C$62,'Sources and Uses Budget'!$J$99-SUM('15 Year Pro Forma'!$E$62:LTD62))</f>
        <v>0</v>
      </c>
      <c r="LTG62" s="962">
        <f>MIN(LTG60*$C$62,'Sources and Uses Budget'!$J$99-SUM('15 Year Pro Forma'!$E$62:LTF62))</f>
        <v>0</v>
      </c>
      <c r="LTI62" s="962">
        <f>MIN(LTI60*$C$62,'Sources and Uses Budget'!$J$99-SUM('15 Year Pro Forma'!$E$62:LTH62))</f>
        <v>0</v>
      </c>
      <c r="LTK62" s="962">
        <f>MIN(LTK60*$C$62,'Sources and Uses Budget'!$J$99-SUM('15 Year Pro Forma'!$E$62:LTJ62))</f>
        <v>0</v>
      </c>
      <c r="LTM62" s="962">
        <f>MIN(LTM60*$C$62,'Sources and Uses Budget'!$J$99-SUM('15 Year Pro Forma'!$E$62:LTL62))</f>
        <v>0</v>
      </c>
      <c r="LTO62" s="962">
        <f>MIN(LTO60*$C$62,'Sources and Uses Budget'!$J$99-SUM('15 Year Pro Forma'!$E$62:LTN62))</f>
        <v>0</v>
      </c>
      <c r="LTQ62" s="962">
        <f>MIN(LTQ60*$C$62,'Sources and Uses Budget'!$J$99-SUM('15 Year Pro Forma'!$E$62:LTP62))</f>
        <v>0</v>
      </c>
      <c r="LTS62" s="962">
        <f>MIN(LTS60*$C$62,'Sources and Uses Budget'!$J$99-SUM('15 Year Pro Forma'!$E$62:LTR62))</f>
        <v>0</v>
      </c>
      <c r="LTU62" s="962">
        <f>MIN(LTU60*$C$62,'Sources and Uses Budget'!$J$99-SUM('15 Year Pro Forma'!$E$62:LTT62))</f>
        <v>0</v>
      </c>
      <c r="LTW62" s="962">
        <f>MIN(LTW60*$C$62,'Sources and Uses Budget'!$J$99-SUM('15 Year Pro Forma'!$E$62:LTV62))</f>
        <v>0</v>
      </c>
      <c r="LTY62" s="962">
        <f>MIN(LTY60*$C$62,'Sources and Uses Budget'!$J$99-SUM('15 Year Pro Forma'!$E$62:LTX62))</f>
        <v>0</v>
      </c>
      <c r="LUA62" s="962">
        <f>MIN(LUA60*$C$62,'Sources and Uses Budget'!$J$99-SUM('15 Year Pro Forma'!$E$62:LTZ62))</f>
        <v>0</v>
      </c>
      <c r="LUC62" s="962">
        <f>MIN(LUC60*$C$62,'Sources and Uses Budget'!$J$99-SUM('15 Year Pro Forma'!$E$62:LUB62))</f>
        <v>0</v>
      </c>
      <c r="LUE62" s="962">
        <f>MIN(LUE60*$C$62,'Sources and Uses Budget'!$J$99-SUM('15 Year Pro Forma'!$E$62:LUD62))</f>
        <v>0</v>
      </c>
      <c r="LUG62" s="962">
        <f>MIN(LUG60*$C$62,'Sources and Uses Budget'!$J$99-SUM('15 Year Pro Forma'!$E$62:LUF62))</f>
        <v>0</v>
      </c>
      <c r="LUI62" s="962">
        <f>MIN(LUI60*$C$62,'Sources and Uses Budget'!$J$99-SUM('15 Year Pro Forma'!$E$62:LUH62))</f>
        <v>0</v>
      </c>
      <c r="LUK62" s="962">
        <f>MIN(LUK60*$C$62,'Sources and Uses Budget'!$J$99-SUM('15 Year Pro Forma'!$E$62:LUJ62))</f>
        <v>0</v>
      </c>
      <c r="LUM62" s="962">
        <f>MIN(LUM60*$C$62,'Sources and Uses Budget'!$J$99-SUM('15 Year Pro Forma'!$E$62:LUL62))</f>
        <v>0</v>
      </c>
      <c r="LUO62" s="962">
        <f>MIN(LUO60*$C$62,'Sources and Uses Budget'!$J$99-SUM('15 Year Pro Forma'!$E$62:LUN62))</f>
        <v>0</v>
      </c>
      <c r="LUQ62" s="962">
        <f>MIN(LUQ60*$C$62,'Sources and Uses Budget'!$J$99-SUM('15 Year Pro Forma'!$E$62:LUP62))</f>
        <v>0</v>
      </c>
      <c r="LUS62" s="962">
        <f>MIN(LUS60*$C$62,'Sources and Uses Budget'!$J$99-SUM('15 Year Pro Forma'!$E$62:LUR62))</f>
        <v>0</v>
      </c>
      <c r="LUU62" s="962">
        <f>MIN(LUU60*$C$62,'Sources and Uses Budget'!$J$99-SUM('15 Year Pro Forma'!$E$62:LUT62))</f>
        <v>0</v>
      </c>
      <c r="LUW62" s="962">
        <f>MIN(LUW60*$C$62,'Sources and Uses Budget'!$J$99-SUM('15 Year Pro Forma'!$E$62:LUV62))</f>
        <v>0</v>
      </c>
      <c r="LUY62" s="962">
        <f>MIN(LUY60*$C$62,'Sources and Uses Budget'!$J$99-SUM('15 Year Pro Forma'!$E$62:LUX62))</f>
        <v>0</v>
      </c>
      <c r="LVA62" s="962">
        <f>MIN(LVA60*$C$62,'Sources and Uses Budget'!$J$99-SUM('15 Year Pro Forma'!$E$62:LUZ62))</f>
        <v>0</v>
      </c>
      <c r="LVC62" s="962">
        <f>MIN(LVC60*$C$62,'Sources and Uses Budget'!$J$99-SUM('15 Year Pro Forma'!$E$62:LVB62))</f>
        <v>0</v>
      </c>
      <c r="LVE62" s="962">
        <f>MIN(LVE60*$C$62,'Sources and Uses Budget'!$J$99-SUM('15 Year Pro Forma'!$E$62:LVD62))</f>
        <v>0</v>
      </c>
      <c r="LVG62" s="962">
        <f>MIN(LVG60*$C$62,'Sources and Uses Budget'!$J$99-SUM('15 Year Pro Forma'!$E$62:LVF62))</f>
        <v>0</v>
      </c>
      <c r="LVI62" s="962">
        <f>MIN(LVI60*$C$62,'Sources and Uses Budget'!$J$99-SUM('15 Year Pro Forma'!$E$62:LVH62))</f>
        <v>0</v>
      </c>
      <c r="LVK62" s="962">
        <f>MIN(LVK60*$C$62,'Sources and Uses Budget'!$J$99-SUM('15 Year Pro Forma'!$E$62:LVJ62))</f>
        <v>0</v>
      </c>
      <c r="LVM62" s="962">
        <f>MIN(LVM60*$C$62,'Sources and Uses Budget'!$J$99-SUM('15 Year Pro Forma'!$E$62:LVL62))</f>
        <v>0</v>
      </c>
      <c r="LVO62" s="962">
        <f>MIN(LVO60*$C$62,'Sources and Uses Budget'!$J$99-SUM('15 Year Pro Forma'!$E$62:LVN62))</f>
        <v>0</v>
      </c>
      <c r="LVQ62" s="962">
        <f>MIN(LVQ60*$C$62,'Sources and Uses Budget'!$J$99-SUM('15 Year Pro Forma'!$E$62:LVP62))</f>
        <v>0</v>
      </c>
      <c r="LVS62" s="962">
        <f>MIN(LVS60*$C$62,'Sources and Uses Budget'!$J$99-SUM('15 Year Pro Forma'!$E$62:LVR62))</f>
        <v>0</v>
      </c>
      <c r="LVU62" s="962">
        <f>MIN(LVU60*$C$62,'Sources and Uses Budget'!$J$99-SUM('15 Year Pro Forma'!$E$62:LVT62))</f>
        <v>0</v>
      </c>
      <c r="LVW62" s="962">
        <f>MIN(LVW60*$C$62,'Sources and Uses Budget'!$J$99-SUM('15 Year Pro Forma'!$E$62:LVV62))</f>
        <v>0</v>
      </c>
      <c r="LVY62" s="962">
        <f>MIN(LVY60*$C$62,'Sources and Uses Budget'!$J$99-SUM('15 Year Pro Forma'!$E$62:LVX62))</f>
        <v>0</v>
      </c>
      <c r="LWA62" s="962">
        <f>MIN(LWA60*$C$62,'Sources and Uses Budget'!$J$99-SUM('15 Year Pro Forma'!$E$62:LVZ62))</f>
        <v>0</v>
      </c>
      <c r="LWC62" s="962">
        <f>MIN(LWC60*$C$62,'Sources and Uses Budget'!$J$99-SUM('15 Year Pro Forma'!$E$62:LWB62))</f>
        <v>0</v>
      </c>
      <c r="LWE62" s="962">
        <f>MIN(LWE60*$C$62,'Sources and Uses Budget'!$J$99-SUM('15 Year Pro Forma'!$E$62:LWD62))</f>
        <v>0</v>
      </c>
      <c r="LWG62" s="962">
        <f>MIN(LWG60*$C$62,'Sources and Uses Budget'!$J$99-SUM('15 Year Pro Forma'!$E$62:LWF62))</f>
        <v>0</v>
      </c>
      <c r="LWI62" s="962">
        <f>MIN(LWI60*$C$62,'Sources and Uses Budget'!$J$99-SUM('15 Year Pro Forma'!$E$62:LWH62))</f>
        <v>0</v>
      </c>
      <c r="LWK62" s="962">
        <f>MIN(LWK60*$C$62,'Sources and Uses Budget'!$J$99-SUM('15 Year Pro Forma'!$E$62:LWJ62))</f>
        <v>0</v>
      </c>
      <c r="LWM62" s="962">
        <f>MIN(LWM60*$C$62,'Sources and Uses Budget'!$J$99-SUM('15 Year Pro Forma'!$E$62:LWL62))</f>
        <v>0</v>
      </c>
      <c r="LWO62" s="962">
        <f>MIN(LWO60*$C$62,'Sources and Uses Budget'!$J$99-SUM('15 Year Pro Forma'!$E$62:LWN62))</f>
        <v>0</v>
      </c>
      <c r="LWQ62" s="962">
        <f>MIN(LWQ60*$C$62,'Sources and Uses Budget'!$J$99-SUM('15 Year Pro Forma'!$E$62:LWP62))</f>
        <v>0</v>
      </c>
      <c r="LWS62" s="962">
        <f>MIN(LWS60*$C$62,'Sources and Uses Budget'!$J$99-SUM('15 Year Pro Forma'!$E$62:LWR62))</f>
        <v>0</v>
      </c>
      <c r="LWU62" s="962">
        <f>MIN(LWU60*$C$62,'Sources and Uses Budget'!$J$99-SUM('15 Year Pro Forma'!$E$62:LWT62))</f>
        <v>0</v>
      </c>
      <c r="LWW62" s="962">
        <f>MIN(LWW60*$C$62,'Sources and Uses Budget'!$J$99-SUM('15 Year Pro Forma'!$E$62:LWV62))</f>
        <v>0</v>
      </c>
      <c r="LWY62" s="962">
        <f>MIN(LWY60*$C$62,'Sources and Uses Budget'!$J$99-SUM('15 Year Pro Forma'!$E$62:LWX62))</f>
        <v>0</v>
      </c>
      <c r="LXA62" s="962">
        <f>MIN(LXA60*$C$62,'Sources and Uses Budget'!$J$99-SUM('15 Year Pro Forma'!$E$62:LWZ62))</f>
        <v>0</v>
      </c>
      <c r="LXC62" s="962">
        <f>MIN(LXC60*$C$62,'Sources and Uses Budget'!$J$99-SUM('15 Year Pro Forma'!$E$62:LXB62))</f>
        <v>0</v>
      </c>
      <c r="LXE62" s="962">
        <f>MIN(LXE60*$C$62,'Sources and Uses Budget'!$J$99-SUM('15 Year Pro Forma'!$E$62:LXD62))</f>
        <v>0</v>
      </c>
      <c r="LXG62" s="962">
        <f>MIN(LXG60*$C$62,'Sources and Uses Budget'!$J$99-SUM('15 Year Pro Forma'!$E$62:LXF62))</f>
        <v>0</v>
      </c>
      <c r="LXI62" s="962">
        <f>MIN(LXI60*$C$62,'Sources and Uses Budget'!$J$99-SUM('15 Year Pro Forma'!$E$62:LXH62))</f>
        <v>0</v>
      </c>
      <c r="LXK62" s="962">
        <f>MIN(LXK60*$C$62,'Sources and Uses Budget'!$J$99-SUM('15 Year Pro Forma'!$E$62:LXJ62))</f>
        <v>0</v>
      </c>
      <c r="LXM62" s="962">
        <f>MIN(LXM60*$C$62,'Sources and Uses Budget'!$J$99-SUM('15 Year Pro Forma'!$E$62:LXL62))</f>
        <v>0</v>
      </c>
      <c r="LXO62" s="962">
        <f>MIN(LXO60*$C$62,'Sources and Uses Budget'!$J$99-SUM('15 Year Pro Forma'!$E$62:LXN62))</f>
        <v>0</v>
      </c>
      <c r="LXQ62" s="962">
        <f>MIN(LXQ60*$C$62,'Sources and Uses Budget'!$J$99-SUM('15 Year Pro Forma'!$E$62:LXP62))</f>
        <v>0</v>
      </c>
      <c r="LXS62" s="962">
        <f>MIN(LXS60*$C$62,'Sources and Uses Budget'!$J$99-SUM('15 Year Pro Forma'!$E$62:LXR62))</f>
        <v>0</v>
      </c>
      <c r="LXU62" s="962">
        <f>MIN(LXU60*$C$62,'Sources and Uses Budget'!$J$99-SUM('15 Year Pro Forma'!$E$62:LXT62))</f>
        <v>0</v>
      </c>
      <c r="LXW62" s="962">
        <f>MIN(LXW60*$C$62,'Sources and Uses Budget'!$J$99-SUM('15 Year Pro Forma'!$E$62:LXV62))</f>
        <v>0</v>
      </c>
      <c r="LXY62" s="962">
        <f>MIN(LXY60*$C$62,'Sources and Uses Budget'!$J$99-SUM('15 Year Pro Forma'!$E$62:LXX62))</f>
        <v>0</v>
      </c>
      <c r="LYA62" s="962">
        <f>MIN(LYA60*$C$62,'Sources and Uses Budget'!$J$99-SUM('15 Year Pro Forma'!$E$62:LXZ62))</f>
        <v>0</v>
      </c>
      <c r="LYC62" s="962">
        <f>MIN(LYC60*$C$62,'Sources and Uses Budget'!$J$99-SUM('15 Year Pro Forma'!$E$62:LYB62))</f>
        <v>0</v>
      </c>
      <c r="LYE62" s="962">
        <f>MIN(LYE60*$C$62,'Sources and Uses Budget'!$J$99-SUM('15 Year Pro Forma'!$E$62:LYD62))</f>
        <v>0</v>
      </c>
      <c r="LYG62" s="962">
        <f>MIN(LYG60*$C$62,'Sources and Uses Budget'!$J$99-SUM('15 Year Pro Forma'!$E$62:LYF62))</f>
        <v>0</v>
      </c>
      <c r="LYI62" s="962">
        <f>MIN(LYI60*$C$62,'Sources and Uses Budget'!$J$99-SUM('15 Year Pro Forma'!$E$62:LYH62))</f>
        <v>0</v>
      </c>
      <c r="LYK62" s="962">
        <f>MIN(LYK60*$C$62,'Sources and Uses Budget'!$J$99-SUM('15 Year Pro Forma'!$E$62:LYJ62))</f>
        <v>0</v>
      </c>
      <c r="LYM62" s="962">
        <f>MIN(LYM60*$C$62,'Sources and Uses Budget'!$J$99-SUM('15 Year Pro Forma'!$E$62:LYL62))</f>
        <v>0</v>
      </c>
      <c r="LYO62" s="962">
        <f>MIN(LYO60*$C$62,'Sources and Uses Budget'!$J$99-SUM('15 Year Pro Forma'!$E$62:LYN62))</f>
        <v>0</v>
      </c>
      <c r="LYQ62" s="962">
        <f>MIN(LYQ60*$C$62,'Sources and Uses Budget'!$J$99-SUM('15 Year Pro Forma'!$E$62:LYP62))</f>
        <v>0</v>
      </c>
      <c r="LYS62" s="962">
        <f>MIN(LYS60*$C$62,'Sources and Uses Budget'!$J$99-SUM('15 Year Pro Forma'!$E$62:LYR62))</f>
        <v>0</v>
      </c>
      <c r="LYU62" s="962">
        <f>MIN(LYU60*$C$62,'Sources and Uses Budget'!$J$99-SUM('15 Year Pro Forma'!$E$62:LYT62))</f>
        <v>0</v>
      </c>
      <c r="LYW62" s="962">
        <f>MIN(LYW60*$C$62,'Sources and Uses Budget'!$J$99-SUM('15 Year Pro Forma'!$E$62:LYV62))</f>
        <v>0</v>
      </c>
      <c r="LYY62" s="962">
        <f>MIN(LYY60*$C$62,'Sources and Uses Budget'!$J$99-SUM('15 Year Pro Forma'!$E$62:LYX62))</f>
        <v>0</v>
      </c>
      <c r="LZA62" s="962">
        <f>MIN(LZA60*$C$62,'Sources and Uses Budget'!$J$99-SUM('15 Year Pro Forma'!$E$62:LYZ62))</f>
        <v>0</v>
      </c>
      <c r="LZC62" s="962">
        <f>MIN(LZC60*$C$62,'Sources and Uses Budget'!$J$99-SUM('15 Year Pro Forma'!$E$62:LZB62))</f>
        <v>0</v>
      </c>
      <c r="LZE62" s="962">
        <f>MIN(LZE60*$C$62,'Sources and Uses Budget'!$J$99-SUM('15 Year Pro Forma'!$E$62:LZD62))</f>
        <v>0</v>
      </c>
      <c r="LZG62" s="962">
        <f>MIN(LZG60*$C$62,'Sources and Uses Budget'!$J$99-SUM('15 Year Pro Forma'!$E$62:LZF62))</f>
        <v>0</v>
      </c>
      <c r="LZI62" s="962">
        <f>MIN(LZI60*$C$62,'Sources and Uses Budget'!$J$99-SUM('15 Year Pro Forma'!$E$62:LZH62))</f>
        <v>0</v>
      </c>
      <c r="LZK62" s="962">
        <f>MIN(LZK60*$C$62,'Sources and Uses Budget'!$J$99-SUM('15 Year Pro Forma'!$E$62:LZJ62))</f>
        <v>0</v>
      </c>
      <c r="LZM62" s="962">
        <f>MIN(LZM60*$C$62,'Sources and Uses Budget'!$J$99-SUM('15 Year Pro Forma'!$E$62:LZL62))</f>
        <v>0</v>
      </c>
      <c r="LZO62" s="962">
        <f>MIN(LZO60*$C$62,'Sources and Uses Budget'!$J$99-SUM('15 Year Pro Forma'!$E$62:LZN62))</f>
        <v>0</v>
      </c>
      <c r="LZQ62" s="962">
        <f>MIN(LZQ60*$C$62,'Sources and Uses Budget'!$J$99-SUM('15 Year Pro Forma'!$E$62:LZP62))</f>
        <v>0</v>
      </c>
      <c r="LZS62" s="962">
        <f>MIN(LZS60*$C$62,'Sources and Uses Budget'!$J$99-SUM('15 Year Pro Forma'!$E$62:LZR62))</f>
        <v>0</v>
      </c>
      <c r="LZU62" s="962">
        <f>MIN(LZU60*$C$62,'Sources and Uses Budget'!$J$99-SUM('15 Year Pro Forma'!$E$62:LZT62))</f>
        <v>0</v>
      </c>
      <c r="LZW62" s="962">
        <f>MIN(LZW60*$C$62,'Sources and Uses Budget'!$J$99-SUM('15 Year Pro Forma'!$E$62:LZV62))</f>
        <v>0</v>
      </c>
      <c r="LZY62" s="962">
        <f>MIN(LZY60*$C$62,'Sources and Uses Budget'!$J$99-SUM('15 Year Pro Forma'!$E$62:LZX62))</f>
        <v>0</v>
      </c>
      <c r="MAA62" s="962">
        <f>MIN(MAA60*$C$62,'Sources and Uses Budget'!$J$99-SUM('15 Year Pro Forma'!$E$62:LZZ62))</f>
        <v>0</v>
      </c>
      <c r="MAC62" s="962">
        <f>MIN(MAC60*$C$62,'Sources and Uses Budget'!$J$99-SUM('15 Year Pro Forma'!$E$62:MAB62))</f>
        <v>0</v>
      </c>
      <c r="MAE62" s="962">
        <f>MIN(MAE60*$C$62,'Sources and Uses Budget'!$J$99-SUM('15 Year Pro Forma'!$E$62:MAD62))</f>
        <v>0</v>
      </c>
      <c r="MAG62" s="962">
        <f>MIN(MAG60*$C$62,'Sources and Uses Budget'!$J$99-SUM('15 Year Pro Forma'!$E$62:MAF62))</f>
        <v>0</v>
      </c>
      <c r="MAI62" s="962">
        <f>MIN(MAI60*$C$62,'Sources and Uses Budget'!$J$99-SUM('15 Year Pro Forma'!$E$62:MAH62))</f>
        <v>0</v>
      </c>
      <c r="MAK62" s="962">
        <f>MIN(MAK60*$C$62,'Sources and Uses Budget'!$J$99-SUM('15 Year Pro Forma'!$E$62:MAJ62))</f>
        <v>0</v>
      </c>
      <c r="MAM62" s="962">
        <f>MIN(MAM60*$C$62,'Sources and Uses Budget'!$J$99-SUM('15 Year Pro Forma'!$E$62:MAL62))</f>
        <v>0</v>
      </c>
      <c r="MAO62" s="962">
        <f>MIN(MAO60*$C$62,'Sources and Uses Budget'!$J$99-SUM('15 Year Pro Forma'!$E$62:MAN62))</f>
        <v>0</v>
      </c>
      <c r="MAQ62" s="962">
        <f>MIN(MAQ60*$C$62,'Sources and Uses Budget'!$J$99-SUM('15 Year Pro Forma'!$E$62:MAP62))</f>
        <v>0</v>
      </c>
      <c r="MAS62" s="962">
        <f>MIN(MAS60*$C$62,'Sources and Uses Budget'!$J$99-SUM('15 Year Pro Forma'!$E$62:MAR62))</f>
        <v>0</v>
      </c>
      <c r="MAU62" s="962">
        <f>MIN(MAU60*$C$62,'Sources and Uses Budget'!$J$99-SUM('15 Year Pro Forma'!$E$62:MAT62))</f>
        <v>0</v>
      </c>
      <c r="MAW62" s="962">
        <f>MIN(MAW60*$C$62,'Sources and Uses Budget'!$J$99-SUM('15 Year Pro Forma'!$E$62:MAV62))</f>
        <v>0</v>
      </c>
      <c r="MAY62" s="962">
        <f>MIN(MAY60*$C$62,'Sources and Uses Budget'!$J$99-SUM('15 Year Pro Forma'!$E$62:MAX62))</f>
        <v>0</v>
      </c>
      <c r="MBA62" s="962">
        <f>MIN(MBA60*$C$62,'Sources and Uses Budget'!$J$99-SUM('15 Year Pro Forma'!$E$62:MAZ62))</f>
        <v>0</v>
      </c>
      <c r="MBC62" s="962">
        <f>MIN(MBC60*$C$62,'Sources and Uses Budget'!$J$99-SUM('15 Year Pro Forma'!$E$62:MBB62))</f>
        <v>0</v>
      </c>
      <c r="MBE62" s="962">
        <f>MIN(MBE60*$C$62,'Sources and Uses Budget'!$J$99-SUM('15 Year Pro Forma'!$E$62:MBD62))</f>
        <v>0</v>
      </c>
      <c r="MBG62" s="962">
        <f>MIN(MBG60*$C$62,'Sources and Uses Budget'!$J$99-SUM('15 Year Pro Forma'!$E$62:MBF62))</f>
        <v>0</v>
      </c>
      <c r="MBI62" s="962">
        <f>MIN(MBI60*$C$62,'Sources and Uses Budget'!$J$99-SUM('15 Year Pro Forma'!$E$62:MBH62))</f>
        <v>0</v>
      </c>
      <c r="MBK62" s="962">
        <f>MIN(MBK60*$C$62,'Sources and Uses Budget'!$J$99-SUM('15 Year Pro Forma'!$E$62:MBJ62))</f>
        <v>0</v>
      </c>
      <c r="MBM62" s="962">
        <f>MIN(MBM60*$C$62,'Sources and Uses Budget'!$J$99-SUM('15 Year Pro Forma'!$E$62:MBL62))</f>
        <v>0</v>
      </c>
      <c r="MBO62" s="962">
        <f>MIN(MBO60*$C$62,'Sources and Uses Budget'!$J$99-SUM('15 Year Pro Forma'!$E$62:MBN62))</f>
        <v>0</v>
      </c>
      <c r="MBQ62" s="962">
        <f>MIN(MBQ60*$C$62,'Sources and Uses Budget'!$J$99-SUM('15 Year Pro Forma'!$E$62:MBP62))</f>
        <v>0</v>
      </c>
      <c r="MBS62" s="962">
        <f>MIN(MBS60*$C$62,'Sources and Uses Budget'!$J$99-SUM('15 Year Pro Forma'!$E$62:MBR62))</f>
        <v>0</v>
      </c>
      <c r="MBU62" s="962">
        <f>MIN(MBU60*$C$62,'Sources and Uses Budget'!$J$99-SUM('15 Year Pro Forma'!$E$62:MBT62))</f>
        <v>0</v>
      </c>
      <c r="MBW62" s="962">
        <f>MIN(MBW60*$C$62,'Sources and Uses Budget'!$J$99-SUM('15 Year Pro Forma'!$E$62:MBV62))</f>
        <v>0</v>
      </c>
      <c r="MBY62" s="962">
        <f>MIN(MBY60*$C$62,'Sources and Uses Budget'!$J$99-SUM('15 Year Pro Forma'!$E$62:MBX62))</f>
        <v>0</v>
      </c>
      <c r="MCA62" s="962">
        <f>MIN(MCA60*$C$62,'Sources and Uses Budget'!$J$99-SUM('15 Year Pro Forma'!$E$62:MBZ62))</f>
        <v>0</v>
      </c>
      <c r="MCC62" s="962">
        <f>MIN(MCC60*$C$62,'Sources and Uses Budget'!$J$99-SUM('15 Year Pro Forma'!$E$62:MCB62))</f>
        <v>0</v>
      </c>
      <c r="MCE62" s="962">
        <f>MIN(MCE60*$C$62,'Sources and Uses Budget'!$J$99-SUM('15 Year Pro Forma'!$E$62:MCD62))</f>
        <v>0</v>
      </c>
      <c r="MCG62" s="962">
        <f>MIN(MCG60*$C$62,'Sources and Uses Budget'!$J$99-SUM('15 Year Pro Forma'!$E$62:MCF62))</f>
        <v>0</v>
      </c>
      <c r="MCI62" s="962">
        <f>MIN(MCI60*$C$62,'Sources and Uses Budget'!$J$99-SUM('15 Year Pro Forma'!$E$62:MCH62))</f>
        <v>0</v>
      </c>
      <c r="MCK62" s="962">
        <f>MIN(MCK60*$C$62,'Sources and Uses Budget'!$J$99-SUM('15 Year Pro Forma'!$E$62:MCJ62))</f>
        <v>0</v>
      </c>
      <c r="MCM62" s="962">
        <f>MIN(MCM60*$C$62,'Sources and Uses Budget'!$J$99-SUM('15 Year Pro Forma'!$E$62:MCL62))</f>
        <v>0</v>
      </c>
      <c r="MCO62" s="962">
        <f>MIN(MCO60*$C$62,'Sources and Uses Budget'!$J$99-SUM('15 Year Pro Forma'!$E$62:MCN62))</f>
        <v>0</v>
      </c>
      <c r="MCQ62" s="962">
        <f>MIN(MCQ60*$C$62,'Sources and Uses Budget'!$J$99-SUM('15 Year Pro Forma'!$E$62:MCP62))</f>
        <v>0</v>
      </c>
      <c r="MCS62" s="962">
        <f>MIN(MCS60*$C$62,'Sources and Uses Budget'!$J$99-SUM('15 Year Pro Forma'!$E$62:MCR62))</f>
        <v>0</v>
      </c>
      <c r="MCU62" s="962">
        <f>MIN(MCU60*$C$62,'Sources and Uses Budget'!$J$99-SUM('15 Year Pro Forma'!$E$62:MCT62))</f>
        <v>0</v>
      </c>
      <c r="MCW62" s="962">
        <f>MIN(MCW60*$C$62,'Sources and Uses Budget'!$J$99-SUM('15 Year Pro Forma'!$E$62:MCV62))</f>
        <v>0</v>
      </c>
      <c r="MCY62" s="962">
        <f>MIN(MCY60*$C$62,'Sources and Uses Budget'!$J$99-SUM('15 Year Pro Forma'!$E$62:MCX62))</f>
        <v>0</v>
      </c>
      <c r="MDA62" s="962">
        <f>MIN(MDA60*$C$62,'Sources and Uses Budget'!$J$99-SUM('15 Year Pro Forma'!$E$62:MCZ62))</f>
        <v>0</v>
      </c>
      <c r="MDC62" s="962">
        <f>MIN(MDC60*$C$62,'Sources and Uses Budget'!$J$99-SUM('15 Year Pro Forma'!$E$62:MDB62))</f>
        <v>0</v>
      </c>
      <c r="MDE62" s="962">
        <f>MIN(MDE60*$C$62,'Sources and Uses Budget'!$J$99-SUM('15 Year Pro Forma'!$E$62:MDD62))</f>
        <v>0</v>
      </c>
      <c r="MDG62" s="962">
        <f>MIN(MDG60*$C$62,'Sources and Uses Budget'!$J$99-SUM('15 Year Pro Forma'!$E$62:MDF62))</f>
        <v>0</v>
      </c>
      <c r="MDI62" s="962">
        <f>MIN(MDI60*$C$62,'Sources and Uses Budget'!$J$99-SUM('15 Year Pro Forma'!$E$62:MDH62))</f>
        <v>0</v>
      </c>
      <c r="MDK62" s="962">
        <f>MIN(MDK60*$C$62,'Sources and Uses Budget'!$J$99-SUM('15 Year Pro Forma'!$E$62:MDJ62))</f>
        <v>0</v>
      </c>
      <c r="MDM62" s="962">
        <f>MIN(MDM60*$C$62,'Sources and Uses Budget'!$J$99-SUM('15 Year Pro Forma'!$E$62:MDL62))</f>
        <v>0</v>
      </c>
      <c r="MDO62" s="962">
        <f>MIN(MDO60*$C$62,'Sources and Uses Budget'!$J$99-SUM('15 Year Pro Forma'!$E$62:MDN62))</f>
        <v>0</v>
      </c>
      <c r="MDQ62" s="962">
        <f>MIN(MDQ60*$C$62,'Sources and Uses Budget'!$J$99-SUM('15 Year Pro Forma'!$E$62:MDP62))</f>
        <v>0</v>
      </c>
      <c r="MDS62" s="962">
        <f>MIN(MDS60*$C$62,'Sources and Uses Budget'!$J$99-SUM('15 Year Pro Forma'!$E$62:MDR62))</f>
        <v>0</v>
      </c>
      <c r="MDU62" s="962">
        <f>MIN(MDU60*$C$62,'Sources and Uses Budget'!$J$99-SUM('15 Year Pro Forma'!$E$62:MDT62))</f>
        <v>0</v>
      </c>
      <c r="MDW62" s="962">
        <f>MIN(MDW60*$C$62,'Sources and Uses Budget'!$J$99-SUM('15 Year Pro Forma'!$E$62:MDV62))</f>
        <v>0</v>
      </c>
      <c r="MDY62" s="962">
        <f>MIN(MDY60*$C$62,'Sources and Uses Budget'!$J$99-SUM('15 Year Pro Forma'!$E$62:MDX62))</f>
        <v>0</v>
      </c>
      <c r="MEA62" s="962">
        <f>MIN(MEA60*$C$62,'Sources and Uses Budget'!$J$99-SUM('15 Year Pro Forma'!$E$62:MDZ62))</f>
        <v>0</v>
      </c>
      <c r="MEC62" s="962">
        <f>MIN(MEC60*$C$62,'Sources and Uses Budget'!$J$99-SUM('15 Year Pro Forma'!$E$62:MEB62))</f>
        <v>0</v>
      </c>
      <c r="MEE62" s="962">
        <f>MIN(MEE60*$C$62,'Sources and Uses Budget'!$J$99-SUM('15 Year Pro Forma'!$E$62:MED62))</f>
        <v>0</v>
      </c>
      <c r="MEG62" s="962">
        <f>MIN(MEG60*$C$62,'Sources and Uses Budget'!$J$99-SUM('15 Year Pro Forma'!$E$62:MEF62))</f>
        <v>0</v>
      </c>
      <c r="MEI62" s="962">
        <f>MIN(MEI60*$C$62,'Sources and Uses Budget'!$J$99-SUM('15 Year Pro Forma'!$E$62:MEH62))</f>
        <v>0</v>
      </c>
      <c r="MEK62" s="962">
        <f>MIN(MEK60*$C$62,'Sources and Uses Budget'!$J$99-SUM('15 Year Pro Forma'!$E$62:MEJ62))</f>
        <v>0</v>
      </c>
      <c r="MEM62" s="962">
        <f>MIN(MEM60*$C$62,'Sources and Uses Budget'!$J$99-SUM('15 Year Pro Forma'!$E$62:MEL62))</f>
        <v>0</v>
      </c>
      <c r="MEO62" s="962">
        <f>MIN(MEO60*$C$62,'Sources and Uses Budget'!$J$99-SUM('15 Year Pro Forma'!$E$62:MEN62))</f>
        <v>0</v>
      </c>
      <c r="MEQ62" s="962">
        <f>MIN(MEQ60*$C$62,'Sources and Uses Budget'!$J$99-SUM('15 Year Pro Forma'!$E$62:MEP62))</f>
        <v>0</v>
      </c>
      <c r="MES62" s="962">
        <f>MIN(MES60*$C$62,'Sources and Uses Budget'!$J$99-SUM('15 Year Pro Forma'!$E$62:MER62))</f>
        <v>0</v>
      </c>
      <c r="MEU62" s="962">
        <f>MIN(MEU60*$C$62,'Sources and Uses Budget'!$J$99-SUM('15 Year Pro Forma'!$E$62:MET62))</f>
        <v>0</v>
      </c>
      <c r="MEW62" s="962">
        <f>MIN(MEW60*$C$62,'Sources and Uses Budget'!$J$99-SUM('15 Year Pro Forma'!$E$62:MEV62))</f>
        <v>0</v>
      </c>
      <c r="MEY62" s="962">
        <f>MIN(MEY60*$C$62,'Sources and Uses Budget'!$J$99-SUM('15 Year Pro Forma'!$E$62:MEX62))</f>
        <v>0</v>
      </c>
      <c r="MFA62" s="962">
        <f>MIN(MFA60*$C$62,'Sources and Uses Budget'!$J$99-SUM('15 Year Pro Forma'!$E$62:MEZ62))</f>
        <v>0</v>
      </c>
      <c r="MFC62" s="962">
        <f>MIN(MFC60*$C$62,'Sources and Uses Budget'!$J$99-SUM('15 Year Pro Forma'!$E$62:MFB62))</f>
        <v>0</v>
      </c>
      <c r="MFE62" s="962">
        <f>MIN(MFE60*$C$62,'Sources and Uses Budget'!$J$99-SUM('15 Year Pro Forma'!$E$62:MFD62))</f>
        <v>0</v>
      </c>
      <c r="MFG62" s="962">
        <f>MIN(MFG60*$C$62,'Sources and Uses Budget'!$J$99-SUM('15 Year Pro Forma'!$E$62:MFF62))</f>
        <v>0</v>
      </c>
      <c r="MFI62" s="962">
        <f>MIN(MFI60*$C$62,'Sources and Uses Budget'!$J$99-SUM('15 Year Pro Forma'!$E$62:MFH62))</f>
        <v>0</v>
      </c>
      <c r="MFK62" s="962">
        <f>MIN(MFK60*$C$62,'Sources and Uses Budget'!$J$99-SUM('15 Year Pro Forma'!$E$62:MFJ62))</f>
        <v>0</v>
      </c>
      <c r="MFM62" s="962">
        <f>MIN(MFM60*$C$62,'Sources and Uses Budget'!$J$99-SUM('15 Year Pro Forma'!$E$62:MFL62))</f>
        <v>0</v>
      </c>
      <c r="MFO62" s="962">
        <f>MIN(MFO60*$C$62,'Sources and Uses Budget'!$J$99-SUM('15 Year Pro Forma'!$E$62:MFN62))</f>
        <v>0</v>
      </c>
      <c r="MFQ62" s="962">
        <f>MIN(MFQ60*$C$62,'Sources and Uses Budget'!$J$99-SUM('15 Year Pro Forma'!$E$62:MFP62))</f>
        <v>0</v>
      </c>
      <c r="MFS62" s="962">
        <f>MIN(MFS60*$C$62,'Sources and Uses Budget'!$J$99-SUM('15 Year Pro Forma'!$E$62:MFR62))</f>
        <v>0</v>
      </c>
      <c r="MFU62" s="962">
        <f>MIN(MFU60*$C$62,'Sources and Uses Budget'!$J$99-SUM('15 Year Pro Forma'!$E$62:MFT62))</f>
        <v>0</v>
      </c>
      <c r="MFW62" s="962">
        <f>MIN(MFW60*$C$62,'Sources and Uses Budget'!$J$99-SUM('15 Year Pro Forma'!$E$62:MFV62))</f>
        <v>0</v>
      </c>
      <c r="MFY62" s="962">
        <f>MIN(MFY60*$C$62,'Sources and Uses Budget'!$J$99-SUM('15 Year Pro Forma'!$E$62:MFX62))</f>
        <v>0</v>
      </c>
      <c r="MGA62" s="962">
        <f>MIN(MGA60*$C$62,'Sources and Uses Budget'!$J$99-SUM('15 Year Pro Forma'!$E$62:MFZ62))</f>
        <v>0</v>
      </c>
      <c r="MGC62" s="962">
        <f>MIN(MGC60*$C$62,'Sources and Uses Budget'!$J$99-SUM('15 Year Pro Forma'!$E$62:MGB62))</f>
        <v>0</v>
      </c>
      <c r="MGE62" s="962">
        <f>MIN(MGE60*$C$62,'Sources and Uses Budget'!$J$99-SUM('15 Year Pro Forma'!$E$62:MGD62))</f>
        <v>0</v>
      </c>
      <c r="MGG62" s="962">
        <f>MIN(MGG60*$C$62,'Sources and Uses Budget'!$J$99-SUM('15 Year Pro Forma'!$E$62:MGF62))</f>
        <v>0</v>
      </c>
      <c r="MGI62" s="962">
        <f>MIN(MGI60*$C$62,'Sources and Uses Budget'!$J$99-SUM('15 Year Pro Forma'!$E$62:MGH62))</f>
        <v>0</v>
      </c>
      <c r="MGK62" s="962">
        <f>MIN(MGK60*$C$62,'Sources and Uses Budget'!$J$99-SUM('15 Year Pro Forma'!$E$62:MGJ62))</f>
        <v>0</v>
      </c>
      <c r="MGM62" s="962">
        <f>MIN(MGM60*$C$62,'Sources and Uses Budget'!$J$99-SUM('15 Year Pro Forma'!$E$62:MGL62))</f>
        <v>0</v>
      </c>
      <c r="MGO62" s="962">
        <f>MIN(MGO60*$C$62,'Sources and Uses Budget'!$J$99-SUM('15 Year Pro Forma'!$E$62:MGN62))</f>
        <v>0</v>
      </c>
      <c r="MGQ62" s="962">
        <f>MIN(MGQ60*$C$62,'Sources and Uses Budget'!$J$99-SUM('15 Year Pro Forma'!$E$62:MGP62))</f>
        <v>0</v>
      </c>
      <c r="MGS62" s="962">
        <f>MIN(MGS60*$C$62,'Sources and Uses Budget'!$J$99-SUM('15 Year Pro Forma'!$E$62:MGR62))</f>
        <v>0</v>
      </c>
      <c r="MGU62" s="962">
        <f>MIN(MGU60*$C$62,'Sources and Uses Budget'!$J$99-SUM('15 Year Pro Forma'!$E$62:MGT62))</f>
        <v>0</v>
      </c>
      <c r="MGW62" s="962">
        <f>MIN(MGW60*$C$62,'Sources and Uses Budget'!$J$99-SUM('15 Year Pro Forma'!$E$62:MGV62))</f>
        <v>0</v>
      </c>
      <c r="MGY62" s="962">
        <f>MIN(MGY60*$C$62,'Sources and Uses Budget'!$J$99-SUM('15 Year Pro Forma'!$E$62:MGX62))</f>
        <v>0</v>
      </c>
      <c r="MHA62" s="962">
        <f>MIN(MHA60*$C$62,'Sources and Uses Budget'!$J$99-SUM('15 Year Pro Forma'!$E$62:MGZ62))</f>
        <v>0</v>
      </c>
      <c r="MHC62" s="962">
        <f>MIN(MHC60*$C$62,'Sources and Uses Budget'!$J$99-SUM('15 Year Pro Forma'!$E$62:MHB62))</f>
        <v>0</v>
      </c>
      <c r="MHE62" s="962">
        <f>MIN(MHE60*$C$62,'Sources and Uses Budget'!$J$99-SUM('15 Year Pro Forma'!$E$62:MHD62))</f>
        <v>0</v>
      </c>
      <c r="MHG62" s="962">
        <f>MIN(MHG60*$C$62,'Sources and Uses Budget'!$J$99-SUM('15 Year Pro Forma'!$E$62:MHF62))</f>
        <v>0</v>
      </c>
      <c r="MHI62" s="962">
        <f>MIN(MHI60*$C$62,'Sources and Uses Budget'!$J$99-SUM('15 Year Pro Forma'!$E$62:MHH62))</f>
        <v>0</v>
      </c>
      <c r="MHK62" s="962">
        <f>MIN(MHK60*$C$62,'Sources and Uses Budget'!$J$99-SUM('15 Year Pro Forma'!$E$62:MHJ62))</f>
        <v>0</v>
      </c>
      <c r="MHM62" s="962">
        <f>MIN(MHM60*$C$62,'Sources and Uses Budget'!$J$99-SUM('15 Year Pro Forma'!$E$62:MHL62))</f>
        <v>0</v>
      </c>
      <c r="MHO62" s="962">
        <f>MIN(MHO60*$C$62,'Sources and Uses Budget'!$J$99-SUM('15 Year Pro Forma'!$E$62:MHN62))</f>
        <v>0</v>
      </c>
      <c r="MHQ62" s="962">
        <f>MIN(MHQ60*$C$62,'Sources and Uses Budget'!$J$99-SUM('15 Year Pro Forma'!$E$62:MHP62))</f>
        <v>0</v>
      </c>
      <c r="MHS62" s="962">
        <f>MIN(MHS60*$C$62,'Sources and Uses Budget'!$J$99-SUM('15 Year Pro Forma'!$E$62:MHR62))</f>
        <v>0</v>
      </c>
      <c r="MHU62" s="962">
        <f>MIN(MHU60*$C$62,'Sources and Uses Budget'!$J$99-SUM('15 Year Pro Forma'!$E$62:MHT62))</f>
        <v>0</v>
      </c>
      <c r="MHW62" s="962">
        <f>MIN(MHW60*$C$62,'Sources and Uses Budget'!$J$99-SUM('15 Year Pro Forma'!$E$62:MHV62))</f>
        <v>0</v>
      </c>
      <c r="MHY62" s="962">
        <f>MIN(MHY60*$C$62,'Sources and Uses Budget'!$J$99-SUM('15 Year Pro Forma'!$E$62:MHX62))</f>
        <v>0</v>
      </c>
      <c r="MIA62" s="962">
        <f>MIN(MIA60*$C$62,'Sources and Uses Budget'!$J$99-SUM('15 Year Pro Forma'!$E$62:MHZ62))</f>
        <v>0</v>
      </c>
      <c r="MIC62" s="962">
        <f>MIN(MIC60*$C$62,'Sources and Uses Budget'!$J$99-SUM('15 Year Pro Forma'!$E$62:MIB62))</f>
        <v>0</v>
      </c>
      <c r="MIE62" s="962">
        <f>MIN(MIE60*$C$62,'Sources and Uses Budget'!$J$99-SUM('15 Year Pro Forma'!$E$62:MID62))</f>
        <v>0</v>
      </c>
      <c r="MIG62" s="962">
        <f>MIN(MIG60*$C$62,'Sources and Uses Budget'!$J$99-SUM('15 Year Pro Forma'!$E$62:MIF62))</f>
        <v>0</v>
      </c>
      <c r="MII62" s="962">
        <f>MIN(MII60*$C$62,'Sources and Uses Budget'!$J$99-SUM('15 Year Pro Forma'!$E$62:MIH62))</f>
        <v>0</v>
      </c>
      <c r="MIK62" s="962">
        <f>MIN(MIK60*$C$62,'Sources and Uses Budget'!$J$99-SUM('15 Year Pro Forma'!$E$62:MIJ62))</f>
        <v>0</v>
      </c>
      <c r="MIM62" s="962">
        <f>MIN(MIM60*$C$62,'Sources and Uses Budget'!$J$99-SUM('15 Year Pro Forma'!$E$62:MIL62))</f>
        <v>0</v>
      </c>
      <c r="MIO62" s="962">
        <f>MIN(MIO60*$C$62,'Sources and Uses Budget'!$J$99-SUM('15 Year Pro Forma'!$E$62:MIN62))</f>
        <v>0</v>
      </c>
      <c r="MIQ62" s="962">
        <f>MIN(MIQ60*$C$62,'Sources and Uses Budget'!$J$99-SUM('15 Year Pro Forma'!$E$62:MIP62))</f>
        <v>0</v>
      </c>
      <c r="MIS62" s="962">
        <f>MIN(MIS60*$C$62,'Sources and Uses Budget'!$J$99-SUM('15 Year Pro Forma'!$E$62:MIR62))</f>
        <v>0</v>
      </c>
      <c r="MIU62" s="962">
        <f>MIN(MIU60*$C$62,'Sources and Uses Budget'!$J$99-SUM('15 Year Pro Forma'!$E$62:MIT62))</f>
        <v>0</v>
      </c>
      <c r="MIW62" s="962">
        <f>MIN(MIW60*$C$62,'Sources and Uses Budget'!$J$99-SUM('15 Year Pro Forma'!$E$62:MIV62))</f>
        <v>0</v>
      </c>
      <c r="MIY62" s="962">
        <f>MIN(MIY60*$C$62,'Sources and Uses Budget'!$J$99-SUM('15 Year Pro Forma'!$E$62:MIX62))</f>
        <v>0</v>
      </c>
      <c r="MJA62" s="962">
        <f>MIN(MJA60*$C$62,'Sources and Uses Budget'!$J$99-SUM('15 Year Pro Forma'!$E$62:MIZ62))</f>
        <v>0</v>
      </c>
      <c r="MJC62" s="962">
        <f>MIN(MJC60*$C$62,'Sources and Uses Budget'!$J$99-SUM('15 Year Pro Forma'!$E$62:MJB62))</f>
        <v>0</v>
      </c>
      <c r="MJE62" s="962">
        <f>MIN(MJE60*$C$62,'Sources and Uses Budget'!$J$99-SUM('15 Year Pro Forma'!$E$62:MJD62))</f>
        <v>0</v>
      </c>
      <c r="MJG62" s="962">
        <f>MIN(MJG60*$C$62,'Sources and Uses Budget'!$J$99-SUM('15 Year Pro Forma'!$E$62:MJF62))</f>
        <v>0</v>
      </c>
      <c r="MJI62" s="962">
        <f>MIN(MJI60*$C$62,'Sources and Uses Budget'!$J$99-SUM('15 Year Pro Forma'!$E$62:MJH62))</f>
        <v>0</v>
      </c>
      <c r="MJK62" s="962">
        <f>MIN(MJK60*$C$62,'Sources and Uses Budget'!$J$99-SUM('15 Year Pro Forma'!$E$62:MJJ62))</f>
        <v>0</v>
      </c>
      <c r="MJM62" s="962">
        <f>MIN(MJM60*$C$62,'Sources and Uses Budget'!$J$99-SUM('15 Year Pro Forma'!$E$62:MJL62))</f>
        <v>0</v>
      </c>
      <c r="MJO62" s="962">
        <f>MIN(MJO60*$C$62,'Sources and Uses Budget'!$J$99-SUM('15 Year Pro Forma'!$E$62:MJN62))</f>
        <v>0</v>
      </c>
      <c r="MJQ62" s="962">
        <f>MIN(MJQ60*$C$62,'Sources and Uses Budget'!$J$99-SUM('15 Year Pro Forma'!$E$62:MJP62))</f>
        <v>0</v>
      </c>
      <c r="MJS62" s="962">
        <f>MIN(MJS60*$C$62,'Sources and Uses Budget'!$J$99-SUM('15 Year Pro Forma'!$E$62:MJR62))</f>
        <v>0</v>
      </c>
      <c r="MJU62" s="962">
        <f>MIN(MJU60*$C$62,'Sources and Uses Budget'!$J$99-SUM('15 Year Pro Forma'!$E$62:MJT62))</f>
        <v>0</v>
      </c>
      <c r="MJW62" s="962">
        <f>MIN(MJW60*$C$62,'Sources and Uses Budget'!$J$99-SUM('15 Year Pro Forma'!$E$62:MJV62))</f>
        <v>0</v>
      </c>
      <c r="MJY62" s="962">
        <f>MIN(MJY60*$C$62,'Sources and Uses Budget'!$J$99-SUM('15 Year Pro Forma'!$E$62:MJX62))</f>
        <v>0</v>
      </c>
      <c r="MKA62" s="962">
        <f>MIN(MKA60*$C$62,'Sources and Uses Budget'!$J$99-SUM('15 Year Pro Forma'!$E$62:MJZ62))</f>
        <v>0</v>
      </c>
      <c r="MKC62" s="962">
        <f>MIN(MKC60*$C$62,'Sources and Uses Budget'!$J$99-SUM('15 Year Pro Forma'!$E$62:MKB62))</f>
        <v>0</v>
      </c>
      <c r="MKE62" s="962">
        <f>MIN(MKE60*$C$62,'Sources and Uses Budget'!$J$99-SUM('15 Year Pro Forma'!$E$62:MKD62))</f>
        <v>0</v>
      </c>
      <c r="MKG62" s="962">
        <f>MIN(MKG60*$C$62,'Sources and Uses Budget'!$J$99-SUM('15 Year Pro Forma'!$E$62:MKF62))</f>
        <v>0</v>
      </c>
      <c r="MKI62" s="962">
        <f>MIN(MKI60*$C$62,'Sources and Uses Budget'!$J$99-SUM('15 Year Pro Forma'!$E$62:MKH62))</f>
        <v>0</v>
      </c>
      <c r="MKK62" s="962">
        <f>MIN(MKK60*$C$62,'Sources and Uses Budget'!$J$99-SUM('15 Year Pro Forma'!$E$62:MKJ62))</f>
        <v>0</v>
      </c>
      <c r="MKM62" s="962">
        <f>MIN(MKM60*$C$62,'Sources and Uses Budget'!$J$99-SUM('15 Year Pro Forma'!$E$62:MKL62))</f>
        <v>0</v>
      </c>
      <c r="MKO62" s="962">
        <f>MIN(MKO60*$C$62,'Sources and Uses Budget'!$J$99-SUM('15 Year Pro Forma'!$E$62:MKN62))</f>
        <v>0</v>
      </c>
      <c r="MKQ62" s="962">
        <f>MIN(MKQ60*$C$62,'Sources and Uses Budget'!$J$99-SUM('15 Year Pro Forma'!$E$62:MKP62))</f>
        <v>0</v>
      </c>
      <c r="MKS62" s="962">
        <f>MIN(MKS60*$C$62,'Sources and Uses Budget'!$J$99-SUM('15 Year Pro Forma'!$E$62:MKR62))</f>
        <v>0</v>
      </c>
      <c r="MKU62" s="962">
        <f>MIN(MKU60*$C$62,'Sources and Uses Budget'!$J$99-SUM('15 Year Pro Forma'!$E$62:MKT62))</f>
        <v>0</v>
      </c>
      <c r="MKW62" s="962">
        <f>MIN(MKW60*$C$62,'Sources and Uses Budget'!$J$99-SUM('15 Year Pro Forma'!$E$62:MKV62))</f>
        <v>0</v>
      </c>
      <c r="MKY62" s="962">
        <f>MIN(MKY60*$C$62,'Sources and Uses Budget'!$J$99-SUM('15 Year Pro Forma'!$E$62:MKX62))</f>
        <v>0</v>
      </c>
      <c r="MLA62" s="962">
        <f>MIN(MLA60*$C$62,'Sources and Uses Budget'!$J$99-SUM('15 Year Pro Forma'!$E$62:MKZ62))</f>
        <v>0</v>
      </c>
      <c r="MLC62" s="962">
        <f>MIN(MLC60*$C$62,'Sources and Uses Budget'!$J$99-SUM('15 Year Pro Forma'!$E$62:MLB62))</f>
        <v>0</v>
      </c>
      <c r="MLE62" s="962">
        <f>MIN(MLE60*$C$62,'Sources and Uses Budget'!$J$99-SUM('15 Year Pro Forma'!$E$62:MLD62))</f>
        <v>0</v>
      </c>
      <c r="MLG62" s="962">
        <f>MIN(MLG60*$C$62,'Sources and Uses Budget'!$J$99-SUM('15 Year Pro Forma'!$E$62:MLF62))</f>
        <v>0</v>
      </c>
      <c r="MLI62" s="962">
        <f>MIN(MLI60*$C$62,'Sources and Uses Budget'!$J$99-SUM('15 Year Pro Forma'!$E$62:MLH62))</f>
        <v>0</v>
      </c>
      <c r="MLK62" s="962">
        <f>MIN(MLK60*$C$62,'Sources and Uses Budget'!$J$99-SUM('15 Year Pro Forma'!$E$62:MLJ62))</f>
        <v>0</v>
      </c>
      <c r="MLM62" s="962">
        <f>MIN(MLM60*$C$62,'Sources and Uses Budget'!$J$99-SUM('15 Year Pro Forma'!$E$62:MLL62))</f>
        <v>0</v>
      </c>
      <c r="MLO62" s="962">
        <f>MIN(MLO60*$C$62,'Sources and Uses Budget'!$J$99-SUM('15 Year Pro Forma'!$E$62:MLN62))</f>
        <v>0</v>
      </c>
      <c r="MLQ62" s="962">
        <f>MIN(MLQ60*$C$62,'Sources and Uses Budget'!$J$99-SUM('15 Year Pro Forma'!$E$62:MLP62))</f>
        <v>0</v>
      </c>
      <c r="MLS62" s="962">
        <f>MIN(MLS60*$C$62,'Sources and Uses Budget'!$J$99-SUM('15 Year Pro Forma'!$E$62:MLR62))</f>
        <v>0</v>
      </c>
      <c r="MLU62" s="962">
        <f>MIN(MLU60*$C$62,'Sources and Uses Budget'!$J$99-SUM('15 Year Pro Forma'!$E$62:MLT62))</f>
        <v>0</v>
      </c>
      <c r="MLW62" s="962">
        <f>MIN(MLW60*$C$62,'Sources and Uses Budget'!$J$99-SUM('15 Year Pro Forma'!$E$62:MLV62))</f>
        <v>0</v>
      </c>
      <c r="MLY62" s="962">
        <f>MIN(MLY60*$C$62,'Sources and Uses Budget'!$J$99-SUM('15 Year Pro Forma'!$E$62:MLX62))</f>
        <v>0</v>
      </c>
      <c r="MMA62" s="962">
        <f>MIN(MMA60*$C$62,'Sources and Uses Budget'!$J$99-SUM('15 Year Pro Forma'!$E$62:MLZ62))</f>
        <v>0</v>
      </c>
      <c r="MMC62" s="962">
        <f>MIN(MMC60*$C$62,'Sources and Uses Budget'!$J$99-SUM('15 Year Pro Forma'!$E$62:MMB62))</f>
        <v>0</v>
      </c>
      <c r="MME62" s="962">
        <f>MIN(MME60*$C$62,'Sources and Uses Budget'!$J$99-SUM('15 Year Pro Forma'!$E$62:MMD62))</f>
        <v>0</v>
      </c>
      <c r="MMG62" s="962">
        <f>MIN(MMG60*$C$62,'Sources and Uses Budget'!$J$99-SUM('15 Year Pro Forma'!$E$62:MMF62))</f>
        <v>0</v>
      </c>
      <c r="MMI62" s="962">
        <f>MIN(MMI60*$C$62,'Sources and Uses Budget'!$J$99-SUM('15 Year Pro Forma'!$E$62:MMH62))</f>
        <v>0</v>
      </c>
      <c r="MMK62" s="962">
        <f>MIN(MMK60*$C$62,'Sources and Uses Budget'!$J$99-SUM('15 Year Pro Forma'!$E$62:MMJ62))</f>
        <v>0</v>
      </c>
      <c r="MMM62" s="962">
        <f>MIN(MMM60*$C$62,'Sources and Uses Budget'!$J$99-SUM('15 Year Pro Forma'!$E$62:MML62))</f>
        <v>0</v>
      </c>
      <c r="MMO62" s="962">
        <f>MIN(MMO60*$C$62,'Sources and Uses Budget'!$J$99-SUM('15 Year Pro Forma'!$E$62:MMN62))</f>
        <v>0</v>
      </c>
      <c r="MMQ62" s="962">
        <f>MIN(MMQ60*$C$62,'Sources and Uses Budget'!$J$99-SUM('15 Year Pro Forma'!$E$62:MMP62))</f>
        <v>0</v>
      </c>
      <c r="MMS62" s="962">
        <f>MIN(MMS60*$C$62,'Sources and Uses Budget'!$J$99-SUM('15 Year Pro Forma'!$E$62:MMR62))</f>
        <v>0</v>
      </c>
      <c r="MMU62" s="962">
        <f>MIN(MMU60*$C$62,'Sources and Uses Budget'!$J$99-SUM('15 Year Pro Forma'!$E$62:MMT62))</f>
        <v>0</v>
      </c>
      <c r="MMW62" s="962">
        <f>MIN(MMW60*$C$62,'Sources and Uses Budget'!$J$99-SUM('15 Year Pro Forma'!$E$62:MMV62))</f>
        <v>0</v>
      </c>
      <c r="MMY62" s="962">
        <f>MIN(MMY60*$C$62,'Sources and Uses Budget'!$J$99-SUM('15 Year Pro Forma'!$E$62:MMX62))</f>
        <v>0</v>
      </c>
      <c r="MNA62" s="962">
        <f>MIN(MNA60*$C$62,'Sources and Uses Budget'!$J$99-SUM('15 Year Pro Forma'!$E$62:MMZ62))</f>
        <v>0</v>
      </c>
      <c r="MNC62" s="962">
        <f>MIN(MNC60*$C$62,'Sources and Uses Budget'!$J$99-SUM('15 Year Pro Forma'!$E$62:MNB62))</f>
        <v>0</v>
      </c>
      <c r="MNE62" s="962">
        <f>MIN(MNE60*$C$62,'Sources and Uses Budget'!$J$99-SUM('15 Year Pro Forma'!$E$62:MND62))</f>
        <v>0</v>
      </c>
      <c r="MNG62" s="962">
        <f>MIN(MNG60*$C$62,'Sources and Uses Budget'!$J$99-SUM('15 Year Pro Forma'!$E$62:MNF62))</f>
        <v>0</v>
      </c>
      <c r="MNI62" s="962">
        <f>MIN(MNI60*$C$62,'Sources and Uses Budget'!$J$99-SUM('15 Year Pro Forma'!$E$62:MNH62))</f>
        <v>0</v>
      </c>
      <c r="MNK62" s="962">
        <f>MIN(MNK60*$C$62,'Sources and Uses Budget'!$J$99-SUM('15 Year Pro Forma'!$E$62:MNJ62))</f>
        <v>0</v>
      </c>
      <c r="MNM62" s="962">
        <f>MIN(MNM60*$C$62,'Sources and Uses Budget'!$J$99-SUM('15 Year Pro Forma'!$E$62:MNL62))</f>
        <v>0</v>
      </c>
      <c r="MNO62" s="962">
        <f>MIN(MNO60*$C$62,'Sources and Uses Budget'!$J$99-SUM('15 Year Pro Forma'!$E$62:MNN62))</f>
        <v>0</v>
      </c>
      <c r="MNQ62" s="962">
        <f>MIN(MNQ60*$C$62,'Sources and Uses Budget'!$J$99-SUM('15 Year Pro Forma'!$E$62:MNP62))</f>
        <v>0</v>
      </c>
      <c r="MNS62" s="962">
        <f>MIN(MNS60*$C$62,'Sources and Uses Budget'!$J$99-SUM('15 Year Pro Forma'!$E$62:MNR62))</f>
        <v>0</v>
      </c>
      <c r="MNU62" s="962">
        <f>MIN(MNU60*$C$62,'Sources and Uses Budget'!$J$99-SUM('15 Year Pro Forma'!$E$62:MNT62))</f>
        <v>0</v>
      </c>
      <c r="MNW62" s="962">
        <f>MIN(MNW60*$C$62,'Sources and Uses Budget'!$J$99-SUM('15 Year Pro Forma'!$E$62:MNV62))</f>
        <v>0</v>
      </c>
      <c r="MNY62" s="962">
        <f>MIN(MNY60*$C$62,'Sources and Uses Budget'!$J$99-SUM('15 Year Pro Forma'!$E$62:MNX62))</f>
        <v>0</v>
      </c>
      <c r="MOA62" s="962">
        <f>MIN(MOA60*$C$62,'Sources and Uses Budget'!$J$99-SUM('15 Year Pro Forma'!$E$62:MNZ62))</f>
        <v>0</v>
      </c>
      <c r="MOC62" s="962">
        <f>MIN(MOC60*$C$62,'Sources and Uses Budget'!$J$99-SUM('15 Year Pro Forma'!$E$62:MOB62))</f>
        <v>0</v>
      </c>
      <c r="MOE62" s="962">
        <f>MIN(MOE60*$C$62,'Sources and Uses Budget'!$J$99-SUM('15 Year Pro Forma'!$E$62:MOD62))</f>
        <v>0</v>
      </c>
      <c r="MOG62" s="962">
        <f>MIN(MOG60*$C$62,'Sources and Uses Budget'!$J$99-SUM('15 Year Pro Forma'!$E$62:MOF62))</f>
        <v>0</v>
      </c>
      <c r="MOI62" s="962">
        <f>MIN(MOI60*$C$62,'Sources and Uses Budget'!$J$99-SUM('15 Year Pro Forma'!$E$62:MOH62))</f>
        <v>0</v>
      </c>
      <c r="MOK62" s="962">
        <f>MIN(MOK60*$C$62,'Sources and Uses Budget'!$J$99-SUM('15 Year Pro Forma'!$E$62:MOJ62))</f>
        <v>0</v>
      </c>
      <c r="MOM62" s="962">
        <f>MIN(MOM60*$C$62,'Sources and Uses Budget'!$J$99-SUM('15 Year Pro Forma'!$E$62:MOL62))</f>
        <v>0</v>
      </c>
      <c r="MOO62" s="962">
        <f>MIN(MOO60*$C$62,'Sources and Uses Budget'!$J$99-SUM('15 Year Pro Forma'!$E$62:MON62))</f>
        <v>0</v>
      </c>
      <c r="MOQ62" s="962">
        <f>MIN(MOQ60*$C$62,'Sources and Uses Budget'!$J$99-SUM('15 Year Pro Forma'!$E$62:MOP62))</f>
        <v>0</v>
      </c>
      <c r="MOS62" s="962">
        <f>MIN(MOS60*$C$62,'Sources and Uses Budget'!$J$99-SUM('15 Year Pro Forma'!$E$62:MOR62))</f>
        <v>0</v>
      </c>
      <c r="MOU62" s="962">
        <f>MIN(MOU60*$C$62,'Sources and Uses Budget'!$J$99-SUM('15 Year Pro Forma'!$E$62:MOT62))</f>
        <v>0</v>
      </c>
      <c r="MOW62" s="962">
        <f>MIN(MOW60*$C$62,'Sources and Uses Budget'!$J$99-SUM('15 Year Pro Forma'!$E$62:MOV62))</f>
        <v>0</v>
      </c>
      <c r="MOY62" s="962">
        <f>MIN(MOY60*$C$62,'Sources and Uses Budget'!$J$99-SUM('15 Year Pro Forma'!$E$62:MOX62))</f>
        <v>0</v>
      </c>
      <c r="MPA62" s="962">
        <f>MIN(MPA60*$C$62,'Sources and Uses Budget'!$J$99-SUM('15 Year Pro Forma'!$E$62:MOZ62))</f>
        <v>0</v>
      </c>
      <c r="MPC62" s="962">
        <f>MIN(MPC60*$C$62,'Sources and Uses Budget'!$J$99-SUM('15 Year Pro Forma'!$E$62:MPB62))</f>
        <v>0</v>
      </c>
      <c r="MPE62" s="962">
        <f>MIN(MPE60*$C$62,'Sources and Uses Budget'!$J$99-SUM('15 Year Pro Forma'!$E$62:MPD62))</f>
        <v>0</v>
      </c>
      <c r="MPG62" s="962">
        <f>MIN(MPG60*$C$62,'Sources and Uses Budget'!$J$99-SUM('15 Year Pro Forma'!$E$62:MPF62))</f>
        <v>0</v>
      </c>
      <c r="MPI62" s="962">
        <f>MIN(MPI60*$C$62,'Sources and Uses Budget'!$J$99-SUM('15 Year Pro Forma'!$E$62:MPH62))</f>
        <v>0</v>
      </c>
      <c r="MPK62" s="962">
        <f>MIN(MPK60*$C$62,'Sources and Uses Budget'!$J$99-SUM('15 Year Pro Forma'!$E$62:MPJ62))</f>
        <v>0</v>
      </c>
      <c r="MPM62" s="962">
        <f>MIN(MPM60*$C$62,'Sources and Uses Budget'!$J$99-SUM('15 Year Pro Forma'!$E$62:MPL62))</f>
        <v>0</v>
      </c>
      <c r="MPO62" s="962">
        <f>MIN(MPO60*$C$62,'Sources and Uses Budget'!$J$99-SUM('15 Year Pro Forma'!$E$62:MPN62))</f>
        <v>0</v>
      </c>
      <c r="MPQ62" s="962">
        <f>MIN(MPQ60*$C$62,'Sources and Uses Budget'!$J$99-SUM('15 Year Pro Forma'!$E$62:MPP62))</f>
        <v>0</v>
      </c>
      <c r="MPS62" s="962">
        <f>MIN(MPS60*$C$62,'Sources and Uses Budget'!$J$99-SUM('15 Year Pro Forma'!$E$62:MPR62))</f>
        <v>0</v>
      </c>
      <c r="MPU62" s="962">
        <f>MIN(MPU60*$C$62,'Sources and Uses Budget'!$J$99-SUM('15 Year Pro Forma'!$E$62:MPT62))</f>
        <v>0</v>
      </c>
      <c r="MPW62" s="962">
        <f>MIN(MPW60*$C$62,'Sources and Uses Budget'!$J$99-SUM('15 Year Pro Forma'!$E$62:MPV62))</f>
        <v>0</v>
      </c>
      <c r="MPY62" s="962">
        <f>MIN(MPY60*$C$62,'Sources and Uses Budget'!$J$99-SUM('15 Year Pro Forma'!$E$62:MPX62))</f>
        <v>0</v>
      </c>
      <c r="MQA62" s="962">
        <f>MIN(MQA60*$C$62,'Sources and Uses Budget'!$J$99-SUM('15 Year Pro Forma'!$E$62:MPZ62))</f>
        <v>0</v>
      </c>
      <c r="MQC62" s="962">
        <f>MIN(MQC60*$C$62,'Sources and Uses Budget'!$J$99-SUM('15 Year Pro Forma'!$E$62:MQB62))</f>
        <v>0</v>
      </c>
      <c r="MQE62" s="962">
        <f>MIN(MQE60*$C$62,'Sources and Uses Budget'!$J$99-SUM('15 Year Pro Forma'!$E$62:MQD62))</f>
        <v>0</v>
      </c>
      <c r="MQG62" s="962">
        <f>MIN(MQG60*$C$62,'Sources and Uses Budget'!$J$99-SUM('15 Year Pro Forma'!$E$62:MQF62))</f>
        <v>0</v>
      </c>
      <c r="MQI62" s="962">
        <f>MIN(MQI60*$C$62,'Sources and Uses Budget'!$J$99-SUM('15 Year Pro Forma'!$E$62:MQH62))</f>
        <v>0</v>
      </c>
      <c r="MQK62" s="962">
        <f>MIN(MQK60*$C$62,'Sources and Uses Budget'!$J$99-SUM('15 Year Pro Forma'!$E$62:MQJ62))</f>
        <v>0</v>
      </c>
      <c r="MQM62" s="962">
        <f>MIN(MQM60*$C$62,'Sources and Uses Budget'!$J$99-SUM('15 Year Pro Forma'!$E$62:MQL62))</f>
        <v>0</v>
      </c>
      <c r="MQO62" s="962">
        <f>MIN(MQO60*$C$62,'Sources and Uses Budget'!$J$99-SUM('15 Year Pro Forma'!$E$62:MQN62))</f>
        <v>0</v>
      </c>
      <c r="MQQ62" s="962">
        <f>MIN(MQQ60*$C$62,'Sources and Uses Budget'!$J$99-SUM('15 Year Pro Forma'!$E$62:MQP62))</f>
        <v>0</v>
      </c>
      <c r="MQS62" s="962">
        <f>MIN(MQS60*$C$62,'Sources and Uses Budget'!$J$99-SUM('15 Year Pro Forma'!$E$62:MQR62))</f>
        <v>0</v>
      </c>
      <c r="MQU62" s="962">
        <f>MIN(MQU60*$C$62,'Sources and Uses Budget'!$J$99-SUM('15 Year Pro Forma'!$E$62:MQT62))</f>
        <v>0</v>
      </c>
      <c r="MQW62" s="962">
        <f>MIN(MQW60*$C$62,'Sources and Uses Budget'!$J$99-SUM('15 Year Pro Forma'!$E$62:MQV62))</f>
        <v>0</v>
      </c>
      <c r="MQY62" s="962">
        <f>MIN(MQY60*$C$62,'Sources and Uses Budget'!$J$99-SUM('15 Year Pro Forma'!$E$62:MQX62))</f>
        <v>0</v>
      </c>
      <c r="MRA62" s="962">
        <f>MIN(MRA60*$C$62,'Sources and Uses Budget'!$J$99-SUM('15 Year Pro Forma'!$E$62:MQZ62))</f>
        <v>0</v>
      </c>
      <c r="MRC62" s="962">
        <f>MIN(MRC60*$C$62,'Sources and Uses Budget'!$J$99-SUM('15 Year Pro Forma'!$E$62:MRB62))</f>
        <v>0</v>
      </c>
      <c r="MRE62" s="962">
        <f>MIN(MRE60*$C$62,'Sources and Uses Budget'!$J$99-SUM('15 Year Pro Forma'!$E$62:MRD62))</f>
        <v>0</v>
      </c>
      <c r="MRG62" s="962">
        <f>MIN(MRG60*$C$62,'Sources and Uses Budget'!$J$99-SUM('15 Year Pro Forma'!$E$62:MRF62))</f>
        <v>0</v>
      </c>
      <c r="MRI62" s="962">
        <f>MIN(MRI60*$C$62,'Sources and Uses Budget'!$J$99-SUM('15 Year Pro Forma'!$E$62:MRH62))</f>
        <v>0</v>
      </c>
      <c r="MRK62" s="962">
        <f>MIN(MRK60*$C$62,'Sources and Uses Budget'!$J$99-SUM('15 Year Pro Forma'!$E$62:MRJ62))</f>
        <v>0</v>
      </c>
      <c r="MRM62" s="962">
        <f>MIN(MRM60*$C$62,'Sources and Uses Budget'!$J$99-SUM('15 Year Pro Forma'!$E$62:MRL62))</f>
        <v>0</v>
      </c>
      <c r="MRO62" s="962">
        <f>MIN(MRO60*$C$62,'Sources and Uses Budget'!$J$99-SUM('15 Year Pro Forma'!$E$62:MRN62))</f>
        <v>0</v>
      </c>
      <c r="MRQ62" s="962">
        <f>MIN(MRQ60*$C$62,'Sources and Uses Budget'!$J$99-SUM('15 Year Pro Forma'!$E$62:MRP62))</f>
        <v>0</v>
      </c>
      <c r="MRS62" s="962">
        <f>MIN(MRS60*$C$62,'Sources and Uses Budget'!$J$99-SUM('15 Year Pro Forma'!$E$62:MRR62))</f>
        <v>0</v>
      </c>
      <c r="MRU62" s="962">
        <f>MIN(MRU60*$C$62,'Sources and Uses Budget'!$J$99-SUM('15 Year Pro Forma'!$E$62:MRT62))</f>
        <v>0</v>
      </c>
      <c r="MRW62" s="962">
        <f>MIN(MRW60*$C$62,'Sources and Uses Budget'!$J$99-SUM('15 Year Pro Forma'!$E$62:MRV62))</f>
        <v>0</v>
      </c>
      <c r="MRY62" s="962">
        <f>MIN(MRY60*$C$62,'Sources and Uses Budget'!$J$99-SUM('15 Year Pro Forma'!$E$62:MRX62))</f>
        <v>0</v>
      </c>
      <c r="MSA62" s="962">
        <f>MIN(MSA60*$C$62,'Sources and Uses Budget'!$J$99-SUM('15 Year Pro Forma'!$E$62:MRZ62))</f>
        <v>0</v>
      </c>
      <c r="MSC62" s="962">
        <f>MIN(MSC60*$C$62,'Sources and Uses Budget'!$J$99-SUM('15 Year Pro Forma'!$E$62:MSB62))</f>
        <v>0</v>
      </c>
      <c r="MSE62" s="962">
        <f>MIN(MSE60*$C$62,'Sources and Uses Budget'!$J$99-SUM('15 Year Pro Forma'!$E$62:MSD62))</f>
        <v>0</v>
      </c>
      <c r="MSG62" s="962">
        <f>MIN(MSG60*$C$62,'Sources and Uses Budget'!$J$99-SUM('15 Year Pro Forma'!$E$62:MSF62))</f>
        <v>0</v>
      </c>
      <c r="MSI62" s="962">
        <f>MIN(MSI60*$C$62,'Sources and Uses Budget'!$J$99-SUM('15 Year Pro Forma'!$E$62:MSH62))</f>
        <v>0</v>
      </c>
      <c r="MSK62" s="962">
        <f>MIN(MSK60*$C$62,'Sources and Uses Budget'!$J$99-SUM('15 Year Pro Forma'!$E$62:MSJ62))</f>
        <v>0</v>
      </c>
      <c r="MSM62" s="962">
        <f>MIN(MSM60*$C$62,'Sources and Uses Budget'!$J$99-SUM('15 Year Pro Forma'!$E$62:MSL62))</f>
        <v>0</v>
      </c>
      <c r="MSO62" s="962">
        <f>MIN(MSO60*$C$62,'Sources and Uses Budget'!$J$99-SUM('15 Year Pro Forma'!$E$62:MSN62))</f>
        <v>0</v>
      </c>
      <c r="MSQ62" s="962">
        <f>MIN(MSQ60*$C$62,'Sources and Uses Budget'!$J$99-SUM('15 Year Pro Forma'!$E$62:MSP62))</f>
        <v>0</v>
      </c>
      <c r="MSS62" s="962">
        <f>MIN(MSS60*$C$62,'Sources and Uses Budget'!$J$99-SUM('15 Year Pro Forma'!$E$62:MSR62))</f>
        <v>0</v>
      </c>
      <c r="MSU62" s="962">
        <f>MIN(MSU60*$C$62,'Sources and Uses Budget'!$J$99-SUM('15 Year Pro Forma'!$E$62:MST62))</f>
        <v>0</v>
      </c>
      <c r="MSW62" s="962">
        <f>MIN(MSW60*$C$62,'Sources and Uses Budget'!$J$99-SUM('15 Year Pro Forma'!$E$62:MSV62))</f>
        <v>0</v>
      </c>
      <c r="MSY62" s="962">
        <f>MIN(MSY60*$C$62,'Sources and Uses Budget'!$J$99-SUM('15 Year Pro Forma'!$E$62:MSX62))</f>
        <v>0</v>
      </c>
      <c r="MTA62" s="962">
        <f>MIN(MTA60*$C$62,'Sources and Uses Budget'!$J$99-SUM('15 Year Pro Forma'!$E$62:MSZ62))</f>
        <v>0</v>
      </c>
      <c r="MTC62" s="962">
        <f>MIN(MTC60*$C$62,'Sources and Uses Budget'!$J$99-SUM('15 Year Pro Forma'!$E$62:MTB62))</f>
        <v>0</v>
      </c>
      <c r="MTE62" s="962">
        <f>MIN(MTE60*$C$62,'Sources and Uses Budget'!$J$99-SUM('15 Year Pro Forma'!$E$62:MTD62))</f>
        <v>0</v>
      </c>
      <c r="MTG62" s="962">
        <f>MIN(MTG60*$C$62,'Sources and Uses Budget'!$J$99-SUM('15 Year Pro Forma'!$E$62:MTF62))</f>
        <v>0</v>
      </c>
      <c r="MTI62" s="962">
        <f>MIN(MTI60*$C$62,'Sources and Uses Budget'!$J$99-SUM('15 Year Pro Forma'!$E$62:MTH62))</f>
        <v>0</v>
      </c>
      <c r="MTK62" s="962">
        <f>MIN(MTK60*$C$62,'Sources and Uses Budget'!$J$99-SUM('15 Year Pro Forma'!$E$62:MTJ62))</f>
        <v>0</v>
      </c>
      <c r="MTM62" s="962">
        <f>MIN(MTM60*$C$62,'Sources and Uses Budget'!$J$99-SUM('15 Year Pro Forma'!$E$62:MTL62))</f>
        <v>0</v>
      </c>
      <c r="MTO62" s="962">
        <f>MIN(MTO60*$C$62,'Sources and Uses Budget'!$J$99-SUM('15 Year Pro Forma'!$E$62:MTN62))</f>
        <v>0</v>
      </c>
      <c r="MTQ62" s="962">
        <f>MIN(MTQ60*$C$62,'Sources and Uses Budget'!$J$99-SUM('15 Year Pro Forma'!$E$62:MTP62))</f>
        <v>0</v>
      </c>
      <c r="MTS62" s="962">
        <f>MIN(MTS60*$C$62,'Sources and Uses Budget'!$J$99-SUM('15 Year Pro Forma'!$E$62:MTR62))</f>
        <v>0</v>
      </c>
      <c r="MTU62" s="962">
        <f>MIN(MTU60*$C$62,'Sources and Uses Budget'!$J$99-SUM('15 Year Pro Forma'!$E$62:MTT62))</f>
        <v>0</v>
      </c>
      <c r="MTW62" s="962">
        <f>MIN(MTW60*$C$62,'Sources and Uses Budget'!$J$99-SUM('15 Year Pro Forma'!$E$62:MTV62))</f>
        <v>0</v>
      </c>
      <c r="MTY62" s="962">
        <f>MIN(MTY60*$C$62,'Sources and Uses Budget'!$J$99-SUM('15 Year Pro Forma'!$E$62:MTX62))</f>
        <v>0</v>
      </c>
      <c r="MUA62" s="962">
        <f>MIN(MUA60*$C$62,'Sources and Uses Budget'!$J$99-SUM('15 Year Pro Forma'!$E$62:MTZ62))</f>
        <v>0</v>
      </c>
      <c r="MUC62" s="962">
        <f>MIN(MUC60*$C$62,'Sources and Uses Budget'!$J$99-SUM('15 Year Pro Forma'!$E$62:MUB62))</f>
        <v>0</v>
      </c>
      <c r="MUE62" s="962">
        <f>MIN(MUE60*$C$62,'Sources and Uses Budget'!$J$99-SUM('15 Year Pro Forma'!$E$62:MUD62))</f>
        <v>0</v>
      </c>
      <c r="MUG62" s="962">
        <f>MIN(MUG60*$C$62,'Sources and Uses Budget'!$J$99-SUM('15 Year Pro Forma'!$E$62:MUF62))</f>
        <v>0</v>
      </c>
      <c r="MUI62" s="962">
        <f>MIN(MUI60*$C$62,'Sources and Uses Budget'!$J$99-SUM('15 Year Pro Forma'!$E$62:MUH62))</f>
        <v>0</v>
      </c>
      <c r="MUK62" s="962">
        <f>MIN(MUK60*$C$62,'Sources and Uses Budget'!$J$99-SUM('15 Year Pro Forma'!$E$62:MUJ62))</f>
        <v>0</v>
      </c>
      <c r="MUM62" s="962">
        <f>MIN(MUM60*$C$62,'Sources and Uses Budget'!$J$99-SUM('15 Year Pro Forma'!$E$62:MUL62))</f>
        <v>0</v>
      </c>
      <c r="MUO62" s="962">
        <f>MIN(MUO60*$C$62,'Sources and Uses Budget'!$J$99-SUM('15 Year Pro Forma'!$E$62:MUN62))</f>
        <v>0</v>
      </c>
      <c r="MUQ62" s="962">
        <f>MIN(MUQ60*$C$62,'Sources and Uses Budget'!$J$99-SUM('15 Year Pro Forma'!$E$62:MUP62))</f>
        <v>0</v>
      </c>
      <c r="MUS62" s="962">
        <f>MIN(MUS60*$C$62,'Sources and Uses Budget'!$J$99-SUM('15 Year Pro Forma'!$E$62:MUR62))</f>
        <v>0</v>
      </c>
      <c r="MUU62" s="962">
        <f>MIN(MUU60*$C$62,'Sources and Uses Budget'!$J$99-SUM('15 Year Pro Forma'!$E$62:MUT62))</f>
        <v>0</v>
      </c>
      <c r="MUW62" s="962">
        <f>MIN(MUW60*$C$62,'Sources and Uses Budget'!$J$99-SUM('15 Year Pro Forma'!$E$62:MUV62))</f>
        <v>0</v>
      </c>
      <c r="MUY62" s="962">
        <f>MIN(MUY60*$C$62,'Sources and Uses Budget'!$J$99-SUM('15 Year Pro Forma'!$E$62:MUX62))</f>
        <v>0</v>
      </c>
      <c r="MVA62" s="962">
        <f>MIN(MVA60*$C$62,'Sources and Uses Budget'!$J$99-SUM('15 Year Pro Forma'!$E$62:MUZ62))</f>
        <v>0</v>
      </c>
      <c r="MVC62" s="962">
        <f>MIN(MVC60*$C$62,'Sources and Uses Budget'!$J$99-SUM('15 Year Pro Forma'!$E$62:MVB62))</f>
        <v>0</v>
      </c>
      <c r="MVE62" s="962">
        <f>MIN(MVE60*$C$62,'Sources and Uses Budget'!$J$99-SUM('15 Year Pro Forma'!$E$62:MVD62))</f>
        <v>0</v>
      </c>
      <c r="MVG62" s="962">
        <f>MIN(MVG60*$C$62,'Sources and Uses Budget'!$J$99-SUM('15 Year Pro Forma'!$E$62:MVF62))</f>
        <v>0</v>
      </c>
      <c r="MVI62" s="962">
        <f>MIN(MVI60*$C$62,'Sources and Uses Budget'!$J$99-SUM('15 Year Pro Forma'!$E$62:MVH62))</f>
        <v>0</v>
      </c>
      <c r="MVK62" s="962">
        <f>MIN(MVK60*$C$62,'Sources and Uses Budget'!$J$99-SUM('15 Year Pro Forma'!$E$62:MVJ62))</f>
        <v>0</v>
      </c>
      <c r="MVM62" s="962">
        <f>MIN(MVM60*$C$62,'Sources and Uses Budget'!$J$99-SUM('15 Year Pro Forma'!$E$62:MVL62))</f>
        <v>0</v>
      </c>
      <c r="MVO62" s="962">
        <f>MIN(MVO60*$C$62,'Sources and Uses Budget'!$J$99-SUM('15 Year Pro Forma'!$E$62:MVN62))</f>
        <v>0</v>
      </c>
      <c r="MVQ62" s="962">
        <f>MIN(MVQ60*$C$62,'Sources and Uses Budget'!$J$99-SUM('15 Year Pro Forma'!$E$62:MVP62))</f>
        <v>0</v>
      </c>
      <c r="MVS62" s="962">
        <f>MIN(MVS60*$C$62,'Sources and Uses Budget'!$J$99-SUM('15 Year Pro Forma'!$E$62:MVR62))</f>
        <v>0</v>
      </c>
      <c r="MVU62" s="962">
        <f>MIN(MVU60*$C$62,'Sources and Uses Budget'!$J$99-SUM('15 Year Pro Forma'!$E$62:MVT62))</f>
        <v>0</v>
      </c>
      <c r="MVW62" s="962">
        <f>MIN(MVW60*$C$62,'Sources and Uses Budget'!$J$99-SUM('15 Year Pro Forma'!$E$62:MVV62))</f>
        <v>0</v>
      </c>
      <c r="MVY62" s="962">
        <f>MIN(MVY60*$C$62,'Sources and Uses Budget'!$J$99-SUM('15 Year Pro Forma'!$E$62:MVX62))</f>
        <v>0</v>
      </c>
      <c r="MWA62" s="962">
        <f>MIN(MWA60*$C$62,'Sources and Uses Budget'!$J$99-SUM('15 Year Pro Forma'!$E$62:MVZ62))</f>
        <v>0</v>
      </c>
      <c r="MWC62" s="962">
        <f>MIN(MWC60*$C$62,'Sources and Uses Budget'!$J$99-SUM('15 Year Pro Forma'!$E$62:MWB62))</f>
        <v>0</v>
      </c>
      <c r="MWE62" s="962">
        <f>MIN(MWE60*$C$62,'Sources and Uses Budget'!$J$99-SUM('15 Year Pro Forma'!$E$62:MWD62))</f>
        <v>0</v>
      </c>
      <c r="MWG62" s="962">
        <f>MIN(MWG60*$C$62,'Sources and Uses Budget'!$J$99-SUM('15 Year Pro Forma'!$E$62:MWF62))</f>
        <v>0</v>
      </c>
      <c r="MWI62" s="962">
        <f>MIN(MWI60*$C$62,'Sources and Uses Budget'!$J$99-SUM('15 Year Pro Forma'!$E$62:MWH62))</f>
        <v>0</v>
      </c>
      <c r="MWK62" s="962">
        <f>MIN(MWK60*$C$62,'Sources and Uses Budget'!$J$99-SUM('15 Year Pro Forma'!$E$62:MWJ62))</f>
        <v>0</v>
      </c>
      <c r="MWM62" s="962">
        <f>MIN(MWM60*$C$62,'Sources and Uses Budget'!$J$99-SUM('15 Year Pro Forma'!$E$62:MWL62))</f>
        <v>0</v>
      </c>
      <c r="MWO62" s="962">
        <f>MIN(MWO60*$C$62,'Sources and Uses Budget'!$J$99-SUM('15 Year Pro Forma'!$E$62:MWN62))</f>
        <v>0</v>
      </c>
      <c r="MWQ62" s="962">
        <f>MIN(MWQ60*$C$62,'Sources and Uses Budget'!$J$99-SUM('15 Year Pro Forma'!$E$62:MWP62))</f>
        <v>0</v>
      </c>
      <c r="MWS62" s="962">
        <f>MIN(MWS60*$C$62,'Sources and Uses Budget'!$J$99-SUM('15 Year Pro Forma'!$E$62:MWR62))</f>
        <v>0</v>
      </c>
      <c r="MWU62" s="962">
        <f>MIN(MWU60*$C$62,'Sources and Uses Budget'!$J$99-SUM('15 Year Pro Forma'!$E$62:MWT62))</f>
        <v>0</v>
      </c>
      <c r="MWW62" s="962">
        <f>MIN(MWW60*$C$62,'Sources and Uses Budget'!$J$99-SUM('15 Year Pro Forma'!$E$62:MWV62))</f>
        <v>0</v>
      </c>
      <c r="MWY62" s="962">
        <f>MIN(MWY60*$C$62,'Sources and Uses Budget'!$J$99-SUM('15 Year Pro Forma'!$E$62:MWX62))</f>
        <v>0</v>
      </c>
      <c r="MXA62" s="962">
        <f>MIN(MXA60*$C$62,'Sources and Uses Budget'!$J$99-SUM('15 Year Pro Forma'!$E$62:MWZ62))</f>
        <v>0</v>
      </c>
      <c r="MXC62" s="962">
        <f>MIN(MXC60*$C$62,'Sources and Uses Budget'!$J$99-SUM('15 Year Pro Forma'!$E$62:MXB62))</f>
        <v>0</v>
      </c>
      <c r="MXE62" s="962">
        <f>MIN(MXE60*$C$62,'Sources and Uses Budget'!$J$99-SUM('15 Year Pro Forma'!$E$62:MXD62))</f>
        <v>0</v>
      </c>
      <c r="MXG62" s="962">
        <f>MIN(MXG60*$C$62,'Sources and Uses Budget'!$J$99-SUM('15 Year Pro Forma'!$E$62:MXF62))</f>
        <v>0</v>
      </c>
      <c r="MXI62" s="962">
        <f>MIN(MXI60*$C$62,'Sources and Uses Budget'!$J$99-SUM('15 Year Pro Forma'!$E$62:MXH62))</f>
        <v>0</v>
      </c>
      <c r="MXK62" s="962">
        <f>MIN(MXK60*$C$62,'Sources and Uses Budget'!$J$99-SUM('15 Year Pro Forma'!$E$62:MXJ62))</f>
        <v>0</v>
      </c>
      <c r="MXM62" s="962">
        <f>MIN(MXM60*$C$62,'Sources and Uses Budget'!$J$99-SUM('15 Year Pro Forma'!$E$62:MXL62))</f>
        <v>0</v>
      </c>
      <c r="MXO62" s="962">
        <f>MIN(MXO60*$C$62,'Sources and Uses Budget'!$J$99-SUM('15 Year Pro Forma'!$E$62:MXN62))</f>
        <v>0</v>
      </c>
      <c r="MXQ62" s="962">
        <f>MIN(MXQ60*$C$62,'Sources and Uses Budget'!$J$99-SUM('15 Year Pro Forma'!$E$62:MXP62))</f>
        <v>0</v>
      </c>
      <c r="MXS62" s="962">
        <f>MIN(MXS60*$C$62,'Sources and Uses Budget'!$J$99-SUM('15 Year Pro Forma'!$E$62:MXR62))</f>
        <v>0</v>
      </c>
      <c r="MXU62" s="962">
        <f>MIN(MXU60*$C$62,'Sources and Uses Budget'!$J$99-SUM('15 Year Pro Forma'!$E$62:MXT62))</f>
        <v>0</v>
      </c>
      <c r="MXW62" s="962">
        <f>MIN(MXW60*$C$62,'Sources and Uses Budget'!$J$99-SUM('15 Year Pro Forma'!$E$62:MXV62))</f>
        <v>0</v>
      </c>
      <c r="MXY62" s="962">
        <f>MIN(MXY60*$C$62,'Sources and Uses Budget'!$J$99-SUM('15 Year Pro Forma'!$E$62:MXX62))</f>
        <v>0</v>
      </c>
      <c r="MYA62" s="962">
        <f>MIN(MYA60*$C$62,'Sources and Uses Budget'!$J$99-SUM('15 Year Pro Forma'!$E$62:MXZ62))</f>
        <v>0</v>
      </c>
      <c r="MYC62" s="962">
        <f>MIN(MYC60*$C$62,'Sources and Uses Budget'!$J$99-SUM('15 Year Pro Forma'!$E$62:MYB62))</f>
        <v>0</v>
      </c>
      <c r="MYE62" s="962">
        <f>MIN(MYE60*$C$62,'Sources and Uses Budget'!$J$99-SUM('15 Year Pro Forma'!$E$62:MYD62))</f>
        <v>0</v>
      </c>
      <c r="MYG62" s="962">
        <f>MIN(MYG60*$C$62,'Sources and Uses Budget'!$J$99-SUM('15 Year Pro Forma'!$E$62:MYF62))</f>
        <v>0</v>
      </c>
      <c r="MYI62" s="962">
        <f>MIN(MYI60*$C$62,'Sources and Uses Budget'!$J$99-SUM('15 Year Pro Forma'!$E$62:MYH62))</f>
        <v>0</v>
      </c>
      <c r="MYK62" s="962">
        <f>MIN(MYK60*$C$62,'Sources and Uses Budget'!$J$99-SUM('15 Year Pro Forma'!$E$62:MYJ62))</f>
        <v>0</v>
      </c>
      <c r="MYM62" s="962">
        <f>MIN(MYM60*$C$62,'Sources and Uses Budget'!$J$99-SUM('15 Year Pro Forma'!$E$62:MYL62))</f>
        <v>0</v>
      </c>
      <c r="MYO62" s="962">
        <f>MIN(MYO60*$C$62,'Sources and Uses Budget'!$J$99-SUM('15 Year Pro Forma'!$E$62:MYN62))</f>
        <v>0</v>
      </c>
      <c r="MYQ62" s="962">
        <f>MIN(MYQ60*$C$62,'Sources and Uses Budget'!$J$99-SUM('15 Year Pro Forma'!$E$62:MYP62))</f>
        <v>0</v>
      </c>
      <c r="MYS62" s="962">
        <f>MIN(MYS60*$C$62,'Sources and Uses Budget'!$J$99-SUM('15 Year Pro Forma'!$E$62:MYR62))</f>
        <v>0</v>
      </c>
      <c r="MYU62" s="962">
        <f>MIN(MYU60*$C$62,'Sources and Uses Budget'!$J$99-SUM('15 Year Pro Forma'!$E$62:MYT62))</f>
        <v>0</v>
      </c>
      <c r="MYW62" s="962">
        <f>MIN(MYW60*$C$62,'Sources and Uses Budget'!$J$99-SUM('15 Year Pro Forma'!$E$62:MYV62))</f>
        <v>0</v>
      </c>
      <c r="MYY62" s="962">
        <f>MIN(MYY60*$C$62,'Sources and Uses Budget'!$J$99-SUM('15 Year Pro Forma'!$E$62:MYX62))</f>
        <v>0</v>
      </c>
      <c r="MZA62" s="962">
        <f>MIN(MZA60*$C$62,'Sources and Uses Budget'!$J$99-SUM('15 Year Pro Forma'!$E$62:MYZ62))</f>
        <v>0</v>
      </c>
      <c r="MZC62" s="962">
        <f>MIN(MZC60*$C$62,'Sources and Uses Budget'!$J$99-SUM('15 Year Pro Forma'!$E$62:MZB62))</f>
        <v>0</v>
      </c>
      <c r="MZE62" s="962">
        <f>MIN(MZE60*$C$62,'Sources and Uses Budget'!$J$99-SUM('15 Year Pro Forma'!$E$62:MZD62))</f>
        <v>0</v>
      </c>
      <c r="MZG62" s="962">
        <f>MIN(MZG60*$C$62,'Sources and Uses Budget'!$J$99-SUM('15 Year Pro Forma'!$E$62:MZF62))</f>
        <v>0</v>
      </c>
      <c r="MZI62" s="962">
        <f>MIN(MZI60*$C$62,'Sources and Uses Budget'!$J$99-SUM('15 Year Pro Forma'!$E$62:MZH62))</f>
        <v>0</v>
      </c>
      <c r="MZK62" s="962">
        <f>MIN(MZK60*$C$62,'Sources and Uses Budget'!$J$99-SUM('15 Year Pro Forma'!$E$62:MZJ62))</f>
        <v>0</v>
      </c>
      <c r="MZM62" s="962">
        <f>MIN(MZM60*$C$62,'Sources and Uses Budget'!$J$99-SUM('15 Year Pro Forma'!$E$62:MZL62))</f>
        <v>0</v>
      </c>
      <c r="MZO62" s="962">
        <f>MIN(MZO60*$C$62,'Sources and Uses Budget'!$J$99-SUM('15 Year Pro Forma'!$E$62:MZN62))</f>
        <v>0</v>
      </c>
      <c r="MZQ62" s="962">
        <f>MIN(MZQ60*$C$62,'Sources and Uses Budget'!$J$99-SUM('15 Year Pro Forma'!$E$62:MZP62))</f>
        <v>0</v>
      </c>
      <c r="MZS62" s="962">
        <f>MIN(MZS60*$C$62,'Sources and Uses Budget'!$J$99-SUM('15 Year Pro Forma'!$E$62:MZR62))</f>
        <v>0</v>
      </c>
      <c r="MZU62" s="962">
        <f>MIN(MZU60*$C$62,'Sources and Uses Budget'!$J$99-SUM('15 Year Pro Forma'!$E$62:MZT62))</f>
        <v>0</v>
      </c>
      <c r="MZW62" s="962">
        <f>MIN(MZW60*$C$62,'Sources and Uses Budget'!$J$99-SUM('15 Year Pro Forma'!$E$62:MZV62))</f>
        <v>0</v>
      </c>
      <c r="MZY62" s="962">
        <f>MIN(MZY60*$C$62,'Sources and Uses Budget'!$J$99-SUM('15 Year Pro Forma'!$E$62:MZX62))</f>
        <v>0</v>
      </c>
      <c r="NAA62" s="962">
        <f>MIN(NAA60*$C$62,'Sources and Uses Budget'!$J$99-SUM('15 Year Pro Forma'!$E$62:MZZ62))</f>
        <v>0</v>
      </c>
      <c r="NAC62" s="962">
        <f>MIN(NAC60*$C$62,'Sources and Uses Budget'!$J$99-SUM('15 Year Pro Forma'!$E$62:NAB62))</f>
        <v>0</v>
      </c>
      <c r="NAE62" s="962">
        <f>MIN(NAE60*$C$62,'Sources and Uses Budget'!$J$99-SUM('15 Year Pro Forma'!$E$62:NAD62))</f>
        <v>0</v>
      </c>
      <c r="NAG62" s="962">
        <f>MIN(NAG60*$C$62,'Sources and Uses Budget'!$J$99-SUM('15 Year Pro Forma'!$E$62:NAF62))</f>
        <v>0</v>
      </c>
      <c r="NAI62" s="962">
        <f>MIN(NAI60*$C$62,'Sources and Uses Budget'!$J$99-SUM('15 Year Pro Forma'!$E$62:NAH62))</f>
        <v>0</v>
      </c>
      <c r="NAK62" s="962">
        <f>MIN(NAK60*$C$62,'Sources and Uses Budget'!$J$99-SUM('15 Year Pro Forma'!$E$62:NAJ62))</f>
        <v>0</v>
      </c>
      <c r="NAM62" s="962">
        <f>MIN(NAM60*$C$62,'Sources and Uses Budget'!$J$99-SUM('15 Year Pro Forma'!$E$62:NAL62))</f>
        <v>0</v>
      </c>
      <c r="NAO62" s="962">
        <f>MIN(NAO60*$C$62,'Sources and Uses Budget'!$J$99-SUM('15 Year Pro Forma'!$E$62:NAN62))</f>
        <v>0</v>
      </c>
      <c r="NAQ62" s="962">
        <f>MIN(NAQ60*$C$62,'Sources and Uses Budget'!$J$99-SUM('15 Year Pro Forma'!$E$62:NAP62))</f>
        <v>0</v>
      </c>
      <c r="NAS62" s="962">
        <f>MIN(NAS60*$C$62,'Sources and Uses Budget'!$J$99-SUM('15 Year Pro Forma'!$E$62:NAR62))</f>
        <v>0</v>
      </c>
      <c r="NAU62" s="962">
        <f>MIN(NAU60*$C$62,'Sources and Uses Budget'!$J$99-SUM('15 Year Pro Forma'!$E$62:NAT62))</f>
        <v>0</v>
      </c>
      <c r="NAW62" s="962">
        <f>MIN(NAW60*$C$62,'Sources and Uses Budget'!$J$99-SUM('15 Year Pro Forma'!$E$62:NAV62))</f>
        <v>0</v>
      </c>
      <c r="NAY62" s="962">
        <f>MIN(NAY60*$C$62,'Sources and Uses Budget'!$J$99-SUM('15 Year Pro Forma'!$E$62:NAX62))</f>
        <v>0</v>
      </c>
      <c r="NBA62" s="962">
        <f>MIN(NBA60*$C$62,'Sources and Uses Budget'!$J$99-SUM('15 Year Pro Forma'!$E$62:NAZ62))</f>
        <v>0</v>
      </c>
      <c r="NBC62" s="962">
        <f>MIN(NBC60*$C$62,'Sources and Uses Budget'!$J$99-SUM('15 Year Pro Forma'!$E$62:NBB62))</f>
        <v>0</v>
      </c>
      <c r="NBE62" s="962">
        <f>MIN(NBE60*$C$62,'Sources and Uses Budget'!$J$99-SUM('15 Year Pro Forma'!$E$62:NBD62))</f>
        <v>0</v>
      </c>
      <c r="NBG62" s="962">
        <f>MIN(NBG60*$C$62,'Sources and Uses Budget'!$J$99-SUM('15 Year Pro Forma'!$E$62:NBF62))</f>
        <v>0</v>
      </c>
      <c r="NBI62" s="962">
        <f>MIN(NBI60*$C$62,'Sources and Uses Budget'!$J$99-SUM('15 Year Pro Forma'!$E$62:NBH62))</f>
        <v>0</v>
      </c>
      <c r="NBK62" s="962">
        <f>MIN(NBK60*$C$62,'Sources and Uses Budget'!$J$99-SUM('15 Year Pro Forma'!$E$62:NBJ62))</f>
        <v>0</v>
      </c>
      <c r="NBM62" s="962">
        <f>MIN(NBM60*$C$62,'Sources and Uses Budget'!$J$99-SUM('15 Year Pro Forma'!$E$62:NBL62))</f>
        <v>0</v>
      </c>
      <c r="NBO62" s="962">
        <f>MIN(NBO60*$C$62,'Sources and Uses Budget'!$J$99-SUM('15 Year Pro Forma'!$E$62:NBN62))</f>
        <v>0</v>
      </c>
      <c r="NBQ62" s="962">
        <f>MIN(NBQ60*$C$62,'Sources and Uses Budget'!$J$99-SUM('15 Year Pro Forma'!$E$62:NBP62))</f>
        <v>0</v>
      </c>
      <c r="NBS62" s="962">
        <f>MIN(NBS60*$C$62,'Sources and Uses Budget'!$J$99-SUM('15 Year Pro Forma'!$E$62:NBR62))</f>
        <v>0</v>
      </c>
      <c r="NBU62" s="962">
        <f>MIN(NBU60*$C$62,'Sources and Uses Budget'!$J$99-SUM('15 Year Pro Forma'!$E$62:NBT62))</f>
        <v>0</v>
      </c>
      <c r="NBW62" s="962">
        <f>MIN(NBW60*$C$62,'Sources and Uses Budget'!$J$99-SUM('15 Year Pro Forma'!$E$62:NBV62))</f>
        <v>0</v>
      </c>
      <c r="NBY62" s="962">
        <f>MIN(NBY60*$C$62,'Sources and Uses Budget'!$J$99-SUM('15 Year Pro Forma'!$E$62:NBX62))</f>
        <v>0</v>
      </c>
      <c r="NCA62" s="962">
        <f>MIN(NCA60*$C$62,'Sources and Uses Budget'!$J$99-SUM('15 Year Pro Forma'!$E$62:NBZ62))</f>
        <v>0</v>
      </c>
      <c r="NCC62" s="962">
        <f>MIN(NCC60*$C$62,'Sources and Uses Budget'!$J$99-SUM('15 Year Pro Forma'!$E$62:NCB62))</f>
        <v>0</v>
      </c>
      <c r="NCE62" s="962">
        <f>MIN(NCE60*$C$62,'Sources and Uses Budget'!$J$99-SUM('15 Year Pro Forma'!$E$62:NCD62))</f>
        <v>0</v>
      </c>
      <c r="NCG62" s="962">
        <f>MIN(NCG60*$C$62,'Sources and Uses Budget'!$J$99-SUM('15 Year Pro Forma'!$E$62:NCF62))</f>
        <v>0</v>
      </c>
      <c r="NCI62" s="962">
        <f>MIN(NCI60*$C$62,'Sources and Uses Budget'!$J$99-SUM('15 Year Pro Forma'!$E$62:NCH62))</f>
        <v>0</v>
      </c>
      <c r="NCK62" s="962">
        <f>MIN(NCK60*$C$62,'Sources and Uses Budget'!$J$99-SUM('15 Year Pro Forma'!$E$62:NCJ62))</f>
        <v>0</v>
      </c>
      <c r="NCM62" s="962">
        <f>MIN(NCM60*$C$62,'Sources and Uses Budget'!$J$99-SUM('15 Year Pro Forma'!$E$62:NCL62))</f>
        <v>0</v>
      </c>
      <c r="NCO62" s="962">
        <f>MIN(NCO60*$C$62,'Sources and Uses Budget'!$J$99-SUM('15 Year Pro Forma'!$E$62:NCN62))</f>
        <v>0</v>
      </c>
      <c r="NCQ62" s="962">
        <f>MIN(NCQ60*$C$62,'Sources and Uses Budget'!$J$99-SUM('15 Year Pro Forma'!$E$62:NCP62))</f>
        <v>0</v>
      </c>
      <c r="NCS62" s="962">
        <f>MIN(NCS60*$C$62,'Sources and Uses Budget'!$J$99-SUM('15 Year Pro Forma'!$E$62:NCR62))</f>
        <v>0</v>
      </c>
      <c r="NCU62" s="962">
        <f>MIN(NCU60*$C$62,'Sources and Uses Budget'!$J$99-SUM('15 Year Pro Forma'!$E$62:NCT62))</f>
        <v>0</v>
      </c>
      <c r="NCW62" s="962">
        <f>MIN(NCW60*$C$62,'Sources and Uses Budget'!$J$99-SUM('15 Year Pro Forma'!$E$62:NCV62))</f>
        <v>0</v>
      </c>
      <c r="NCY62" s="962">
        <f>MIN(NCY60*$C$62,'Sources and Uses Budget'!$J$99-SUM('15 Year Pro Forma'!$E$62:NCX62))</f>
        <v>0</v>
      </c>
      <c r="NDA62" s="962">
        <f>MIN(NDA60*$C$62,'Sources and Uses Budget'!$J$99-SUM('15 Year Pro Forma'!$E$62:NCZ62))</f>
        <v>0</v>
      </c>
      <c r="NDC62" s="962">
        <f>MIN(NDC60*$C$62,'Sources and Uses Budget'!$J$99-SUM('15 Year Pro Forma'!$E$62:NDB62))</f>
        <v>0</v>
      </c>
      <c r="NDE62" s="962">
        <f>MIN(NDE60*$C$62,'Sources and Uses Budget'!$J$99-SUM('15 Year Pro Forma'!$E$62:NDD62))</f>
        <v>0</v>
      </c>
      <c r="NDG62" s="962">
        <f>MIN(NDG60*$C$62,'Sources and Uses Budget'!$J$99-SUM('15 Year Pro Forma'!$E$62:NDF62))</f>
        <v>0</v>
      </c>
      <c r="NDI62" s="962">
        <f>MIN(NDI60*$C$62,'Sources and Uses Budget'!$J$99-SUM('15 Year Pro Forma'!$E$62:NDH62))</f>
        <v>0</v>
      </c>
      <c r="NDK62" s="962">
        <f>MIN(NDK60*$C$62,'Sources and Uses Budget'!$J$99-SUM('15 Year Pro Forma'!$E$62:NDJ62))</f>
        <v>0</v>
      </c>
      <c r="NDM62" s="962">
        <f>MIN(NDM60*$C$62,'Sources and Uses Budget'!$J$99-SUM('15 Year Pro Forma'!$E$62:NDL62))</f>
        <v>0</v>
      </c>
      <c r="NDO62" s="962">
        <f>MIN(NDO60*$C$62,'Sources and Uses Budget'!$J$99-SUM('15 Year Pro Forma'!$E$62:NDN62))</f>
        <v>0</v>
      </c>
      <c r="NDQ62" s="962">
        <f>MIN(NDQ60*$C$62,'Sources and Uses Budget'!$J$99-SUM('15 Year Pro Forma'!$E$62:NDP62))</f>
        <v>0</v>
      </c>
      <c r="NDS62" s="962">
        <f>MIN(NDS60*$C$62,'Sources and Uses Budget'!$J$99-SUM('15 Year Pro Forma'!$E$62:NDR62))</f>
        <v>0</v>
      </c>
      <c r="NDU62" s="962">
        <f>MIN(NDU60*$C$62,'Sources and Uses Budget'!$J$99-SUM('15 Year Pro Forma'!$E$62:NDT62))</f>
        <v>0</v>
      </c>
      <c r="NDW62" s="962">
        <f>MIN(NDW60*$C$62,'Sources and Uses Budget'!$J$99-SUM('15 Year Pro Forma'!$E$62:NDV62))</f>
        <v>0</v>
      </c>
      <c r="NDY62" s="962">
        <f>MIN(NDY60*$C$62,'Sources and Uses Budget'!$J$99-SUM('15 Year Pro Forma'!$E$62:NDX62))</f>
        <v>0</v>
      </c>
      <c r="NEA62" s="962">
        <f>MIN(NEA60*$C$62,'Sources and Uses Budget'!$J$99-SUM('15 Year Pro Forma'!$E$62:NDZ62))</f>
        <v>0</v>
      </c>
      <c r="NEC62" s="962">
        <f>MIN(NEC60*$C$62,'Sources and Uses Budget'!$J$99-SUM('15 Year Pro Forma'!$E$62:NEB62))</f>
        <v>0</v>
      </c>
      <c r="NEE62" s="962">
        <f>MIN(NEE60*$C$62,'Sources and Uses Budget'!$J$99-SUM('15 Year Pro Forma'!$E$62:NED62))</f>
        <v>0</v>
      </c>
      <c r="NEG62" s="962">
        <f>MIN(NEG60*$C$62,'Sources and Uses Budget'!$J$99-SUM('15 Year Pro Forma'!$E$62:NEF62))</f>
        <v>0</v>
      </c>
      <c r="NEI62" s="962">
        <f>MIN(NEI60*$C$62,'Sources and Uses Budget'!$J$99-SUM('15 Year Pro Forma'!$E$62:NEH62))</f>
        <v>0</v>
      </c>
      <c r="NEK62" s="962">
        <f>MIN(NEK60*$C$62,'Sources and Uses Budget'!$J$99-SUM('15 Year Pro Forma'!$E$62:NEJ62))</f>
        <v>0</v>
      </c>
      <c r="NEM62" s="962">
        <f>MIN(NEM60*$C$62,'Sources and Uses Budget'!$J$99-SUM('15 Year Pro Forma'!$E$62:NEL62))</f>
        <v>0</v>
      </c>
      <c r="NEO62" s="962">
        <f>MIN(NEO60*$C$62,'Sources and Uses Budget'!$J$99-SUM('15 Year Pro Forma'!$E$62:NEN62))</f>
        <v>0</v>
      </c>
      <c r="NEQ62" s="962">
        <f>MIN(NEQ60*$C$62,'Sources and Uses Budget'!$J$99-SUM('15 Year Pro Forma'!$E$62:NEP62))</f>
        <v>0</v>
      </c>
      <c r="NES62" s="962">
        <f>MIN(NES60*$C$62,'Sources and Uses Budget'!$J$99-SUM('15 Year Pro Forma'!$E$62:NER62))</f>
        <v>0</v>
      </c>
      <c r="NEU62" s="962">
        <f>MIN(NEU60*$C$62,'Sources and Uses Budget'!$J$99-SUM('15 Year Pro Forma'!$E$62:NET62))</f>
        <v>0</v>
      </c>
      <c r="NEW62" s="962">
        <f>MIN(NEW60*$C$62,'Sources and Uses Budget'!$J$99-SUM('15 Year Pro Forma'!$E$62:NEV62))</f>
        <v>0</v>
      </c>
      <c r="NEY62" s="962">
        <f>MIN(NEY60*$C$62,'Sources and Uses Budget'!$J$99-SUM('15 Year Pro Forma'!$E$62:NEX62))</f>
        <v>0</v>
      </c>
      <c r="NFA62" s="962">
        <f>MIN(NFA60*$C$62,'Sources and Uses Budget'!$J$99-SUM('15 Year Pro Forma'!$E$62:NEZ62))</f>
        <v>0</v>
      </c>
      <c r="NFC62" s="962">
        <f>MIN(NFC60*$C$62,'Sources and Uses Budget'!$J$99-SUM('15 Year Pro Forma'!$E$62:NFB62))</f>
        <v>0</v>
      </c>
      <c r="NFE62" s="962">
        <f>MIN(NFE60*$C$62,'Sources and Uses Budget'!$J$99-SUM('15 Year Pro Forma'!$E$62:NFD62))</f>
        <v>0</v>
      </c>
      <c r="NFG62" s="962">
        <f>MIN(NFG60*$C$62,'Sources and Uses Budget'!$J$99-SUM('15 Year Pro Forma'!$E$62:NFF62))</f>
        <v>0</v>
      </c>
      <c r="NFI62" s="962">
        <f>MIN(NFI60*$C$62,'Sources and Uses Budget'!$J$99-SUM('15 Year Pro Forma'!$E$62:NFH62))</f>
        <v>0</v>
      </c>
      <c r="NFK62" s="962">
        <f>MIN(NFK60*$C$62,'Sources and Uses Budget'!$J$99-SUM('15 Year Pro Forma'!$E$62:NFJ62))</f>
        <v>0</v>
      </c>
      <c r="NFM62" s="962">
        <f>MIN(NFM60*$C$62,'Sources and Uses Budget'!$J$99-SUM('15 Year Pro Forma'!$E$62:NFL62))</f>
        <v>0</v>
      </c>
      <c r="NFO62" s="962">
        <f>MIN(NFO60*$C$62,'Sources and Uses Budget'!$J$99-SUM('15 Year Pro Forma'!$E$62:NFN62))</f>
        <v>0</v>
      </c>
      <c r="NFQ62" s="962">
        <f>MIN(NFQ60*$C$62,'Sources and Uses Budget'!$J$99-SUM('15 Year Pro Forma'!$E$62:NFP62))</f>
        <v>0</v>
      </c>
      <c r="NFS62" s="962">
        <f>MIN(NFS60*$C$62,'Sources and Uses Budget'!$J$99-SUM('15 Year Pro Forma'!$E$62:NFR62))</f>
        <v>0</v>
      </c>
      <c r="NFU62" s="962">
        <f>MIN(NFU60*$C$62,'Sources and Uses Budget'!$J$99-SUM('15 Year Pro Forma'!$E$62:NFT62))</f>
        <v>0</v>
      </c>
      <c r="NFW62" s="962">
        <f>MIN(NFW60*$C$62,'Sources and Uses Budget'!$J$99-SUM('15 Year Pro Forma'!$E$62:NFV62))</f>
        <v>0</v>
      </c>
      <c r="NFY62" s="962">
        <f>MIN(NFY60*$C$62,'Sources and Uses Budget'!$J$99-SUM('15 Year Pro Forma'!$E$62:NFX62))</f>
        <v>0</v>
      </c>
      <c r="NGA62" s="962">
        <f>MIN(NGA60*$C$62,'Sources and Uses Budget'!$J$99-SUM('15 Year Pro Forma'!$E$62:NFZ62))</f>
        <v>0</v>
      </c>
      <c r="NGC62" s="962">
        <f>MIN(NGC60*$C$62,'Sources and Uses Budget'!$J$99-SUM('15 Year Pro Forma'!$E$62:NGB62))</f>
        <v>0</v>
      </c>
      <c r="NGE62" s="962">
        <f>MIN(NGE60*$C$62,'Sources and Uses Budget'!$J$99-SUM('15 Year Pro Forma'!$E$62:NGD62))</f>
        <v>0</v>
      </c>
      <c r="NGG62" s="962">
        <f>MIN(NGG60*$C$62,'Sources and Uses Budget'!$J$99-SUM('15 Year Pro Forma'!$E$62:NGF62))</f>
        <v>0</v>
      </c>
      <c r="NGI62" s="962">
        <f>MIN(NGI60*$C$62,'Sources and Uses Budget'!$J$99-SUM('15 Year Pro Forma'!$E$62:NGH62))</f>
        <v>0</v>
      </c>
      <c r="NGK62" s="962">
        <f>MIN(NGK60*$C$62,'Sources and Uses Budget'!$J$99-SUM('15 Year Pro Forma'!$E$62:NGJ62))</f>
        <v>0</v>
      </c>
      <c r="NGM62" s="962">
        <f>MIN(NGM60*$C$62,'Sources and Uses Budget'!$J$99-SUM('15 Year Pro Forma'!$E$62:NGL62))</f>
        <v>0</v>
      </c>
      <c r="NGO62" s="962">
        <f>MIN(NGO60*$C$62,'Sources and Uses Budget'!$J$99-SUM('15 Year Pro Forma'!$E$62:NGN62))</f>
        <v>0</v>
      </c>
      <c r="NGQ62" s="962">
        <f>MIN(NGQ60*$C$62,'Sources and Uses Budget'!$J$99-SUM('15 Year Pro Forma'!$E$62:NGP62))</f>
        <v>0</v>
      </c>
      <c r="NGS62" s="962">
        <f>MIN(NGS60*$C$62,'Sources and Uses Budget'!$J$99-SUM('15 Year Pro Forma'!$E$62:NGR62))</f>
        <v>0</v>
      </c>
      <c r="NGU62" s="962">
        <f>MIN(NGU60*$C$62,'Sources and Uses Budget'!$J$99-SUM('15 Year Pro Forma'!$E$62:NGT62))</f>
        <v>0</v>
      </c>
      <c r="NGW62" s="962">
        <f>MIN(NGW60*$C$62,'Sources and Uses Budget'!$J$99-SUM('15 Year Pro Forma'!$E$62:NGV62))</f>
        <v>0</v>
      </c>
      <c r="NGY62" s="962">
        <f>MIN(NGY60*$C$62,'Sources and Uses Budget'!$J$99-SUM('15 Year Pro Forma'!$E$62:NGX62))</f>
        <v>0</v>
      </c>
      <c r="NHA62" s="962">
        <f>MIN(NHA60*$C$62,'Sources and Uses Budget'!$J$99-SUM('15 Year Pro Forma'!$E$62:NGZ62))</f>
        <v>0</v>
      </c>
      <c r="NHC62" s="962">
        <f>MIN(NHC60*$C$62,'Sources and Uses Budget'!$J$99-SUM('15 Year Pro Forma'!$E$62:NHB62))</f>
        <v>0</v>
      </c>
      <c r="NHE62" s="962">
        <f>MIN(NHE60*$C$62,'Sources and Uses Budget'!$J$99-SUM('15 Year Pro Forma'!$E$62:NHD62))</f>
        <v>0</v>
      </c>
      <c r="NHG62" s="962">
        <f>MIN(NHG60*$C$62,'Sources and Uses Budget'!$J$99-SUM('15 Year Pro Forma'!$E$62:NHF62))</f>
        <v>0</v>
      </c>
      <c r="NHI62" s="962">
        <f>MIN(NHI60*$C$62,'Sources and Uses Budget'!$J$99-SUM('15 Year Pro Forma'!$E$62:NHH62))</f>
        <v>0</v>
      </c>
      <c r="NHK62" s="962">
        <f>MIN(NHK60*$C$62,'Sources and Uses Budget'!$J$99-SUM('15 Year Pro Forma'!$E$62:NHJ62))</f>
        <v>0</v>
      </c>
      <c r="NHM62" s="962">
        <f>MIN(NHM60*$C$62,'Sources and Uses Budget'!$J$99-SUM('15 Year Pro Forma'!$E$62:NHL62))</f>
        <v>0</v>
      </c>
      <c r="NHO62" s="962">
        <f>MIN(NHO60*$C$62,'Sources and Uses Budget'!$J$99-SUM('15 Year Pro Forma'!$E$62:NHN62))</f>
        <v>0</v>
      </c>
      <c r="NHQ62" s="962">
        <f>MIN(NHQ60*$C$62,'Sources and Uses Budget'!$J$99-SUM('15 Year Pro Forma'!$E$62:NHP62))</f>
        <v>0</v>
      </c>
      <c r="NHS62" s="962">
        <f>MIN(NHS60*$C$62,'Sources and Uses Budget'!$J$99-SUM('15 Year Pro Forma'!$E$62:NHR62))</f>
        <v>0</v>
      </c>
      <c r="NHU62" s="962">
        <f>MIN(NHU60*$C$62,'Sources and Uses Budget'!$J$99-SUM('15 Year Pro Forma'!$E$62:NHT62))</f>
        <v>0</v>
      </c>
      <c r="NHW62" s="962">
        <f>MIN(NHW60*$C$62,'Sources and Uses Budget'!$J$99-SUM('15 Year Pro Forma'!$E$62:NHV62))</f>
        <v>0</v>
      </c>
      <c r="NHY62" s="962">
        <f>MIN(NHY60*$C$62,'Sources and Uses Budget'!$J$99-SUM('15 Year Pro Forma'!$E$62:NHX62))</f>
        <v>0</v>
      </c>
      <c r="NIA62" s="962">
        <f>MIN(NIA60*$C$62,'Sources and Uses Budget'!$J$99-SUM('15 Year Pro Forma'!$E$62:NHZ62))</f>
        <v>0</v>
      </c>
      <c r="NIC62" s="962">
        <f>MIN(NIC60*$C$62,'Sources and Uses Budget'!$J$99-SUM('15 Year Pro Forma'!$E$62:NIB62))</f>
        <v>0</v>
      </c>
      <c r="NIE62" s="962">
        <f>MIN(NIE60*$C$62,'Sources and Uses Budget'!$J$99-SUM('15 Year Pro Forma'!$E$62:NID62))</f>
        <v>0</v>
      </c>
      <c r="NIG62" s="962">
        <f>MIN(NIG60*$C$62,'Sources and Uses Budget'!$J$99-SUM('15 Year Pro Forma'!$E$62:NIF62))</f>
        <v>0</v>
      </c>
      <c r="NII62" s="962">
        <f>MIN(NII60*$C$62,'Sources and Uses Budget'!$J$99-SUM('15 Year Pro Forma'!$E$62:NIH62))</f>
        <v>0</v>
      </c>
      <c r="NIK62" s="962">
        <f>MIN(NIK60*$C$62,'Sources and Uses Budget'!$J$99-SUM('15 Year Pro Forma'!$E$62:NIJ62))</f>
        <v>0</v>
      </c>
      <c r="NIM62" s="962">
        <f>MIN(NIM60*$C$62,'Sources and Uses Budget'!$J$99-SUM('15 Year Pro Forma'!$E$62:NIL62))</f>
        <v>0</v>
      </c>
      <c r="NIO62" s="962">
        <f>MIN(NIO60*$C$62,'Sources and Uses Budget'!$J$99-SUM('15 Year Pro Forma'!$E$62:NIN62))</f>
        <v>0</v>
      </c>
      <c r="NIQ62" s="962">
        <f>MIN(NIQ60*$C$62,'Sources and Uses Budget'!$J$99-SUM('15 Year Pro Forma'!$E$62:NIP62))</f>
        <v>0</v>
      </c>
      <c r="NIS62" s="962">
        <f>MIN(NIS60*$C$62,'Sources and Uses Budget'!$J$99-SUM('15 Year Pro Forma'!$E$62:NIR62))</f>
        <v>0</v>
      </c>
      <c r="NIU62" s="962">
        <f>MIN(NIU60*$C$62,'Sources and Uses Budget'!$J$99-SUM('15 Year Pro Forma'!$E$62:NIT62))</f>
        <v>0</v>
      </c>
      <c r="NIW62" s="962">
        <f>MIN(NIW60*$C$62,'Sources and Uses Budget'!$J$99-SUM('15 Year Pro Forma'!$E$62:NIV62))</f>
        <v>0</v>
      </c>
      <c r="NIY62" s="962">
        <f>MIN(NIY60*$C$62,'Sources and Uses Budget'!$J$99-SUM('15 Year Pro Forma'!$E$62:NIX62))</f>
        <v>0</v>
      </c>
      <c r="NJA62" s="962">
        <f>MIN(NJA60*$C$62,'Sources and Uses Budget'!$J$99-SUM('15 Year Pro Forma'!$E$62:NIZ62))</f>
        <v>0</v>
      </c>
      <c r="NJC62" s="962">
        <f>MIN(NJC60*$C$62,'Sources and Uses Budget'!$J$99-SUM('15 Year Pro Forma'!$E$62:NJB62))</f>
        <v>0</v>
      </c>
      <c r="NJE62" s="962">
        <f>MIN(NJE60*$C$62,'Sources and Uses Budget'!$J$99-SUM('15 Year Pro Forma'!$E$62:NJD62))</f>
        <v>0</v>
      </c>
      <c r="NJG62" s="962">
        <f>MIN(NJG60*$C$62,'Sources and Uses Budget'!$J$99-SUM('15 Year Pro Forma'!$E$62:NJF62))</f>
        <v>0</v>
      </c>
      <c r="NJI62" s="962">
        <f>MIN(NJI60*$C$62,'Sources and Uses Budget'!$J$99-SUM('15 Year Pro Forma'!$E$62:NJH62))</f>
        <v>0</v>
      </c>
      <c r="NJK62" s="962">
        <f>MIN(NJK60*$C$62,'Sources and Uses Budget'!$J$99-SUM('15 Year Pro Forma'!$E$62:NJJ62))</f>
        <v>0</v>
      </c>
      <c r="NJM62" s="962">
        <f>MIN(NJM60*$C$62,'Sources and Uses Budget'!$J$99-SUM('15 Year Pro Forma'!$E$62:NJL62))</f>
        <v>0</v>
      </c>
      <c r="NJO62" s="962">
        <f>MIN(NJO60*$C$62,'Sources and Uses Budget'!$J$99-SUM('15 Year Pro Forma'!$E$62:NJN62))</f>
        <v>0</v>
      </c>
      <c r="NJQ62" s="962">
        <f>MIN(NJQ60*$C$62,'Sources and Uses Budget'!$J$99-SUM('15 Year Pro Forma'!$E$62:NJP62))</f>
        <v>0</v>
      </c>
      <c r="NJS62" s="962">
        <f>MIN(NJS60*$C$62,'Sources and Uses Budget'!$J$99-SUM('15 Year Pro Forma'!$E$62:NJR62))</f>
        <v>0</v>
      </c>
      <c r="NJU62" s="962">
        <f>MIN(NJU60*$C$62,'Sources and Uses Budget'!$J$99-SUM('15 Year Pro Forma'!$E$62:NJT62))</f>
        <v>0</v>
      </c>
      <c r="NJW62" s="962">
        <f>MIN(NJW60*$C$62,'Sources and Uses Budget'!$J$99-SUM('15 Year Pro Forma'!$E$62:NJV62))</f>
        <v>0</v>
      </c>
      <c r="NJY62" s="962">
        <f>MIN(NJY60*$C$62,'Sources and Uses Budget'!$J$99-SUM('15 Year Pro Forma'!$E$62:NJX62))</f>
        <v>0</v>
      </c>
      <c r="NKA62" s="962">
        <f>MIN(NKA60*$C$62,'Sources and Uses Budget'!$J$99-SUM('15 Year Pro Forma'!$E$62:NJZ62))</f>
        <v>0</v>
      </c>
      <c r="NKC62" s="962">
        <f>MIN(NKC60*$C$62,'Sources and Uses Budget'!$J$99-SUM('15 Year Pro Forma'!$E$62:NKB62))</f>
        <v>0</v>
      </c>
      <c r="NKE62" s="962">
        <f>MIN(NKE60*$C$62,'Sources and Uses Budget'!$J$99-SUM('15 Year Pro Forma'!$E$62:NKD62))</f>
        <v>0</v>
      </c>
      <c r="NKG62" s="962">
        <f>MIN(NKG60*$C$62,'Sources and Uses Budget'!$J$99-SUM('15 Year Pro Forma'!$E$62:NKF62))</f>
        <v>0</v>
      </c>
      <c r="NKI62" s="962">
        <f>MIN(NKI60*$C$62,'Sources and Uses Budget'!$J$99-SUM('15 Year Pro Forma'!$E$62:NKH62))</f>
        <v>0</v>
      </c>
      <c r="NKK62" s="962">
        <f>MIN(NKK60*$C$62,'Sources and Uses Budget'!$J$99-SUM('15 Year Pro Forma'!$E$62:NKJ62))</f>
        <v>0</v>
      </c>
      <c r="NKM62" s="962">
        <f>MIN(NKM60*$C$62,'Sources and Uses Budget'!$J$99-SUM('15 Year Pro Forma'!$E$62:NKL62))</f>
        <v>0</v>
      </c>
      <c r="NKO62" s="962">
        <f>MIN(NKO60*$C$62,'Sources and Uses Budget'!$J$99-SUM('15 Year Pro Forma'!$E$62:NKN62))</f>
        <v>0</v>
      </c>
      <c r="NKQ62" s="962">
        <f>MIN(NKQ60*$C$62,'Sources and Uses Budget'!$J$99-SUM('15 Year Pro Forma'!$E$62:NKP62))</f>
        <v>0</v>
      </c>
      <c r="NKS62" s="962">
        <f>MIN(NKS60*$C$62,'Sources and Uses Budget'!$J$99-SUM('15 Year Pro Forma'!$E$62:NKR62))</f>
        <v>0</v>
      </c>
      <c r="NKU62" s="962">
        <f>MIN(NKU60*$C$62,'Sources and Uses Budget'!$J$99-SUM('15 Year Pro Forma'!$E$62:NKT62))</f>
        <v>0</v>
      </c>
      <c r="NKW62" s="962">
        <f>MIN(NKW60*$C$62,'Sources and Uses Budget'!$J$99-SUM('15 Year Pro Forma'!$E$62:NKV62))</f>
        <v>0</v>
      </c>
      <c r="NKY62" s="962">
        <f>MIN(NKY60*$C$62,'Sources and Uses Budget'!$J$99-SUM('15 Year Pro Forma'!$E$62:NKX62))</f>
        <v>0</v>
      </c>
      <c r="NLA62" s="962">
        <f>MIN(NLA60*$C$62,'Sources and Uses Budget'!$J$99-SUM('15 Year Pro Forma'!$E$62:NKZ62))</f>
        <v>0</v>
      </c>
      <c r="NLC62" s="962">
        <f>MIN(NLC60*$C$62,'Sources and Uses Budget'!$J$99-SUM('15 Year Pro Forma'!$E$62:NLB62))</f>
        <v>0</v>
      </c>
      <c r="NLE62" s="962">
        <f>MIN(NLE60*$C$62,'Sources and Uses Budget'!$J$99-SUM('15 Year Pro Forma'!$E$62:NLD62))</f>
        <v>0</v>
      </c>
      <c r="NLG62" s="962">
        <f>MIN(NLG60*$C$62,'Sources and Uses Budget'!$J$99-SUM('15 Year Pro Forma'!$E$62:NLF62))</f>
        <v>0</v>
      </c>
      <c r="NLI62" s="962">
        <f>MIN(NLI60*$C$62,'Sources and Uses Budget'!$J$99-SUM('15 Year Pro Forma'!$E$62:NLH62))</f>
        <v>0</v>
      </c>
      <c r="NLK62" s="962">
        <f>MIN(NLK60*$C$62,'Sources and Uses Budget'!$J$99-SUM('15 Year Pro Forma'!$E$62:NLJ62))</f>
        <v>0</v>
      </c>
      <c r="NLM62" s="962">
        <f>MIN(NLM60*$C$62,'Sources and Uses Budget'!$J$99-SUM('15 Year Pro Forma'!$E$62:NLL62))</f>
        <v>0</v>
      </c>
      <c r="NLO62" s="962">
        <f>MIN(NLO60*$C$62,'Sources and Uses Budget'!$J$99-SUM('15 Year Pro Forma'!$E$62:NLN62))</f>
        <v>0</v>
      </c>
      <c r="NLQ62" s="962">
        <f>MIN(NLQ60*$C$62,'Sources and Uses Budget'!$J$99-SUM('15 Year Pro Forma'!$E$62:NLP62))</f>
        <v>0</v>
      </c>
      <c r="NLS62" s="962">
        <f>MIN(NLS60*$C$62,'Sources and Uses Budget'!$J$99-SUM('15 Year Pro Forma'!$E$62:NLR62))</f>
        <v>0</v>
      </c>
      <c r="NLU62" s="962">
        <f>MIN(NLU60*$C$62,'Sources and Uses Budget'!$J$99-SUM('15 Year Pro Forma'!$E$62:NLT62))</f>
        <v>0</v>
      </c>
      <c r="NLW62" s="962">
        <f>MIN(NLW60*$C$62,'Sources and Uses Budget'!$J$99-SUM('15 Year Pro Forma'!$E$62:NLV62))</f>
        <v>0</v>
      </c>
      <c r="NLY62" s="962">
        <f>MIN(NLY60*$C$62,'Sources and Uses Budget'!$J$99-SUM('15 Year Pro Forma'!$E$62:NLX62))</f>
        <v>0</v>
      </c>
      <c r="NMA62" s="962">
        <f>MIN(NMA60*$C$62,'Sources and Uses Budget'!$J$99-SUM('15 Year Pro Forma'!$E$62:NLZ62))</f>
        <v>0</v>
      </c>
      <c r="NMC62" s="962">
        <f>MIN(NMC60*$C$62,'Sources and Uses Budget'!$J$99-SUM('15 Year Pro Forma'!$E$62:NMB62))</f>
        <v>0</v>
      </c>
      <c r="NME62" s="962">
        <f>MIN(NME60*$C$62,'Sources and Uses Budget'!$J$99-SUM('15 Year Pro Forma'!$E$62:NMD62))</f>
        <v>0</v>
      </c>
      <c r="NMG62" s="962">
        <f>MIN(NMG60*$C$62,'Sources and Uses Budget'!$J$99-SUM('15 Year Pro Forma'!$E$62:NMF62))</f>
        <v>0</v>
      </c>
      <c r="NMI62" s="962">
        <f>MIN(NMI60*$C$62,'Sources and Uses Budget'!$J$99-SUM('15 Year Pro Forma'!$E$62:NMH62))</f>
        <v>0</v>
      </c>
      <c r="NMK62" s="962">
        <f>MIN(NMK60*$C$62,'Sources and Uses Budget'!$J$99-SUM('15 Year Pro Forma'!$E$62:NMJ62))</f>
        <v>0</v>
      </c>
      <c r="NMM62" s="962">
        <f>MIN(NMM60*$C$62,'Sources and Uses Budget'!$J$99-SUM('15 Year Pro Forma'!$E$62:NML62))</f>
        <v>0</v>
      </c>
      <c r="NMO62" s="962">
        <f>MIN(NMO60*$C$62,'Sources and Uses Budget'!$J$99-SUM('15 Year Pro Forma'!$E$62:NMN62))</f>
        <v>0</v>
      </c>
      <c r="NMQ62" s="962">
        <f>MIN(NMQ60*$C$62,'Sources and Uses Budget'!$J$99-SUM('15 Year Pro Forma'!$E$62:NMP62))</f>
        <v>0</v>
      </c>
      <c r="NMS62" s="962">
        <f>MIN(NMS60*$C$62,'Sources and Uses Budget'!$J$99-SUM('15 Year Pro Forma'!$E$62:NMR62))</f>
        <v>0</v>
      </c>
      <c r="NMU62" s="962">
        <f>MIN(NMU60*$C$62,'Sources and Uses Budget'!$J$99-SUM('15 Year Pro Forma'!$E$62:NMT62))</f>
        <v>0</v>
      </c>
      <c r="NMW62" s="962">
        <f>MIN(NMW60*$C$62,'Sources and Uses Budget'!$J$99-SUM('15 Year Pro Forma'!$E$62:NMV62))</f>
        <v>0</v>
      </c>
      <c r="NMY62" s="962">
        <f>MIN(NMY60*$C$62,'Sources and Uses Budget'!$J$99-SUM('15 Year Pro Forma'!$E$62:NMX62))</f>
        <v>0</v>
      </c>
      <c r="NNA62" s="962">
        <f>MIN(NNA60*$C$62,'Sources and Uses Budget'!$J$99-SUM('15 Year Pro Forma'!$E$62:NMZ62))</f>
        <v>0</v>
      </c>
      <c r="NNC62" s="962">
        <f>MIN(NNC60*$C$62,'Sources and Uses Budget'!$J$99-SUM('15 Year Pro Forma'!$E$62:NNB62))</f>
        <v>0</v>
      </c>
      <c r="NNE62" s="962">
        <f>MIN(NNE60*$C$62,'Sources and Uses Budget'!$J$99-SUM('15 Year Pro Forma'!$E$62:NND62))</f>
        <v>0</v>
      </c>
      <c r="NNG62" s="962">
        <f>MIN(NNG60*$C$62,'Sources and Uses Budget'!$J$99-SUM('15 Year Pro Forma'!$E$62:NNF62))</f>
        <v>0</v>
      </c>
      <c r="NNI62" s="962">
        <f>MIN(NNI60*$C$62,'Sources and Uses Budget'!$J$99-SUM('15 Year Pro Forma'!$E$62:NNH62))</f>
        <v>0</v>
      </c>
      <c r="NNK62" s="962">
        <f>MIN(NNK60*$C$62,'Sources and Uses Budget'!$J$99-SUM('15 Year Pro Forma'!$E$62:NNJ62))</f>
        <v>0</v>
      </c>
      <c r="NNM62" s="962">
        <f>MIN(NNM60*$C$62,'Sources and Uses Budget'!$J$99-SUM('15 Year Pro Forma'!$E$62:NNL62))</f>
        <v>0</v>
      </c>
      <c r="NNO62" s="962">
        <f>MIN(NNO60*$C$62,'Sources and Uses Budget'!$J$99-SUM('15 Year Pro Forma'!$E$62:NNN62))</f>
        <v>0</v>
      </c>
      <c r="NNQ62" s="962">
        <f>MIN(NNQ60*$C$62,'Sources and Uses Budget'!$J$99-SUM('15 Year Pro Forma'!$E$62:NNP62))</f>
        <v>0</v>
      </c>
      <c r="NNS62" s="962">
        <f>MIN(NNS60*$C$62,'Sources and Uses Budget'!$J$99-SUM('15 Year Pro Forma'!$E$62:NNR62))</f>
        <v>0</v>
      </c>
      <c r="NNU62" s="962">
        <f>MIN(NNU60*$C$62,'Sources and Uses Budget'!$J$99-SUM('15 Year Pro Forma'!$E$62:NNT62))</f>
        <v>0</v>
      </c>
      <c r="NNW62" s="962">
        <f>MIN(NNW60*$C$62,'Sources and Uses Budget'!$J$99-SUM('15 Year Pro Forma'!$E$62:NNV62))</f>
        <v>0</v>
      </c>
      <c r="NNY62" s="962">
        <f>MIN(NNY60*$C$62,'Sources and Uses Budget'!$J$99-SUM('15 Year Pro Forma'!$E$62:NNX62))</f>
        <v>0</v>
      </c>
      <c r="NOA62" s="962">
        <f>MIN(NOA60*$C$62,'Sources and Uses Budget'!$J$99-SUM('15 Year Pro Forma'!$E$62:NNZ62))</f>
        <v>0</v>
      </c>
      <c r="NOC62" s="962">
        <f>MIN(NOC60*$C$62,'Sources and Uses Budget'!$J$99-SUM('15 Year Pro Forma'!$E$62:NOB62))</f>
        <v>0</v>
      </c>
      <c r="NOE62" s="962">
        <f>MIN(NOE60*$C$62,'Sources and Uses Budget'!$J$99-SUM('15 Year Pro Forma'!$E$62:NOD62))</f>
        <v>0</v>
      </c>
      <c r="NOG62" s="962">
        <f>MIN(NOG60*$C$62,'Sources and Uses Budget'!$J$99-SUM('15 Year Pro Forma'!$E$62:NOF62))</f>
        <v>0</v>
      </c>
      <c r="NOI62" s="962">
        <f>MIN(NOI60*$C$62,'Sources and Uses Budget'!$J$99-SUM('15 Year Pro Forma'!$E$62:NOH62))</f>
        <v>0</v>
      </c>
      <c r="NOK62" s="962">
        <f>MIN(NOK60*$C$62,'Sources and Uses Budget'!$J$99-SUM('15 Year Pro Forma'!$E$62:NOJ62))</f>
        <v>0</v>
      </c>
      <c r="NOM62" s="962">
        <f>MIN(NOM60*$C$62,'Sources and Uses Budget'!$J$99-SUM('15 Year Pro Forma'!$E$62:NOL62))</f>
        <v>0</v>
      </c>
      <c r="NOO62" s="962">
        <f>MIN(NOO60*$C$62,'Sources and Uses Budget'!$J$99-SUM('15 Year Pro Forma'!$E$62:NON62))</f>
        <v>0</v>
      </c>
      <c r="NOQ62" s="962">
        <f>MIN(NOQ60*$C$62,'Sources and Uses Budget'!$J$99-SUM('15 Year Pro Forma'!$E$62:NOP62))</f>
        <v>0</v>
      </c>
      <c r="NOS62" s="962">
        <f>MIN(NOS60*$C$62,'Sources and Uses Budget'!$J$99-SUM('15 Year Pro Forma'!$E$62:NOR62))</f>
        <v>0</v>
      </c>
      <c r="NOU62" s="962">
        <f>MIN(NOU60*$C$62,'Sources and Uses Budget'!$J$99-SUM('15 Year Pro Forma'!$E$62:NOT62))</f>
        <v>0</v>
      </c>
      <c r="NOW62" s="962">
        <f>MIN(NOW60*$C$62,'Sources and Uses Budget'!$J$99-SUM('15 Year Pro Forma'!$E$62:NOV62))</f>
        <v>0</v>
      </c>
      <c r="NOY62" s="962">
        <f>MIN(NOY60*$C$62,'Sources and Uses Budget'!$J$99-SUM('15 Year Pro Forma'!$E$62:NOX62))</f>
        <v>0</v>
      </c>
      <c r="NPA62" s="962">
        <f>MIN(NPA60*$C$62,'Sources and Uses Budget'!$J$99-SUM('15 Year Pro Forma'!$E$62:NOZ62))</f>
        <v>0</v>
      </c>
      <c r="NPC62" s="962">
        <f>MIN(NPC60*$C$62,'Sources and Uses Budget'!$J$99-SUM('15 Year Pro Forma'!$E$62:NPB62))</f>
        <v>0</v>
      </c>
      <c r="NPE62" s="962">
        <f>MIN(NPE60*$C$62,'Sources and Uses Budget'!$J$99-SUM('15 Year Pro Forma'!$E$62:NPD62))</f>
        <v>0</v>
      </c>
      <c r="NPG62" s="962">
        <f>MIN(NPG60*$C$62,'Sources and Uses Budget'!$J$99-SUM('15 Year Pro Forma'!$E$62:NPF62))</f>
        <v>0</v>
      </c>
      <c r="NPI62" s="962">
        <f>MIN(NPI60*$C$62,'Sources and Uses Budget'!$J$99-SUM('15 Year Pro Forma'!$E$62:NPH62))</f>
        <v>0</v>
      </c>
      <c r="NPK62" s="962">
        <f>MIN(NPK60*$C$62,'Sources and Uses Budget'!$J$99-SUM('15 Year Pro Forma'!$E$62:NPJ62))</f>
        <v>0</v>
      </c>
      <c r="NPM62" s="962">
        <f>MIN(NPM60*$C$62,'Sources and Uses Budget'!$J$99-SUM('15 Year Pro Forma'!$E$62:NPL62))</f>
        <v>0</v>
      </c>
      <c r="NPO62" s="962">
        <f>MIN(NPO60*$C$62,'Sources and Uses Budget'!$J$99-SUM('15 Year Pro Forma'!$E$62:NPN62))</f>
        <v>0</v>
      </c>
      <c r="NPQ62" s="962">
        <f>MIN(NPQ60*$C$62,'Sources and Uses Budget'!$J$99-SUM('15 Year Pro Forma'!$E$62:NPP62))</f>
        <v>0</v>
      </c>
      <c r="NPS62" s="962">
        <f>MIN(NPS60*$C$62,'Sources and Uses Budget'!$J$99-SUM('15 Year Pro Forma'!$E$62:NPR62))</f>
        <v>0</v>
      </c>
      <c r="NPU62" s="962">
        <f>MIN(NPU60*$C$62,'Sources and Uses Budget'!$J$99-SUM('15 Year Pro Forma'!$E$62:NPT62))</f>
        <v>0</v>
      </c>
      <c r="NPW62" s="962">
        <f>MIN(NPW60*$C$62,'Sources and Uses Budget'!$J$99-SUM('15 Year Pro Forma'!$E$62:NPV62))</f>
        <v>0</v>
      </c>
      <c r="NPY62" s="962">
        <f>MIN(NPY60*$C$62,'Sources and Uses Budget'!$J$99-SUM('15 Year Pro Forma'!$E$62:NPX62))</f>
        <v>0</v>
      </c>
      <c r="NQA62" s="962">
        <f>MIN(NQA60*$C$62,'Sources and Uses Budget'!$J$99-SUM('15 Year Pro Forma'!$E$62:NPZ62))</f>
        <v>0</v>
      </c>
      <c r="NQC62" s="962">
        <f>MIN(NQC60*$C$62,'Sources and Uses Budget'!$J$99-SUM('15 Year Pro Forma'!$E$62:NQB62))</f>
        <v>0</v>
      </c>
      <c r="NQE62" s="962">
        <f>MIN(NQE60*$C$62,'Sources and Uses Budget'!$J$99-SUM('15 Year Pro Forma'!$E$62:NQD62))</f>
        <v>0</v>
      </c>
      <c r="NQG62" s="962">
        <f>MIN(NQG60*$C$62,'Sources and Uses Budget'!$J$99-SUM('15 Year Pro Forma'!$E$62:NQF62))</f>
        <v>0</v>
      </c>
      <c r="NQI62" s="962">
        <f>MIN(NQI60*$C$62,'Sources and Uses Budget'!$J$99-SUM('15 Year Pro Forma'!$E$62:NQH62))</f>
        <v>0</v>
      </c>
      <c r="NQK62" s="962">
        <f>MIN(NQK60*$C$62,'Sources and Uses Budget'!$J$99-SUM('15 Year Pro Forma'!$E$62:NQJ62))</f>
        <v>0</v>
      </c>
      <c r="NQM62" s="962">
        <f>MIN(NQM60*$C$62,'Sources and Uses Budget'!$J$99-SUM('15 Year Pro Forma'!$E$62:NQL62))</f>
        <v>0</v>
      </c>
      <c r="NQO62" s="962">
        <f>MIN(NQO60*$C$62,'Sources and Uses Budget'!$J$99-SUM('15 Year Pro Forma'!$E$62:NQN62))</f>
        <v>0</v>
      </c>
      <c r="NQQ62" s="962">
        <f>MIN(NQQ60*$C$62,'Sources and Uses Budget'!$J$99-SUM('15 Year Pro Forma'!$E$62:NQP62))</f>
        <v>0</v>
      </c>
      <c r="NQS62" s="962">
        <f>MIN(NQS60*$C$62,'Sources and Uses Budget'!$J$99-SUM('15 Year Pro Forma'!$E$62:NQR62))</f>
        <v>0</v>
      </c>
      <c r="NQU62" s="962">
        <f>MIN(NQU60*$C$62,'Sources and Uses Budget'!$J$99-SUM('15 Year Pro Forma'!$E$62:NQT62))</f>
        <v>0</v>
      </c>
      <c r="NQW62" s="962">
        <f>MIN(NQW60*$C$62,'Sources and Uses Budget'!$J$99-SUM('15 Year Pro Forma'!$E$62:NQV62))</f>
        <v>0</v>
      </c>
      <c r="NQY62" s="962">
        <f>MIN(NQY60*$C$62,'Sources and Uses Budget'!$J$99-SUM('15 Year Pro Forma'!$E$62:NQX62))</f>
        <v>0</v>
      </c>
      <c r="NRA62" s="962">
        <f>MIN(NRA60*$C$62,'Sources and Uses Budget'!$J$99-SUM('15 Year Pro Forma'!$E$62:NQZ62))</f>
        <v>0</v>
      </c>
      <c r="NRC62" s="962">
        <f>MIN(NRC60*$C$62,'Sources and Uses Budget'!$J$99-SUM('15 Year Pro Forma'!$E$62:NRB62))</f>
        <v>0</v>
      </c>
      <c r="NRE62" s="962">
        <f>MIN(NRE60*$C$62,'Sources and Uses Budget'!$J$99-SUM('15 Year Pro Forma'!$E$62:NRD62))</f>
        <v>0</v>
      </c>
      <c r="NRG62" s="962">
        <f>MIN(NRG60*$C$62,'Sources and Uses Budget'!$J$99-SUM('15 Year Pro Forma'!$E$62:NRF62))</f>
        <v>0</v>
      </c>
      <c r="NRI62" s="962">
        <f>MIN(NRI60*$C$62,'Sources and Uses Budget'!$J$99-SUM('15 Year Pro Forma'!$E$62:NRH62))</f>
        <v>0</v>
      </c>
      <c r="NRK62" s="962">
        <f>MIN(NRK60*$C$62,'Sources and Uses Budget'!$J$99-SUM('15 Year Pro Forma'!$E$62:NRJ62))</f>
        <v>0</v>
      </c>
      <c r="NRM62" s="962">
        <f>MIN(NRM60*$C$62,'Sources and Uses Budget'!$J$99-SUM('15 Year Pro Forma'!$E$62:NRL62))</f>
        <v>0</v>
      </c>
      <c r="NRO62" s="962">
        <f>MIN(NRO60*$C$62,'Sources and Uses Budget'!$J$99-SUM('15 Year Pro Forma'!$E$62:NRN62))</f>
        <v>0</v>
      </c>
      <c r="NRQ62" s="962">
        <f>MIN(NRQ60*$C$62,'Sources and Uses Budget'!$J$99-SUM('15 Year Pro Forma'!$E$62:NRP62))</f>
        <v>0</v>
      </c>
      <c r="NRS62" s="962">
        <f>MIN(NRS60*$C$62,'Sources and Uses Budget'!$J$99-SUM('15 Year Pro Forma'!$E$62:NRR62))</f>
        <v>0</v>
      </c>
      <c r="NRU62" s="962">
        <f>MIN(NRU60*$C$62,'Sources and Uses Budget'!$J$99-SUM('15 Year Pro Forma'!$E$62:NRT62))</f>
        <v>0</v>
      </c>
      <c r="NRW62" s="962">
        <f>MIN(NRW60*$C$62,'Sources and Uses Budget'!$J$99-SUM('15 Year Pro Forma'!$E$62:NRV62))</f>
        <v>0</v>
      </c>
      <c r="NRY62" s="962">
        <f>MIN(NRY60*$C$62,'Sources and Uses Budget'!$J$99-SUM('15 Year Pro Forma'!$E$62:NRX62))</f>
        <v>0</v>
      </c>
      <c r="NSA62" s="962">
        <f>MIN(NSA60*$C$62,'Sources and Uses Budget'!$J$99-SUM('15 Year Pro Forma'!$E$62:NRZ62))</f>
        <v>0</v>
      </c>
      <c r="NSC62" s="962">
        <f>MIN(NSC60*$C$62,'Sources and Uses Budget'!$J$99-SUM('15 Year Pro Forma'!$E$62:NSB62))</f>
        <v>0</v>
      </c>
      <c r="NSE62" s="962">
        <f>MIN(NSE60*$C$62,'Sources and Uses Budget'!$J$99-SUM('15 Year Pro Forma'!$E$62:NSD62))</f>
        <v>0</v>
      </c>
      <c r="NSG62" s="962">
        <f>MIN(NSG60*$C$62,'Sources and Uses Budget'!$J$99-SUM('15 Year Pro Forma'!$E$62:NSF62))</f>
        <v>0</v>
      </c>
      <c r="NSI62" s="962">
        <f>MIN(NSI60*$C$62,'Sources and Uses Budget'!$J$99-SUM('15 Year Pro Forma'!$E$62:NSH62))</f>
        <v>0</v>
      </c>
      <c r="NSK62" s="962">
        <f>MIN(NSK60*$C$62,'Sources and Uses Budget'!$J$99-SUM('15 Year Pro Forma'!$E$62:NSJ62))</f>
        <v>0</v>
      </c>
      <c r="NSM62" s="962">
        <f>MIN(NSM60*$C$62,'Sources and Uses Budget'!$J$99-SUM('15 Year Pro Forma'!$E$62:NSL62))</f>
        <v>0</v>
      </c>
      <c r="NSO62" s="962">
        <f>MIN(NSO60*$C$62,'Sources and Uses Budget'!$J$99-SUM('15 Year Pro Forma'!$E$62:NSN62))</f>
        <v>0</v>
      </c>
      <c r="NSQ62" s="962">
        <f>MIN(NSQ60*$C$62,'Sources and Uses Budget'!$J$99-SUM('15 Year Pro Forma'!$E$62:NSP62))</f>
        <v>0</v>
      </c>
      <c r="NSS62" s="962">
        <f>MIN(NSS60*$C$62,'Sources and Uses Budget'!$J$99-SUM('15 Year Pro Forma'!$E$62:NSR62))</f>
        <v>0</v>
      </c>
      <c r="NSU62" s="962">
        <f>MIN(NSU60*$C$62,'Sources and Uses Budget'!$J$99-SUM('15 Year Pro Forma'!$E$62:NST62))</f>
        <v>0</v>
      </c>
      <c r="NSW62" s="962">
        <f>MIN(NSW60*$C$62,'Sources and Uses Budget'!$J$99-SUM('15 Year Pro Forma'!$E$62:NSV62))</f>
        <v>0</v>
      </c>
      <c r="NSY62" s="962">
        <f>MIN(NSY60*$C$62,'Sources and Uses Budget'!$J$99-SUM('15 Year Pro Forma'!$E$62:NSX62))</f>
        <v>0</v>
      </c>
      <c r="NTA62" s="962">
        <f>MIN(NTA60*$C$62,'Sources and Uses Budget'!$J$99-SUM('15 Year Pro Forma'!$E$62:NSZ62))</f>
        <v>0</v>
      </c>
      <c r="NTC62" s="962">
        <f>MIN(NTC60*$C$62,'Sources and Uses Budget'!$J$99-SUM('15 Year Pro Forma'!$E$62:NTB62))</f>
        <v>0</v>
      </c>
      <c r="NTE62" s="962">
        <f>MIN(NTE60*$C$62,'Sources and Uses Budget'!$J$99-SUM('15 Year Pro Forma'!$E$62:NTD62))</f>
        <v>0</v>
      </c>
      <c r="NTG62" s="962">
        <f>MIN(NTG60*$C$62,'Sources and Uses Budget'!$J$99-SUM('15 Year Pro Forma'!$E$62:NTF62))</f>
        <v>0</v>
      </c>
      <c r="NTI62" s="962">
        <f>MIN(NTI60*$C$62,'Sources and Uses Budget'!$J$99-SUM('15 Year Pro Forma'!$E$62:NTH62))</f>
        <v>0</v>
      </c>
      <c r="NTK62" s="962">
        <f>MIN(NTK60*$C$62,'Sources and Uses Budget'!$J$99-SUM('15 Year Pro Forma'!$E$62:NTJ62))</f>
        <v>0</v>
      </c>
      <c r="NTM62" s="962">
        <f>MIN(NTM60*$C$62,'Sources and Uses Budget'!$J$99-SUM('15 Year Pro Forma'!$E$62:NTL62))</f>
        <v>0</v>
      </c>
      <c r="NTO62" s="962">
        <f>MIN(NTO60*$C$62,'Sources and Uses Budget'!$J$99-SUM('15 Year Pro Forma'!$E$62:NTN62))</f>
        <v>0</v>
      </c>
      <c r="NTQ62" s="962">
        <f>MIN(NTQ60*$C$62,'Sources and Uses Budget'!$J$99-SUM('15 Year Pro Forma'!$E$62:NTP62))</f>
        <v>0</v>
      </c>
      <c r="NTS62" s="962">
        <f>MIN(NTS60*$C$62,'Sources and Uses Budget'!$J$99-SUM('15 Year Pro Forma'!$E$62:NTR62))</f>
        <v>0</v>
      </c>
      <c r="NTU62" s="962">
        <f>MIN(NTU60*$C$62,'Sources and Uses Budget'!$J$99-SUM('15 Year Pro Forma'!$E$62:NTT62))</f>
        <v>0</v>
      </c>
      <c r="NTW62" s="962">
        <f>MIN(NTW60*$C$62,'Sources and Uses Budget'!$J$99-SUM('15 Year Pro Forma'!$E$62:NTV62))</f>
        <v>0</v>
      </c>
      <c r="NTY62" s="962">
        <f>MIN(NTY60*$C$62,'Sources and Uses Budget'!$J$99-SUM('15 Year Pro Forma'!$E$62:NTX62))</f>
        <v>0</v>
      </c>
      <c r="NUA62" s="962">
        <f>MIN(NUA60*$C$62,'Sources and Uses Budget'!$J$99-SUM('15 Year Pro Forma'!$E$62:NTZ62))</f>
        <v>0</v>
      </c>
      <c r="NUC62" s="962">
        <f>MIN(NUC60*$C$62,'Sources and Uses Budget'!$J$99-SUM('15 Year Pro Forma'!$E$62:NUB62))</f>
        <v>0</v>
      </c>
      <c r="NUE62" s="962">
        <f>MIN(NUE60*$C$62,'Sources and Uses Budget'!$J$99-SUM('15 Year Pro Forma'!$E$62:NUD62))</f>
        <v>0</v>
      </c>
      <c r="NUG62" s="962">
        <f>MIN(NUG60*$C$62,'Sources and Uses Budget'!$J$99-SUM('15 Year Pro Forma'!$E$62:NUF62))</f>
        <v>0</v>
      </c>
      <c r="NUI62" s="962">
        <f>MIN(NUI60*$C$62,'Sources and Uses Budget'!$J$99-SUM('15 Year Pro Forma'!$E$62:NUH62))</f>
        <v>0</v>
      </c>
      <c r="NUK62" s="962">
        <f>MIN(NUK60*$C$62,'Sources and Uses Budget'!$J$99-SUM('15 Year Pro Forma'!$E$62:NUJ62))</f>
        <v>0</v>
      </c>
      <c r="NUM62" s="962">
        <f>MIN(NUM60*$C$62,'Sources and Uses Budget'!$J$99-SUM('15 Year Pro Forma'!$E$62:NUL62))</f>
        <v>0</v>
      </c>
      <c r="NUO62" s="962">
        <f>MIN(NUO60*$C$62,'Sources and Uses Budget'!$J$99-SUM('15 Year Pro Forma'!$E$62:NUN62))</f>
        <v>0</v>
      </c>
      <c r="NUQ62" s="962">
        <f>MIN(NUQ60*$C$62,'Sources and Uses Budget'!$J$99-SUM('15 Year Pro Forma'!$E$62:NUP62))</f>
        <v>0</v>
      </c>
      <c r="NUS62" s="962">
        <f>MIN(NUS60*$C$62,'Sources and Uses Budget'!$J$99-SUM('15 Year Pro Forma'!$E$62:NUR62))</f>
        <v>0</v>
      </c>
      <c r="NUU62" s="962">
        <f>MIN(NUU60*$C$62,'Sources and Uses Budget'!$J$99-SUM('15 Year Pro Forma'!$E$62:NUT62))</f>
        <v>0</v>
      </c>
      <c r="NUW62" s="962">
        <f>MIN(NUW60*$C$62,'Sources and Uses Budget'!$J$99-SUM('15 Year Pro Forma'!$E$62:NUV62))</f>
        <v>0</v>
      </c>
      <c r="NUY62" s="962">
        <f>MIN(NUY60*$C$62,'Sources and Uses Budget'!$J$99-SUM('15 Year Pro Forma'!$E$62:NUX62))</f>
        <v>0</v>
      </c>
      <c r="NVA62" s="962">
        <f>MIN(NVA60*$C$62,'Sources and Uses Budget'!$J$99-SUM('15 Year Pro Forma'!$E$62:NUZ62))</f>
        <v>0</v>
      </c>
      <c r="NVC62" s="962">
        <f>MIN(NVC60*$C$62,'Sources and Uses Budget'!$J$99-SUM('15 Year Pro Forma'!$E$62:NVB62))</f>
        <v>0</v>
      </c>
      <c r="NVE62" s="962">
        <f>MIN(NVE60*$C$62,'Sources and Uses Budget'!$J$99-SUM('15 Year Pro Forma'!$E$62:NVD62))</f>
        <v>0</v>
      </c>
      <c r="NVG62" s="962">
        <f>MIN(NVG60*$C$62,'Sources and Uses Budget'!$J$99-SUM('15 Year Pro Forma'!$E$62:NVF62))</f>
        <v>0</v>
      </c>
      <c r="NVI62" s="962">
        <f>MIN(NVI60*$C$62,'Sources and Uses Budget'!$J$99-SUM('15 Year Pro Forma'!$E$62:NVH62))</f>
        <v>0</v>
      </c>
      <c r="NVK62" s="962">
        <f>MIN(NVK60*$C$62,'Sources and Uses Budget'!$J$99-SUM('15 Year Pro Forma'!$E$62:NVJ62))</f>
        <v>0</v>
      </c>
      <c r="NVM62" s="962">
        <f>MIN(NVM60*$C$62,'Sources and Uses Budget'!$J$99-SUM('15 Year Pro Forma'!$E$62:NVL62))</f>
        <v>0</v>
      </c>
      <c r="NVO62" s="962">
        <f>MIN(NVO60*$C$62,'Sources and Uses Budget'!$J$99-SUM('15 Year Pro Forma'!$E$62:NVN62))</f>
        <v>0</v>
      </c>
      <c r="NVQ62" s="962">
        <f>MIN(NVQ60*$C$62,'Sources and Uses Budget'!$J$99-SUM('15 Year Pro Forma'!$E$62:NVP62))</f>
        <v>0</v>
      </c>
      <c r="NVS62" s="962">
        <f>MIN(NVS60*$C$62,'Sources and Uses Budget'!$J$99-SUM('15 Year Pro Forma'!$E$62:NVR62))</f>
        <v>0</v>
      </c>
      <c r="NVU62" s="962">
        <f>MIN(NVU60*$C$62,'Sources and Uses Budget'!$J$99-SUM('15 Year Pro Forma'!$E$62:NVT62))</f>
        <v>0</v>
      </c>
      <c r="NVW62" s="962">
        <f>MIN(NVW60*$C$62,'Sources and Uses Budget'!$J$99-SUM('15 Year Pro Forma'!$E$62:NVV62))</f>
        <v>0</v>
      </c>
      <c r="NVY62" s="962">
        <f>MIN(NVY60*$C$62,'Sources and Uses Budget'!$J$99-SUM('15 Year Pro Forma'!$E$62:NVX62))</f>
        <v>0</v>
      </c>
      <c r="NWA62" s="962">
        <f>MIN(NWA60*$C$62,'Sources and Uses Budget'!$J$99-SUM('15 Year Pro Forma'!$E$62:NVZ62))</f>
        <v>0</v>
      </c>
      <c r="NWC62" s="962">
        <f>MIN(NWC60*$C$62,'Sources and Uses Budget'!$J$99-SUM('15 Year Pro Forma'!$E$62:NWB62))</f>
        <v>0</v>
      </c>
      <c r="NWE62" s="962">
        <f>MIN(NWE60*$C$62,'Sources and Uses Budget'!$J$99-SUM('15 Year Pro Forma'!$E$62:NWD62))</f>
        <v>0</v>
      </c>
      <c r="NWG62" s="962">
        <f>MIN(NWG60*$C$62,'Sources and Uses Budget'!$J$99-SUM('15 Year Pro Forma'!$E$62:NWF62))</f>
        <v>0</v>
      </c>
      <c r="NWI62" s="962">
        <f>MIN(NWI60*$C$62,'Sources and Uses Budget'!$J$99-SUM('15 Year Pro Forma'!$E$62:NWH62))</f>
        <v>0</v>
      </c>
      <c r="NWK62" s="962">
        <f>MIN(NWK60*$C$62,'Sources and Uses Budget'!$J$99-SUM('15 Year Pro Forma'!$E$62:NWJ62))</f>
        <v>0</v>
      </c>
      <c r="NWM62" s="962">
        <f>MIN(NWM60*$C$62,'Sources and Uses Budget'!$J$99-SUM('15 Year Pro Forma'!$E$62:NWL62))</f>
        <v>0</v>
      </c>
      <c r="NWO62" s="962">
        <f>MIN(NWO60*$C$62,'Sources and Uses Budget'!$J$99-SUM('15 Year Pro Forma'!$E$62:NWN62))</f>
        <v>0</v>
      </c>
      <c r="NWQ62" s="962">
        <f>MIN(NWQ60*$C$62,'Sources and Uses Budget'!$J$99-SUM('15 Year Pro Forma'!$E$62:NWP62))</f>
        <v>0</v>
      </c>
      <c r="NWS62" s="962">
        <f>MIN(NWS60*$C$62,'Sources and Uses Budget'!$J$99-SUM('15 Year Pro Forma'!$E$62:NWR62))</f>
        <v>0</v>
      </c>
      <c r="NWU62" s="962">
        <f>MIN(NWU60*$C$62,'Sources and Uses Budget'!$J$99-SUM('15 Year Pro Forma'!$E$62:NWT62))</f>
        <v>0</v>
      </c>
      <c r="NWW62" s="962">
        <f>MIN(NWW60*$C$62,'Sources and Uses Budget'!$J$99-SUM('15 Year Pro Forma'!$E$62:NWV62))</f>
        <v>0</v>
      </c>
      <c r="NWY62" s="962">
        <f>MIN(NWY60*$C$62,'Sources and Uses Budget'!$J$99-SUM('15 Year Pro Forma'!$E$62:NWX62))</f>
        <v>0</v>
      </c>
      <c r="NXA62" s="962">
        <f>MIN(NXA60*$C$62,'Sources and Uses Budget'!$J$99-SUM('15 Year Pro Forma'!$E$62:NWZ62))</f>
        <v>0</v>
      </c>
      <c r="NXC62" s="962">
        <f>MIN(NXC60*$C$62,'Sources and Uses Budget'!$J$99-SUM('15 Year Pro Forma'!$E$62:NXB62))</f>
        <v>0</v>
      </c>
      <c r="NXE62" s="962">
        <f>MIN(NXE60*$C$62,'Sources and Uses Budget'!$J$99-SUM('15 Year Pro Forma'!$E$62:NXD62))</f>
        <v>0</v>
      </c>
      <c r="NXG62" s="962">
        <f>MIN(NXG60*$C$62,'Sources and Uses Budget'!$J$99-SUM('15 Year Pro Forma'!$E$62:NXF62))</f>
        <v>0</v>
      </c>
      <c r="NXI62" s="962">
        <f>MIN(NXI60*$C$62,'Sources and Uses Budget'!$J$99-SUM('15 Year Pro Forma'!$E$62:NXH62))</f>
        <v>0</v>
      </c>
      <c r="NXK62" s="962">
        <f>MIN(NXK60*$C$62,'Sources and Uses Budget'!$J$99-SUM('15 Year Pro Forma'!$E$62:NXJ62))</f>
        <v>0</v>
      </c>
      <c r="NXM62" s="962">
        <f>MIN(NXM60*$C$62,'Sources and Uses Budget'!$J$99-SUM('15 Year Pro Forma'!$E$62:NXL62))</f>
        <v>0</v>
      </c>
      <c r="NXO62" s="962">
        <f>MIN(NXO60*$C$62,'Sources and Uses Budget'!$J$99-SUM('15 Year Pro Forma'!$E$62:NXN62))</f>
        <v>0</v>
      </c>
      <c r="NXQ62" s="962">
        <f>MIN(NXQ60*$C$62,'Sources and Uses Budget'!$J$99-SUM('15 Year Pro Forma'!$E$62:NXP62))</f>
        <v>0</v>
      </c>
      <c r="NXS62" s="962">
        <f>MIN(NXS60*$C$62,'Sources and Uses Budget'!$J$99-SUM('15 Year Pro Forma'!$E$62:NXR62))</f>
        <v>0</v>
      </c>
      <c r="NXU62" s="962">
        <f>MIN(NXU60*$C$62,'Sources and Uses Budget'!$J$99-SUM('15 Year Pro Forma'!$E$62:NXT62))</f>
        <v>0</v>
      </c>
      <c r="NXW62" s="962">
        <f>MIN(NXW60*$C$62,'Sources and Uses Budget'!$J$99-SUM('15 Year Pro Forma'!$E$62:NXV62))</f>
        <v>0</v>
      </c>
      <c r="NXY62" s="962">
        <f>MIN(NXY60*$C$62,'Sources and Uses Budget'!$J$99-SUM('15 Year Pro Forma'!$E$62:NXX62))</f>
        <v>0</v>
      </c>
      <c r="NYA62" s="962">
        <f>MIN(NYA60*$C$62,'Sources and Uses Budget'!$J$99-SUM('15 Year Pro Forma'!$E$62:NXZ62))</f>
        <v>0</v>
      </c>
      <c r="NYC62" s="962">
        <f>MIN(NYC60*$C$62,'Sources and Uses Budget'!$J$99-SUM('15 Year Pro Forma'!$E$62:NYB62))</f>
        <v>0</v>
      </c>
      <c r="NYE62" s="962">
        <f>MIN(NYE60*$C$62,'Sources and Uses Budget'!$J$99-SUM('15 Year Pro Forma'!$E$62:NYD62))</f>
        <v>0</v>
      </c>
      <c r="NYG62" s="962">
        <f>MIN(NYG60*$C$62,'Sources and Uses Budget'!$J$99-SUM('15 Year Pro Forma'!$E$62:NYF62))</f>
        <v>0</v>
      </c>
      <c r="NYI62" s="962">
        <f>MIN(NYI60*$C$62,'Sources and Uses Budget'!$J$99-SUM('15 Year Pro Forma'!$E$62:NYH62))</f>
        <v>0</v>
      </c>
      <c r="NYK62" s="962">
        <f>MIN(NYK60*$C$62,'Sources and Uses Budget'!$J$99-SUM('15 Year Pro Forma'!$E$62:NYJ62))</f>
        <v>0</v>
      </c>
      <c r="NYM62" s="962">
        <f>MIN(NYM60*$C$62,'Sources and Uses Budget'!$J$99-SUM('15 Year Pro Forma'!$E$62:NYL62))</f>
        <v>0</v>
      </c>
      <c r="NYO62" s="962">
        <f>MIN(NYO60*$C$62,'Sources and Uses Budget'!$J$99-SUM('15 Year Pro Forma'!$E$62:NYN62))</f>
        <v>0</v>
      </c>
      <c r="NYQ62" s="962">
        <f>MIN(NYQ60*$C$62,'Sources and Uses Budget'!$J$99-SUM('15 Year Pro Forma'!$E$62:NYP62))</f>
        <v>0</v>
      </c>
      <c r="NYS62" s="962">
        <f>MIN(NYS60*$C$62,'Sources and Uses Budget'!$J$99-SUM('15 Year Pro Forma'!$E$62:NYR62))</f>
        <v>0</v>
      </c>
      <c r="NYU62" s="962">
        <f>MIN(NYU60*$C$62,'Sources and Uses Budget'!$J$99-SUM('15 Year Pro Forma'!$E$62:NYT62))</f>
        <v>0</v>
      </c>
      <c r="NYW62" s="962">
        <f>MIN(NYW60*$C$62,'Sources and Uses Budget'!$J$99-SUM('15 Year Pro Forma'!$E$62:NYV62))</f>
        <v>0</v>
      </c>
      <c r="NYY62" s="962">
        <f>MIN(NYY60*$C$62,'Sources and Uses Budget'!$J$99-SUM('15 Year Pro Forma'!$E$62:NYX62))</f>
        <v>0</v>
      </c>
      <c r="NZA62" s="962">
        <f>MIN(NZA60*$C$62,'Sources and Uses Budget'!$J$99-SUM('15 Year Pro Forma'!$E$62:NYZ62))</f>
        <v>0</v>
      </c>
      <c r="NZC62" s="962">
        <f>MIN(NZC60*$C$62,'Sources and Uses Budget'!$J$99-SUM('15 Year Pro Forma'!$E$62:NZB62))</f>
        <v>0</v>
      </c>
      <c r="NZE62" s="962">
        <f>MIN(NZE60*$C$62,'Sources and Uses Budget'!$J$99-SUM('15 Year Pro Forma'!$E$62:NZD62))</f>
        <v>0</v>
      </c>
      <c r="NZG62" s="962">
        <f>MIN(NZG60*$C$62,'Sources and Uses Budget'!$J$99-SUM('15 Year Pro Forma'!$E$62:NZF62))</f>
        <v>0</v>
      </c>
      <c r="NZI62" s="962">
        <f>MIN(NZI60*$C$62,'Sources and Uses Budget'!$J$99-SUM('15 Year Pro Forma'!$E$62:NZH62))</f>
        <v>0</v>
      </c>
      <c r="NZK62" s="962">
        <f>MIN(NZK60*$C$62,'Sources and Uses Budget'!$J$99-SUM('15 Year Pro Forma'!$E$62:NZJ62))</f>
        <v>0</v>
      </c>
      <c r="NZM62" s="962">
        <f>MIN(NZM60*$C$62,'Sources and Uses Budget'!$J$99-SUM('15 Year Pro Forma'!$E$62:NZL62))</f>
        <v>0</v>
      </c>
      <c r="NZO62" s="962">
        <f>MIN(NZO60*$C$62,'Sources and Uses Budget'!$J$99-SUM('15 Year Pro Forma'!$E$62:NZN62))</f>
        <v>0</v>
      </c>
      <c r="NZQ62" s="962">
        <f>MIN(NZQ60*$C$62,'Sources and Uses Budget'!$J$99-SUM('15 Year Pro Forma'!$E$62:NZP62))</f>
        <v>0</v>
      </c>
      <c r="NZS62" s="962">
        <f>MIN(NZS60*$C$62,'Sources and Uses Budget'!$J$99-SUM('15 Year Pro Forma'!$E$62:NZR62))</f>
        <v>0</v>
      </c>
      <c r="NZU62" s="962">
        <f>MIN(NZU60*$C$62,'Sources and Uses Budget'!$J$99-SUM('15 Year Pro Forma'!$E$62:NZT62))</f>
        <v>0</v>
      </c>
      <c r="NZW62" s="962">
        <f>MIN(NZW60*$C$62,'Sources and Uses Budget'!$J$99-SUM('15 Year Pro Forma'!$E$62:NZV62))</f>
        <v>0</v>
      </c>
      <c r="NZY62" s="962">
        <f>MIN(NZY60*$C$62,'Sources and Uses Budget'!$J$99-SUM('15 Year Pro Forma'!$E$62:NZX62))</f>
        <v>0</v>
      </c>
      <c r="OAA62" s="962">
        <f>MIN(OAA60*$C$62,'Sources and Uses Budget'!$J$99-SUM('15 Year Pro Forma'!$E$62:NZZ62))</f>
        <v>0</v>
      </c>
      <c r="OAC62" s="962">
        <f>MIN(OAC60*$C$62,'Sources and Uses Budget'!$J$99-SUM('15 Year Pro Forma'!$E$62:OAB62))</f>
        <v>0</v>
      </c>
      <c r="OAE62" s="962">
        <f>MIN(OAE60*$C$62,'Sources and Uses Budget'!$J$99-SUM('15 Year Pro Forma'!$E$62:OAD62))</f>
        <v>0</v>
      </c>
      <c r="OAG62" s="962">
        <f>MIN(OAG60*$C$62,'Sources and Uses Budget'!$J$99-SUM('15 Year Pro Forma'!$E$62:OAF62))</f>
        <v>0</v>
      </c>
      <c r="OAI62" s="962">
        <f>MIN(OAI60*$C$62,'Sources and Uses Budget'!$J$99-SUM('15 Year Pro Forma'!$E$62:OAH62))</f>
        <v>0</v>
      </c>
      <c r="OAK62" s="962">
        <f>MIN(OAK60*$C$62,'Sources and Uses Budget'!$J$99-SUM('15 Year Pro Forma'!$E$62:OAJ62))</f>
        <v>0</v>
      </c>
      <c r="OAM62" s="962">
        <f>MIN(OAM60*$C$62,'Sources and Uses Budget'!$J$99-SUM('15 Year Pro Forma'!$E$62:OAL62))</f>
        <v>0</v>
      </c>
      <c r="OAO62" s="962">
        <f>MIN(OAO60*$C$62,'Sources and Uses Budget'!$J$99-SUM('15 Year Pro Forma'!$E$62:OAN62))</f>
        <v>0</v>
      </c>
      <c r="OAQ62" s="962">
        <f>MIN(OAQ60*$C$62,'Sources and Uses Budget'!$J$99-SUM('15 Year Pro Forma'!$E$62:OAP62))</f>
        <v>0</v>
      </c>
      <c r="OAS62" s="962">
        <f>MIN(OAS60*$C$62,'Sources and Uses Budget'!$J$99-SUM('15 Year Pro Forma'!$E$62:OAR62))</f>
        <v>0</v>
      </c>
      <c r="OAU62" s="962">
        <f>MIN(OAU60*$C$62,'Sources and Uses Budget'!$J$99-SUM('15 Year Pro Forma'!$E$62:OAT62))</f>
        <v>0</v>
      </c>
      <c r="OAW62" s="962">
        <f>MIN(OAW60*$C$62,'Sources and Uses Budget'!$J$99-SUM('15 Year Pro Forma'!$E$62:OAV62))</f>
        <v>0</v>
      </c>
      <c r="OAY62" s="962">
        <f>MIN(OAY60*$C$62,'Sources and Uses Budget'!$J$99-SUM('15 Year Pro Forma'!$E$62:OAX62))</f>
        <v>0</v>
      </c>
      <c r="OBA62" s="962">
        <f>MIN(OBA60*$C$62,'Sources and Uses Budget'!$J$99-SUM('15 Year Pro Forma'!$E$62:OAZ62))</f>
        <v>0</v>
      </c>
      <c r="OBC62" s="962">
        <f>MIN(OBC60*$C$62,'Sources and Uses Budget'!$J$99-SUM('15 Year Pro Forma'!$E$62:OBB62))</f>
        <v>0</v>
      </c>
      <c r="OBE62" s="962">
        <f>MIN(OBE60*$C$62,'Sources and Uses Budget'!$J$99-SUM('15 Year Pro Forma'!$E$62:OBD62))</f>
        <v>0</v>
      </c>
      <c r="OBG62" s="962">
        <f>MIN(OBG60*$C$62,'Sources and Uses Budget'!$J$99-SUM('15 Year Pro Forma'!$E$62:OBF62))</f>
        <v>0</v>
      </c>
      <c r="OBI62" s="962">
        <f>MIN(OBI60*$C$62,'Sources and Uses Budget'!$J$99-SUM('15 Year Pro Forma'!$E$62:OBH62))</f>
        <v>0</v>
      </c>
      <c r="OBK62" s="962">
        <f>MIN(OBK60*$C$62,'Sources and Uses Budget'!$J$99-SUM('15 Year Pro Forma'!$E$62:OBJ62))</f>
        <v>0</v>
      </c>
      <c r="OBM62" s="962">
        <f>MIN(OBM60*$C$62,'Sources and Uses Budget'!$J$99-SUM('15 Year Pro Forma'!$E$62:OBL62))</f>
        <v>0</v>
      </c>
      <c r="OBO62" s="962">
        <f>MIN(OBO60*$C$62,'Sources and Uses Budget'!$J$99-SUM('15 Year Pro Forma'!$E$62:OBN62))</f>
        <v>0</v>
      </c>
      <c r="OBQ62" s="962">
        <f>MIN(OBQ60*$C$62,'Sources and Uses Budget'!$J$99-SUM('15 Year Pro Forma'!$E$62:OBP62))</f>
        <v>0</v>
      </c>
      <c r="OBS62" s="962">
        <f>MIN(OBS60*$C$62,'Sources and Uses Budget'!$J$99-SUM('15 Year Pro Forma'!$E$62:OBR62))</f>
        <v>0</v>
      </c>
      <c r="OBU62" s="962">
        <f>MIN(OBU60*$C$62,'Sources and Uses Budget'!$J$99-SUM('15 Year Pro Forma'!$E$62:OBT62))</f>
        <v>0</v>
      </c>
      <c r="OBW62" s="962">
        <f>MIN(OBW60*$C$62,'Sources and Uses Budget'!$J$99-SUM('15 Year Pro Forma'!$E$62:OBV62))</f>
        <v>0</v>
      </c>
      <c r="OBY62" s="962">
        <f>MIN(OBY60*$C$62,'Sources and Uses Budget'!$J$99-SUM('15 Year Pro Forma'!$E$62:OBX62))</f>
        <v>0</v>
      </c>
      <c r="OCA62" s="962">
        <f>MIN(OCA60*$C$62,'Sources and Uses Budget'!$J$99-SUM('15 Year Pro Forma'!$E$62:OBZ62))</f>
        <v>0</v>
      </c>
      <c r="OCC62" s="962">
        <f>MIN(OCC60*$C$62,'Sources and Uses Budget'!$J$99-SUM('15 Year Pro Forma'!$E$62:OCB62))</f>
        <v>0</v>
      </c>
      <c r="OCE62" s="962">
        <f>MIN(OCE60*$C$62,'Sources and Uses Budget'!$J$99-SUM('15 Year Pro Forma'!$E$62:OCD62))</f>
        <v>0</v>
      </c>
      <c r="OCG62" s="962">
        <f>MIN(OCG60*$C$62,'Sources and Uses Budget'!$J$99-SUM('15 Year Pro Forma'!$E$62:OCF62))</f>
        <v>0</v>
      </c>
      <c r="OCI62" s="962">
        <f>MIN(OCI60*$C$62,'Sources and Uses Budget'!$J$99-SUM('15 Year Pro Forma'!$E$62:OCH62))</f>
        <v>0</v>
      </c>
      <c r="OCK62" s="962">
        <f>MIN(OCK60*$C$62,'Sources and Uses Budget'!$J$99-SUM('15 Year Pro Forma'!$E$62:OCJ62))</f>
        <v>0</v>
      </c>
      <c r="OCM62" s="962">
        <f>MIN(OCM60*$C$62,'Sources and Uses Budget'!$J$99-SUM('15 Year Pro Forma'!$E$62:OCL62))</f>
        <v>0</v>
      </c>
      <c r="OCO62" s="962">
        <f>MIN(OCO60*$C$62,'Sources and Uses Budget'!$J$99-SUM('15 Year Pro Forma'!$E$62:OCN62))</f>
        <v>0</v>
      </c>
      <c r="OCQ62" s="962">
        <f>MIN(OCQ60*$C$62,'Sources and Uses Budget'!$J$99-SUM('15 Year Pro Forma'!$E$62:OCP62))</f>
        <v>0</v>
      </c>
      <c r="OCS62" s="962">
        <f>MIN(OCS60*$C$62,'Sources and Uses Budget'!$J$99-SUM('15 Year Pro Forma'!$E$62:OCR62))</f>
        <v>0</v>
      </c>
      <c r="OCU62" s="962">
        <f>MIN(OCU60*$C$62,'Sources and Uses Budget'!$J$99-SUM('15 Year Pro Forma'!$E$62:OCT62))</f>
        <v>0</v>
      </c>
      <c r="OCW62" s="962">
        <f>MIN(OCW60*$C$62,'Sources and Uses Budget'!$J$99-SUM('15 Year Pro Forma'!$E$62:OCV62))</f>
        <v>0</v>
      </c>
      <c r="OCY62" s="962">
        <f>MIN(OCY60*$C$62,'Sources and Uses Budget'!$J$99-SUM('15 Year Pro Forma'!$E$62:OCX62))</f>
        <v>0</v>
      </c>
      <c r="ODA62" s="962">
        <f>MIN(ODA60*$C$62,'Sources and Uses Budget'!$J$99-SUM('15 Year Pro Forma'!$E$62:OCZ62))</f>
        <v>0</v>
      </c>
      <c r="ODC62" s="962">
        <f>MIN(ODC60*$C$62,'Sources and Uses Budget'!$J$99-SUM('15 Year Pro Forma'!$E$62:ODB62))</f>
        <v>0</v>
      </c>
      <c r="ODE62" s="962">
        <f>MIN(ODE60*$C$62,'Sources and Uses Budget'!$J$99-SUM('15 Year Pro Forma'!$E$62:ODD62))</f>
        <v>0</v>
      </c>
      <c r="ODG62" s="962">
        <f>MIN(ODG60*$C$62,'Sources and Uses Budget'!$J$99-SUM('15 Year Pro Forma'!$E$62:ODF62))</f>
        <v>0</v>
      </c>
      <c r="ODI62" s="962">
        <f>MIN(ODI60*$C$62,'Sources and Uses Budget'!$J$99-SUM('15 Year Pro Forma'!$E$62:ODH62))</f>
        <v>0</v>
      </c>
      <c r="ODK62" s="962">
        <f>MIN(ODK60*$C$62,'Sources and Uses Budget'!$J$99-SUM('15 Year Pro Forma'!$E$62:ODJ62))</f>
        <v>0</v>
      </c>
      <c r="ODM62" s="962">
        <f>MIN(ODM60*$C$62,'Sources and Uses Budget'!$J$99-SUM('15 Year Pro Forma'!$E$62:ODL62))</f>
        <v>0</v>
      </c>
      <c r="ODO62" s="962">
        <f>MIN(ODO60*$C$62,'Sources and Uses Budget'!$J$99-SUM('15 Year Pro Forma'!$E$62:ODN62))</f>
        <v>0</v>
      </c>
      <c r="ODQ62" s="962">
        <f>MIN(ODQ60*$C$62,'Sources and Uses Budget'!$J$99-SUM('15 Year Pro Forma'!$E$62:ODP62))</f>
        <v>0</v>
      </c>
      <c r="ODS62" s="962">
        <f>MIN(ODS60*$C$62,'Sources and Uses Budget'!$J$99-SUM('15 Year Pro Forma'!$E$62:ODR62))</f>
        <v>0</v>
      </c>
      <c r="ODU62" s="962">
        <f>MIN(ODU60*$C$62,'Sources and Uses Budget'!$J$99-SUM('15 Year Pro Forma'!$E$62:ODT62))</f>
        <v>0</v>
      </c>
      <c r="ODW62" s="962">
        <f>MIN(ODW60*$C$62,'Sources and Uses Budget'!$J$99-SUM('15 Year Pro Forma'!$E$62:ODV62))</f>
        <v>0</v>
      </c>
      <c r="ODY62" s="962">
        <f>MIN(ODY60*$C$62,'Sources and Uses Budget'!$J$99-SUM('15 Year Pro Forma'!$E$62:ODX62))</f>
        <v>0</v>
      </c>
      <c r="OEA62" s="962">
        <f>MIN(OEA60*$C$62,'Sources and Uses Budget'!$J$99-SUM('15 Year Pro Forma'!$E$62:ODZ62))</f>
        <v>0</v>
      </c>
      <c r="OEC62" s="962">
        <f>MIN(OEC60*$C$62,'Sources and Uses Budget'!$J$99-SUM('15 Year Pro Forma'!$E$62:OEB62))</f>
        <v>0</v>
      </c>
      <c r="OEE62" s="962">
        <f>MIN(OEE60*$C$62,'Sources and Uses Budget'!$J$99-SUM('15 Year Pro Forma'!$E$62:OED62))</f>
        <v>0</v>
      </c>
      <c r="OEG62" s="962">
        <f>MIN(OEG60*$C$62,'Sources and Uses Budget'!$J$99-SUM('15 Year Pro Forma'!$E$62:OEF62))</f>
        <v>0</v>
      </c>
      <c r="OEI62" s="962">
        <f>MIN(OEI60*$C$62,'Sources and Uses Budget'!$J$99-SUM('15 Year Pro Forma'!$E$62:OEH62))</f>
        <v>0</v>
      </c>
      <c r="OEK62" s="962">
        <f>MIN(OEK60*$C$62,'Sources and Uses Budget'!$J$99-SUM('15 Year Pro Forma'!$E$62:OEJ62))</f>
        <v>0</v>
      </c>
      <c r="OEM62" s="962">
        <f>MIN(OEM60*$C$62,'Sources and Uses Budget'!$J$99-SUM('15 Year Pro Forma'!$E$62:OEL62))</f>
        <v>0</v>
      </c>
      <c r="OEO62" s="962">
        <f>MIN(OEO60*$C$62,'Sources and Uses Budget'!$J$99-SUM('15 Year Pro Forma'!$E$62:OEN62))</f>
        <v>0</v>
      </c>
      <c r="OEQ62" s="962">
        <f>MIN(OEQ60*$C$62,'Sources and Uses Budget'!$J$99-SUM('15 Year Pro Forma'!$E$62:OEP62))</f>
        <v>0</v>
      </c>
      <c r="OES62" s="962">
        <f>MIN(OES60*$C$62,'Sources and Uses Budget'!$J$99-SUM('15 Year Pro Forma'!$E$62:OER62))</f>
        <v>0</v>
      </c>
      <c r="OEU62" s="962">
        <f>MIN(OEU60*$C$62,'Sources and Uses Budget'!$J$99-SUM('15 Year Pro Forma'!$E$62:OET62))</f>
        <v>0</v>
      </c>
      <c r="OEW62" s="962">
        <f>MIN(OEW60*$C$62,'Sources and Uses Budget'!$J$99-SUM('15 Year Pro Forma'!$E$62:OEV62))</f>
        <v>0</v>
      </c>
      <c r="OEY62" s="962">
        <f>MIN(OEY60*$C$62,'Sources and Uses Budget'!$J$99-SUM('15 Year Pro Forma'!$E$62:OEX62))</f>
        <v>0</v>
      </c>
      <c r="OFA62" s="962">
        <f>MIN(OFA60*$C$62,'Sources and Uses Budget'!$J$99-SUM('15 Year Pro Forma'!$E$62:OEZ62))</f>
        <v>0</v>
      </c>
      <c r="OFC62" s="962">
        <f>MIN(OFC60*$C$62,'Sources and Uses Budget'!$J$99-SUM('15 Year Pro Forma'!$E$62:OFB62))</f>
        <v>0</v>
      </c>
      <c r="OFE62" s="962">
        <f>MIN(OFE60*$C$62,'Sources and Uses Budget'!$J$99-SUM('15 Year Pro Forma'!$E$62:OFD62))</f>
        <v>0</v>
      </c>
      <c r="OFG62" s="962">
        <f>MIN(OFG60*$C$62,'Sources and Uses Budget'!$J$99-SUM('15 Year Pro Forma'!$E$62:OFF62))</f>
        <v>0</v>
      </c>
      <c r="OFI62" s="962">
        <f>MIN(OFI60*$C$62,'Sources and Uses Budget'!$J$99-SUM('15 Year Pro Forma'!$E$62:OFH62))</f>
        <v>0</v>
      </c>
      <c r="OFK62" s="962">
        <f>MIN(OFK60*$C$62,'Sources and Uses Budget'!$J$99-SUM('15 Year Pro Forma'!$E$62:OFJ62))</f>
        <v>0</v>
      </c>
      <c r="OFM62" s="962">
        <f>MIN(OFM60*$C$62,'Sources and Uses Budget'!$J$99-SUM('15 Year Pro Forma'!$E$62:OFL62))</f>
        <v>0</v>
      </c>
      <c r="OFO62" s="962">
        <f>MIN(OFO60*$C$62,'Sources and Uses Budget'!$J$99-SUM('15 Year Pro Forma'!$E$62:OFN62))</f>
        <v>0</v>
      </c>
      <c r="OFQ62" s="962">
        <f>MIN(OFQ60*$C$62,'Sources and Uses Budget'!$J$99-SUM('15 Year Pro Forma'!$E$62:OFP62))</f>
        <v>0</v>
      </c>
      <c r="OFS62" s="962">
        <f>MIN(OFS60*$C$62,'Sources and Uses Budget'!$J$99-SUM('15 Year Pro Forma'!$E$62:OFR62))</f>
        <v>0</v>
      </c>
      <c r="OFU62" s="962">
        <f>MIN(OFU60*$C$62,'Sources and Uses Budget'!$J$99-SUM('15 Year Pro Forma'!$E$62:OFT62))</f>
        <v>0</v>
      </c>
      <c r="OFW62" s="962">
        <f>MIN(OFW60*$C$62,'Sources and Uses Budget'!$J$99-SUM('15 Year Pro Forma'!$E$62:OFV62))</f>
        <v>0</v>
      </c>
      <c r="OFY62" s="962">
        <f>MIN(OFY60*$C$62,'Sources and Uses Budget'!$J$99-SUM('15 Year Pro Forma'!$E$62:OFX62))</f>
        <v>0</v>
      </c>
      <c r="OGA62" s="962">
        <f>MIN(OGA60*$C$62,'Sources and Uses Budget'!$J$99-SUM('15 Year Pro Forma'!$E$62:OFZ62))</f>
        <v>0</v>
      </c>
      <c r="OGC62" s="962">
        <f>MIN(OGC60*$C$62,'Sources and Uses Budget'!$J$99-SUM('15 Year Pro Forma'!$E$62:OGB62))</f>
        <v>0</v>
      </c>
      <c r="OGE62" s="962">
        <f>MIN(OGE60*$C$62,'Sources and Uses Budget'!$J$99-SUM('15 Year Pro Forma'!$E$62:OGD62))</f>
        <v>0</v>
      </c>
      <c r="OGG62" s="962">
        <f>MIN(OGG60*$C$62,'Sources and Uses Budget'!$J$99-SUM('15 Year Pro Forma'!$E$62:OGF62))</f>
        <v>0</v>
      </c>
      <c r="OGI62" s="962">
        <f>MIN(OGI60*$C$62,'Sources and Uses Budget'!$J$99-SUM('15 Year Pro Forma'!$E$62:OGH62))</f>
        <v>0</v>
      </c>
      <c r="OGK62" s="962">
        <f>MIN(OGK60*$C$62,'Sources and Uses Budget'!$J$99-SUM('15 Year Pro Forma'!$E$62:OGJ62))</f>
        <v>0</v>
      </c>
      <c r="OGM62" s="962">
        <f>MIN(OGM60*$C$62,'Sources and Uses Budget'!$J$99-SUM('15 Year Pro Forma'!$E$62:OGL62))</f>
        <v>0</v>
      </c>
      <c r="OGO62" s="962">
        <f>MIN(OGO60*$C$62,'Sources and Uses Budget'!$J$99-SUM('15 Year Pro Forma'!$E$62:OGN62))</f>
        <v>0</v>
      </c>
      <c r="OGQ62" s="962">
        <f>MIN(OGQ60*$C$62,'Sources and Uses Budget'!$J$99-SUM('15 Year Pro Forma'!$E$62:OGP62))</f>
        <v>0</v>
      </c>
      <c r="OGS62" s="962">
        <f>MIN(OGS60*$C$62,'Sources and Uses Budget'!$J$99-SUM('15 Year Pro Forma'!$E$62:OGR62))</f>
        <v>0</v>
      </c>
      <c r="OGU62" s="962">
        <f>MIN(OGU60*$C$62,'Sources and Uses Budget'!$J$99-SUM('15 Year Pro Forma'!$E$62:OGT62))</f>
        <v>0</v>
      </c>
      <c r="OGW62" s="962">
        <f>MIN(OGW60*$C$62,'Sources and Uses Budget'!$J$99-SUM('15 Year Pro Forma'!$E$62:OGV62))</f>
        <v>0</v>
      </c>
      <c r="OGY62" s="962">
        <f>MIN(OGY60*$C$62,'Sources and Uses Budget'!$J$99-SUM('15 Year Pro Forma'!$E$62:OGX62))</f>
        <v>0</v>
      </c>
      <c r="OHA62" s="962">
        <f>MIN(OHA60*$C$62,'Sources and Uses Budget'!$J$99-SUM('15 Year Pro Forma'!$E$62:OGZ62))</f>
        <v>0</v>
      </c>
      <c r="OHC62" s="962">
        <f>MIN(OHC60*$C$62,'Sources and Uses Budget'!$J$99-SUM('15 Year Pro Forma'!$E$62:OHB62))</f>
        <v>0</v>
      </c>
      <c r="OHE62" s="962">
        <f>MIN(OHE60*$C$62,'Sources and Uses Budget'!$J$99-SUM('15 Year Pro Forma'!$E$62:OHD62))</f>
        <v>0</v>
      </c>
      <c r="OHG62" s="962">
        <f>MIN(OHG60*$C$62,'Sources and Uses Budget'!$J$99-SUM('15 Year Pro Forma'!$E$62:OHF62))</f>
        <v>0</v>
      </c>
      <c r="OHI62" s="962">
        <f>MIN(OHI60*$C$62,'Sources and Uses Budget'!$J$99-SUM('15 Year Pro Forma'!$E$62:OHH62))</f>
        <v>0</v>
      </c>
      <c r="OHK62" s="962">
        <f>MIN(OHK60*$C$62,'Sources and Uses Budget'!$J$99-SUM('15 Year Pro Forma'!$E$62:OHJ62))</f>
        <v>0</v>
      </c>
      <c r="OHM62" s="962">
        <f>MIN(OHM60*$C$62,'Sources and Uses Budget'!$J$99-SUM('15 Year Pro Forma'!$E$62:OHL62))</f>
        <v>0</v>
      </c>
      <c r="OHO62" s="962">
        <f>MIN(OHO60*$C$62,'Sources and Uses Budget'!$J$99-SUM('15 Year Pro Forma'!$E$62:OHN62))</f>
        <v>0</v>
      </c>
      <c r="OHQ62" s="962">
        <f>MIN(OHQ60*$C$62,'Sources and Uses Budget'!$J$99-SUM('15 Year Pro Forma'!$E$62:OHP62))</f>
        <v>0</v>
      </c>
      <c r="OHS62" s="962">
        <f>MIN(OHS60*$C$62,'Sources and Uses Budget'!$J$99-SUM('15 Year Pro Forma'!$E$62:OHR62))</f>
        <v>0</v>
      </c>
      <c r="OHU62" s="962">
        <f>MIN(OHU60*$C$62,'Sources and Uses Budget'!$J$99-SUM('15 Year Pro Forma'!$E$62:OHT62))</f>
        <v>0</v>
      </c>
      <c r="OHW62" s="962">
        <f>MIN(OHW60*$C$62,'Sources and Uses Budget'!$J$99-SUM('15 Year Pro Forma'!$E$62:OHV62))</f>
        <v>0</v>
      </c>
      <c r="OHY62" s="962">
        <f>MIN(OHY60*$C$62,'Sources and Uses Budget'!$J$99-SUM('15 Year Pro Forma'!$E$62:OHX62))</f>
        <v>0</v>
      </c>
      <c r="OIA62" s="962">
        <f>MIN(OIA60*$C$62,'Sources and Uses Budget'!$J$99-SUM('15 Year Pro Forma'!$E$62:OHZ62))</f>
        <v>0</v>
      </c>
      <c r="OIC62" s="962">
        <f>MIN(OIC60*$C$62,'Sources and Uses Budget'!$J$99-SUM('15 Year Pro Forma'!$E$62:OIB62))</f>
        <v>0</v>
      </c>
      <c r="OIE62" s="962">
        <f>MIN(OIE60*$C$62,'Sources and Uses Budget'!$J$99-SUM('15 Year Pro Forma'!$E$62:OID62))</f>
        <v>0</v>
      </c>
      <c r="OIG62" s="962">
        <f>MIN(OIG60*$C$62,'Sources and Uses Budget'!$J$99-SUM('15 Year Pro Forma'!$E$62:OIF62))</f>
        <v>0</v>
      </c>
      <c r="OII62" s="962">
        <f>MIN(OII60*$C$62,'Sources and Uses Budget'!$J$99-SUM('15 Year Pro Forma'!$E$62:OIH62))</f>
        <v>0</v>
      </c>
      <c r="OIK62" s="962">
        <f>MIN(OIK60*$C$62,'Sources and Uses Budget'!$J$99-SUM('15 Year Pro Forma'!$E$62:OIJ62))</f>
        <v>0</v>
      </c>
      <c r="OIM62" s="962">
        <f>MIN(OIM60*$C$62,'Sources and Uses Budget'!$J$99-SUM('15 Year Pro Forma'!$E$62:OIL62))</f>
        <v>0</v>
      </c>
      <c r="OIO62" s="962">
        <f>MIN(OIO60*$C$62,'Sources and Uses Budget'!$J$99-SUM('15 Year Pro Forma'!$E$62:OIN62))</f>
        <v>0</v>
      </c>
      <c r="OIQ62" s="962">
        <f>MIN(OIQ60*$C$62,'Sources and Uses Budget'!$J$99-SUM('15 Year Pro Forma'!$E$62:OIP62))</f>
        <v>0</v>
      </c>
      <c r="OIS62" s="962">
        <f>MIN(OIS60*$C$62,'Sources and Uses Budget'!$J$99-SUM('15 Year Pro Forma'!$E$62:OIR62))</f>
        <v>0</v>
      </c>
      <c r="OIU62" s="962">
        <f>MIN(OIU60*$C$62,'Sources and Uses Budget'!$J$99-SUM('15 Year Pro Forma'!$E$62:OIT62))</f>
        <v>0</v>
      </c>
      <c r="OIW62" s="962">
        <f>MIN(OIW60*$C$62,'Sources and Uses Budget'!$J$99-SUM('15 Year Pro Forma'!$E$62:OIV62))</f>
        <v>0</v>
      </c>
      <c r="OIY62" s="962">
        <f>MIN(OIY60*$C$62,'Sources and Uses Budget'!$J$99-SUM('15 Year Pro Forma'!$E$62:OIX62))</f>
        <v>0</v>
      </c>
      <c r="OJA62" s="962">
        <f>MIN(OJA60*$C$62,'Sources and Uses Budget'!$J$99-SUM('15 Year Pro Forma'!$E$62:OIZ62))</f>
        <v>0</v>
      </c>
      <c r="OJC62" s="962">
        <f>MIN(OJC60*$C$62,'Sources and Uses Budget'!$J$99-SUM('15 Year Pro Forma'!$E$62:OJB62))</f>
        <v>0</v>
      </c>
      <c r="OJE62" s="962">
        <f>MIN(OJE60*$C$62,'Sources and Uses Budget'!$J$99-SUM('15 Year Pro Forma'!$E$62:OJD62))</f>
        <v>0</v>
      </c>
      <c r="OJG62" s="962">
        <f>MIN(OJG60*$C$62,'Sources and Uses Budget'!$J$99-SUM('15 Year Pro Forma'!$E$62:OJF62))</f>
        <v>0</v>
      </c>
      <c r="OJI62" s="962">
        <f>MIN(OJI60*$C$62,'Sources and Uses Budget'!$J$99-SUM('15 Year Pro Forma'!$E$62:OJH62))</f>
        <v>0</v>
      </c>
      <c r="OJK62" s="962">
        <f>MIN(OJK60*$C$62,'Sources and Uses Budget'!$J$99-SUM('15 Year Pro Forma'!$E$62:OJJ62))</f>
        <v>0</v>
      </c>
      <c r="OJM62" s="962">
        <f>MIN(OJM60*$C$62,'Sources and Uses Budget'!$J$99-SUM('15 Year Pro Forma'!$E$62:OJL62))</f>
        <v>0</v>
      </c>
      <c r="OJO62" s="962">
        <f>MIN(OJO60*$C$62,'Sources and Uses Budget'!$J$99-SUM('15 Year Pro Forma'!$E$62:OJN62))</f>
        <v>0</v>
      </c>
      <c r="OJQ62" s="962">
        <f>MIN(OJQ60*$C$62,'Sources and Uses Budget'!$J$99-SUM('15 Year Pro Forma'!$E$62:OJP62))</f>
        <v>0</v>
      </c>
      <c r="OJS62" s="962">
        <f>MIN(OJS60*$C$62,'Sources and Uses Budget'!$J$99-SUM('15 Year Pro Forma'!$E$62:OJR62))</f>
        <v>0</v>
      </c>
      <c r="OJU62" s="962">
        <f>MIN(OJU60*$C$62,'Sources and Uses Budget'!$J$99-SUM('15 Year Pro Forma'!$E$62:OJT62))</f>
        <v>0</v>
      </c>
      <c r="OJW62" s="962">
        <f>MIN(OJW60*$C$62,'Sources and Uses Budget'!$J$99-SUM('15 Year Pro Forma'!$E$62:OJV62))</f>
        <v>0</v>
      </c>
      <c r="OJY62" s="962">
        <f>MIN(OJY60*$C$62,'Sources and Uses Budget'!$J$99-SUM('15 Year Pro Forma'!$E$62:OJX62))</f>
        <v>0</v>
      </c>
      <c r="OKA62" s="962">
        <f>MIN(OKA60*$C$62,'Sources and Uses Budget'!$J$99-SUM('15 Year Pro Forma'!$E$62:OJZ62))</f>
        <v>0</v>
      </c>
      <c r="OKC62" s="962">
        <f>MIN(OKC60*$C$62,'Sources and Uses Budget'!$J$99-SUM('15 Year Pro Forma'!$E$62:OKB62))</f>
        <v>0</v>
      </c>
      <c r="OKE62" s="962">
        <f>MIN(OKE60*$C$62,'Sources and Uses Budget'!$J$99-SUM('15 Year Pro Forma'!$E$62:OKD62))</f>
        <v>0</v>
      </c>
      <c r="OKG62" s="962">
        <f>MIN(OKG60*$C$62,'Sources and Uses Budget'!$J$99-SUM('15 Year Pro Forma'!$E$62:OKF62))</f>
        <v>0</v>
      </c>
      <c r="OKI62" s="962">
        <f>MIN(OKI60*$C$62,'Sources and Uses Budget'!$J$99-SUM('15 Year Pro Forma'!$E$62:OKH62))</f>
        <v>0</v>
      </c>
      <c r="OKK62" s="962">
        <f>MIN(OKK60*$C$62,'Sources and Uses Budget'!$J$99-SUM('15 Year Pro Forma'!$E$62:OKJ62))</f>
        <v>0</v>
      </c>
      <c r="OKM62" s="962">
        <f>MIN(OKM60*$C$62,'Sources and Uses Budget'!$J$99-SUM('15 Year Pro Forma'!$E$62:OKL62))</f>
        <v>0</v>
      </c>
      <c r="OKO62" s="962">
        <f>MIN(OKO60*$C$62,'Sources and Uses Budget'!$J$99-SUM('15 Year Pro Forma'!$E$62:OKN62))</f>
        <v>0</v>
      </c>
      <c r="OKQ62" s="962">
        <f>MIN(OKQ60*$C$62,'Sources and Uses Budget'!$J$99-SUM('15 Year Pro Forma'!$E$62:OKP62))</f>
        <v>0</v>
      </c>
      <c r="OKS62" s="962">
        <f>MIN(OKS60*$C$62,'Sources and Uses Budget'!$J$99-SUM('15 Year Pro Forma'!$E$62:OKR62))</f>
        <v>0</v>
      </c>
      <c r="OKU62" s="962">
        <f>MIN(OKU60*$C$62,'Sources and Uses Budget'!$J$99-SUM('15 Year Pro Forma'!$E$62:OKT62))</f>
        <v>0</v>
      </c>
      <c r="OKW62" s="962">
        <f>MIN(OKW60*$C$62,'Sources and Uses Budget'!$J$99-SUM('15 Year Pro Forma'!$E$62:OKV62))</f>
        <v>0</v>
      </c>
      <c r="OKY62" s="962">
        <f>MIN(OKY60*$C$62,'Sources and Uses Budget'!$J$99-SUM('15 Year Pro Forma'!$E$62:OKX62))</f>
        <v>0</v>
      </c>
      <c r="OLA62" s="962">
        <f>MIN(OLA60*$C$62,'Sources and Uses Budget'!$J$99-SUM('15 Year Pro Forma'!$E$62:OKZ62))</f>
        <v>0</v>
      </c>
      <c r="OLC62" s="962">
        <f>MIN(OLC60*$C$62,'Sources and Uses Budget'!$J$99-SUM('15 Year Pro Forma'!$E$62:OLB62))</f>
        <v>0</v>
      </c>
      <c r="OLE62" s="962">
        <f>MIN(OLE60*$C$62,'Sources and Uses Budget'!$J$99-SUM('15 Year Pro Forma'!$E$62:OLD62))</f>
        <v>0</v>
      </c>
      <c r="OLG62" s="962">
        <f>MIN(OLG60*$C$62,'Sources and Uses Budget'!$J$99-SUM('15 Year Pro Forma'!$E$62:OLF62))</f>
        <v>0</v>
      </c>
      <c r="OLI62" s="962">
        <f>MIN(OLI60*$C$62,'Sources and Uses Budget'!$J$99-SUM('15 Year Pro Forma'!$E$62:OLH62))</f>
        <v>0</v>
      </c>
      <c r="OLK62" s="962">
        <f>MIN(OLK60*$C$62,'Sources and Uses Budget'!$J$99-SUM('15 Year Pro Forma'!$E$62:OLJ62))</f>
        <v>0</v>
      </c>
      <c r="OLM62" s="962">
        <f>MIN(OLM60*$C$62,'Sources and Uses Budget'!$J$99-SUM('15 Year Pro Forma'!$E$62:OLL62))</f>
        <v>0</v>
      </c>
      <c r="OLO62" s="962">
        <f>MIN(OLO60*$C$62,'Sources and Uses Budget'!$J$99-SUM('15 Year Pro Forma'!$E$62:OLN62))</f>
        <v>0</v>
      </c>
      <c r="OLQ62" s="962">
        <f>MIN(OLQ60*$C$62,'Sources and Uses Budget'!$J$99-SUM('15 Year Pro Forma'!$E$62:OLP62))</f>
        <v>0</v>
      </c>
      <c r="OLS62" s="962">
        <f>MIN(OLS60*$C$62,'Sources and Uses Budget'!$J$99-SUM('15 Year Pro Forma'!$E$62:OLR62))</f>
        <v>0</v>
      </c>
      <c r="OLU62" s="962">
        <f>MIN(OLU60*$C$62,'Sources and Uses Budget'!$J$99-SUM('15 Year Pro Forma'!$E$62:OLT62))</f>
        <v>0</v>
      </c>
      <c r="OLW62" s="962">
        <f>MIN(OLW60*$C$62,'Sources and Uses Budget'!$J$99-SUM('15 Year Pro Forma'!$E$62:OLV62))</f>
        <v>0</v>
      </c>
      <c r="OLY62" s="962">
        <f>MIN(OLY60*$C$62,'Sources and Uses Budget'!$J$99-SUM('15 Year Pro Forma'!$E$62:OLX62))</f>
        <v>0</v>
      </c>
      <c r="OMA62" s="962">
        <f>MIN(OMA60*$C$62,'Sources and Uses Budget'!$J$99-SUM('15 Year Pro Forma'!$E$62:OLZ62))</f>
        <v>0</v>
      </c>
      <c r="OMC62" s="962">
        <f>MIN(OMC60*$C$62,'Sources and Uses Budget'!$J$99-SUM('15 Year Pro Forma'!$E$62:OMB62))</f>
        <v>0</v>
      </c>
      <c r="OME62" s="962">
        <f>MIN(OME60*$C$62,'Sources and Uses Budget'!$J$99-SUM('15 Year Pro Forma'!$E$62:OMD62))</f>
        <v>0</v>
      </c>
      <c r="OMG62" s="962">
        <f>MIN(OMG60*$C$62,'Sources and Uses Budget'!$J$99-SUM('15 Year Pro Forma'!$E$62:OMF62))</f>
        <v>0</v>
      </c>
      <c r="OMI62" s="962">
        <f>MIN(OMI60*$C$62,'Sources and Uses Budget'!$J$99-SUM('15 Year Pro Forma'!$E$62:OMH62))</f>
        <v>0</v>
      </c>
      <c r="OMK62" s="962">
        <f>MIN(OMK60*$C$62,'Sources and Uses Budget'!$J$99-SUM('15 Year Pro Forma'!$E$62:OMJ62))</f>
        <v>0</v>
      </c>
      <c r="OMM62" s="962">
        <f>MIN(OMM60*$C$62,'Sources and Uses Budget'!$J$99-SUM('15 Year Pro Forma'!$E$62:OML62))</f>
        <v>0</v>
      </c>
      <c r="OMO62" s="962">
        <f>MIN(OMO60*$C$62,'Sources and Uses Budget'!$J$99-SUM('15 Year Pro Forma'!$E$62:OMN62))</f>
        <v>0</v>
      </c>
      <c r="OMQ62" s="962">
        <f>MIN(OMQ60*$C$62,'Sources and Uses Budget'!$J$99-SUM('15 Year Pro Forma'!$E$62:OMP62))</f>
        <v>0</v>
      </c>
      <c r="OMS62" s="962">
        <f>MIN(OMS60*$C$62,'Sources and Uses Budget'!$J$99-SUM('15 Year Pro Forma'!$E$62:OMR62))</f>
        <v>0</v>
      </c>
      <c r="OMU62" s="962">
        <f>MIN(OMU60*$C$62,'Sources and Uses Budget'!$J$99-SUM('15 Year Pro Forma'!$E$62:OMT62))</f>
        <v>0</v>
      </c>
      <c r="OMW62" s="962">
        <f>MIN(OMW60*$C$62,'Sources and Uses Budget'!$J$99-SUM('15 Year Pro Forma'!$E$62:OMV62))</f>
        <v>0</v>
      </c>
      <c r="OMY62" s="962">
        <f>MIN(OMY60*$C$62,'Sources and Uses Budget'!$J$99-SUM('15 Year Pro Forma'!$E$62:OMX62))</f>
        <v>0</v>
      </c>
      <c r="ONA62" s="962">
        <f>MIN(ONA60*$C$62,'Sources and Uses Budget'!$J$99-SUM('15 Year Pro Forma'!$E$62:OMZ62))</f>
        <v>0</v>
      </c>
      <c r="ONC62" s="962">
        <f>MIN(ONC60*$C$62,'Sources and Uses Budget'!$J$99-SUM('15 Year Pro Forma'!$E$62:ONB62))</f>
        <v>0</v>
      </c>
      <c r="ONE62" s="962">
        <f>MIN(ONE60*$C$62,'Sources and Uses Budget'!$J$99-SUM('15 Year Pro Forma'!$E$62:OND62))</f>
        <v>0</v>
      </c>
      <c r="ONG62" s="962">
        <f>MIN(ONG60*$C$62,'Sources and Uses Budget'!$J$99-SUM('15 Year Pro Forma'!$E$62:ONF62))</f>
        <v>0</v>
      </c>
      <c r="ONI62" s="962">
        <f>MIN(ONI60*$C$62,'Sources and Uses Budget'!$J$99-SUM('15 Year Pro Forma'!$E$62:ONH62))</f>
        <v>0</v>
      </c>
      <c r="ONK62" s="962">
        <f>MIN(ONK60*$C$62,'Sources and Uses Budget'!$J$99-SUM('15 Year Pro Forma'!$E$62:ONJ62))</f>
        <v>0</v>
      </c>
      <c r="ONM62" s="962">
        <f>MIN(ONM60*$C$62,'Sources and Uses Budget'!$J$99-SUM('15 Year Pro Forma'!$E$62:ONL62))</f>
        <v>0</v>
      </c>
      <c r="ONO62" s="962">
        <f>MIN(ONO60*$C$62,'Sources and Uses Budget'!$J$99-SUM('15 Year Pro Forma'!$E$62:ONN62))</f>
        <v>0</v>
      </c>
      <c r="ONQ62" s="962">
        <f>MIN(ONQ60*$C$62,'Sources and Uses Budget'!$J$99-SUM('15 Year Pro Forma'!$E$62:ONP62))</f>
        <v>0</v>
      </c>
      <c r="ONS62" s="962">
        <f>MIN(ONS60*$C$62,'Sources and Uses Budget'!$J$99-SUM('15 Year Pro Forma'!$E$62:ONR62))</f>
        <v>0</v>
      </c>
      <c r="ONU62" s="962">
        <f>MIN(ONU60*$C$62,'Sources and Uses Budget'!$J$99-SUM('15 Year Pro Forma'!$E$62:ONT62))</f>
        <v>0</v>
      </c>
      <c r="ONW62" s="962">
        <f>MIN(ONW60*$C$62,'Sources and Uses Budget'!$J$99-SUM('15 Year Pro Forma'!$E$62:ONV62))</f>
        <v>0</v>
      </c>
      <c r="ONY62" s="962">
        <f>MIN(ONY60*$C$62,'Sources and Uses Budget'!$J$99-SUM('15 Year Pro Forma'!$E$62:ONX62))</f>
        <v>0</v>
      </c>
      <c r="OOA62" s="962">
        <f>MIN(OOA60*$C$62,'Sources and Uses Budget'!$J$99-SUM('15 Year Pro Forma'!$E$62:ONZ62))</f>
        <v>0</v>
      </c>
      <c r="OOC62" s="962">
        <f>MIN(OOC60*$C$62,'Sources and Uses Budget'!$J$99-SUM('15 Year Pro Forma'!$E$62:OOB62))</f>
        <v>0</v>
      </c>
      <c r="OOE62" s="962">
        <f>MIN(OOE60*$C$62,'Sources and Uses Budget'!$J$99-SUM('15 Year Pro Forma'!$E$62:OOD62))</f>
        <v>0</v>
      </c>
      <c r="OOG62" s="962">
        <f>MIN(OOG60*$C$62,'Sources and Uses Budget'!$J$99-SUM('15 Year Pro Forma'!$E$62:OOF62))</f>
        <v>0</v>
      </c>
      <c r="OOI62" s="962">
        <f>MIN(OOI60*$C$62,'Sources and Uses Budget'!$J$99-SUM('15 Year Pro Forma'!$E$62:OOH62))</f>
        <v>0</v>
      </c>
      <c r="OOK62" s="962">
        <f>MIN(OOK60*$C$62,'Sources and Uses Budget'!$J$99-SUM('15 Year Pro Forma'!$E$62:OOJ62))</f>
        <v>0</v>
      </c>
      <c r="OOM62" s="962">
        <f>MIN(OOM60*$C$62,'Sources and Uses Budget'!$J$99-SUM('15 Year Pro Forma'!$E$62:OOL62))</f>
        <v>0</v>
      </c>
      <c r="OOO62" s="962">
        <f>MIN(OOO60*$C$62,'Sources and Uses Budget'!$J$99-SUM('15 Year Pro Forma'!$E$62:OON62))</f>
        <v>0</v>
      </c>
      <c r="OOQ62" s="962">
        <f>MIN(OOQ60*$C$62,'Sources and Uses Budget'!$J$99-SUM('15 Year Pro Forma'!$E$62:OOP62))</f>
        <v>0</v>
      </c>
      <c r="OOS62" s="962">
        <f>MIN(OOS60*$C$62,'Sources and Uses Budget'!$J$99-SUM('15 Year Pro Forma'!$E$62:OOR62))</f>
        <v>0</v>
      </c>
      <c r="OOU62" s="962">
        <f>MIN(OOU60*$C$62,'Sources and Uses Budget'!$J$99-SUM('15 Year Pro Forma'!$E$62:OOT62))</f>
        <v>0</v>
      </c>
      <c r="OOW62" s="962">
        <f>MIN(OOW60*$C$62,'Sources and Uses Budget'!$J$99-SUM('15 Year Pro Forma'!$E$62:OOV62))</f>
        <v>0</v>
      </c>
      <c r="OOY62" s="962">
        <f>MIN(OOY60*$C$62,'Sources and Uses Budget'!$J$99-SUM('15 Year Pro Forma'!$E$62:OOX62))</f>
        <v>0</v>
      </c>
      <c r="OPA62" s="962">
        <f>MIN(OPA60*$C$62,'Sources and Uses Budget'!$J$99-SUM('15 Year Pro Forma'!$E$62:OOZ62))</f>
        <v>0</v>
      </c>
      <c r="OPC62" s="962">
        <f>MIN(OPC60*$C$62,'Sources and Uses Budget'!$J$99-SUM('15 Year Pro Forma'!$E$62:OPB62))</f>
        <v>0</v>
      </c>
      <c r="OPE62" s="962">
        <f>MIN(OPE60*$C$62,'Sources and Uses Budget'!$J$99-SUM('15 Year Pro Forma'!$E$62:OPD62))</f>
        <v>0</v>
      </c>
      <c r="OPG62" s="962">
        <f>MIN(OPG60*$C$62,'Sources and Uses Budget'!$J$99-SUM('15 Year Pro Forma'!$E$62:OPF62))</f>
        <v>0</v>
      </c>
      <c r="OPI62" s="962">
        <f>MIN(OPI60*$C$62,'Sources and Uses Budget'!$J$99-SUM('15 Year Pro Forma'!$E$62:OPH62))</f>
        <v>0</v>
      </c>
      <c r="OPK62" s="962">
        <f>MIN(OPK60*$C$62,'Sources and Uses Budget'!$J$99-SUM('15 Year Pro Forma'!$E$62:OPJ62))</f>
        <v>0</v>
      </c>
      <c r="OPM62" s="962">
        <f>MIN(OPM60*$C$62,'Sources and Uses Budget'!$J$99-SUM('15 Year Pro Forma'!$E$62:OPL62))</f>
        <v>0</v>
      </c>
      <c r="OPO62" s="962">
        <f>MIN(OPO60*$C$62,'Sources and Uses Budget'!$J$99-SUM('15 Year Pro Forma'!$E$62:OPN62))</f>
        <v>0</v>
      </c>
      <c r="OPQ62" s="962">
        <f>MIN(OPQ60*$C$62,'Sources and Uses Budget'!$J$99-SUM('15 Year Pro Forma'!$E$62:OPP62))</f>
        <v>0</v>
      </c>
      <c r="OPS62" s="962">
        <f>MIN(OPS60*$C$62,'Sources and Uses Budget'!$J$99-SUM('15 Year Pro Forma'!$E$62:OPR62))</f>
        <v>0</v>
      </c>
      <c r="OPU62" s="962">
        <f>MIN(OPU60*$C$62,'Sources and Uses Budget'!$J$99-SUM('15 Year Pro Forma'!$E$62:OPT62))</f>
        <v>0</v>
      </c>
      <c r="OPW62" s="962">
        <f>MIN(OPW60*$C$62,'Sources and Uses Budget'!$J$99-SUM('15 Year Pro Forma'!$E$62:OPV62))</f>
        <v>0</v>
      </c>
      <c r="OPY62" s="962">
        <f>MIN(OPY60*$C$62,'Sources and Uses Budget'!$J$99-SUM('15 Year Pro Forma'!$E$62:OPX62))</f>
        <v>0</v>
      </c>
      <c r="OQA62" s="962">
        <f>MIN(OQA60*$C$62,'Sources and Uses Budget'!$J$99-SUM('15 Year Pro Forma'!$E$62:OPZ62))</f>
        <v>0</v>
      </c>
      <c r="OQC62" s="962">
        <f>MIN(OQC60*$C$62,'Sources and Uses Budget'!$J$99-SUM('15 Year Pro Forma'!$E$62:OQB62))</f>
        <v>0</v>
      </c>
      <c r="OQE62" s="962">
        <f>MIN(OQE60*$C$62,'Sources and Uses Budget'!$J$99-SUM('15 Year Pro Forma'!$E$62:OQD62))</f>
        <v>0</v>
      </c>
      <c r="OQG62" s="962">
        <f>MIN(OQG60*$C$62,'Sources and Uses Budget'!$J$99-SUM('15 Year Pro Forma'!$E$62:OQF62))</f>
        <v>0</v>
      </c>
      <c r="OQI62" s="962">
        <f>MIN(OQI60*$C$62,'Sources and Uses Budget'!$J$99-SUM('15 Year Pro Forma'!$E$62:OQH62))</f>
        <v>0</v>
      </c>
      <c r="OQK62" s="962">
        <f>MIN(OQK60*$C$62,'Sources and Uses Budget'!$J$99-SUM('15 Year Pro Forma'!$E$62:OQJ62))</f>
        <v>0</v>
      </c>
      <c r="OQM62" s="962">
        <f>MIN(OQM60*$C$62,'Sources and Uses Budget'!$J$99-SUM('15 Year Pro Forma'!$E$62:OQL62))</f>
        <v>0</v>
      </c>
      <c r="OQO62" s="962">
        <f>MIN(OQO60*$C$62,'Sources and Uses Budget'!$J$99-SUM('15 Year Pro Forma'!$E$62:OQN62))</f>
        <v>0</v>
      </c>
      <c r="OQQ62" s="962">
        <f>MIN(OQQ60*$C$62,'Sources and Uses Budget'!$J$99-SUM('15 Year Pro Forma'!$E$62:OQP62))</f>
        <v>0</v>
      </c>
      <c r="OQS62" s="962">
        <f>MIN(OQS60*$C$62,'Sources and Uses Budget'!$J$99-SUM('15 Year Pro Forma'!$E$62:OQR62))</f>
        <v>0</v>
      </c>
      <c r="OQU62" s="962">
        <f>MIN(OQU60*$C$62,'Sources and Uses Budget'!$J$99-SUM('15 Year Pro Forma'!$E$62:OQT62))</f>
        <v>0</v>
      </c>
      <c r="OQW62" s="962">
        <f>MIN(OQW60*$C$62,'Sources and Uses Budget'!$J$99-SUM('15 Year Pro Forma'!$E$62:OQV62))</f>
        <v>0</v>
      </c>
      <c r="OQY62" s="962">
        <f>MIN(OQY60*$C$62,'Sources and Uses Budget'!$J$99-SUM('15 Year Pro Forma'!$E$62:OQX62))</f>
        <v>0</v>
      </c>
      <c r="ORA62" s="962">
        <f>MIN(ORA60*$C$62,'Sources and Uses Budget'!$J$99-SUM('15 Year Pro Forma'!$E$62:OQZ62))</f>
        <v>0</v>
      </c>
      <c r="ORC62" s="962">
        <f>MIN(ORC60*$C$62,'Sources and Uses Budget'!$J$99-SUM('15 Year Pro Forma'!$E$62:ORB62))</f>
        <v>0</v>
      </c>
      <c r="ORE62" s="962">
        <f>MIN(ORE60*$C$62,'Sources and Uses Budget'!$J$99-SUM('15 Year Pro Forma'!$E$62:ORD62))</f>
        <v>0</v>
      </c>
      <c r="ORG62" s="962">
        <f>MIN(ORG60*$C$62,'Sources and Uses Budget'!$J$99-SUM('15 Year Pro Forma'!$E$62:ORF62))</f>
        <v>0</v>
      </c>
      <c r="ORI62" s="962">
        <f>MIN(ORI60*$C$62,'Sources and Uses Budget'!$J$99-SUM('15 Year Pro Forma'!$E$62:ORH62))</f>
        <v>0</v>
      </c>
      <c r="ORK62" s="962">
        <f>MIN(ORK60*$C$62,'Sources and Uses Budget'!$J$99-SUM('15 Year Pro Forma'!$E$62:ORJ62))</f>
        <v>0</v>
      </c>
      <c r="ORM62" s="962">
        <f>MIN(ORM60*$C$62,'Sources and Uses Budget'!$J$99-SUM('15 Year Pro Forma'!$E$62:ORL62))</f>
        <v>0</v>
      </c>
      <c r="ORO62" s="962">
        <f>MIN(ORO60*$C$62,'Sources and Uses Budget'!$J$99-SUM('15 Year Pro Forma'!$E$62:ORN62))</f>
        <v>0</v>
      </c>
      <c r="ORQ62" s="962">
        <f>MIN(ORQ60*$C$62,'Sources and Uses Budget'!$J$99-SUM('15 Year Pro Forma'!$E$62:ORP62))</f>
        <v>0</v>
      </c>
      <c r="ORS62" s="962">
        <f>MIN(ORS60*$C$62,'Sources and Uses Budget'!$J$99-SUM('15 Year Pro Forma'!$E$62:ORR62))</f>
        <v>0</v>
      </c>
      <c r="ORU62" s="962">
        <f>MIN(ORU60*$C$62,'Sources and Uses Budget'!$J$99-SUM('15 Year Pro Forma'!$E$62:ORT62))</f>
        <v>0</v>
      </c>
      <c r="ORW62" s="962">
        <f>MIN(ORW60*$C$62,'Sources and Uses Budget'!$J$99-SUM('15 Year Pro Forma'!$E$62:ORV62))</f>
        <v>0</v>
      </c>
      <c r="ORY62" s="962">
        <f>MIN(ORY60*$C$62,'Sources and Uses Budget'!$J$99-SUM('15 Year Pro Forma'!$E$62:ORX62))</f>
        <v>0</v>
      </c>
      <c r="OSA62" s="962">
        <f>MIN(OSA60*$C$62,'Sources and Uses Budget'!$J$99-SUM('15 Year Pro Forma'!$E$62:ORZ62))</f>
        <v>0</v>
      </c>
      <c r="OSC62" s="962">
        <f>MIN(OSC60*$C$62,'Sources and Uses Budget'!$J$99-SUM('15 Year Pro Forma'!$E$62:OSB62))</f>
        <v>0</v>
      </c>
      <c r="OSE62" s="962">
        <f>MIN(OSE60*$C$62,'Sources and Uses Budget'!$J$99-SUM('15 Year Pro Forma'!$E$62:OSD62))</f>
        <v>0</v>
      </c>
      <c r="OSG62" s="962">
        <f>MIN(OSG60*$C$62,'Sources and Uses Budget'!$J$99-SUM('15 Year Pro Forma'!$E$62:OSF62))</f>
        <v>0</v>
      </c>
      <c r="OSI62" s="962">
        <f>MIN(OSI60*$C$62,'Sources and Uses Budget'!$J$99-SUM('15 Year Pro Forma'!$E$62:OSH62))</f>
        <v>0</v>
      </c>
      <c r="OSK62" s="962">
        <f>MIN(OSK60*$C$62,'Sources and Uses Budget'!$J$99-SUM('15 Year Pro Forma'!$E$62:OSJ62))</f>
        <v>0</v>
      </c>
      <c r="OSM62" s="962">
        <f>MIN(OSM60*$C$62,'Sources and Uses Budget'!$J$99-SUM('15 Year Pro Forma'!$E$62:OSL62))</f>
        <v>0</v>
      </c>
      <c r="OSO62" s="962">
        <f>MIN(OSO60*$C$62,'Sources and Uses Budget'!$J$99-SUM('15 Year Pro Forma'!$E$62:OSN62))</f>
        <v>0</v>
      </c>
      <c r="OSQ62" s="962">
        <f>MIN(OSQ60*$C$62,'Sources and Uses Budget'!$J$99-SUM('15 Year Pro Forma'!$E$62:OSP62))</f>
        <v>0</v>
      </c>
      <c r="OSS62" s="962">
        <f>MIN(OSS60*$C$62,'Sources and Uses Budget'!$J$99-SUM('15 Year Pro Forma'!$E$62:OSR62))</f>
        <v>0</v>
      </c>
      <c r="OSU62" s="962">
        <f>MIN(OSU60*$C$62,'Sources and Uses Budget'!$J$99-SUM('15 Year Pro Forma'!$E$62:OST62))</f>
        <v>0</v>
      </c>
      <c r="OSW62" s="962">
        <f>MIN(OSW60*$C$62,'Sources and Uses Budget'!$J$99-SUM('15 Year Pro Forma'!$E$62:OSV62))</f>
        <v>0</v>
      </c>
      <c r="OSY62" s="962">
        <f>MIN(OSY60*$C$62,'Sources and Uses Budget'!$J$99-SUM('15 Year Pro Forma'!$E$62:OSX62))</f>
        <v>0</v>
      </c>
      <c r="OTA62" s="962">
        <f>MIN(OTA60*$C$62,'Sources and Uses Budget'!$J$99-SUM('15 Year Pro Forma'!$E$62:OSZ62))</f>
        <v>0</v>
      </c>
      <c r="OTC62" s="962">
        <f>MIN(OTC60*$C$62,'Sources and Uses Budget'!$J$99-SUM('15 Year Pro Forma'!$E$62:OTB62))</f>
        <v>0</v>
      </c>
      <c r="OTE62" s="962">
        <f>MIN(OTE60*$C$62,'Sources and Uses Budget'!$J$99-SUM('15 Year Pro Forma'!$E$62:OTD62))</f>
        <v>0</v>
      </c>
      <c r="OTG62" s="962">
        <f>MIN(OTG60*$C$62,'Sources and Uses Budget'!$J$99-SUM('15 Year Pro Forma'!$E$62:OTF62))</f>
        <v>0</v>
      </c>
      <c r="OTI62" s="962">
        <f>MIN(OTI60*$C$62,'Sources and Uses Budget'!$J$99-SUM('15 Year Pro Forma'!$E$62:OTH62))</f>
        <v>0</v>
      </c>
      <c r="OTK62" s="962">
        <f>MIN(OTK60*$C$62,'Sources and Uses Budget'!$J$99-SUM('15 Year Pro Forma'!$E$62:OTJ62))</f>
        <v>0</v>
      </c>
      <c r="OTM62" s="962">
        <f>MIN(OTM60*$C$62,'Sources and Uses Budget'!$J$99-SUM('15 Year Pro Forma'!$E$62:OTL62))</f>
        <v>0</v>
      </c>
      <c r="OTO62" s="962">
        <f>MIN(OTO60*$C$62,'Sources and Uses Budget'!$J$99-SUM('15 Year Pro Forma'!$E$62:OTN62))</f>
        <v>0</v>
      </c>
      <c r="OTQ62" s="962">
        <f>MIN(OTQ60*$C$62,'Sources and Uses Budget'!$J$99-SUM('15 Year Pro Forma'!$E$62:OTP62))</f>
        <v>0</v>
      </c>
      <c r="OTS62" s="962">
        <f>MIN(OTS60*$C$62,'Sources and Uses Budget'!$J$99-SUM('15 Year Pro Forma'!$E$62:OTR62))</f>
        <v>0</v>
      </c>
      <c r="OTU62" s="962">
        <f>MIN(OTU60*$C$62,'Sources and Uses Budget'!$J$99-SUM('15 Year Pro Forma'!$E$62:OTT62))</f>
        <v>0</v>
      </c>
      <c r="OTW62" s="962">
        <f>MIN(OTW60*$C$62,'Sources and Uses Budget'!$J$99-SUM('15 Year Pro Forma'!$E$62:OTV62))</f>
        <v>0</v>
      </c>
      <c r="OTY62" s="962">
        <f>MIN(OTY60*$C$62,'Sources and Uses Budget'!$J$99-SUM('15 Year Pro Forma'!$E$62:OTX62))</f>
        <v>0</v>
      </c>
      <c r="OUA62" s="962">
        <f>MIN(OUA60*$C$62,'Sources and Uses Budget'!$J$99-SUM('15 Year Pro Forma'!$E$62:OTZ62))</f>
        <v>0</v>
      </c>
      <c r="OUC62" s="962">
        <f>MIN(OUC60*$C$62,'Sources and Uses Budget'!$J$99-SUM('15 Year Pro Forma'!$E$62:OUB62))</f>
        <v>0</v>
      </c>
      <c r="OUE62" s="962">
        <f>MIN(OUE60*$C$62,'Sources and Uses Budget'!$J$99-SUM('15 Year Pro Forma'!$E$62:OUD62))</f>
        <v>0</v>
      </c>
      <c r="OUG62" s="962">
        <f>MIN(OUG60*$C$62,'Sources and Uses Budget'!$J$99-SUM('15 Year Pro Forma'!$E$62:OUF62))</f>
        <v>0</v>
      </c>
      <c r="OUI62" s="962">
        <f>MIN(OUI60*$C$62,'Sources and Uses Budget'!$J$99-SUM('15 Year Pro Forma'!$E$62:OUH62))</f>
        <v>0</v>
      </c>
      <c r="OUK62" s="962">
        <f>MIN(OUK60*$C$62,'Sources and Uses Budget'!$J$99-SUM('15 Year Pro Forma'!$E$62:OUJ62))</f>
        <v>0</v>
      </c>
      <c r="OUM62" s="962">
        <f>MIN(OUM60*$C$62,'Sources and Uses Budget'!$J$99-SUM('15 Year Pro Forma'!$E$62:OUL62))</f>
        <v>0</v>
      </c>
      <c r="OUO62" s="962">
        <f>MIN(OUO60*$C$62,'Sources and Uses Budget'!$J$99-SUM('15 Year Pro Forma'!$E$62:OUN62))</f>
        <v>0</v>
      </c>
      <c r="OUQ62" s="962">
        <f>MIN(OUQ60*$C$62,'Sources and Uses Budget'!$J$99-SUM('15 Year Pro Forma'!$E$62:OUP62))</f>
        <v>0</v>
      </c>
      <c r="OUS62" s="962">
        <f>MIN(OUS60*$C$62,'Sources and Uses Budget'!$J$99-SUM('15 Year Pro Forma'!$E$62:OUR62))</f>
        <v>0</v>
      </c>
      <c r="OUU62" s="962">
        <f>MIN(OUU60*$C$62,'Sources and Uses Budget'!$J$99-SUM('15 Year Pro Forma'!$E$62:OUT62))</f>
        <v>0</v>
      </c>
      <c r="OUW62" s="962">
        <f>MIN(OUW60*$C$62,'Sources and Uses Budget'!$J$99-SUM('15 Year Pro Forma'!$E$62:OUV62))</f>
        <v>0</v>
      </c>
      <c r="OUY62" s="962">
        <f>MIN(OUY60*$C$62,'Sources and Uses Budget'!$J$99-SUM('15 Year Pro Forma'!$E$62:OUX62))</f>
        <v>0</v>
      </c>
      <c r="OVA62" s="962">
        <f>MIN(OVA60*$C$62,'Sources and Uses Budget'!$J$99-SUM('15 Year Pro Forma'!$E$62:OUZ62))</f>
        <v>0</v>
      </c>
      <c r="OVC62" s="962">
        <f>MIN(OVC60*$C$62,'Sources and Uses Budget'!$J$99-SUM('15 Year Pro Forma'!$E$62:OVB62))</f>
        <v>0</v>
      </c>
      <c r="OVE62" s="962">
        <f>MIN(OVE60*$C$62,'Sources and Uses Budget'!$J$99-SUM('15 Year Pro Forma'!$E$62:OVD62))</f>
        <v>0</v>
      </c>
      <c r="OVG62" s="962">
        <f>MIN(OVG60*$C$62,'Sources and Uses Budget'!$J$99-SUM('15 Year Pro Forma'!$E$62:OVF62))</f>
        <v>0</v>
      </c>
      <c r="OVI62" s="962">
        <f>MIN(OVI60*$C$62,'Sources and Uses Budget'!$J$99-SUM('15 Year Pro Forma'!$E$62:OVH62))</f>
        <v>0</v>
      </c>
      <c r="OVK62" s="962">
        <f>MIN(OVK60*$C$62,'Sources and Uses Budget'!$J$99-SUM('15 Year Pro Forma'!$E$62:OVJ62))</f>
        <v>0</v>
      </c>
      <c r="OVM62" s="962">
        <f>MIN(OVM60*$C$62,'Sources and Uses Budget'!$J$99-SUM('15 Year Pro Forma'!$E$62:OVL62))</f>
        <v>0</v>
      </c>
      <c r="OVO62" s="962">
        <f>MIN(OVO60*$C$62,'Sources and Uses Budget'!$J$99-SUM('15 Year Pro Forma'!$E$62:OVN62))</f>
        <v>0</v>
      </c>
      <c r="OVQ62" s="962">
        <f>MIN(OVQ60*$C$62,'Sources and Uses Budget'!$J$99-SUM('15 Year Pro Forma'!$E$62:OVP62))</f>
        <v>0</v>
      </c>
      <c r="OVS62" s="962">
        <f>MIN(OVS60*$C$62,'Sources and Uses Budget'!$J$99-SUM('15 Year Pro Forma'!$E$62:OVR62))</f>
        <v>0</v>
      </c>
      <c r="OVU62" s="962">
        <f>MIN(OVU60*$C$62,'Sources and Uses Budget'!$J$99-SUM('15 Year Pro Forma'!$E$62:OVT62))</f>
        <v>0</v>
      </c>
      <c r="OVW62" s="962">
        <f>MIN(OVW60*$C$62,'Sources and Uses Budget'!$J$99-SUM('15 Year Pro Forma'!$E$62:OVV62))</f>
        <v>0</v>
      </c>
      <c r="OVY62" s="962">
        <f>MIN(OVY60*$C$62,'Sources and Uses Budget'!$J$99-SUM('15 Year Pro Forma'!$E$62:OVX62))</f>
        <v>0</v>
      </c>
      <c r="OWA62" s="962">
        <f>MIN(OWA60*$C$62,'Sources and Uses Budget'!$J$99-SUM('15 Year Pro Forma'!$E$62:OVZ62))</f>
        <v>0</v>
      </c>
      <c r="OWC62" s="962">
        <f>MIN(OWC60*$C$62,'Sources and Uses Budget'!$J$99-SUM('15 Year Pro Forma'!$E$62:OWB62))</f>
        <v>0</v>
      </c>
      <c r="OWE62" s="962">
        <f>MIN(OWE60*$C$62,'Sources and Uses Budget'!$J$99-SUM('15 Year Pro Forma'!$E$62:OWD62))</f>
        <v>0</v>
      </c>
      <c r="OWG62" s="962">
        <f>MIN(OWG60*$C$62,'Sources and Uses Budget'!$J$99-SUM('15 Year Pro Forma'!$E$62:OWF62))</f>
        <v>0</v>
      </c>
      <c r="OWI62" s="962">
        <f>MIN(OWI60*$C$62,'Sources and Uses Budget'!$J$99-SUM('15 Year Pro Forma'!$E$62:OWH62))</f>
        <v>0</v>
      </c>
      <c r="OWK62" s="962">
        <f>MIN(OWK60*$C$62,'Sources and Uses Budget'!$J$99-SUM('15 Year Pro Forma'!$E$62:OWJ62))</f>
        <v>0</v>
      </c>
      <c r="OWM62" s="962">
        <f>MIN(OWM60*$C$62,'Sources and Uses Budget'!$J$99-SUM('15 Year Pro Forma'!$E$62:OWL62))</f>
        <v>0</v>
      </c>
      <c r="OWO62" s="962">
        <f>MIN(OWO60*$C$62,'Sources and Uses Budget'!$J$99-SUM('15 Year Pro Forma'!$E$62:OWN62))</f>
        <v>0</v>
      </c>
      <c r="OWQ62" s="962">
        <f>MIN(OWQ60*$C$62,'Sources and Uses Budget'!$J$99-SUM('15 Year Pro Forma'!$E$62:OWP62))</f>
        <v>0</v>
      </c>
      <c r="OWS62" s="962">
        <f>MIN(OWS60*$C$62,'Sources and Uses Budget'!$J$99-SUM('15 Year Pro Forma'!$E$62:OWR62))</f>
        <v>0</v>
      </c>
      <c r="OWU62" s="962">
        <f>MIN(OWU60*$C$62,'Sources and Uses Budget'!$J$99-SUM('15 Year Pro Forma'!$E$62:OWT62))</f>
        <v>0</v>
      </c>
      <c r="OWW62" s="962">
        <f>MIN(OWW60*$C$62,'Sources and Uses Budget'!$J$99-SUM('15 Year Pro Forma'!$E$62:OWV62))</f>
        <v>0</v>
      </c>
      <c r="OWY62" s="962">
        <f>MIN(OWY60*$C$62,'Sources and Uses Budget'!$J$99-SUM('15 Year Pro Forma'!$E$62:OWX62))</f>
        <v>0</v>
      </c>
      <c r="OXA62" s="962">
        <f>MIN(OXA60*$C$62,'Sources and Uses Budget'!$J$99-SUM('15 Year Pro Forma'!$E$62:OWZ62))</f>
        <v>0</v>
      </c>
      <c r="OXC62" s="962">
        <f>MIN(OXC60*$C$62,'Sources and Uses Budget'!$J$99-SUM('15 Year Pro Forma'!$E$62:OXB62))</f>
        <v>0</v>
      </c>
      <c r="OXE62" s="962">
        <f>MIN(OXE60*$C$62,'Sources and Uses Budget'!$J$99-SUM('15 Year Pro Forma'!$E$62:OXD62))</f>
        <v>0</v>
      </c>
      <c r="OXG62" s="962">
        <f>MIN(OXG60*$C$62,'Sources and Uses Budget'!$J$99-SUM('15 Year Pro Forma'!$E$62:OXF62))</f>
        <v>0</v>
      </c>
      <c r="OXI62" s="962">
        <f>MIN(OXI60*$C$62,'Sources and Uses Budget'!$J$99-SUM('15 Year Pro Forma'!$E$62:OXH62))</f>
        <v>0</v>
      </c>
      <c r="OXK62" s="962">
        <f>MIN(OXK60*$C$62,'Sources and Uses Budget'!$J$99-SUM('15 Year Pro Forma'!$E$62:OXJ62))</f>
        <v>0</v>
      </c>
      <c r="OXM62" s="962">
        <f>MIN(OXM60*$C$62,'Sources and Uses Budget'!$J$99-SUM('15 Year Pro Forma'!$E$62:OXL62))</f>
        <v>0</v>
      </c>
      <c r="OXO62" s="962">
        <f>MIN(OXO60*$C$62,'Sources and Uses Budget'!$J$99-SUM('15 Year Pro Forma'!$E$62:OXN62))</f>
        <v>0</v>
      </c>
      <c r="OXQ62" s="962">
        <f>MIN(OXQ60*$C$62,'Sources and Uses Budget'!$J$99-SUM('15 Year Pro Forma'!$E$62:OXP62))</f>
        <v>0</v>
      </c>
      <c r="OXS62" s="962">
        <f>MIN(OXS60*$C$62,'Sources and Uses Budget'!$J$99-SUM('15 Year Pro Forma'!$E$62:OXR62))</f>
        <v>0</v>
      </c>
      <c r="OXU62" s="962">
        <f>MIN(OXU60*$C$62,'Sources and Uses Budget'!$J$99-SUM('15 Year Pro Forma'!$E$62:OXT62))</f>
        <v>0</v>
      </c>
      <c r="OXW62" s="962">
        <f>MIN(OXW60*$C$62,'Sources and Uses Budget'!$J$99-SUM('15 Year Pro Forma'!$E$62:OXV62))</f>
        <v>0</v>
      </c>
      <c r="OXY62" s="962">
        <f>MIN(OXY60*$C$62,'Sources and Uses Budget'!$J$99-SUM('15 Year Pro Forma'!$E$62:OXX62))</f>
        <v>0</v>
      </c>
      <c r="OYA62" s="962">
        <f>MIN(OYA60*$C$62,'Sources and Uses Budget'!$J$99-SUM('15 Year Pro Forma'!$E$62:OXZ62))</f>
        <v>0</v>
      </c>
      <c r="OYC62" s="962">
        <f>MIN(OYC60*$C$62,'Sources and Uses Budget'!$J$99-SUM('15 Year Pro Forma'!$E$62:OYB62))</f>
        <v>0</v>
      </c>
      <c r="OYE62" s="962">
        <f>MIN(OYE60*$C$62,'Sources and Uses Budget'!$J$99-SUM('15 Year Pro Forma'!$E$62:OYD62))</f>
        <v>0</v>
      </c>
      <c r="OYG62" s="962">
        <f>MIN(OYG60*$C$62,'Sources and Uses Budget'!$J$99-SUM('15 Year Pro Forma'!$E$62:OYF62))</f>
        <v>0</v>
      </c>
      <c r="OYI62" s="962">
        <f>MIN(OYI60*$C$62,'Sources and Uses Budget'!$J$99-SUM('15 Year Pro Forma'!$E$62:OYH62))</f>
        <v>0</v>
      </c>
      <c r="OYK62" s="962">
        <f>MIN(OYK60*$C$62,'Sources and Uses Budget'!$J$99-SUM('15 Year Pro Forma'!$E$62:OYJ62))</f>
        <v>0</v>
      </c>
      <c r="OYM62" s="962">
        <f>MIN(OYM60*$C$62,'Sources and Uses Budget'!$J$99-SUM('15 Year Pro Forma'!$E$62:OYL62))</f>
        <v>0</v>
      </c>
      <c r="OYO62" s="962">
        <f>MIN(OYO60*$C$62,'Sources and Uses Budget'!$J$99-SUM('15 Year Pro Forma'!$E$62:OYN62))</f>
        <v>0</v>
      </c>
      <c r="OYQ62" s="962">
        <f>MIN(OYQ60*$C$62,'Sources and Uses Budget'!$J$99-SUM('15 Year Pro Forma'!$E$62:OYP62))</f>
        <v>0</v>
      </c>
      <c r="OYS62" s="962">
        <f>MIN(OYS60*$C$62,'Sources and Uses Budget'!$J$99-SUM('15 Year Pro Forma'!$E$62:OYR62))</f>
        <v>0</v>
      </c>
      <c r="OYU62" s="962">
        <f>MIN(OYU60*$C$62,'Sources and Uses Budget'!$J$99-SUM('15 Year Pro Forma'!$E$62:OYT62))</f>
        <v>0</v>
      </c>
      <c r="OYW62" s="962">
        <f>MIN(OYW60*$C$62,'Sources and Uses Budget'!$J$99-SUM('15 Year Pro Forma'!$E$62:OYV62))</f>
        <v>0</v>
      </c>
      <c r="OYY62" s="962">
        <f>MIN(OYY60*$C$62,'Sources and Uses Budget'!$J$99-SUM('15 Year Pro Forma'!$E$62:OYX62))</f>
        <v>0</v>
      </c>
      <c r="OZA62" s="962">
        <f>MIN(OZA60*$C$62,'Sources and Uses Budget'!$J$99-SUM('15 Year Pro Forma'!$E$62:OYZ62))</f>
        <v>0</v>
      </c>
      <c r="OZC62" s="962">
        <f>MIN(OZC60*$C$62,'Sources and Uses Budget'!$J$99-SUM('15 Year Pro Forma'!$E$62:OZB62))</f>
        <v>0</v>
      </c>
      <c r="OZE62" s="962">
        <f>MIN(OZE60*$C$62,'Sources and Uses Budget'!$J$99-SUM('15 Year Pro Forma'!$E$62:OZD62))</f>
        <v>0</v>
      </c>
      <c r="OZG62" s="962">
        <f>MIN(OZG60*$C$62,'Sources and Uses Budget'!$J$99-SUM('15 Year Pro Forma'!$E$62:OZF62))</f>
        <v>0</v>
      </c>
      <c r="OZI62" s="962">
        <f>MIN(OZI60*$C$62,'Sources and Uses Budget'!$J$99-SUM('15 Year Pro Forma'!$E$62:OZH62))</f>
        <v>0</v>
      </c>
      <c r="OZK62" s="962">
        <f>MIN(OZK60*$C$62,'Sources and Uses Budget'!$J$99-SUM('15 Year Pro Forma'!$E$62:OZJ62))</f>
        <v>0</v>
      </c>
      <c r="OZM62" s="962">
        <f>MIN(OZM60*$C$62,'Sources and Uses Budget'!$J$99-SUM('15 Year Pro Forma'!$E$62:OZL62))</f>
        <v>0</v>
      </c>
      <c r="OZO62" s="962">
        <f>MIN(OZO60*$C$62,'Sources and Uses Budget'!$J$99-SUM('15 Year Pro Forma'!$E$62:OZN62))</f>
        <v>0</v>
      </c>
      <c r="OZQ62" s="962">
        <f>MIN(OZQ60*$C$62,'Sources and Uses Budget'!$J$99-SUM('15 Year Pro Forma'!$E$62:OZP62))</f>
        <v>0</v>
      </c>
      <c r="OZS62" s="962">
        <f>MIN(OZS60*$C$62,'Sources and Uses Budget'!$J$99-SUM('15 Year Pro Forma'!$E$62:OZR62))</f>
        <v>0</v>
      </c>
      <c r="OZU62" s="962">
        <f>MIN(OZU60*$C$62,'Sources and Uses Budget'!$J$99-SUM('15 Year Pro Forma'!$E$62:OZT62))</f>
        <v>0</v>
      </c>
      <c r="OZW62" s="962">
        <f>MIN(OZW60*$C$62,'Sources and Uses Budget'!$J$99-SUM('15 Year Pro Forma'!$E$62:OZV62))</f>
        <v>0</v>
      </c>
      <c r="OZY62" s="962">
        <f>MIN(OZY60*$C$62,'Sources and Uses Budget'!$J$99-SUM('15 Year Pro Forma'!$E$62:OZX62))</f>
        <v>0</v>
      </c>
      <c r="PAA62" s="962">
        <f>MIN(PAA60*$C$62,'Sources and Uses Budget'!$J$99-SUM('15 Year Pro Forma'!$E$62:OZZ62))</f>
        <v>0</v>
      </c>
      <c r="PAC62" s="962">
        <f>MIN(PAC60*$C$62,'Sources and Uses Budget'!$J$99-SUM('15 Year Pro Forma'!$E$62:PAB62))</f>
        <v>0</v>
      </c>
      <c r="PAE62" s="962">
        <f>MIN(PAE60*$C$62,'Sources and Uses Budget'!$J$99-SUM('15 Year Pro Forma'!$E$62:PAD62))</f>
        <v>0</v>
      </c>
      <c r="PAG62" s="962">
        <f>MIN(PAG60*$C$62,'Sources and Uses Budget'!$J$99-SUM('15 Year Pro Forma'!$E$62:PAF62))</f>
        <v>0</v>
      </c>
      <c r="PAI62" s="962">
        <f>MIN(PAI60*$C$62,'Sources and Uses Budget'!$J$99-SUM('15 Year Pro Forma'!$E$62:PAH62))</f>
        <v>0</v>
      </c>
      <c r="PAK62" s="962">
        <f>MIN(PAK60*$C$62,'Sources and Uses Budget'!$J$99-SUM('15 Year Pro Forma'!$E$62:PAJ62))</f>
        <v>0</v>
      </c>
      <c r="PAM62" s="962">
        <f>MIN(PAM60*$C$62,'Sources and Uses Budget'!$J$99-SUM('15 Year Pro Forma'!$E$62:PAL62))</f>
        <v>0</v>
      </c>
      <c r="PAO62" s="962">
        <f>MIN(PAO60*$C$62,'Sources and Uses Budget'!$J$99-SUM('15 Year Pro Forma'!$E$62:PAN62))</f>
        <v>0</v>
      </c>
      <c r="PAQ62" s="962">
        <f>MIN(PAQ60*$C$62,'Sources and Uses Budget'!$J$99-SUM('15 Year Pro Forma'!$E$62:PAP62))</f>
        <v>0</v>
      </c>
      <c r="PAS62" s="962">
        <f>MIN(PAS60*$C$62,'Sources and Uses Budget'!$J$99-SUM('15 Year Pro Forma'!$E$62:PAR62))</f>
        <v>0</v>
      </c>
      <c r="PAU62" s="962">
        <f>MIN(PAU60*$C$62,'Sources and Uses Budget'!$J$99-SUM('15 Year Pro Forma'!$E$62:PAT62))</f>
        <v>0</v>
      </c>
      <c r="PAW62" s="962">
        <f>MIN(PAW60*$C$62,'Sources and Uses Budget'!$J$99-SUM('15 Year Pro Forma'!$E$62:PAV62))</f>
        <v>0</v>
      </c>
      <c r="PAY62" s="962">
        <f>MIN(PAY60*$C$62,'Sources and Uses Budget'!$J$99-SUM('15 Year Pro Forma'!$E$62:PAX62))</f>
        <v>0</v>
      </c>
      <c r="PBA62" s="962">
        <f>MIN(PBA60*$C$62,'Sources and Uses Budget'!$J$99-SUM('15 Year Pro Forma'!$E$62:PAZ62))</f>
        <v>0</v>
      </c>
      <c r="PBC62" s="962">
        <f>MIN(PBC60*$C$62,'Sources and Uses Budget'!$J$99-SUM('15 Year Pro Forma'!$E$62:PBB62))</f>
        <v>0</v>
      </c>
      <c r="PBE62" s="962">
        <f>MIN(PBE60*$C$62,'Sources and Uses Budget'!$J$99-SUM('15 Year Pro Forma'!$E$62:PBD62))</f>
        <v>0</v>
      </c>
      <c r="PBG62" s="962">
        <f>MIN(PBG60*$C$62,'Sources and Uses Budget'!$J$99-SUM('15 Year Pro Forma'!$E$62:PBF62))</f>
        <v>0</v>
      </c>
      <c r="PBI62" s="962">
        <f>MIN(PBI60*$C$62,'Sources and Uses Budget'!$J$99-SUM('15 Year Pro Forma'!$E$62:PBH62))</f>
        <v>0</v>
      </c>
      <c r="PBK62" s="962">
        <f>MIN(PBK60*$C$62,'Sources and Uses Budget'!$J$99-SUM('15 Year Pro Forma'!$E$62:PBJ62))</f>
        <v>0</v>
      </c>
      <c r="PBM62" s="962">
        <f>MIN(PBM60*$C$62,'Sources and Uses Budget'!$J$99-SUM('15 Year Pro Forma'!$E$62:PBL62))</f>
        <v>0</v>
      </c>
      <c r="PBO62" s="962">
        <f>MIN(PBO60*$C$62,'Sources and Uses Budget'!$J$99-SUM('15 Year Pro Forma'!$E$62:PBN62))</f>
        <v>0</v>
      </c>
      <c r="PBQ62" s="962">
        <f>MIN(PBQ60*$C$62,'Sources and Uses Budget'!$J$99-SUM('15 Year Pro Forma'!$E$62:PBP62))</f>
        <v>0</v>
      </c>
      <c r="PBS62" s="962">
        <f>MIN(PBS60*$C$62,'Sources and Uses Budget'!$J$99-SUM('15 Year Pro Forma'!$E$62:PBR62))</f>
        <v>0</v>
      </c>
      <c r="PBU62" s="962">
        <f>MIN(PBU60*$C$62,'Sources and Uses Budget'!$J$99-SUM('15 Year Pro Forma'!$E$62:PBT62))</f>
        <v>0</v>
      </c>
      <c r="PBW62" s="962">
        <f>MIN(PBW60*$C$62,'Sources and Uses Budget'!$J$99-SUM('15 Year Pro Forma'!$E$62:PBV62))</f>
        <v>0</v>
      </c>
      <c r="PBY62" s="962">
        <f>MIN(PBY60*$C$62,'Sources and Uses Budget'!$J$99-SUM('15 Year Pro Forma'!$E$62:PBX62))</f>
        <v>0</v>
      </c>
      <c r="PCA62" s="962">
        <f>MIN(PCA60*$C$62,'Sources and Uses Budget'!$J$99-SUM('15 Year Pro Forma'!$E$62:PBZ62))</f>
        <v>0</v>
      </c>
      <c r="PCC62" s="962">
        <f>MIN(PCC60*$C$62,'Sources and Uses Budget'!$J$99-SUM('15 Year Pro Forma'!$E$62:PCB62))</f>
        <v>0</v>
      </c>
      <c r="PCE62" s="962">
        <f>MIN(PCE60*$C$62,'Sources and Uses Budget'!$J$99-SUM('15 Year Pro Forma'!$E$62:PCD62))</f>
        <v>0</v>
      </c>
      <c r="PCG62" s="962">
        <f>MIN(PCG60*$C$62,'Sources and Uses Budget'!$J$99-SUM('15 Year Pro Forma'!$E$62:PCF62))</f>
        <v>0</v>
      </c>
      <c r="PCI62" s="962">
        <f>MIN(PCI60*$C$62,'Sources and Uses Budget'!$J$99-SUM('15 Year Pro Forma'!$E$62:PCH62))</f>
        <v>0</v>
      </c>
      <c r="PCK62" s="962">
        <f>MIN(PCK60*$C$62,'Sources and Uses Budget'!$J$99-SUM('15 Year Pro Forma'!$E$62:PCJ62))</f>
        <v>0</v>
      </c>
      <c r="PCM62" s="962">
        <f>MIN(PCM60*$C$62,'Sources and Uses Budget'!$J$99-SUM('15 Year Pro Forma'!$E$62:PCL62))</f>
        <v>0</v>
      </c>
      <c r="PCO62" s="962">
        <f>MIN(PCO60*$C$62,'Sources and Uses Budget'!$J$99-SUM('15 Year Pro Forma'!$E$62:PCN62))</f>
        <v>0</v>
      </c>
      <c r="PCQ62" s="962">
        <f>MIN(PCQ60*$C$62,'Sources and Uses Budget'!$J$99-SUM('15 Year Pro Forma'!$E$62:PCP62))</f>
        <v>0</v>
      </c>
      <c r="PCS62" s="962">
        <f>MIN(PCS60*$C$62,'Sources and Uses Budget'!$J$99-SUM('15 Year Pro Forma'!$E$62:PCR62))</f>
        <v>0</v>
      </c>
      <c r="PCU62" s="962">
        <f>MIN(PCU60*$C$62,'Sources and Uses Budget'!$J$99-SUM('15 Year Pro Forma'!$E$62:PCT62))</f>
        <v>0</v>
      </c>
      <c r="PCW62" s="962">
        <f>MIN(PCW60*$C$62,'Sources and Uses Budget'!$J$99-SUM('15 Year Pro Forma'!$E$62:PCV62))</f>
        <v>0</v>
      </c>
      <c r="PCY62" s="962">
        <f>MIN(PCY60*$C$62,'Sources and Uses Budget'!$J$99-SUM('15 Year Pro Forma'!$E$62:PCX62))</f>
        <v>0</v>
      </c>
      <c r="PDA62" s="962">
        <f>MIN(PDA60*$C$62,'Sources and Uses Budget'!$J$99-SUM('15 Year Pro Forma'!$E$62:PCZ62))</f>
        <v>0</v>
      </c>
      <c r="PDC62" s="962">
        <f>MIN(PDC60*$C$62,'Sources and Uses Budget'!$J$99-SUM('15 Year Pro Forma'!$E$62:PDB62))</f>
        <v>0</v>
      </c>
      <c r="PDE62" s="962">
        <f>MIN(PDE60*$C$62,'Sources and Uses Budget'!$J$99-SUM('15 Year Pro Forma'!$E$62:PDD62))</f>
        <v>0</v>
      </c>
      <c r="PDG62" s="962">
        <f>MIN(PDG60*$C$62,'Sources and Uses Budget'!$J$99-SUM('15 Year Pro Forma'!$E$62:PDF62))</f>
        <v>0</v>
      </c>
      <c r="PDI62" s="962">
        <f>MIN(PDI60*$C$62,'Sources and Uses Budget'!$J$99-SUM('15 Year Pro Forma'!$E$62:PDH62))</f>
        <v>0</v>
      </c>
      <c r="PDK62" s="962">
        <f>MIN(PDK60*$C$62,'Sources and Uses Budget'!$J$99-SUM('15 Year Pro Forma'!$E$62:PDJ62))</f>
        <v>0</v>
      </c>
      <c r="PDM62" s="962">
        <f>MIN(PDM60*$C$62,'Sources and Uses Budget'!$J$99-SUM('15 Year Pro Forma'!$E$62:PDL62))</f>
        <v>0</v>
      </c>
      <c r="PDO62" s="962">
        <f>MIN(PDO60*$C$62,'Sources and Uses Budget'!$J$99-SUM('15 Year Pro Forma'!$E$62:PDN62))</f>
        <v>0</v>
      </c>
      <c r="PDQ62" s="962">
        <f>MIN(PDQ60*$C$62,'Sources and Uses Budget'!$J$99-SUM('15 Year Pro Forma'!$E$62:PDP62))</f>
        <v>0</v>
      </c>
      <c r="PDS62" s="962">
        <f>MIN(PDS60*$C$62,'Sources and Uses Budget'!$J$99-SUM('15 Year Pro Forma'!$E$62:PDR62))</f>
        <v>0</v>
      </c>
      <c r="PDU62" s="962">
        <f>MIN(PDU60*$C$62,'Sources and Uses Budget'!$J$99-SUM('15 Year Pro Forma'!$E$62:PDT62))</f>
        <v>0</v>
      </c>
      <c r="PDW62" s="962">
        <f>MIN(PDW60*$C$62,'Sources and Uses Budget'!$J$99-SUM('15 Year Pro Forma'!$E$62:PDV62))</f>
        <v>0</v>
      </c>
      <c r="PDY62" s="962">
        <f>MIN(PDY60*$C$62,'Sources and Uses Budget'!$J$99-SUM('15 Year Pro Forma'!$E$62:PDX62))</f>
        <v>0</v>
      </c>
      <c r="PEA62" s="962">
        <f>MIN(PEA60*$C$62,'Sources and Uses Budget'!$J$99-SUM('15 Year Pro Forma'!$E$62:PDZ62))</f>
        <v>0</v>
      </c>
      <c r="PEC62" s="962">
        <f>MIN(PEC60*$C$62,'Sources and Uses Budget'!$J$99-SUM('15 Year Pro Forma'!$E$62:PEB62))</f>
        <v>0</v>
      </c>
      <c r="PEE62" s="962">
        <f>MIN(PEE60*$C$62,'Sources and Uses Budget'!$J$99-SUM('15 Year Pro Forma'!$E$62:PED62))</f>
        <v>0</v>
      </c>
      <c r="PEG62" s="962">
        <f>MIN(PEG60*$C$62,'Sources and Uses Budget'!$J$99-SUM('15 Year Pro Forma'!$E$62:PEF62))</f>
        <v>0</v>
      </c>
      <c r="PEI62" s="962">
        <f>MIN(PEI60*$C$62,'Sources and Uses Budget'!$J$99-SUM('15 Year Pro Forma'!$E$62:PEH62))</f>
        <v>0</v>
      </c>
      <c r="PEK62" s="962">
        <f>MIN(PEK60*$C$62,'Sources and Uses Budget'!$J$99-SUM('15 Year Pro Forma'!$E$62:PEJ62))</f>
        <v>0</v>
      </c>
      <c r="PEM62" s="962">
        <f>MIN(PEM60*$C$62,'Sources and Uses Budget'!$J$99-SUM('15 Year Pro Forma'!$E$62:PEL62))</f>
        <v>0</v>
      </c>
      <c r="PEO62" s="962">
        <f>MIN(PEO60*$C$62,'Sources and Uses Budget'!$J$99-SUM('15 Year Pro Forma'!$E$62:PEN62))</f>
        <v>0</v>
      </c>
      <c r="PEQ62" s="962">
        <f>MIN(PEQ60*$C$62,'Sources and Uses Budget'!$J$99-SUM('15 Year Pro Forma'!$E$62:PEP62))</f>
        <v>0</v>
      </c>
      <c r="PES62" s="962">
        <f>MIN(PES60*$C$62,'Sources and Uses Budget'!$J$99-SUM('15 Year Pro Forma'!$E$62:PER62))</f>
        <v>0</v>
      </c>
      <c r="PEU62" s="962">
        <f>MIN(PEU60*$C$62,'Sources and Uses Budget'!$J$99-SUM('15 Year Pro Forma'!$E$62:PET62))</f>
        <v>0</v>
      </c>
      <c r="PEW62" s="962">
        <f>MIN(PEW60*$C$62,'Sources and Uses Budget'!$J$99-SUM('15 Year Pro Forma'!$E$62:PEV62))</f>
        <v>0</v>
      </c>
      <c r="PEY62" s="962">
        <f>MIN(PEY60*$C$62,'Sources and Uses Budget'!$J$99-SUM('15 Year Pro Forma'!$E$62:PEX62))</f>
        <v>0</v>
      </c>
      <c r="PFA62" s="962">
        <f>MIN(PFA60*$C$62,'Sources and Uses Budget'!$J$99-SUM('15 Year Pro Forma'!$E$62:PEZ62))</f>
        <v>0</v>
      </c>
      <c r="PFC62" s="962">
        <f>MIN(PFC60*$C$62,'Sources and Uses Budget'!$J$99-SUM('15 Year Pro Forma'!$E$62:PFB62))</f>
        <v>0</v>
      </c>
      <c r="PFE62" s="962">
        <f>MIN(PFE60*$C$62,'Sources and Uses Budget'!$J$99-SUM('15 Year Pro Forma'!$E$62:PFD62))</f>
        <v>0</v>
      </c>
      <c r="PFG62" s="962">
        <f>MIN(PFG60*$C$62,'Sources and Uses Budget'!$J$99-SUM('15 Year Pro Forma'!$E$62:PFF62))</f>
        <v>0</v>
      </c>
      <c r="PFI62" s="962">
        <f>MIN(PFI60*$C$62,'Sources and Uses Budget'!$J$99-SUM('15 Year Pro Forma'!$E$62:PFH62))</f>
        <v>0</v>
      </c>
      <c r="PFK62" s="962">
        <f>MIN(PFK60*$C$62,'Sources and Uses Budget'!$J$99-SUM('15 Year Pro Forma'!$E$62:PFJ62))</f>
        <v>0</v>
      </c>
      <c r="PFM62" s="962">
        <f>MIN(PFM60*$C$62,'Sources and Uses Budget'!$J$99-SUM('15 Year Pro Forma'!$E$62:PFL62))</f>
        <v>0</v>
      </c>
      <c r="PFO62" s="962">
        <f>MIN(PFO60*$C$62,'Sources and Uses Budget'!$J$99-SUM('15 Year Pro Forma'!$E$62:PFN62))</f>
        <v>0</v>
      </c>
      <c r="PFQ62" s="962">
        <f>MIN(PFQ60*$C$62,'Sources and Uses Budget'!$J$99-SUM('15 Year Pro Forma'!$E$62:PFP62))</f>
        <v>0</v>
      </c>
      <c r="PFS62" s="962">
        <f>MIN(PFS60*$C$62,'Sources and Uses Budget'!$J$99-SUM('15 Year Pro Forma'!$E$62:PFR62))</f>
        <v>0</v>
      </c>
      <c r="PFU62" s="962">
        <f>MIN(PFU60*$C$62,'Sources and Uses Budget'!$J$99-SUM('15 Year Pro Forma'!$E$62:PFT62))</f>
        <v>0</v>
      </c>
      <c r="PFW62" s="962">
        <f>MIN(PFW60*$C$62,'Sources and Uses Budget'!$J$99-SUM('15 Year Pro Forma'!$E$62:PFV62))</f>
        <v>0</v>
      </c>
      <c r="PFY62" s="962">
        <f>MIN(PFY60*$C$62,'Sources and Uses Budget'!$J$99-SUM('15 Year Pro Forma'!$E$62:PFX62))</f>
        <v>0</v>
      </c>
      <c r="PGA62" s="962">
        <f>MIN(PGA60*$C$62,'Sources and Uses Budget'!$J$99-SUM('15 Year Pro Forma'!$E$62:PFZ62))</f>
        <v>0</v>
      </c>
      <c r="PGC62" s="962">
        <f>MIN(PGC60*$C$62,'Sources and Uses Budget'!$J$99-SUM('15 Year Pro Forma'!$E$62:PGB62))</f>
        <v>0</v>
      </c>
      <c r="PGE62" s="962">
        <f>MIN(PGE60*$C$62,'Sources and Uses Budget'!$J$99-SUM('15 Year Pro Forma'!$E$62:PGD62))</f>
        <v>0</v>
      </c>
      <c r="PGG62" s="962">
        <f>MIN(PGG60*$C$62,'Sources and Uses Budget'!$J$99-SUM('15 Year Pro Forma'!$E$62:PGF62))</f>
        <v>0</v>
      </c>
      <c r="PGI62" s="962">
        <f>MIN(PGI60*$C$62,'Sources and Uses Budget'!$J$99-SUM('15 Year Pro Forma'!$E$62:PGH62))</f>
        <v>0</v>
      </c>
      <c r="PGK62" s="962">
        <f>MIN(PGK60*$C$62,'Sources and Uses Budget'!$J$99-SUM('15 Year Pro Forma'!$E$62:PGJ62))</f>
        <v>0</v>
      </c>
      <c r="PGM62" s="962">
        <f>MIN(PGM60*$C$62,'Sources and Uses Budget'!$J$99-SUM('15 Year Pro Forma'!$E$62:PGL62))</f>
        <v>0</v>
      </c>
      <c r="PGO62" s="962">
        <f>MIN(PGO60*$C$62,'Sources and Uses Budget'!$J$99-SUM('15 Year Pro Forma'!$E$62:PGN62))</f>
        <v>0</v>
      </c>
      <c r="PGQ62" s="962">
        <f>MIN(PGQ60*$C$62,'Sources and Uses Budget'!$J$99-SUM('15 Year Pro Forma'!$E$62:PGP62))</f>
        <v>0</v>
      </c>
      <c r="PGS62" s="962">
        <f>MIN(PGS60*$C$62,'Sources and Uses Budget'!$J$99-SUM('15 Year Pro Forma'!$E$62:PGR62))</f>
        <v>0</v>
      </c>
      <c r="PGU62" s="962">
        <f>MIN(PGU60*$C$62,'Sources and Uses Budget'!$J$99-SUM('15 Year Pro Forma'!$E$62:PGT62))</f>
        <v>0</v>
      </c>
      <c r="PGW62" s="962">
        <f>MIN(PGW60*$C$62,'Sources and Uses Budget'!$J$99-SUM('15 Year Pro Forma'!$E$62:PGV62))</f>
        <v>0</v>
      </c>
      <c r="PGY62" s="962">
        <f>MIN(PGY60*$C$62,'Sources and Uses Budget'!$J$99-SUM('15 Year Pro Forma'!$E$62:PGX62))</f>
        <v>0</v>
      </c>
      <c r="PHA62" s="962">
        <f>MIN(PHA60*$C$62,'Sources and Uses Budget'!$J$99-SUM('15 Year Pro Forma'!$E$62:PGZ62))</f>
        <v>0</v>
      </c>
      <c r="PHC62" s="962">
        <f>MIN(PHC60*$C$62,'Sources and Uses Budget'!$J$99-SUM('15 Year Pro Forma'!$E$62:PHB62))</f>
        <v>0</v>
      </c>
      <c r="PHE62" s="962">
        <f>MIN(PHE60*$C$62,'Sources and Uses Budget'!$J$99-SUM('15 Year Pro Forma'!$E$62:PHD62))</f>
        <v>0</v>
      </c>
      <c r="PHG62" s="962">
        <f>MIN(PHG60*$C$62,'Sources and Uses Budget'!$J$99-SUM('15 Year Pro Forma'!$E$62:PHF62))</f>
        <v>0</v>
      </c>
      <c r="PHI62" s="962">
        <f>MIN(PHI60*$C$62,'Sources and Uses Budget'!$J$99-SUM('15 Year Pro Forma'!$E$62:PHH62))</f>
        <v>0</v>
      </c>
      <c r="PHK62" s="962">
        <f>MIN(PHK60*$C$62,'Sources and Uses Budget'!$J$99-SUM('15 Year Pro Forma'!$E$62:PHJ62))</f>
        <v>0</v>
      </c>
      <c r="PHM62" s="962">
        <f>MIN(PHM60*$C$62,'Sources and Uses Budget'!$J$99-SUM('15 Year Pro Forma'!$E$62:PHL62))</f>
        <v>0</v>
      </c>
      <c r="PHO62" s="962">
        <f>MIN(PHO60*$C$62,'Sources and Uses Budget'!$J$99-SUM('15 Year Pro Forma'!$E$62:PHN62))</f>
        <v>0</v>
      </c>
      <c r="PHQ62" s="962">
        <f>MIN(PHQ60*$C$62,'Sources and Uses Budget'!$J$99-SUM('15 Year Pro Forma'!$E$62:PHP62))</f>
        <v>0</v>
      </c>
      <c r="PHS62" s="962">
        <f>MIN(PHS60*$C$62,'Sources and Uses Budget'!$J$99-SUM('15 Year Pro Forma'!$E$62:PHR62))</f>
        <v>0</v>
      </c>
      <c r="PHU62" s="962">
        <f>MIN(PHU60*$C$62,'Sources and Uses Budget'!$J$99-SUM('15 Year Pro Forma'!$E$62:PHT62))</f>
        <v>0</v>
      </c>
      <c r="PHW62" s="962">
        <f>MIN(PHW60*$C$62,'Sources and Uses Budget'!$J$99-SUM('15 Year Pro Forma'!$E$62:PHV62))</f>
        <v>0</v>
      </c>
      <c r="PHY62" s="962">
        <f>MIN(PHY60*$C$62,'Sources and Uses Budget'!$J$99-SUM('15 Year Pro Forma'!$E$62:PHX62))</f>
        <v>0</v>
      </c>
      <c r="PIA62" s="962">
        <f>MIN(PIA60*$C$62,'Sources and Uses Budget'!$J$99-SUM('15 Year Pro Forma'!$E$62:PHZ62))</f>
        <v>0</v>
      </c>
      <c r="PIC62" s="962">
        <f>MIN(PIC60*$C$62,'Sources and Uses Budget'!$J$99-SUM('15 Year Pro Forma'!$E$62:PIB62))</f>
        <v>0</v>
      </c>
      <c r="PIE62" s="962">
        <f>MIN(PIE60*$C$62,'Sources and Uses Budget'!$J$99-SUM('15 Year Pro Forma'!$E$62:PID62))</f>
        <v>0</v>
      </c>
      <c r="PIG62" s="962">
        <f>MIN(PIG60*$C$62,'Sources and Uses Budget'!$J$99-SUM('15 Year Pro Forma'!$E$62:PIF62))</f>
        <v>0</v>
      </c>
      <c r="PII62" s="962">
        <f>MIN(PII60*$C$62,'Sources and Uses Budget'!$J$99-SUM('15 Year Pro Forma'!$E$62:PIH62))</f>
        <v>0</v>
      </c>
      <c r="PIK62" s="962">
        <f>MIN(PIK60*$C$62,'Sources and Uses Budget'!$J$99-SUM('15 Year Pro Forma'!$E$62:PIJ62))</f>
        <v>0</v>
      </c>
      <c r="PIM62" s="962">
        <f>MIN(PIM60*$C$62,'Sources and Uses Budget'!$J$99-SUM('15 Year Pro Forma'!$E$62:PIL62))</f>
        <v>0</v>
      </c>
      <c r="PIO62" s="962">
        <f>MIN(PIO60*$C$62,'Sources and Uses Budget'!$J$99-SUM('15 Year Pro Forma'!$E$62:PIN62))</f>
        <v>0</v>
      </c>
      <c r="PIQ62" s="962">
        <f>MIN(PIQ60*$C$62,'Sources and Uses Budget'!$J$99-SUM('15 Year Pro Forma'!$E$62:PIP62))</f>
        <v>0</v>
      </c>
      <c r="PIS62" s="962">
        <f>MIN(PIS60*$C$62,'Sources and Uses Budget'!$J$99-SUM('15 Year Pro Forma'!$E$62:PIR62))</f>
        <v>0</v>
      </c>
      <c r="PIU62" s="962">
        <f>MIN(PIU60*$C$62,'Sources and Uses Budget'!$J$99-SUM('15 Year Pro Forma'!$E$62:PIT62))</f>
        <v>0</v>
      </c>
      <c r="PIW62" s="962">
        <f>MIN(PIW60*$C$62,'Sources and Uses Budget'!$J$99-SUM('15 Year Pro Forma'!$E$62:PIV62))</f>
        <v>0</v>
      </c>
      <c r="PIY62" s="962">
        <f>MIN(PIY60*$C$62,'Sources and Uses Budget'!$J$99-SUM('15 Year Pro Forma'!$E$62:PIX62))</f>
        <v>0</v>
      </c>
      <c r="PJA62" s="962">
        <f>MIN(PJA60*$C$62,'Sources and Uses Budget'!$J$99-SUM('15 Year Pro Forma'!$E$62:PIZ62))</f>
        <v>0</v>
      </c>
      <c r="PJC62" s="962">
        <f>MIN(PJC60*$C$62,'Sources and Uses Budget'!$J$99-SUM('15 Year Pro Forma'!$E$62:PJB62))</f>
        <v>0</v>
      </c>
      <c r="PJE62" s="962">
        <f>MIN(PJE60*$C$62,'Sources and Uses Budget'!$J$99-SUM('15 Year Pro Forma'!$E$62:PJD62))</f>
        <v>0</v>
      </c>
      <c r="PJG62" s="962">
        <f>MIN(PJG60*$C$62,'Sources and Uses Budget'!$J$99-SUM('15 Year Pro Forma'!$E$62:PJF62))</f>
        <v>0</v>
      </c>
      <c r="PJI62" s="962">
        <f>MIN(PJI60*$C$62,'Sources and Uses Budget'!$J$99-SUM('15 Year Pro Forma'!$E$62:PJH62))</f>
        <v>0</v>
      </c>
      <c r="PJK62" s="962">
        <f>MIN(PJK60*$C$62,'Sources and Uses Budget'!$J$99-SUM('15 Year Pro Forma'!$E$62:PJJ62))</f>
        <v>0</v>
      </c>
      <c r="PJM62" s="962">
        <f>MIN(PJM60*$C$62,'Sources and Uses Budget'!$J$99-SUM('15 Year Pro Forma'!$E$62:PJL62))</f>
        <v>0</v>
      </c>
      <c r="PJO62" s="962">
        <f>MIN(PJO60*$C$62,'Sources and Uses Budget'!$J$99-SUM('15 Year Pro Forma'!$E$62:PJN62))</f>
        <v>0</v>
      </c>
      <c r="PJQ62" s="962">
        <f>MIN(PJQ60*$C$62,'Sources and Uses Budget'!$J$99-SUM('15 Year Pro Forma'!$E$62:PJP62))</f>
        <v>0</v>
      </c>
      <c r="PJS62" s="962">
        <f>MIN(PJS60*$C$62,'Sources and Uses Budget'!$J$99-SUM('15 Year Pro Forma'!$E$62:PJR62))</f>
        <v>0</v>
      </c>
      <c r="PJU62" s="962">
        <f>MIN(PJU60*$C$62,'Sources and Uses Budget'!$J$99-SUM('15 Year Pro Forma'!$E$62:PJT62))</f>
        <v>0</v>
      </c>
      <c r="PJW62" s="962">
        <f>MIN(PJW60*$C$62,'Sources and Uses Budget'!$J$99-SUM('15 Year Pro Forma'!$E$62:PJV62))</f>
        <v>0</v>
      </c>
      <c r="PJY62" s="962">
        <f>MIN(PJY60*$C$62,'Sources and Uses Budget'!$J$99-SUM('15 Year Pro Forma'!$E$62:PJX62))</f>
        <v>0</v>
      </c>
      <c r="PKA62" s="962">
        <f>MIN(PKA60*$C$62,'Sources and Uses Budget'!$J$99-SUM('15 Year Pro Forma'!$E$62:PJZ62))</f>
        <v>0</v>
      </c>
      <c r="PKC62" s="962">
        <f>MIN(PKC60*$C$62,'Sources and Uses Budget'!$J$99-SUM('15 Year Pro Forma'!$E$62:PKB62))</f>
        <v>0</v>
      </c>
      <c r="PKE62" s="962">
        <f>MIN(PKE60*$C$62,'Sources and Uses Budget'!$J$99-SUM('15 Year Pro Forma'!$E$62:PKD62))</f>
        <v>0</v>
      </c>
      <c r="PKG62" s="962">
        <f>MIN(PKG60*$C$62,'Sources and Uses Budget'!$J$99-SUM('15 Year Pro Forma'!$E$62:PKF62))</f>
        <v>0</v>
      </c>
      <c r="PKI62" s="962">
        <f>MIN(PKI60*$C$62,'Sources and Uses Budget'!$J$99-SUM('15 Year Pro Forma'!$E$62:PKH62))</f>
        <v>0</v>
      </c>
      <c r="PKK62" s="962">
        <f>MIN(PKK60*$C$62,'Sources and Uses Budget'!$J$99-SUM('15 Year Pro Forma'!$E$62:PKJ62))</f>
        <v>0</v>
      </c>
      <c r="PKM62" s="962">
        <f>MIN(PKM60*$C$62,'Sources and Uses Budget'!$J$99-SUM('15 Year Pro Forma'!$E$62:PKL62))</f>
        <v>0</v>
      </c>
      <c r="PKO62" s="962">
        <f>MIN(PKO60*$C$62,'Sources and Uses Budget'!$J$99-SUM('15 Year Pro Forma'!$E$62:PKN62))</f>
        <v>0</v>
      </c>
      <c r="PKQ62" s="962">
        <f>MIN(PKQ60*$C$62,'Sources and Uses Budget'!$J$99-SUM('15 Year Pro Forma'!$E$62:PKP62))</f>
        <v>0</v>
      </c>
      <c r="PKS62" s="962">
        <f>MIN(PKS60*$C$62,'Sources and Uses Budget'!$J$99-SUM('15 Year Pro Forma'!$E$62:PKR62))</f>
        <v>0</v>
      </c>
      <c r="PKU62" s="962">
        <f>MIN(PKU60*$C$62,'Sources and Uses Budget'!$J$99-SUM('15 Year Pro Forma'!$E$62:PKT62))</f>
        <v>0</v>
      </c>
      <c r="PKW62" s="962">
        <f>MIN(PKW60*$C$62,'Sources and Uses Budget'!$J$99-SUM('15 Year Pro Forma'!$E$62:PKV62))</f>
        <v>0</v>
      </c>
      <c r="PKY62" s="962">
        <f>MIN(PKY60*$C$62,'Sources and Uses Budget'!$J$99-SUM('15 Year Pro Forma'!$E$62:PKX62))</f>
        <v>0</v>
      </c>
      <c r="PLA62" s="962">
        <f>MIN(PLA60*$C$62,'Sources and Uses Budget'!$J$99-SUM('15 Year Pro Forma'!$E$62:PKZ62))</f>
        <v>0</v>
      </c>
      <c r="PLC62" s="962">
        <f>MIN(PLC60*$C$62,'Sources and Uses Budget'!$J$99-SUM('15 Year Pro Forma'!$E$62:PLB62))</f>
        <v>0</v>
      </c>
      <c r="PLE62" s="962">
        <f>MIN(PLE60*$C$62,'Sources and Uses Budget'!$J$99-SUM('15 Year Pro Forma'!$E$62:PLD62))</f>
        <v>0</v>
      </c>
      <c r="PLG62" s="962">
        <f>MIN(PLG60*$C$62,'Sources and Uses Budget'!$J$99-SUM('15 Year Pro Forma'!$E$62:PLF62))</f>
        <v>0</v>
      </c>
      <c r="PLI62" s="962">
        <f>MIN(PLI60*$C$62,'Sources and Uses Budget'!$J$99-SUM('15 Year Pro Forma'!$E$62:PLH62))</f>
        <v>0</v>
      </c>
      <c r="PLK62" s="962">
        <f>MIN(PLK60*$C$62,'Sources and Uses Budget'!$J$99-SUM('15 Year Pro Forma'!$E$62:PLJ62))</f>
        <v>0</v>
      </c>
      <c r="PLM62" s="962">
        <f>MIN(PLM60*$C$62,'Sources and Uses Budget'!$J$99-SUM('15 Year Pro Forma'!$E$62:PLL62))</f>
        <v>0</v>
      </c>
      <c r="PLO62" s="962">
        <f>MIN(PLO60*$C$62,'Sources and Uses Budget'!$J$99-SUM('15 Year Pro Forma'!$E$62:PLN62))</f>
        <v>0</v>
      </c>
      <c r="PLQ62" s="962">
        <f>MIN(PLQ60*$C$62,'Sources and Uses Budget'!$J$99-SUM('15 Year Pro Forma'!$E$62:PLP62))</f>
        <v>0</v>
      </c>
      <c r="PLS62" s="962">
        <f>MIN(PLS60*$C$62,'Sources and Uses Budget'!$J$99-SUM('15 Year Pro Forma'!$E$62:PLR62))</f>
        <v>0</v>
      </c>
      <c r="PLU62" s="962">
        <f>MIN(PLU60*$C$62,'Sources and Uses Budget'!$J$99-SUM('15 Year Pro Forma'!$E$62:PLT62))</f>
        <v>0</v>
      </c>
      <c r="PLW62" s="962">
        <f>MIN(PLW60*$C$62,'Sources and Uses Budget'!$J$99-SUM('15 Year Pro Forma'!$E$62:PLV62))</f>
        <v>0</v>
      </c>
      <c r="PLY62" s="962">
        <f>MIN(PLY60*$C$62,'Sources and Uses Budget'!$J$99-SUM('15 Year Pro Forma'!$E$62:PLX62))</f>
        <v>0</v>
      </c>
      <c r="PMA62" s="962">
        <f>MIN(PMA60*$C$62,'Sources and Uses Budget'!$J$99-SUM('15 Year Pro Forma'!$E$62:PLZ62))</f>
        <v>0</v>
      </c>
      <c r="PMC62" s="962">
        <f>MIN(PMC60*$C$62,'Sources and Uses Budget'!$J$99-SUM('15 Year Pro Forma'!$E$62:PMB62))</f>
        <v>0</v>
      </c>
      <c r="PME62" s="962">
        <f>MIN(PME60*$C$62,'Sources and Uses Budget'!$J$99-SUM('15 Year Pro Forma'!$E$62:PMD62))</f>
        <v>0</v>
      </c>
      <c r="PMG62" s="962">
        <f>MIN(PMG60*$C$62,'Sources and Uses Budget'!$J$99-SUM('15 Year Pro Forma'!$E$62:PMF62))</f>
        <v>0</v>
      </c>
      <c r="PMI62" s="962">
        <f>MIN(PMI60*$C$62,'Sources and Uses Budget'!$J$99-SUM('15 Year Pro Forma'!$E$62:PMH62))</f>
        <v>0</v>
      </c>
      <c r="PMK62" s="962">
        <f>MIN(PMK60*$C$62,'Sources and Uses Budget'!$J$99-SUM('15 Year Pro Forma'!$E$62:PMJ62))</f>
        <v>0</v>
      </c>
      <c r="PMM62" s="962">
        <f>MIN(PMM60*$C$62,'Sources and Uses Budget'!$J$99-SUM('15 Year Pro Forma'!$E$62:PML62))</f>
        <v>0</v>
      </c>
      <c r="PMO62" s="962">
        <f>MIN(PMO60*$C$62,'Sources and Uses Budget'!$J$99-SUM('15 Year Pro Forma'!$E$62:PMN62))</f>
        <v>0</v>
      </c>
      <c r="PMQ62" s="962">
        <f>MIN(PMQ60*$C$62,'Sources and Uses Budget'!$J$99-SUM('15 Year Pro Forma'!$E$62:PMP62))</f>
        <v>0</v>
      </c>
      <c r="PMS62" s="962">
        <f>MIN(PMS60*$C$62,'Sources and Uses Budget'!$J$99-SUM('15 Year Pro Forma'!$E$62:PMR62))</f>
        <v>0</v>
      </c>
      <c r="PMU62" s="962">
        <f>MIN(PMU60*$C$62,'Sources and Uses Budget'!$J$99-SUM('15 Year Pro Forma'!$E$62:PMT62))</f>
        <v>0</v>
      </c>
      <c r="PMW62" s="962">
        <f>MIN(PMW60*$C$62,'Sources and Uses Budget'!$J$99-SUM('15 Year Pro Forma'!$E$62:PMV62))</f>
        <v>0</v>
      </c>
      <c r="PMY62" s="962">
        <f>MIN(PMY60*$C$62,'Sources and Uses Budget'!$J$99-SUM('15 Year Pro Forma'!$E$62:PMX62))</f>
        <v>0</v>
      </c>
      <c r="PNA62" s="962">
        <f>MIN(PNA60*$C$62,'Sources and Uses Budget'!$J$99-SUM('15 Year Pro Forma'!$E$62:PMZ62))</f>
        <v>0</v>
      </c>
      <c r="PNC62" s="962">
        <f>MIN(PNC60*$C$62,'Sources and Uses Budget'!$J$99-SUM('15 Year Pro Forma'!$E$62:PNB62))</f>
        <v>0</v>
      </c>
      <c r="PNE62" s="962">
        <f>MIN(PNE60*$C$62,'Sources and Uses Budget'!$J$99-SUM('15 Year Pro Forma'!$E$62:PND62))</f>
        <v>0</v>
      </c>
      <c r="PNG62" s="962">
        <f>MIN(PNG60*$C$62,'Sources and Uses Budget'!$J$99-SUM('15 Year Pro Forma'!$E$62:PNF62))</f>
        <v>0</v>
      </c>
      <c r="PNI62" s="962">
        <f>MIN(PNI60*$C$62,'Sources and Uses Budget'!$J$99-SUM('15 Year Pro Forma'!$E$62:PNH62))</f>
        <v>0</v>
      </c>
      <c r="PNK62" s="962">
        <f>MIN(PNK60*$C$62,'Sources and Uses Budget'!$J$99-SUM('15 Year Pro Forma'!$E$62:PNJ62))</f>
        <v>0</v>
      </c>
      <c r="PNM62" s="962">
        <f>MIN(PNM60*$C$62,'Sources and Uses Budget'!$J$99-SUM('15 Year Pro Forma'!$E$62:PNL62))</f>
        <v>0</v>
      </c>
      <c r="PNO62" s="962">
        <f>MIN(PNO60*$C$62,'Sources and Uses Budget'!$J$99-SUM('15 Year Pro Forma'!$E$62:PNN62))</f>
        <v>0</v>
      </c>
      <c r="PNQ62" s="962">
        <f>MIN(PNQ60*$C$62,'Sources and Uses Budget'!$J$99-SUM('15 Year Pro Forma'!$E$62:PNP62))</f>
        <v>0</v>
      </c>
      <c r="PNS62" s="962">
        <f>MIN(PNS60*$C$62,'Sources and Uses Budget'!$J$99-SUM('15 Year Pro Forma'!$E$62:PNR62))</f>
        <v>0</v>
      </c>
      <c r="PNU62" s="962">
        <f>MIN(PNU60*$C$62,'Sources and Uses Budget'!$J$99-SUM('15 Year Pro Forma'!$E$62:PNT62))</f>
        <v>0</v>
      </c>
      <c r="PNW62" s="962">
        <f>MIN(PNW60*$C$62,'Sources and Uses Budget'!$J$99-SUM('15 Year Pro Forma'!$E$62:PNV62))</f>
        <v>0</v>
      </c>
      <c r="PNY62" s="962">
        <f>MIN(PNY60*$C$62,'Sources and Uses Budget'!$J$99-SUM('15 Year Pro Forma'!$E$62:PNX62))</f>
        <v>0</v>
      </c>
      <c r="POA62" s="962">
        <f>MIN(POA60*$C$62,'Sources and Uses Budget'!$J$99-SUM('15 Year Pro Forma'!$E$62:PNZ62))</f>
        <v>0</v>
      </c>
      <c r="POC62" s="962">
        <f>MIN(POC60*$C$62,'Sources and Uses Budget'!$J$99-SUM('15 Year Pro Forma'!$E$62:POB62))</f>
        <v>0</v>
      </c>
      <c r="POE62" s="962">
        <f>MIN(POE60*$C$62,'Sources and Uses Budget'!$J$99-SUM('15 Year Pro Forma'!$E$62:POD62))</f>
        <v>0</v>
      </c>
      <c r="POG62" s="962">
        <f>MIN(POG60*$C$62,'Sources and Uses Budget'!$J$99-SUM('15 Year Pro Forma'!$E$62:POF62))</f>
        <v>0</v>
      </c>
      <c r="POI62" s="962">
        <f>MIN(POI60*$C$62,'Sources and Uses Budget'!$J$99-SUM('15 Year Pro Forma'!$E$62:POH62))</f>
        <v>0</v>
      </c>
      <c r="POK62" s="962">
        <f>MIN(POK60*$C$62,'Sources and Uses Budget'!$J$99-SUM('15 Year Pro Forma'!$E$62:POJ62))</f>
        <v>0</v>
      </c>
      <c r="POM62" s="962">
        <f>MIN(POM60*$C$62,'Sources and Uses Budget'!$J$99-SUM('15 Year Pro Forma'!$E$62:POL62))</f>
        <v>0</v>
      </c>
      <c r="POO62" s="962">
        <f>MIN(POO60*$C$62,'Sources and Uses Budget'!$J$99-SUM('15 Year Pro Forma'!$E$62:PON62))</f>
        <v>0</v>
      </c>
      <c r="POQ62" s="962">
        <f>MIN(POQ60*$C$62,'Sources and Uses Budget'!$J$99-SUM('15 Year Pro Forma'!$E$62:POP62))</f>
        <v>0</v>
      </c>
      <c r="POS62" s="962">
        <f>MIN(POS60*$C$62,'Sources and Uses Budget'!$J$99-SUM('15 Year Pro Forma'!$E$62:POR62))</f>
        <v>0</v>
      </c>
      <c r="POU62" s="962">
        <f>MIN(POU60*$C$62,'Sources and Uses Budget'!$J$99-SUM('15 Year Pro Forma'!$E$62:POT62))</f>
        <v>0</v>
      </c>
      <c r="POW62" s="962">
        <f>MIN(POW60*$C$62,'Sources and Uses Budget'!$J$99-SUM('15 Year Pro Forma'!$E$62:POV62))</f>
        <v>0</v>
      </c>
      <c r="POY62" s="962">
        <f>MIN(POY60*$C$62,'Sources and Uses Budget'!$J$99-SUM('15 Year Pro Forma'!$E$62:POX62))</f>
        <v>0</v>
      </c>
      <c r="PPA62" s="962">
        <f>MIN(PPA60*$C$62,'Sources and Uses Budget'!$J$99-SUM('15 Year Pro Forma'!$E$62:POZ62))</f>
        <v>0</v>
      </c>
      <c r="PPC62" s="962">
        <f>MIN(PPC60*$C$62,'Sources and Uses Budget'!$J$99-SUM('15 Year Pro Forma'!$E$62:PPB62))</f>
        <v>0</v>
      </c>
      <c r="PPE62" s="962">
        <f>MIN(PPE60*$C$62,'Sources and Uses Budget'!$J$99-SUM('15 Year Pro Forma'!$E$62:PPD62))</f>
        <v>0</v>
      </c>
      <c r="PPG62" s="962">
        <f>MIN(PPG60*$C$62,'Sources and Uses Budget'!$J$99-SUM('15 Year Pro Forma'!$E$62:PPF62))</f>
        <v>0</v>
      </c>
      <c r="PPI62" s="962">
        <f>MIN(PPI60*$C$62,'Sources and Uses Budget'!$J$99-SUM('15 Year Pro Forma'!$E$62:PPH62))</f>
        <v>0</v>
      </c>
      <c r="PPK62" s="962">
        <f>MIN(PPK60*$C$62,'Sources and Uses Budget'!$J$99-SUM('15 Year Pro Forma'!$E$62:PPJ62))</f>
        <v>0</v>
      </c>
      <c r="PPM62" s="962">
        <f>MIN(PPM60*$C$62,'Sources and Uses Budget'!$J$99-SUM('15 Year Pro Forma'!$E$62:PPL62))</f>
        <v>0</v>
      </c>
      <c r="PPO62" s="962">
        <f>MIN(PPO60*$C$62,'Sources and Uses Budget'!$J$99-SUM('15 Year Pro Forma'!$E$62:PPN62))</f>
        <v>0</v>
      </c>
      <c r="PPQ62" s="962">
        <f>MIN(PPQ60*$C$62,'Sources and Uses Budget'!$J$99-SUM('15 Year Pro Forma'!$E$62:PPP62))</f>
        <v>0</v>
      </c>
      <c r="PPS62" s="962">
        <f>MIN(PPS60*$C$62,'Sources and Uses Budget'!$J$99-SUM('15 Year Pro Forma'!$E$62:PPR62))</f>
        <v>0</v>
      </c>
      <c r="PPU62" s="962">
        <f>MIN(PPU60*$C$62,'Sources and Uses Budget'!$J$99-SUM('15 Year Pro Forma'!$E$62:PPT62))</f>
        <v>0</v>
      </c>
      <c r="PPW62" s="962">
        <f>MIN(PPW60*$C$62,'Sources and Uses Budget'!$J$99-SUM('15 Year Pro Forma'!$E$62:PPV62))</f>
        <v>0</v>
      </c>
      <c r="PPY62" s="962">
        <f>MIN(PPY60*$C$62,'Sources and Uses Budget'!$J$99-SUM('15 Year Pro Forma'!$E$62:PPX62))</f>
        <v>0</v>
      </c>
      <c r="PQA62" s="962">
        <f>MIN(PQA60*$C$62,'Sources and Uses Budget'!$J$99-SUM('15 Year Pro Forma'!$E$62:PPZ62))</f>
        <v>0</v>
      </c>
      <c r="PQC62" s="962">
        <f>MIN(PQC60*$C$62,'Sources and Uses Budget'!$J$99-SUM('15 Year Pro Forma'!$E$62:PQB62))</f>
        <v>0</v>
      </c>
      <c r="PQE62" s="962">
        <f>MIN(PQE60*$C$62,'Sources and Uses Budget'!$J$99-SUM('15 Year Pro Forma'!$E$62:PQD62))</f>
        <v>0</v>
      </c>
      <c r="PQG62" s="962">
        <f>MIN(PQG60*$C$62,'Sources and Uses Budget'!$J$99-SUM('15 Year Pro Forma'!$E$62:PQF62))</f>
        <v>0</v>
      </c>
      <c r="PQI62" s="962">
        <f>MIN(PQI60*$C$62,'Sources and Uses Budget'!$J$99-SUM('15 Year Pro Forma'!$E$62:PQH62))</f>
        <v>0</v>
      </c>
      <c r="PQK62" s="962">
        <f>MIN(PQK60*$C$62,'Sources and Uses Budget'!$J$99-SUM('15 Year Pro Forma'!$E$62:PQJ62))</f>
        <v>0</v>
      </c>
      <c r="PQM62" s="962">
        <f>MIN(PQM60*$C$62,'Sources and Uses Budget'!$J$99-SUM('15 Year Pro Forma'!$E$62:PQL62))</f>
        <v>0</v>
      </c>
      <c r="PQO62" s="962">
        <f>MIN(PQO60*$C$62,'Sources and Uses Budget'!$J$99-SUM('15 Year Pro Forma'!$E$62:PQN62))</f>
        <v>0</v>
      </c>
      <c r="PQQ62" s="962">
        <f>MIN(PQQ60*$C$62,'Sources and Uses Budget'!$J$99-SUM('15 Year Pro Forma'!$E$62:PQP62))</f>
        <v>0</v>
      </c>
      <c r="PQS62" s="962">
        <f>MIN(PQS60*$C$62,'Sources and Uses Budget'!$J$99-SUM('15 Year Pro Forma'!$E$62:PQR62))</f>
        <v>0</v>
      </c>
      <c r="PQU62" s="962">
        <f>MIN(PQU60*$C$62,'Sources and Uses Budget'!$J$99-SUM('15 Year Pro Forma'!$E$62:PQT62))</f>
        <v>0</v>
      </c>
      <c r="PQW62" s="962">
        <f>MIN(PQW60*$C$62,'Sources and Uses Budget'!$J$99-SUM('15 Year Pro Forma'!$E$62:PQV62))</f>
        <v>0</v>
      </c>
      <c r="PQY62" s="962">
        <f>MIN(PQY60*$C$62,'Sources and Uses Budget'!$J$99-SUM('15 Year Pro Forma'!$E$62:PQX62))</f>
        <v>0</v>
      </c>
      <c r="PRA62" s="962">
        <f>MIN(PRA60*$C$62,'Sources and Uses Budget'!$J$99-SUM('15 Year Pro Forma'!$E$62:PQZ62))</f>
        <v>0</v>
      </c>
      <c r="PRC62" s="962">
        <f>MIN(PRC60*$C$62,'Sources and Uses Budget'!$J$99-SUM('15 Year Pro Forma'!$E$62:PRB62))</f>
        <v>0</v>
      </c>
      <c r="PRE62" s="962">
        <f>MIN(PRE60*$C$62,'Sources and Uses Budget'!$J$99-SUM('15 Year Pro Forma'!$E$62:PRD62))</f>
        <v>0</v>
      </c>
      <c r="PRG62" s="962">
        <f>MIN(PRG60*$C$62,'Sources and Uses Budget'!$J$99-SUM('15 Year Pro Forma'!$E$62:PRF62))</f>
        <v>0</v>
      </c>
      <c r="PRI62" s="962">
        <f>MIN(PRI60*$C$62,'Sources and Uses Budget'!$J$99-SUM('15 Year Pro Forma'!$E$62:PRH62))</f>
        <v>0</v>
      </c>
      <c r="PRK62" s="962">
        <f>MIN(PRK60*$C$62,'Sources and Uses Budget'!$J$99-SUM('15 Year Pro Forma'!$E$62:PRJ62))</f>
        <v>0</v>
      </c>
      <c r="PRM62" s="962">
        <f>MIN(PRM60*$C$62,'Sources and Uses Budget'!$J$99-SUM('15 Year Pro Forma'!$E$62:PRL62))</f>
        <v>0</v>
      </c>
      <c r="PRO62" s="962">
        <f>MIN(PRO60*$C$62,'Sources and Uses Budget'!$J$99-SUM('15 Year Pro Forma'!$E$62:PRN62))</f>
        <v>0</v>
      </c>
      <c r="PRQ62" s="962">
        <f>MIN(PRQ60*$C$62,'Sources and Uses Budget'!$J$99-SUM('15 Year Pro Forma'!$E$62:PRP62))</f>
        <v>0</v>
      </c>
      <c r="PRS62" s="962">
        <f>MIN(PRS60*$C$62,'Sources and Uses Budget'!$J$99-SUM('15 Year Pro Forma'!$E$62:PRR62))</f>
        <v>0</v>
      </c>
      <c r="PRU62" s="962">
        <f>MIN(PRU60*$C$62,'Sources and Uses Budget'!$J$99-SUM('15 Year Pro Forma'!$E$62:PRT62))</f>
        <v>0</v>
      </c>
      <c r="PRW62" s="962">
        <f>MIN(PRW60*$C$62,'Sources and Uses Budget'!$J$99-SUM('15 Year Pro Forma'!$E$62:PRV62))</f>
        <v>0</v>
      </c>
      <c r="PRY62" s="962">
        <f>MIN(PRY60*$C$62,'Sources and Uses Budget'!$J$99-SUM('15 Year Pro Forma'!$E$62:PRX62))</f>
        <v>0</v>
      </c>
      <c r="PSA62" s="962">
        <f>MIN(PSA60*$C$62,'Sources and Uses Budget'!$J$99-SUM('15 Year Pro Forma'!$E$62:PRZ62))</f>
        <v>0</v>
      </c>
      <c r="PSC62" s="962">
        <f>MIN(PSC60*$C$62,'Sources and Uses Budget'!$J$99-SUM('15 Year Pro Forma'!$E$62:PSB62))</f>
        <v>0</v>
      </c>
      <c r="PSE62" s="962">
        <f>MIN(PSE60*$C$62,'Sources and Uses Budget'!$J$99-SUM('15 Year Pro Forma'!$E$62:PSD62))</f>
        <v>0</v>
      </c>
      <c r="PSG62" s="962">
        <f>MIN(PSG60*$C$62,'Sources and Uses Budget'!$J$99-SUM('15 Year Pro Forma'!$E$62:PSF62))</f>
        <v>0</v>
      </c>
      <c r="PSI62" s="962">
        <f>MIN(PSI60*$C$62,'Sources and Uses Budget'!$J$99-SUM('15 Year Pro Forma'!$E$62:PSH62))</f>
        <v>0</v>
      </c>
      <c r="PSK62" s="962">
        <f>MIN(PSK60*$C$62,'Sources and Uses Budget'!$J$99-SUM('15 Year Pro Forma'!$E$62:PSJ62))</f>
        <v>0</v>
      </c>
      <c r="PSM62" s="962">
        <f>MIN(PSM60*$C$62,'Sources and Uses Budget'!$J$99-SUM('15 Year Pro Forma'!$E$62:PSL62))</f>
        <v>0</v>
      </c>
      <c r="PSO62" s="962">
        <f>MIN(PSO60*$C$62,'Sources and Uses Budget'!$J$99-SUM('15 Year Pro Forma'!$E$62:PSN62))</f>
        <v>0</v>
      </c>
      <c r="PSQ62" s="962">
        <f>MIN(PSQ60*$C$62,'Sources and Uses Budget'!$J$99-SUM('15 Year Pro Forma'!$E$62:PSP62))</f>
        <v>0</v>
      </c>
      <c r="PSS62" s="962">
        <f>MIN(PSS60*$C$62,'Sources and Uses Budget'!$J$99-SUM('15 Year Pro Forma'!$E$62:PSR62))</f>
        <v>0</v>
      </c>
      <c r="PSU62" s="962">
        <f>MIN(PSU60*$C$62,'Sources and Uses Budget'!$J$99-SUM('15 Year Pro Forma'!$E$62:PST62))</f>
        <v>0</v>
      </c>
      <c r="PSW62" s="962">
        <f>MIN(PSW60*$C$62,'Sources and Uses Budget'!$J$99-SUM('15 Year Pro Forma'!$E$62:PSV62))</f>
        <v>0</v>
      </c>
      <c r="PSY62" s="962">
        <f>MIN(PSY60*$C$62,'Sources and Uses Budget'!$J$99-SUM('15 Year Pro Forma'!$E$62:PSX62))</f>
        <v>0</v>
      </c>
      <c r="PTA62" s="962">
        <f>MIN(PTA60*$C$62,'Sources and Uses Budget'!$J$99-SUM('15 Year Pro Forma'!$E$62:PSZ62))</f>
        <v>0</v>
      </c>
      <c r="PTC62" s="962">
        <f>MIN(PTC60*$C$62,'Sources and Uses Budget'!$J$99-SUM('15 Year Pro Forma'!$E$62:PTB62))</f>
        <v>0</v>
      </c>
      <c r="PTE62" s="962">
        <f>MIN(PTE60*$C$62,'Sources and Uses Budget'!$J$99-SUM('15 Year Pro Forma'!$E$62:PTD62))</f>
        <v>0</v>
      </c>
      <c r="PTG62" s="962">
        <f>MIN(PTG60*$C$62,'Sources and Uses Budget'!$J$99-SUM('15 Year Pro Forma'!$E$62:PTF62))</f>
        <v>0</v>
      </c>
      <c r="PTI62" s="962">
        <f>MIN(PTI60*$C$62,'Sources and Uses Budget'!$J$99-SUM('15 Year Pro Forma'!$E$62:PTH62))</f>
        <v>0</v>
      </c>
      <c r="PTK62" s="962">
        <f>MIN(PTK60*$C$62,'Sources and Uses Budget'!$J$99-SUM('15 Year Pro Forma'!$E$62:PTJ62))</f>
        <v>0</v>
      </c>
      <c r="PTM62" s="962">
        <f>MIN(PTM60*$C$62,'Sources and Uses Budget'!$J$99-SUM('15 Year Pro Forma'!$E$62:PTL62))</f>
        <v>0</v>
      </c>
      <c r="PTO62" s="962">
        <f>MIN(PTO60*$C$62,'Sources and Uses Budget'!$J$99-SUM('15 Year Pro Forma'!$E$62:PTN62))</f>
        <v>0</v>
      </c>
      <c r="PTQ62" s="962">
        <f>MIN(PTQ60*$C$62,'Sources and Uses Budget'!$J$99-SUM('15 Year Pro Forma'!$E$62:PTP62))</f>
        <v>0</v>
      </c>
      <c r="PTS62" s="962">
        <f>MIN(PTS60*$C$62,'Sources and Uses Budget'!$J$99-SUM('15 Year Pro Forma'!$E$62:PTR62))</f>
        <v>0</v>
      </c>
      <c r="PTU62" s="962">
        <f>MIN(PTU60*$C$62,'Sources and Uses Budget'!$J$99-SUM('15 Year Pro Forma'!$E$62:PTT62))</f>
        <v>0</v>
      </c>
      <c r="PTW62" s="962">
        <f>MIN(PTW60*$C$62,'Sources and Uses Budget'!$J$99-SUM('15 Year Pro Forma'!$E$62:PTV62))</f>
        <v>0</v>
      </c>
      <c r="PTY62" s="962">
        <f>MIN(PTY60*$C$62,'Sources and Uses Budget'!$J$99-SUM('15 Year Pro Forma'!$E$62:PTX62))</f>
        <v>0</v>
      </c>
      <c r="PUA62" s="962">
        <f>MIN(PUA60*$C$62,'Sources and Uses Budget'!$J$99-SUM('15 Year Pro Forma'!$E$62:PTZ62))</f>
        <v>0</v>
      </c>
      <c r="PUC62" s="962">
        <f>MIN(PUC60*$C$62,'Sources and Uses Budget'!$J$99-SUM('15 Year Pro Forma'!$E$62:PUB62))</f>
        <v>0</v>
      </c>
      <c r="PUE62" s="962">
        <f>MIN(PUE60*$C$62,'Sources and Uses Budget'!$J$99-SUM('15 Year Pro Forma'!$E$62:PUD62))</f>
        <v>0</v>
      </c>
      <c r="PUG62" s="962">
        <f>MIN(PUG60*$C$62,'Sources and Uses Budget'!$J$99-SUM('15 Year Pro Forma'!$E$62:PUF62))</f>
        <v>0</v>
      </c>
      <c r="PUI62" s="962">
        <f>MIN(PUI60*$C$62,'Sources and Uses Budget'!$J$99-SUM('15 Year Pro Forma'!$E$62:PUH62))</f>
        <v>0</v>
      </c>
      <c r="PUK62" s="962">
        <f>MIN(PUK60*$C$62,'Sources and Uses Budget'!$J$99-SUM('15 Year Pro Forma'!$E$62:PUJ62))</f>
        <v>0</v>
      </c>
      <c r="PUM62" s="962">
        <f>MIN(PUM60*$C$62,'Sources and Uses Budget'!$J$99-SUM('15 Year Pro Forma'!$E$62:PUL62))</f>
        <v>0</v>
      </c>
      <c r="PUO62" s="962">
        <f>MIN(PUO60*$C$62,'Sources and Uses Budget'!$J$99-SUM('15 Year Pro Forma'!$E$62:PUN62))</f>
        <v>0</v>
      </c>
      <c r="PUQ62" s="962">
        <f>MIN(PUQ60*$C$62,'Sources and Uses Budget'!$J$99-SUM('15 Year Pro Forma'!$E$62:PUP62))</f>
        <v>0</v>
      </c>
      <c r="PUS62" s="962">
        <f>MIN(PUS60*$C$62,'Sources and Uses Budget'!$J$99-SUM('15 Year Pro Forma'!$E$62:PUR62))</f>
        <v>0</v>
      </c>
      <c r="PUU62" s="962">
        <f>MIN(PUU60*$C$62,'Sources and Uses Budget'!$J$99-SUM('15 Year Pro Forma'!$E$62:PUT62))</f>
        <v>0</v>
      </c>
      <c r="PUW62" s="962">
        <f>MIN(PUW60*$C$62,'Sources and Uses Budget'!$J$99-SUM('15 Year Pro Forma'!$E$62:PUV62))</f>
        <v>0</v>
      </c>
      <c r="PUY62" s="962">
        <f>MIN(PUY60*$C$62,'Sources and Uses Budget'!$J$99-SUM('15 Year Pro Forma'!$E$62:PUX62))</f>
        <v>0</v>
      </c>
      <c r="PVA62" s="962">
        <f>MIN(PVA60*$C$62,'Sources and Uses Budget'!$J$99-SUM('15 Year Pro Forma'!$E$62:PUZ62))</f>
        <v>0</v>
      </c>
      <c r="PVC62" s="962">
        <f>MIN(PVC60*$C$62,'Sources and Uses Budget'!$J$99-SUM('15 Year Pro Forma'!$E$62:PVB62))</f>
        <v>0</v>
      </c>
      <c r="PVE62" s="962">
        <f>MIN(PVE60*$C$62,'Sources and Uses Budget'!$J$99-SUM('15 Year Pro Forma'!$E$62:PVD62))</f>
        <v>0</v>
      </c>
      <c r="PVG62" s="962">
        <f>MIN(PVG60*$C$62,'Sources and Uses Budget'!$J$99-SUM('15 Year Pro Forma'!$E$62:PVF62))</f>
        <v>0</v>
      </c>
      <c r="PVI62" s="962">
        <f>MIN(PVI60*$C$62,'Sources and Uses Budget'!$J$99-SUM('15 Year Pro Forma'!$E$62:PVH62))</f>
        <v>0</v>
      </c>
      <c r="PVK62" s="962">
        <f>MIN(PVK60*$C$62,'Sources and Uses Budget'!$J$99-SUM('15 Year Pro Forma'!$E$62:PVJ62))</f>
        <v>0</v>
      </c>
      <c r="PVM62" s="962">
        <f>MIN(PVM60*$C$62,'Sources and Uses Budget'!$J$99-SUM('15 Year Pro Forma'!$E$62:PVL62))</f>
        <v>0</v>
      </c>
      <c r="PVO62" s="962">
        <f>MIN(PVO60*$C$62,'Sources and Uses Budget'!$J$99-SUM('15 Year Pro Forma'!$E$62:PVN62))</f>
        <v>0</v>
      </c>
      <c r="PVQ62" s="962">
        <f>MIN(PVQ60*$C$62,'Sources and Uses Budget'!$J$99-SUM('15 Year Pro Forma'!$E$62:PVP62))</f>
        <v>0</v>
      </c>
      <c r="PVS62" s="962">
        <f>MIN(PVS60*$C$62,'Sources and Uses Budget'!$J$99-SUM('15 Year Pro Forma'!$E$62:PVR62))</f>
        <v>0</v>
      </c>
      <c r="PVU62" s="962">
        <f>MIN(PVU60*$C$62,'Sources and Uses Budget'!$J$99-SUM('15 Year Pro Forma'!$E$62:PVT62))</f>
        <v>0</v>
      </c>
      <c r="PVW62" s="962">
        <f>MIN(PVW60*$C$62,'Sources and Uses Budget'!$J$99-SUM('15 Year Pro Forma'!$E$62:PVV62))</f>
        <v>0</v>
      </c>
      <c r="PVY62" s="962">
        <f>MIN(PVY60*$C$62,'Sources and Uses Budget'!$J$99-SUM('15 Year Pro Forma'!$E$62:PVX62))</f>
        <v>0</v>
      </c>
      <c r="PWA62" s="962">
        <f>MIN(PWA60*$C$62,'Sources and Uses Budget'!$J$99-SUM('15 Year Pro Forma'!$E$62:PVZ62))</f>
        <v>0</v>
      </c>
      <c r="PWC62" s="962">
        <f>MIN(PWC60*$C$62,'Sources and Uses Budget'!$J$99-SUM('15 Year Pro Forma'!$E$62:PWB62))</f>
        <v>0</v>
      </c>
      <c r="PWE62" s="962">
        <f>MIN(PWE60*$C$62,'Sources and Uses Budget'!$J$99-SUM('15 Year Pro Forma'!$E$62:PWD62))</f>
        <v>0</v>
      </c>
      <c r="PWG62" s="962">
        <f>MIN(PWG60*$C$62,'Sources and Uses Budget'!$J$99-SUM('15 Year Pro Forma'!$E$62:PWF62))</f>
        <v>0</v>
      </c>
      <c r="PWI62" s="962">
        <f>MIN(PWI60*$C$62,'Sources and Uses Budget'!$J$99-SUM('15 Year Pro Forma'!$E$62:PWH62))</f>
        <v>0</v>
      </c>
      <c r="PWK62" s="962">
        <f>MIN(PWK60*$C$62,'Sources and Uses Budget'!$J$99-SUM('15 Year Pro Forma'!$E$62:PWJ62))</f>
        <v>0</v>
      </c>
      <c r="PWM62" s="962">
        <f>MIN(PWM60*$C$62,'Sources and Uses Budget'!$J$99-SUM('15 Year Pro Forma'!$E$62:PWL62))</f>
        <v>0</v>
      </c>
      <c r="PWO62" s="962">
        <f>MIN(PWO60*$C$62,'Sources and Uses Budget'!$J$99-SUM('15 Year Pro Forma'!$E$62:PWN62))</f>
        <v>0</v>
      </c>
      <c r="PWQ62" s="962">
        <f>MIN(PWQ60*$C$62,'Sources and Uses Budget'!$J$99-SUM('15 Year Pro Forma'!$E$62:PWP62))</f>
        <v>0</v>
      </c>
      <c r="PWS62" s="962">
        <f>MIN(PWS60*$C$62,'Sources and Uses Budget'!$J$99-SUM('15 Year Pro Forma'!$E$62:PWR62))</f>
        <v>0</v>
      </c>
      <c r="PWU62" s="962">
        <f>MIN(PWU60*$C$62,'Sources and Uses Budget'!$J$99-SUM('15 Year Pro Forma'!$E$62:PWT62))</f>
        <v>0</v>
      </c>
      <c r="PWW62" s="962">
        <f>MIN(PWW60*$C$62,'Sources and Uses Budget'!$J$99-SUM('15 Year Pro Forma'!$E$62:PWV62))</f>
        <v>0</v>
      </c>
      <c r="PWY62" s="962">
        <f>MIN(PWY60*$C$62,'Sources and Uses Budget'!$J$99-SUM('15 Year Pro Forma'!$E$62:PWX62))</f>
        <v>0</v>
      </c>
      <c r="PXA62" s="962">
        <f>MIN(PXA60*$C$62,'Sources and Uses Budget'!$J$99-SUM('15 Year Pro Forma'!$E$62:PWZ62))</f>
        <v>0</v>
      </c>
      <c r="PXC62" s="962">
        <f>MIN(PXC60*$C$62,'Sources and Uses Budget'!$J$99-SUM('15 Year Pro Forma'!$E$62:PXB62))</f>
        <v>0</v>
      </c>
      <c r="PXE62" s="962">
        <f>MIN(PXE60*$C$62,'Sources and Uses Budget'!$J$99-SUM('15 Year Pro Forma'!$E$62:PXD62))</f>
        <v>0</v>
      </c>
      <c r="PXG62" s="962">
        <f>MIN(PXG60*$C$62,'Sources and Uses Budget'!$J$99-SUM('15 Year Pro Forma'!$E$62:PXF62))</f>
        <v>0</v>
      </c>
      <c r="PXI62" s="962">
        <f>MIN(PXI60*$C$62,'Sources and Uses Budget'!$J$99-SUM('15 Year Pro Forma'!$E$62:PXH62))</f>
        <v>0</v>
      </c>
      <c r="PXK62" s="962">
        <f>MIN(PXK60*$C$62,'Sources and Uses Budget'!$J$99-SUM('15 Year Pro Forma'!$E$62:PXJ62))</f>
        <v>0</v>
      </c>
      <c r="PXM62" s="962">
        <f>MIN(PXM60*$C$62,'Sources and Uses Budget'!$J$99-SUM('15 Year Pro Forma'!$E$62:PXL62))</f>
        <v>0</v>
      </c>
      <c r="PXO62" s="962">
        <f>MIN(PXO60*$C$62,'Sources and Uses Budget'!$J$99-SUM('15 Year Pro Forma'!$E$62:PXN62))</f>
        <v>0</v>
      </c>
      <c r="PXQ62" s="962">
        <f>MIN(PXQ60*$C$62,'Sources and Uses Budget'!$J$99-SUM('15 Year Pro Forma'!$E$62:PXP62))</f>
        <v>0</v>
      </c>
      <c r="PXS62" s="962">
        <f>MIN(PXS60*$C$62,'Sources and Uses Budget'!$J$99-SUM('15 Year Pro Forma'!$E$62:PXR62))</f>
        <v>0</v>
      </c>
      <c r="PXU62" s="962">
        <f>MIN(PXU60*$C$62,'Sources and Uses Budget'!$J$99-SUM('15 Year Pro Forma'!$E$62:PXT62))</f>
        <v>0</v>
      </c>
      <c r="PXW62" s="962">
        <f>MIN(PXW60*$C$62,'Sources and Uses Budget'!$J$99-SUM('15 Year Pro Forma'!$E$62:PXV62))</f>
        <v>0</v>
      </c>
      <c r="PXY62" s="962">
        <f>MIN(PXY60*$C$62,'Sources and Uses Budget'!$J$99-SUM('15 Year Pro Forma'!$E$62:PXX62))</f>
        <v>0</v>
      </c>
      <c r="PYA62" s="962">
        <f>MIN(PYA60*$C$62,'Sources and Uses Budget'!$J$99-SUM('15 Year Pro Forma'!$E$62:PXZ62))</f>
        <v>0</v>
      </c>
      <c r="PYC62" s="962">
        <f>MIN(PYC60*$C$62,'Sources and Uses Budget'!$J$99-SUM('15 Year Pro Forma'!$E$62:PYB62))</f>
        <v>0</v>
      </c>
      <c r="PYE62" s="962">
        <f>MIN(PYE60*$C$62,'Sources and Uses Budget'!$J$99-SUM('15 Year Pro Forma'!$E$62:PYD62))</f>
        <v>0</v>
      </c>
      <c r="PYG62" s="962">
        <f>MIN(PYG60*$C$62,'Sources and Uses Budget'!$J$99-SUM('15 Year Pro Forma'!$E$62:PYF62))</f>
        <v>0</v>
      </c>
      <c r="PYI62" s="962">
        <f>MIN(PYI60*$C$62,'Sources and Uses Budget'!$J$99-SUM('15 Year Pro Forma'!$E$62:PYH62))</f>
        <v>0</v>
      </c>
      <c r="PYK62" s="962">
        <f>MIN(PYK60*$C$62,'Sources and Uses Budget'!$J$99-SUM('15 Year Pro Forma'!$E$62:PYJ62))</f>
        <v>0</v>
      </c>
      <c r="PYM62" s="962">
        <f>MIN(PYM60*$C$62,'Sources and Uses Budget'!$J$99-SUM('15 Year Pro Forma'!$E$62:PYL62))</f>
        <v>0</v>
      </c>
      <c r="PYO62" s="962">
        <f>MIN(PYO60*$C$62,'Sources and Uses Budget'!$J$99-SUM('15 Year Pro Forma'!$E$62:PYN62))</f>
        <v>0</v>
      </c>
      <c r="PYQ62" s="962">
        <f>MIN(PYQ60*$C$62,'Sources and Uses Budget'!$J$99-SUM('15 Year Pro Forma'!$E$62:PYP62))</f>
        <v>0</v>
      </c>
      <c r="PYS62" s="962">
        <f>MIN(PYS60*$C$62,'Sources and Uses Budget'!$J$99-SUM('15 Year Pro Forma'!$E$62:PYR62))</f>
        <v>0</v>
      </c>
      <c r="PYU62" s="962">
        <f>MIN(PYU60*$C$62,'Sources and Uses Budget'!$J$99-SUM('15 Year Pro Forma'!$E$62:PYT62))</f>
        <v>0</v>
      </c>
      <c r="PYW62" s="962">
        <f>MIN(PYW60*$C$62,'Sources and Uses Budget'!$J$99-SUM('15 Year Pro Forma'!$E$62:PYV62))</f>
        <v>0</v>
      </c>
      <c r="PYY62" s="962">
        <f>MIN(PYY60*$C$62,'Sources and Uses Budget'!$J$99-SUM('15 Year Pro Forma'!$E$62:PYX62))</f>
        <v>0</v>
      </c>
      <c r="PZA62" s="962">
        <f>MIN(PZA60*$C$62,'Sources and Uses Budget'!$J$99-SUM('15 Year Pro Forma'!$E$62:PYZ62))</f>
        <v>0</v>
      </c>
      <c r="PZC62" s="962">
        <f>MIN(PZC60*$C$62,'Sources and Uses Budget'!$J$99-SUM('15 Year Pro Forma'!$E$62:PZB62))</f>
        <v>0</v>
      </c>
      <c r="PZE62" s="962">
        <f>MIN(PZE60*$C$62,'Sources and Uses Budget'!$J$99-SUM('15 Year Pro Forma'!$E$62:PZD62))</f>
        <v>0</v>
      </c>
      <c r="PZG62" s="962">
        <f>MIN(PZG60*$C$62,'Sources and Uses Budget'!$J$99-SUM('15 Year Pro Forma'!$E$62:PZF62))</f>
        <v>0</v>
      </c>
      <c r="PZI62" s="962">
        <f>MIN(PZI60*$C$62,'Sources and Uses Budget'!$J$99-SUM('15 Year Pro Forma'!$E$62:PZH62))</f>
        <v>0</v>
      </c>
      <c r="PZK62" s="962">
        <f>MIN(PZK60*$C$62,'Sources and Uses Budget'!$J$99-SUM('15 Year Pro Forma'!$E$62:PZJ62))</f>
        <v>0</v>
      </c>
      <c r="PZM62" s="962">
        <f>MIN(PZM60*$C$62,'Sources and Uses Budget'!$J$99-SUM('15 Year Pro Forma'!$E$62:PZL62))</f>
        <v>0</v>
      </c>
      <c r="PZO62" s="962">
        <f>MIN(PZO60*$C$62,'Sources and Uses Budget'!$J$99-SUM('15 Year Pro Forma'!$E$62:PZN62))</f>
        <v>0</v>
      </c>
      <c r="PZQ62" s="962">
        <f>MIN(PZQ60*$C$62,'Sources and Uses Budget'!$J$99-SUM('15 Year Pro Forma'!$E$62:PZP62))</f>
        <v>0</v>
      </c>
      <c r="PZS62" s="962">
        <f>MIN(PZS60*$C$62,'Sources and Uses Budget'!$J$99-SUM('15 Year Pro Forma'!$E$62:PZR62))</f>
        <v>0</v>
      </c>
      <c r="PZU62" s="962">
        <f>MIN(PZU60*$C$62,'Sources and Uses Budget'!$J$99-SUM('15 Year Pro Forma'!$E$62:PZT62))</f>
        <v>0</v>
      </c>
      <c r="PZW62" s="962">
        <f>MIN(PZW60*$C$62,'Sources and Uses Budget'!$J$99-SUM('15 Year Pro Forma'!$E$62:PZV62))</f>
        <v>0</v>
      </c>
      <c r="PZY62" s="962">
        <f>MIN(PZY60*$C$62,'Sources and Uses Budget'!$J$99-SUM('15 Year Pro Forma'!$E$62:PZX62))</f>
        <v>0</v>
      </c>
      <c r="QAA62" s="962">
        <f>MIN(QAA60*$C$62,'Sources and Uses Budget'!$J$99-SUM('15 Year Pro Forma'!$E$62:PZZ62))</f>
        <v>0</v>
      </c>
      <c r="QAC62" s="962">
        <f>MIN(QAC60*$C$62,'Sources and Uses Budget'!$J$99-SUM('15 Year Pro Forma'!$E$62:QAB62))</f>
        <v>0</v>
      </c>
      <c r="QAE62" s="962">
        <f>MIN(QAE60*$C$62,'Sources and Uses Budget'!$J$99-SUM('15 Year Pro Forma'!$E$62:QAD62))</f>
        <v>0</v>
      </c>
      <c r="QAG62" s="962">
        <f>MIN(QAG60*$C$62,'Sources and Uses Budget'!$J$99-SUM('15 Year Pro Forma'!$E$62:QAF62))</f>
        <v>0</v>
      </c>
      <c r="QAI62" s="962">
        <f>MIN(QAI60*$C$62,'Sources and Uses Budget'!$J$99-SUM('15 Year Pro Forma'!$E$62:QAH62))</f>
        <v>0</v>
      </c>
      <c r="QAK62" s="962">
        <f>MIN(QAK60*$C$62,'Sources and Uses Budget'!$J$99-SUM('15 Year Pro Forma'!$E$62:QAJ62))</f>
        <v>0</v>
      </c>
      <c r="QAM62" s="962">
        <f>MIN(QAM60*$C$62,'Sources and Uses Budget'!$J$99-SUM('15 Year Pro Forma'!$E$62:QAL62))</f>
        <v>0</v>
      </c>
      <c r="QAO62" s="962">
        <f>MIN(QAO60*$C$62,'Sources and Uses Budget'!$J$99-SUM('15 Year Pro Forma'!$E$62:QAN62))</f>
        <v>0</v>
      </c>
      <c r="QAQ62" s="962">
        <f>MIN(QAQ60*$C$62,'Sources and Uses Budget'!$J$99-SUM('15 Year Pro Forma'!$E$62:QAP62))</f>
        <v>0</v>
      </c>
      <c r="QAS62" s="962">
        <f>MIN(QAS60*$C$62,'Sources and Uses Budget'!$J$99-SUM('15 Year Pro Forma'!$E$62:QAR62))</f>
        <v>0</v>
      </c>
      <c r="QAU62" s="962">
        <f>MIN(QAU60*$C$62,'Sources and Uses Budget'!$J$99-SUM('15 Year Pro Forma'!$E$62:QAT62))</f>
        <v>0</v>
      </c>
      <c r="QAW62" s="962">
        <f>MIN(QAW60*$C$62,'Sources and Uses Budget'!$J$99-SUM('15 Year Pro Forma'!$E$62:QAV62))</f>
        <v>0</v>
      </c>
      <c r="QAY62" s="962">
        <f>MIN(QAY60*$C$62,'Sources and Uses Budget'!$J$99-SUM('15 Year Pro Forma'!$E$62:QAX62))</f>
        <v>0</v>
      </c>
      <c r="QBA62" s="962">
        <f>MIN(QBA60*$C$62,'Sources and Uses Budget'!$J$99-SUM('15 Year Pro Forma'!$E$62:QAZ62))</f>
        <v>0</v>
      </c>
      <c r="QBC62" s="962">
        <f>MIN(QBC60*$C$62,'Sources and Uses Budget'!$J$99-SUM('15 Year Pro Forma'!$E$62:QBB62))</f>
        <v>0</v>
      </c>
      <c r="QBE62" s="962">
        <f>MIN(QBE60*$C$62,'Sources and Uses Budget'!$J$99-SUM('15 Year Pro Forma'!$E$62:QBD62))</f>
        <v>0</v>
      </c>
      <c r="QBG62" s="962">
        <f>MIN(QBG60*$C$62,'Sources and Uses Budget'!$J$99-SUM('15 Year Pro Forma'!$E$62:QBF62))</f>
        <v>0</v>
      </c>
      <c r="QBI62" s="962">
        <f>MIN(QBI60*$C$62,'Sources and Uses Budget'!$J$99-SUM('15 Year Pro Forma'!$E$62:QBH62))</f>
        <v>0</v>
      </c>
      <c r="QBK62" s="962">
        <f>MIN(QBK60*$C$62,'Sources and Uses Budget'!$J$99-SUM('15 Year Pro Forma'!$E$62:QBJ62))</f>
        <v>0</v>
      </c>
      <c r="QBM62" s="962">
        <f>MIN(QBM60*$C$62,'Sources and Uses Budget'!$J$99-SUM('15 Year Pro Forma'!$E$62:QBL62))</f>
        <v>0</v>
      </c>
      <c r="QBO62" s="962">
        <f>MIN(QBO60*$C$62,'Sources and Uses Budget'!$J$99-SUM('15 Year Pro Forma'!$E$62:QBN62))</f>
        <v>0</v>
      </c>
      <c r="QBQ62" s="962">
        <f>MIN(QBQ60*$C$62,'Sources and Uses Budget'!$J$99-SUM('15 Year Pro Forma'!$E$62:QBP62))</f>
        <v>0</v>
      </c>
      <c r="QBS62" s="962">
        <f>MIN(QBS60*$C$62,'Sources and Uses Budget'!$J$99-SUM('15 Year Pro Forma'!$E$62:QBR62))</f>
        <v>0</v>
      </c>
      <c r="QBU62" s="962">
        <f>MIN(QBU60*$C$62,'Sources and Uses Budget'!$J$99-SUM('15 Year Pro Forma'!$E$62:QBT62))</f>
        <v>0</v>
      </c>
      <c r="QBW62" s="962">
        <f>MIN(QBW60*$C$62,'Sources and Uses Budget'!$J$99-SUM('15 Year Pro Forma'!$E$62:QBV62))</f>
        <v>0</v>
      </c>
      <c r="QBY62" s="962">
        <f>MIN(QBY60*$C$62,'Sources and Uses Budget'!$J$99-SUM('15 Year Pro Forma'!$E$62:QBX62))</f>
        <v>0</v>
      </c>
      <c r="QCA62" s="962">
        <f>MIN(QCA60*$C$62,'Sources and Uses Budget'!$J$99-SUM('15 Year Pro Forma'!$E$62:QBZ62))</f>
        <v>0</v>
      </c>
      <c r="QCC62" s="962">
        <f>MIN(QCC60*$C$62,'Sources and Uses Budget'!$J$99-SUM('15 Year Pro Forma'!$E$62:QCB62))</f>
        <v>0</v>
      </c>
      <c r="QCE62" s="962">
        <f>MIN(QCE60*$C$62,'Sources and Uses Budget'!$J$99-SUM('15 Year Pro Forma'!$E$62:QCD62))</f>
        <v>0</v>
      </c>
      <c r="QCG62" s="962">
        <f>MIN(QCG60*$C$62,'Sources and Uses Budget'!$J$99-SUM('15 Year Pro Forma'!$E$62:QCF62))</f>
        <v>0</v>
      </c>
      <c r="QCI62" s="962">
        <f>MIN(QCI60*$C$62,'Sources and Uses Budget'!$J$99-SUM('15 Year Pro Forma'!$E$62:QCH62))</f>
        <v>0</v>
      </c>
      <c r="QCK62" s="962">
        <f>MIN(QCK60*$C$62,'Sources and Uses Budget'!$J$99-SUM('15 Year Pro Forma'!$E$62:QCJ62))</f>
        <v>0</v>
      </c>
      <c r="QCM62" s="962">
        <f>MIN(QCM60*$C$62,'Sources and Uses Budget'!$J$99-SUM('15 Year Pro Forma'!$E$62:QCL62))</f>
        <v>0</v>
      </c>
      <c r="QCO62" s="962">
        <f>MIN(QCO60*$C$62,'Sources and Uses Budget'!$J$99-SUM('15 Year Pro Forma'!$E$62:QCN62))</f>
        <v>0</v>
      </c>
      <c r="QCQ62" s="962">
        <f>MIN(QCQ60*$C$62,'Sources and Uses Budget'!$J$99-SUM('15 Year Pro Forma'!$E$62:QCP62))</f>
        <v>0</v>
      </c>
      <c r="QCS62" s="962">
        <f>MIN(QCS60*$C$62,'Sources and Uses Budget'!$J$99-SUM('15 Year Pro Forma'!$E$62:QCR62))</f>
        <v>0</v>
      </c>
      <c r="QCU62" s="962">
        <f>MIN(QCU60*$C$62,'Sources and Uses Budget'!$J$99-SUM('15 Year Pro Forma'!$E$62:QCT62))</f>
        <v>0</v>
      </c>
      <c r="QCW62" s="962">
        <f>MIN(QCW60*$C$62,'Sources and Uses Budget'!$J$99-SUM('15 Year Pro Forma'!$E$62:QCV62))</f>
        <v>0</v>
      </c>
      <c r="QCY62" s="962">
        <f>MIN(QCY60*$C$62,'Sources and Uses Budget'!$J$99-SUM('15 Year Pro Forma'!$E$62:QCX62))</f>
        <v>0</v>
      </c>
      <c r="QDA62" s="962">
        <f>MIN(QDA60*$C$62,'Sources and Uses Budget'!$J$99-SUM('15 Year Pro Forma'!$E$62:QCZ62))</f>
        <v>0</v>
      </c>
      <c r="QDC62" s="962">
        <f>MIN(QDC60*$C$62,'Sources and Uses Budget'!$J$99-SUM('15 Year Pro Forma'!$E$62:QDB62))</f>
        <v>0</v>
      </c>
      <c r="QDE62" s="962">
        <f>MIN(QDE60*$C$62,'Sources and Uses Budget'!$J$99-SUM('15 Year Pro Forma'!$E$62:QDD62))</f>
        <v>0</v>
      </c>
      <c r="QDG62" s="962">
        <f>MIN(QDG60*$C$62,'Sources and Uses Budget'!$J$99-SUM('15 Year Pro Forma'!$E$62:QDF62))</f>
        <v>0</v>
      </c>
      <c r="QDI62" s="962">
        <f>MIN(QDI60*$C$62,'Sources and Uses Budget'!$J$99-SUM('15 Year Pro Forma'!$E$62:QDH62))</f>
        <v>0</v>
      </c>
      <c r="QDK62" s="962">
        <f>MIN(QDK60*$C$62,'Sources and Uses Budget'!$J$99-SUM('15 Year Pro Forma'!$E$62:QDJ62))</f>
        <v>0</v>
      </c>
      <c r="QDM62" s="962">
        <f>MIN(QDM60*$C$62,'Sources and Uses Budget'!$J$99-SUM('15 Year Pro Forma'!$E$62:QDL62))</f>
        <v>0</v>
      </c>
      <c r="QDO62" s="962">
        <f>MIN(QDO60*$C$62,'Sources and Uses Budget'!$J$99-SUM('15 Year Pro Forma'!$E$62:QDN62))</f>
        <v>0</v>
      </c>
      <c r="QDQ62" s="962">
        <f>MIN(QDQ60*$C$62,'Sources and Uses Budget'!$J$99-SUM('15 Year Pro Forma'!$E$62:QDP62))</f>
        <v>0</v>
      </c>
      <c r="QDS62" s="962">
        <f>MIN(QDS60*$C$62,'Sources and Uses Budget'!$J$99-SUM('15 Year Pro Forma'!$E$62:QDR62))</f>
        <v>0</v>
      </c>
      <c r="QDU62" s="962">
        <f>MIN(QDU60*$C$62,'Sources and Uses Budget'!$J$99-SUM('15 Year Pro Forma'!$E$62:QDT62))</f>
        <v>0</v>
      </c>
      <c r="QDW62" s="962">
        <f>MIN(QDW60*$C$62,'Sources and Uses Budget'!$J$99-SUM('15 Year Pro Forma'!$E$62:QDV62))</f>
        <v>0</v>
      </c>
      <c r="QDY62" s="962">
        <f>MIN(QDY60*$C$62,'Sources and Uses Budget'!$J$99-SUM('15 Year Pro Forma'!$E$62:QDX62))</f>
        <v>0</v>
      </c>
      <c r="QEA62" s="962">
        <f>MIN(QEA60*$C$62,'Sources and Uses Budget'!$J$99-SUM('15 Year Pro Forma'!$E$62:QDZ62))</f>
        <v>0</v>
      </c>
      <c r="QEC62" s="962">
        <f>MIN(QEC60*$C$62,'Sources and Uses Budget'!$J$99-SUM('15 Year Pro Forma'!$E$62:QEB62))</f>
        <v>0</v>
      </c>
      <c r="QEE62" s="962">
        <f>MIN(QEE60*$C$62,'Sources and Uses Budget'!$J$99-SUM('15 Year Pro Forma'!$E$62:QED62))</f>
        <v>0</v>
      </c>
      <c r="QEG62" s="962">
        <f>MIN(QEG60*$C$62,'Sources and Uses Budget'!$J$99-SUM('15 Year Pro Forma'!$E$62:QEF62))</f>
        <v>0</v>
      </c>
      <c r="QEI62" s="962">
        <f>MIN(QEI60*$C$62,'Sources and Uses Budget'!$J$99-SUM('15 Year Pro Forma'!$E$62:QEH62))</f>
        <v>0</v>
      </c>
      <c r="QEK62" s="962">
        <f>MIN(QEK60*$C$62,'Sources and Uses Budget'!$J$99-SUM('15 Year Pro Forma'!$E$62:QEJ62))</f>
        <v>0</v>
      </c>
      <c r="QEM62" s="962">
        <f>MIN(QEM60*$C$62,'Sources and Uses Budget'!$J$99-SUM('15 Year Pro Forma'!$E$62:QEL62))</f>
        <v>0</v>
      </c>
      <c r="QEO62" s="962">
        <f>MIN(QEO60*$C$62,'Sources and Uses Budget'!$J$99-SUM('15 Year Pro Forma'!$E$62:QEN62))</f>
        <v>0</v>
      </c>
      <c r="QEQ62" s="962">
        <f>MIN(QEQ60*$C$62,'Sources and Uses Budget'!$J$99-SUM('15 Year Pro Forma'!$E$62:QEP62))</f>
        <v>0</v>
      </c>
      <c r="QES62" s="962">
        <f>MIN(QES60*$C$62,'Sources and Uses Budget'!$J$99-SUM('15 Year Pro Forma'!$E$62:QER62))</f>
        <v>0</v>
      </c>
      <c r="QEU62" s="962">
        <f>MIN(QEU60*$C$62,'Sources and Uses Budget'!$J$99-SUM('15 Year Pro Forma'!$E$62:QET62))</f>
        <v>0</v>
      </c>
      <c r="QEW62" s="962">
        <f>MIN(QEW60*$C$62,'Sources and Uses Budget'!$J$99-SUM('15 Year Pro Forma'!$E$62:QEV62))</f>
        <v>0</v>
      </c>
      <c r="QEY62" s="962">
        <f>MIN(QEY60*$C$62,'Sources and Uses Budget'!$J$99-SUM('15 Year Pro Forma'!$E$62:QEX62))</f>
        <v>0</v>
      </c>
      <c r="QFA62" s="962">
        <f>MIN(QFA60*$C$62,'Sources and Uses Budget'!$J$99-SUM('15 Year Pro Forma'!$E$62:QEZ62))</f>
        <v>0</v>
      </c>
      <c r="QFC62" s="962">
        <f>MIN(QFC60*$C$62,'Sources and Uses Budget'!$J$99-SUM('15 Year Pro Forma'!$E$62:QFB62))</f>
        <v>0</v>
      </c>
      <c r="QFE62" s="962">
        <f>MIN(QFE60*$C$62,'Sources and Uses Budget'!$J$99-SUM('15 Year Pro Forma'!$E$62:QFD62))</f>
        <v>0</v>
      </c>
      <c r="QFG62" s="962">
        <f>MIN(QFG60*$C$62,'Sources and Uses Budget'!$J$99-SUM('15 Year Pro Forma'!$E$62:QFF62))</f>
        <v>0</v>
      </c>
      <c r="QFI62" s="962">
        <f>MIN(QFI60*$C$62,'Sources and Uses Budget'!$J$99-SUM('15 Year Pro Forma'!$E$62:QFH62))</f>
        <v>0</v>
      </c>
      <c r="QFK62" s="962">
        <f>MIN(QFK60*$C$62,'Sources and Uses Budget'!$J$99-SUM('15 Year Pro Forma'!$E$62:QFJ62))</f>
        <v>0</v>
      </c>
      <c r="QFM62" s="962">
        <f>MIN(QFM60*$C$62,'Sources and Uses Budget'!$J$99-SUM('15 Year Pro Forma'!$E$62:QFL62))</f>
        <v>0</v>
      </c>
      <c r="QFO62" s="962">
        <f>MIN(QFO60*$C$62,'Sources and Uses Budget'!$J$99-SUM('15 Year Pro Forma'!$E$62:QFN62))</f>
        <v>0</v>
      </c>
      <c r="QFQ62" s="962">
        <f>MIN(QFQ60*$C$62,'Sources and Uses Budget'!$J$99-SUM('15 Year Pro Forma'!$E$62:QFP62))</f>
        <v>0</v>
      </c>
      <c r="QFS62" s="962">
        <f>MIN(QFS60*$C$62,'Sources and Uses Budget'!$J$99-SUM('15 Year Pro Forma'!$E$62:QFR62))</f>
        <v>0</v>
      </c>
      <c r="QFU62" s="962">
        <f>MIN(QFU60*$C$62,'Sources and Uses Budget'!$J$99-SUM('15 Year Pro Forma'!$E$62:QFT62))</f>
        <v>0</v>
      </c>
      <c r="QFW62" s="962">
        <f>MIN(QFW60*$C$62,'Sources and Uses Budget'!$J$99-SUM('15 Year Pro Forma'!$E$62:QFV62))</f>
        <v>0</v>
      </c>
      <c r="QFY62" s="962">
        <f>MIN(QFY60*$C$62,'Sources and Uses Budget'!$J$99-SUM('15 Year Pro Forma'!$E$62:QFX62))</f>
        <v>0</v>
      </c>
      <c r="QGA62" s="962">
        <f>MIN(QGA60*$C$62,'Sources and Uses Budget'!$J$99-SUM('15 Year Pro Forma'!$E$62:QFZ62))</f>
        <v>0</v>
      </c>
      <c r="QGC62" s="962">
        <f>MIN(QGC60*$C$62,'Sources and Uses Budget'!$J$99-SUM('15 Year Pro Forma'!$E$62:QGB62))</f>
        <v>0</v>
      </c>
      <c r="QGE62" s="962">
        <f>MIN(QGE60*$C$62,'Sources and Uses Budget'!$J$99-SUM('15 Year Pro Forma'!$E$62:QGD62))</f>
        <v>0</v>
      </c>
      <c r="QGG62" s="962">
        <f>MIN(QGG60*$C$62,'Sources and Uses Budget'!$J$99-SUM('15 Year Pro Forma'!$E$62:QGF62))</f>
        <v>0</v>
      </c>
      <c r="QGI62" s="962">
        <f>MIN(QGI60*$C$62,'Sources and Uses Budget'!$J$99-SUM('15 Year Pro Forma'!$E$62:QGH62))</f>
        <v>0</v>
      </c>
      <c r="QGK62" s="962">
        <f>MIN(QGK60*$C$62,'Sources and Uses Budget'!$J$99-SUM('15 Year Pro Forma'!$E$62:QGJ62))</f>
        <v>0</v>
      </c>
      <c r="QGM62" s="962">
        <f>MIN(QGM60*$C$62,'Sources and Uses Budget'!$J$99-SUM('15 Year Pro Forma'!$E$62:QGL62))</f>
        <v>0</v>
      </c>
      <c r="QGO62" s="962">
        <f>MIN(QGO60*$C$62,'Sources and Uses Budget'!$J$99-SUM('15 Year Pro Forma'!$E$62:QGN62))</f>
        <v>0</v>
      </c>
      <c r="QGQ62" s="962">
        <f>MIN(QGQ60*$C$62,'Sources and Uses Budget'!$J$99-SUM('15 Year Pro Forma'!$E$62:QGP62))</f>
        <v>0</v>
      </c>
      <c r="QGS62" s="962">
        <f>MIN(QGS60*$C$62,'Sources and Uses Budget'!$J$99-SUM('15 Year Pro Forma'!$E$62:QGR62))</f>
        <v>0</v>
      </c>
      <c r="QGU62" s="962">
        <f>MIN(QGU60*$C$62,'Sources and Uses Budget'!$J$99-SUM('15 Year Pro Forma'!$E$62:QGT62))</f>
        <v>0</v>
      </c>
      <c r="QGW62" s="962">
        <f>MIN(QGW60*$C$62,'Sources and Uses Budget'!$J$99-SUM('15 Year Pro Forma'!$E$62:QGV62))</f>
        <v>0</v>
      </c>
      <c r="QGY62" s="962">
        <f>MIN(QGY60*$C$62,'Sources and Uses Budget'!$J$99-SUM('15 Year Pro Forma'!$E$62:QGX62))</f>
        <v>0</v>
      </c>
      <c r="QHA62" s="962">
        <f>MIN(QHA60*$C$62,'Sources and Uses Budget'!$J$99-SUM('15 Year Pro Forma'!$E$62:QGZ62))</f>
        <v>0</v>
      </c>
      <c r="QHC62" s="962">
        <f>MIN(QHC60*$C$62,'Sources and Uses Budget'!$J$99-SUM('15 Year Pro Forma'!$E$62:QHB62))</f>
        <v>0</v>
      </c>
      <c r="QHE62" s="962">
        <f>MIN(QHE60*$C$62,'Sources and Uses Budget'!$J$99-SUM('15 Year Pro Forma'!$E$62:QHD62))</f>
        <v>0</v>
      </c>
      <c r="QHG62" s="962">
        <f>MIN(QHG60*$C$62,'Sources and Uses Budget'!$J$99-SUM('15 Year Pro Forma'!$E$62:QHF62))</f>
        <v>0</v>
      </c>
      <c r="QHI62" s="962">
        <f>MIN(QHI60*$C$62,'Sources and Uses Budget'!$J$99-SUM('15 Year Pro Forma'!$E$62:QHH62))</f>
        <v>0</v>
      </c>
      <c r="QHK62" s="962">
        <f>MIN(QHK60*$C$62,'Sources and Uses Budget'!$J$99-SUM('15 Year Pro Forma'!$E$62:QHJ62))</f>
        <v>0</v>
      </c>
      <c r="QHM62" s="962">
        <f>MIN(QHM60*$C$62,'Sources and Uses Budget'!$J$99-SUM('15 Year Pro Forma'!$E$62:QHL62))</f>
        <v>0</v>
      </c>
      <c r="QHO62" s="962">
        <f>MIN(QHO60*$C$62,'Sources and Uses Budget'!$J$99-SUM('15 Year Pro Forma'!$E$62:QHN62))</f>
        <v>0</v>
      </c>
      <c r="QHQ62" s="962">
        <f>MIN(QHQ60*$C$62,'Sources and Uses Budget'!$J$99-SUM('15 Year Pro Forma'!$E$62:QHP62))</f>
        <v>0</v>
      </c>
      <c r="QHS62" s="962">
        <f>MIN(QHS60*$C$62,'Sources and Uses Budget'!$J$99-SUM('15 Year Pro Forma'!$E$62:QHR62))</f>
        <v>0</v>
      </c>
      <c r="QHU62" s="962">
        <f>MIN(QHU60*$C$62,'Sources and Uses Budget'!$J$99-SUM('15 Year Pro Forma'!$E$62:QHT62))</f>
        <v>0</v>
      </c>
      <c r="QHW62" s="962">
        <f>MIN(QHW60*$C$62,'Sources and Uses Budget'!$J$99-SUM('15 Year Pro Forma'!$E$62:QHV62))</f>
        <v>0</v>
      </c>
      <c r="QHY62" s="962">
        <f>MIN(QHY60*$C$62,'Sources and Uses Budget'!$J$99-SUM('15 Year Pro Forma'!$E$62:QHX62))</f>
        <v>0</v>
      </c>
      <c r="QIA62" s="962">
        <f>MIN(QIA60*$C$62,'Sources and Uses Budget'!$J$99-SUM('15 Year Pro Forma'!$E$62:QHZ62))</f>
        <v>0</v>
      </c>
      <c r="QIC62" s="962">
        <f>MIN(QIC60*$C$62,'Sources and Uses Budget'!$J$99-SUM('15 Year Pro Forma'!$E$62:QIB62))</f>
        <v>0</v>
      </c>
      <c r="QIE62" s="962">
        <f>MIN(QIE60*$C$62,'Sources and Uses Budget'!$J$99-SUM('15 Year Pro Forma'!$E$62:QID62))</f>
        <v>0</v>
      </c>
      <c r="QIG62" s="962">
        <f>MIN(QIG60*$C$62,'Sources and Uses Budget'!$J$99-SUM('15 Year Pro Forma'!$E$62:QIF62))</f>
        <v>0</v>
      </c>
      <c r="QII62" s="962">
        <f>MIN(QII60*$C$62,'Sources and Uses Budget'!$J$99-SUM('15 Year Pro Forma'!$E$62:QIH62))</f>
        <v>0</v>
      </c>
      <c r="QIK62" s="962">
        <f>MIN(QIK60*$C$62,'Sources and Uses Budget'!$J$99-SUM('15 Year Pro Forma'!$E$62:QIJ62))</f>
        <v>0</v>
      </c>
      <c r="QIM62" s="962">
        <f>MIN(QIM60*$C$62,'Sources and Uses Budget'!$J$99-SUM('15 Year Pro Forma'!$E$62:QIL62))</f>
        <v>0</v>
      </c>
      <c r="QIO62" s="962">
        <f>MIN(QIO60*$C$62,'Sources and Uses Budget'!$J$99-SUM('15 Year Pro Forma'!$E$62:QIN62))</f>
        <v>0</v>
      </c>
      <c r="QIQ62" s="962">
        <f>MIN(QIQ60*$C$62,'Sources and Uses Budget'!$J$99-SUM('15 Year Pro Forma'!$E$62:QIP62))</f>
        <v>0</v>
      </c>
      <c r="QIS62" s="962">
        <f>MIN(QIS60*$C$62,'Sources and Uses Budget'!$J$99-SUM('15 Year Pro Forma'!$E$62:QIR62))</f>
        <v>0</v>
      </c>
      <c r="QIU62" s="962">
        <f>MIN(QIU60*$C$62,'Sources and Uses Budget'!$J$99-SUM('15 Year Pro Forma'!$E$62:QIT62))</f>
        <v>0</v>
      </c>
      <c r="QIW62" s="962">
        <f>MIN(QIW60*$C$62,'Sources and Uses Budget'!$J$99-SUM('15 Year Pro Forma'!$E$62:QIV62))</f>
        <v>0</v>
      </c>
      <c r="QIY62" s="962">
        <f>MIN(QIY60*$C$62,'Sources and Uses Budget'!$J$99-SUM('15 Year Pro Forma'!$E$62:QIX62))</f>
        <v>0</v>
      </c>
      <c r="QJA62" s="962">
        <f>MIN(QJA60*$C$62,'Sources and Uses Budget'!$J$99-SUM('15 Year Pro Forma'!$E$62:QIZ62))</f>
        <v>0</v>
      </c>
      <c r="QJC62" s="962">
        <f>MIN(QJC60*$C$62,'Sources and Uses Budget'!$J$99-SUM('15 Year Pro Forma'!$E$62:QJB62))</f>
        <v>0</v>
      </c>
      <c r="QJE62" s="962">
        <f>MIN(QJE60*$C$62,'Sources and Uses Budget'!$J$99-SUM('15 Year Pro Forma'!$E$62:QJD62))</f>
        <v>0</v>
      </c>
      <c r="QJG62" s="962">
        <f>MIN(QJG60*$C$62,'Sources and Uses Budget'!$J$99-SUM('15 Year Pro Forma'!$E$62:QJF62))</f>
        <v>0</v>
      </c>
      <c r="QJI62" s="962">
        <f>MIN(QJI60*$C$62,'Sources and Uses Budget'!$J$99-SUM('15 Year Pro Forma'!$E$62:QJH62))</f>
        <v>0</v>
      </c>
      <c r="QJK62" s="962">
        <f>MIN(QJK60*$C$62,'Sources and Uses Budget'!$J$99-SUM('15 Year Pro Forma'!$E$62:QJJ62))</f>
        <v>0</v>
      </c>
      <c r="QJM62" s="962">
        <f>MIN(QJM60*$C$62,'Sources and Uses Budget'!$J$99-SUM('15 Year Pro Forma'!$E$62:QJL62))</f>
        <v>0</v>
      </c>
      <c r="QJO62" s="962">
        <f>MIN(QJO60*$C$62,'Sources and Uses Budget'!$J$99-SUM('15 Year Pro Forma'!$E$62:QJN62))</f>
        <v>0</v>
      </c>
      <c r="QJQ62" s="962">
        <f>MIN(QJQ60*$C$62,'Sources and Uses Budget'!$J$99-SUM('15 Year Pro Forma'!$E$62:QJP62))</f>
        <v>0</v>
      </c>
      <c r="QJS62" s="962">
        <f>MIN(QJS60*$C$62,'Sources and Uses Budget'!$J$99-SUM('15 Year Pro Forma'!$E$62:QJR62))</f>
        <v>0</v>
      </c>
      <c r="QJU62" s="962">
        <f>MIN(QJU60*$C$62,'Sources and Uses Budget'!$J$99-SUM('15 Year Pro Forma'!$E$62:QJT62))</f>
        <v>0</v>
      </c>
      <c r="QJW62" s="962">
        <f>MIN(QJW60*$C$62,'Sources and Uses Budget'!$J$99-SUM('15 Year Pro Forma'!$E$62:QJV62))</f>
        <v>0</v>
      </c>
      <c r="QJY62" s="962">
        <f>MIN(QJY60*$C$62,'Sources and Uses Budget'!$J$99-SUM('15 Year Pro Forma'!$E$62:QJX62))</f>
        <v>0</v>
      </c>
      <c r="QKA62" s="962">
        <f>MIN(QKA60*$C$62,'Sources and Uses Budget'!$J$99-SUM('15 Year Pro Forma'!$E$62:QJZ62))</f>
        <v>0</v>
      </c>
      <c r="QKC62" s="962">
        <f>MIN(QKC60*$C$62,'Sources and Uses Budget'!$J$99-SUM('15 Year Pro Forma'!$E$62:QKB62))</f>
        <v>0</v>
      </c>
      <c r="QKE62" s="962">
        <f>MIN(QKE60*$C$62,'Sources and Uses Budget'!$J$99-SUM('15 Year Pro Forma'!$E$62:QKD62))</f>
        <v>0</v>
      </c>
      <c r="QKG62" s="962">
        <f>MIN(QKG60*$C$62,'Sources and Uses Budget'!$J$99-SUM('15 Year Pro Forma'!$E$62:QKF62))</f>
        <v>0</v>
      </c>
      <c r="QKI62" s="962">
        <f>MIN(QKI60*$C$62,'Sources and Uses Budget'!$J$99-SUM('15 Year Pro Forma'!$E$62:QKH62))</f>
        <v>0</v>
      </c>
      <c r="QKK62" s="962">
        <f>MIN(QKK60*$C$62,'Sources and Uses Budget'!$J$99-SUM('15 Year Pro Forma'!$E$62:QKJ62))</f>
        <v>0</v>
      </c>
      <c r="QKM62" s="962">
        <f>MIN(QKM60*$C$62,'Sources and Uses Budget'!$J$99-SUM('15 Year Pro Forma'!$E$62:QKL62))</f>
        <v>0</v>
      </c>
      <c r="QKO62" s="962">
        <f>MIN(QKO60*$C$62,'Sources and Uses Budget'!$J$99-SUM('15 Year Pro Forma'!$E$62:QKN62))</f>
        <v>0</v>
      </c>
      <c r="QKQ62" s="962">
        <f>MIN(QKQ60*$C$62,'Sources and Uses Budget'!$J$99-SUM('15 Year Pro Forma'!$E$62:QKP62))</f>
        <v>0</v>
      </c>
      <c r="QKS62" s="962">
        <f>MIN(QKS60*$C$62,'Sources and Uses Budget'!$J$99-SUM('15 Year Pro Forma'!$E$62:QKR62))</f>
        <v>0</v>
      </c>
      <c r="QKU62" s="962">
        <f>MIN(QKU60*$C$62,'Sources and Uses Budget'!$J$99-SUM('15 Year Pro Forma'!$E$62:QKT62))</f>
        <v>0</v>
      </c>
      <c r="QKW62" s="962">
        <f>MIN(QKW60*$C$62,'Sources and Uses Budget'!$J$99-SUM('15 Year Pro Forma'!$E$62:QKV62))</f>
        <v>0</v>
      </c>
      <c r="QKY62" s="962">
        <f>MIN(QKY60*$C$62,'Sources and Uses Budget'!$J$99-SUM('15 Year Pro Forma'!$E$62:QKX62))</f>
        <v>0</v>
      </c>
      <c r="QLA62" s="962">
        <f>MIN(QLA60*$C$62,'Sources and Uses Budget'!$J$99-SUM('15 Year Pro Forma'!$E$62:QKZ62))</f>
        <v>0</v>
      </c>
      <c r="QLC62" s="962">
        <f>MIN(QLC60*$C$62,'Sources and Uses Budget'!$J$99-SUM('15 Year Pro Forma'!$E$62:QLB62))</f>
        <v>0</v>
      </c>
      <c r="QLE62" s="962">
        <f>MIN(QLE60*$C$62,'Sources and Uses Budget'!$J$99-SUM('15 Year Pro Forma'!$E$62:QLD62))</f>
        <v>0</v>
      </c>
      <c r="QLG62" s="962">
        <f>MIN(QLG60*$C$62,'Sources and Uses Budget'!$J$99-SUM('15 Year Pro Forma'!$E$62:QLF62))</f>
        <v>0</v>
      </c>
      <c r="QLI62" s="962">
        <f>MIN(QLI60*$C$62,'Sources and Uses Budget'!$J$99-SUM('15 Year Pro Forma'!$E$62:QLH62))</f>
        <v>0</v>
      </c>
      <c r="QLK62" s="962">
        <f>MIN(QLK60*$C$62,'Sources and Uses Budget'!$J$99-SUM('15 Year Pro Forma'!$E$62:QLJ62))</f>
        <v>0</v>
      </c>
      <c r="QLM62" s="962">
        <f>MIN(QLM60*$C$62,'Sources and Uses Budget'!$J$99-SUM('15 Year Pro Forma'!$E$62:QLL62))</f>
        <v>0</v>
      </c>
      <c r="QLO62" s="962">
        <f>MIN(QLO60*$C$62,'Sources and Uses Budget'!$J$99-SUM('15 Year Pro Forma'!$E$62:QLN62))</f>
        <v>0</v>
      </c>
      <c r="QLQ62" s="962">
        <f>MIN(QLQ60*$C$62,'Sources and Uses Budget'!$J$99-SUM('15 Year Pro Forma'!$E$62:QLP62))</f>
        <v>0</v>
      </c>
      <c r="QLS62" s="962">
        <f>MIN(QLS60*$C$62,'Sources and Uses Budget'!$J$99-SUM('15 Year Pro Forma'!$E$62:QLR62))</f>
        <v>0</v>
      </c>
      <c r="QLU62" s="962">
        <f>MIN(QLU60*$C$62,'Sources and Uses Budget'!$J$99-SUM('15 Year Pro Forma'!$E$62:QLT62))</f>
        <v>0</v>
      </c>
      <c r="QLW62" s="962">
        <f>MIN(QLW60*$C$62,'Sources and Uses Budget'!$J$99-SUM('15 Year Pro Forma'!$E$62:QLV62))</f>
        <v>0</v>
      </c>
      <c r="QLY62" s="962">
        <f>MIN(QLY60*$C$62,'Sources and Uses Budget'!$J$99-SUM('15 Year Pro Forma'!$E$62:QLX62))</f>
        <v>0</v>
      </c>
      <c r="QMA62" s="962">
        <f>MIN(QMA60*$C$62,'Sources and Uses Budget'!$J$99-SUM('15 Year Pro Forma'!$E$62:QLZ62))</f>
        <v>0</v>
      </c>
      <c r="QMC62" s="962">
        <f>MIN(QMC60*$C$62,'Sources and Uses Budget'!$J$99-SUM('15 Year Pro Forma'!$E$62:QMB62))</f>
        <v>0</v>
      </c>
      <c r="QME62" s="962">
        <f>MIN(QME60*$C$62,'Sources and Uses Budget'!$J$99-SUM('15 Year Pro Forma'!$E$62:QMD62))</f>
        <v>0</v>
      </c>
      <c r="QMG62" s="962">
        <f>MIN(QMG60*$C$62,'Sources and Uses Budget'!$J$99-SUM('15 Year Pro Forma'!$E$62:QMF62))</f>
        <v>0</v>
      </c>
      <c r="QMI62" s="962">
        <f>MIN(QMI60*$C$62,'Sources and Uses Budget'!$J$99-SUM('15 Year Pro Forma'!$E$62:QMH62))</f>
        <v>0</v>
      </c>
      <c r="QMK62" s="962">
        <f>MIN(QMK60*$C$62,'Sources and Uses Budget'!$J$99-SUM('15 Year Pro Forma'!$E$62:QMJ62))</f>
        <v>0</v>
      </c>
      <c r="QMM62" s="962">
        <f>MIN(QMM60*$C$62,'Sources and Uses Budget'!$J$99-SUM('15 Year Pro Forma'!$E$62:QML62))</f>
        <v>0</v>
      </c>
      <c r="QMO62" s="962">
        <f>MIN(QMO60*$C$62,'Sources and Uses Budget'!$J$99-SUM('15 Year Pro Forma'!$E$62:QMN62))</f>
        <v>0</v>
      </c>
      <c r="QMQ62" s="962">
        <f>MIN(QMQ60*$C$62,'Sources and Uses Budget'!$J$99-SUM('15 Year Pro Forma'!$E$62:QMP62))</f>
        <v>0</v>
      </c>
      <c r="QMS62" s="962">
        <f>MIN(QMS60*$C$62,'Sources and Uses Budget'!$J$99-SUM('15 Year Pro Forma'!$E$62:QMR62))</f>
        <v>0</v>
      </c>
      <c r="QMU62" s="962">
        <f>MIN(QMU60*$C$62,'Sources and Uses Budget'!$J$99-SUM('15 Year Pro Forma'!$E$62:QMT62))</f>
        <v>0</v>
      </c>
      <c r="QMW62" s="962">
        <f>MIN(QMW60*$C$62,'Sources and Uses Budget'!$J$99-SUM('15 Year Pro Forma'!$E$62:QMV62))</f>
        <v>0</v>
      </c>
      <c r="QMY62" s="962">
        <f>MIN(QMY60*$C$62,'Sources and Uses Budget'!$J$99-SUM('15 Year Pro Forma'!$E$62:QMX62))</f>
        <v>0</v>
      </c>
      <c r="QNA62" s="962">
        <f>MIN(QNA60*$C$62,'Sources and Uses Budget'!$J$99-SUM('15 Year Pro Forma'!$E$62:QMZ62))</f>
        <v>0</v>
      </c>
      <c r="QNC62" s="962">
        <f>MIN(QNC60*$C$62,'Sources and Uses Budget'!$J$99-SUM('15 Year Pro Forma'!$E$62:QNB62))</f>
        <v>0</v>
      </c>
      <c r="QNE62" s="962">
        <f>MIN(QNE60*$C$62,'Sources and Uses Budget'!$J$99-SUM('15 Year Pro Forma'!$E$62:QND62))</f>
        <v>0</v>
      </c>
      <c r="QNG62" s="962">
        <f>MIN(QNG60*$C$62,'Sources and Uses Budget'!$J$99-SUM('15 Year Pro Forma'!$E$62:QNF62))</f>
        <v>0</v>
      </c>
      <c r="QNI62" s="962">
        <f>MIN(QNI60*$C$62,'Sources and Uses Budget'!$J$99-SUM('15 Year Pro Forma'!$E$62:QNH62))</f>
        <v>0</v>
      </c>
      <c r="QNK62" s="962">
        <f>MIN(QNK60*$C$62,'Sources and Uses Budget'!$J$99-SUM('15 Year Pro Forma'!$E$62:QNJ62))</f>
        <v>0</v>
      </c>
      <c r="QNM62" s="962">
        <f>MIN(QNM60*$C$62,'Sources and Uses Budget'!$J$99-SUM('15 Year Pro Forma'!$E$62:QNL62))</f>
        <v>0</v>
      </c>
      <c r="QNO62" s="962">
        <f>MIN(QNO60*$C$62,'Sources and Uses Budget'!$J$99-SUM('15 Year Pro Forma'!$E$62:QNN62))</f>
        <v>0</v>
      </c>
      <c r="QNQ62" s="962">
        <f>MIN(QNQ60*$C$62,'Sources and Uses Budget'!$J$99-SUM('15 Year Pro Forma'!$E$62:QNP62))</f>
        <v>0</v>
      </c>
      <c r="QNS62" s="962">
        <f>MIN(QNS60*$C$62,'Sources and Uses Budget'!$J$99-SUM('15 Year Pro Forma'!$E$62:QNR62))</f>
        <v>0</v>
      </c>
      <c r="QNU62" s="962">
        <f>MIN(QNU60*$C$62,'Sources and Uses Budget'!$J$99-SUM('15 Year Pro Forma'!$E$62:QNT62))</f>
        <v>0</v>
      </c>
      <c r="QNW62" s="962">
        <f>MIN(QNW60*$C$62,'Sources and Uses Budget'!$J$99-SUM('15 Year Pro Forma'!$E$62:QNV62))</f>
        <v>0</v>
      </c>
      <c r="QNY62" s="962">
        <f>MIN(QNY60*$C$62,'Sources and Uses Budget'!$J$99-SUM('15 Year Pro Forma'!$E$62:QNX62))</f>
        <v>0</v>
      </c>
      <c r="QOA62" s="962">
        <f>MIN(QOA60*$C$62,'Sources and Uses Budget'!$J$99-SUM('15 Year Pro Forma'!$E$62:QNZ62))</f>
        <v>0</v>
      </c>
      <c r="QOC62" s="962">
        <f>MIN(QOC60*$C$62,'Sources and Uses Budget'!$J$99-SUM('15 Year Pro Forma'!$E$62:QOB62))</f>
        <v>0</v>
      </c>
      <c r="QOE62" s="962">
        <f>MIN(QOE60*$C$62,'Sources and Uses Budget'!$J$99-SUM('15 Year Pro Forma'!$E$62:QOD62))</f>
        <v>0</v>
      </c>
      <c r="QOG62" s="962">
        <f>MIN(QOG60*$C$62,'Sources and Uses Budget'!$J$99-SUM('15 Year Pro Forma'!$E$62:QOF62))</f>
        <v>0</v>
      </c>
      <c r="QOI62" s="962">
        <f>MIN(QOI60*$C$62,'Sources and Uses Budget'!$J$99-SUM('15 Year Pro Forma'!$E$62:QOH62))</f>
        <v>0</v>
      </c>
      <c r="QOK62" s="962">
        <f>MIN(QOK60*$C$62,'Sources and Uses Budget'!$J$99-SUM('15 Year Pro Forma'!$E$62:QOJ62))</f>
        <v>0</v>
      </c>
      <c r="QOM62" s="962">
        <f>MIN(QOM60*$C$62,'Sources and Uses Budget'!$J$99-SUM('15 Year Pro Forma'!$E$62:QOL62))</f>
        <v>0</v>
      </c>
      <c r="QOO62" s="962">
        <f>MIN(QOO60*$C$62,'Sources and Uses Budget'!$J$99-SUM('15 Year Pro Forma'!$E$62:QON62))</f>
        <v>0</v>
      </c>
      <c r="QOQ62" s="962">
        <f>MIN(QOQ60*$C$62,'Sources and Uses Budget'!$J$99-SUM('15 Year Pro Forma'!$E$62:QOP62))</f>
        <v>0</v>
      </c>
      <c r="QOS62" s="962">
        <f>MIN(QOS60*$C$62,'Sources and Uses Budget'!$J$99-SUM('15 Year Pro Forma'!$E$62:QOR62))</f>
        <v>0</v>
      </c>
      <c r="QOU62" s="962">
        <f>MIN(QOU60*$C$62,'Sources and Uses Budget'!$J$99-SUM('15 Year Pro Forma'!$E$62:QOT62))</f>
        <v>0</v>
      </c>
      <c r="QOW62" s="962">
        <f>MIN(QOW60*$C$62,'Sources and Uses Budget'!$J$99-SUM('15 Year Pro Forma'!$E$62:QOV62))</f>
        <v>0</v>
      </c>
      <c r="QOY62" s="962">
        <f>MIN(QOY60*$C$62,'Sources and Uses Budget'!$J$99-SUM('15 Year Pro Forma'!$E$62:QOX62))</f>
        <v>0</v>
      </c>
      <c r="QPA62" s="962">
        <f>MIN(QPA60*$C$62,'Sources and Uses Budget'!$J$99-SUM('15 Year Pro Forma'!$E$62:QOZ62))</f>
        <v>0</v>
      </c>
      <c r="QPC62" s="962">
        <f>MIN(QPC60*$C$62,'Sources and Uses Budget'!$J$99-SUM('15 Year Pro Forma'!$E$62:QPB62))</f>
        <v>0</v>
      </c>
      <c r="QPE62" s="962">
        <f>MIN(QPE60*$C$62,'Sources and Uses Budget'!$J$99-SUM('15 Year Pro Forma'!$E$62:QPD62))</f>
        <v>0</v>
      </c>
      <c r="QPG62" s="962">
        <f>MIN(QPG60*$C$62,'Sources and Uses Budget'!$J$99-SUM('15 Year Pro Forma'!$E$62:QPF62))</f>
        <v>0</v>
      </c>
      <c r="QPI62" s="962">
        <f>MIN(QPI60*$C$62,'Sources and Uses Budget'!$J$99-SUM('15 Year Pro Forma'!$E$62:QPH62))</f>
        <v>0</v>
      </c>
      <c r="QPK62" s="962">
        <f>MIN(QPK60*$C$62,'Sources and Uses Budget'!$J$99-SUM('15 Year Pro Forma'!$E$62:QPJ62))</f>
        <v>0</v>
      </c>
      <c r="QPM62" s="962">
        <f>MIN(QPM60*$C$62,'Sources and Uses Budget'!$J$99-SUM('15 Year Pro Forma'!$E$62:QPL62))</f>
        <v>0</v>
      </c>
      <c r="QPO62" s="962">
        <f>MIN(QPO60*$C$62,'Sources and Uses Budget'!$J$99-SUM('15 Year Pro Forma'!$E$62:QPN62))</f>
        <v>0</v>
      </c>
      <c r="QPQ62" s="962">
        <f>MIN(QPQ60*$C$62,'Sources and Uses Budget'!$J$99-SUM('15 Year Pro Forma'!$E$62:QPP62))</f>
        <v>0</v>
      </c>
      <c r="QPS62" s="962">
        <f>MIN(QPS60*$C$62,'Sources and Uses Budget'!$J$99-SUM('15 Year Pro Forma'!$E$62:QPR62))</f>
        <v>0</v>
      </c>
      <c r="QPU62" s="962">
        <f>MIN(QPU60*$C$62,'Sources and Uses Budget'!$J$99-SUM('15 Year Pro Forma'!$E$62:QPT62))</f>
        <v>0</v>
      </c>
      <c r="QPW62" s="962">
        <f>MIN(QPW60*$C$62,'Sources and Uses Budget'!$J$99-SUM('15 Year Pro Forma'!$E$62:QPV62))</f>
        <v>0</v>
      </c>
      <c r="QPY62" s="962">
        <f>MIN(QPY60*$C$62,'Sources and Uses Budget'!$J$99-SUM('15 Year Pro Forma'!$E$62:QPX62))</f>
        <v>0</v>
      </c>
      <c r="QQA62" s="962">
        <f>MIN(QQA60*$C$62,'Sources and Uses Budget'!$J$99-SUM('15 Year Pro Forma'!$E$62:QPZ62))</f>
        <v>0</v>
      </c>
      <c r="QQC62" s="962">
        <f>MIN(QQC60*$C$62,'Sources and Uses Budget'!$J$99-SUM('15 Year Pro Forma'!$E$62:QQB62))</f>
        <v>0</v>
      </c>
      <c r="QQE62" s="962">
        <f>MIN(QQE60*$C$62,'Sources and Uses Budget'!$J$99-SUM('15 Year Pro Forma'!$E$62:QQD62))</f>
        <v>0</v>
      </c>
      <c r="QQG62" s="962">
        <f>MIN(QQG60*$C$62,'Sources and Uses Budget'!$J$99-SUM('15 Year Pro Forma'!$E$62:QQF62))</f>
        <v>0</v>
      </c>
      <c r="QQI62" s="962">
        <f>MIN(QQI60*$C$62,'Sources and Uses Budget'!$J$99-SUM('15 Year Pro Forma'!$E$62:QQH62))</f>
        <v>0</v>
      </c>
      <c r="QQK62" s="962">
        <f>MIN(QQK60*$C$62,'Sources and Uses Budget'!$J$99-SUM('15 Year Pro Forma'!$E$62:QQJ62))</f>
        <v>0</v>
      </c>
      <c r="QQM62" s="962">
        <f>MIN(QQM60*$C$62,'Sources and Uses Budget'!$J$99-SUM('15 Year Pro Forma'!$E$62:QQL62))</f>
        <v>0</v>
      </c>
      <c r="QQO62" s="962">
        <f>MIN(QQO60*$C$62,'Sources and Uses Budget'!$J$99-SUM('15 Year Pro Forma'!$E$62:QQN62))</f>
        <v>0</v>
      </c>
      <c r="QQQ62" s="962">
        <f>MIN(QQQ60*$C$62,'Sources and Uses Budget'!$J$99-SUM('15 Year Pro Forma'!$E$62:QQP62))</f>
        <v>0</v>
      </c>
      <c r="QQS62" s="962">
        <f>MIN(QQS60*$C$62,'Sources and Uses Budget'!$J$99-SUM('15 Year Pro Forma'!$E$62:QQR62))</f>
        <v>0</v>
      </c>
      <c r="QQU62" s="962">
        <f>MIN(QQU60*$C$62,'Sources and Uses Budget'!$J$99-SUM('15 Year Pro Forma'!$E$62:QQT62))</f>
        <v>0</v>
      </c>
      <c r="QQW62" s="962">
        <f>MIN(QQW60*$C$62,'Sources and Uses Budget'!$J$99-SUM('15 Year Pro Forma'!$E$62:QQV62))</f>
        <v>0</v>
      </c>
      <c r="QQY62" s="962">
        <f>MIN(QQY60*$C$62,'Sources and Uses Budget'!$J$99-SUM('15 Year Pro Forma'!$E$62:QQX62))</f>
        <v>0</v>
      </c>
      <c r="QRA62" s="962">
        <f>MIN(QRA60*$C$62,'Sources and Uses Budget'!$J$99-SUM('15 Year Pro Forma'!$E$62:QQZ62))</f>
        <v>0</v>
      </c>
      <c r="QRC62" s="962">
        <f>MIN(QRC60*$C$62,'Sources and Uses Budget'!$J$99-SUM('15 Year Pro Forma'!$E$62:QRB62))</f>
        <v>0</v>
      </c>
      <c r="QRE62" s="962">
        <f>MIN(QRE60*$C$62,'Sources and Uses Budget'!$J$99-SUM('15 Year Pro Forma'!$E$62:QRD62))</f>
        <v>0</v>
      </c>
      <c r="QRG62" s="962">
        <f>MIN(QRG60*$C$62,'Sources and Uses Budget'!$J$99-SUM('15 Year Pro Forma'!$E$62:QRF62))</f>
        <v>0</v>
      </c>
      <c r="QRI62" s="962">
        <f>MIN(QRI60*$C$62,'Sources and Uses Budget'!$J$99-SUM('15 Year Pro Forma'!$E$62:QRH62))</f>
        <v>0</v>
      </c>
      <c r="QRK62" s="962">
        <f>MIN(QRK60*$C$62,'Sources and Uses Budget'!$J$99-SUM('15 Year Pro Forma'!$E$62:QRJ62))</f>
        <v>0</v>
      </c>
      <c r="QRM62" s="962">
        <f>MIN(QRM60*$C$62,'Sources and Uses Budget'!$J$99-SUM('15 Year Pro Forma'!$E$62:QRL62))</f>
        <v>0</v>
      </c>
      <c r="QRO62" s="962">
        <f>MIN(QRO60*$C$62,'Sources and Uses Budget'!$J$99-SUM('15 Year Pro Forma'!$E$62:QRN62))</f>
        <v>0</v>
      </c>
      <c r="QRQ62" s="962">
        <f>MIN(QRQ60*$C$62,'Sources and Uses Budget'!$J$99-SUM('15 Year Pro Forma'!$E$62:QRP62))</f>
        <v>0</v>
      </c>
      <c r="QRS62" s="962">
        <f>MIN(QRS60*$C$62,'Sources and Uses Budget'!$J$99-SUM('15 Year Pro Forma'!$E$62:QRR62))</f>
        <v>0</v>
      </c>
      <c r="QRU62" s="962">
        <f>MIN(QRU60*$C$62,'Sources and Uses Budget'!$J$99-SUM('15 Year Pro Forma'!$E$62:QRT62))</f>
        <v>0</v>
      </c>
      <c r="QRW62" s="962">
        <f>MIN(QRW60*$C$62,'Sources and Uses Budget'!$J$99-SUM('15 Year Pro Forma'!$E$62:QRV62))</f>
        <v>0</v>
      </c>
      <c r="QRY62" s="962">
        <f>MIN(QRY60*$C$62,'Sources and Uses Budget'!$J$99-SUM('15 Year Pro Forma'!$E$62:QRX62))</f>
        <v>0</v>
      </c>
      <c r="QSA62" s="962">
        <f>MIN(QSA60*$C$62,'Sources and Uses Budget'!$J$99-SUM('15 Year Pro Forma'!$E$62:QRZ62))</f>
        <v>0</v>
      </c>
      <c r="QSC62" s="962">
        <f>MIN(QSC60*$C$62,'Sources and Uses Budget'!$J$99-SUM('15 Year Pro Forma'!$E$62:QSB62))</f>
        <v>0</v>
      </c>
      <c r="QSE62" s="962">
        <f>MIN(QSE60*$C$62,'Sources and Uses Budget'!$J$99-SUM('15 Year Pro Forma'!$E$62:QSD62))</f>
        <v>0</v>
      </c>
      <c r="QSG62" s="962">
        <f>MIN(QSG60*$C$62,'Sources and Uses Budget'!$J$99-SUM('15 Year Pro Forma'!$E$62:QSF62))</f>
        <v>0</v>
      </c>
      <c r="QSI62" s="962">
        <f>MIN(QSI60*$C$62,'Sources and Uses Budget'!$J$99-SUM('15 Year Pro Forma'!$E$62:QSH62))</f>
        <v>0</v>
      </c>
      <c r="QSK62" s="962">
        <f>MIN(QSK60*$C$62,'Sources and Uses Budget'!$J$99-SUM('15 Year Pro Forma'!$E$62:QSJ62))</f>
        <v>0</v>
      </c>
      <c r="QSM62" s="962">
        <f>MIN(QSM60*$C$62,'Sources and Uses Budget'!$J$99-SUM('15 Year Pro Forma'!$E$62:QSL62))</f>
        <v>0</v>
      </c>
      <c r="QSO62" s="962">
        <f>MIN(QSO60*$C$62,'Sources and Uses Budget'!$J$99-SUM('15 Year Pro Forma'!$E$62:QSN62))</f>
        <v>0</v>
      </c>
      <c r="QSQ62" s="962">
        <f>MIN(QSQ60*$C$62,'Sources and Uses Budget'!$J$99-SUM('15 Year Pro Forma'!$E$62:QSP62))</f>
        <v>0</v>
      </c>
      <c r="QSS62" s="962">
        <f>MIN(QSS60*$C$62,'Sources and Uses Budget'!$J$99-SUM('15 Year Pro Forma'!$E$62:QSR62))</f>
        <v>0</v>
      </c>
      <c r="QSU62" s="962">
        <f>MIN(QSU60*$C$62,'Sources and Uses Budget'!$J$99-SUM('15 Year Pro Forma'!$E$62:QST62))</f>
        <v>0</v>
      </c>
      <c r="QSW62" s="962">
        <f>MIN(QSW60*$C$62,'Sources and Uses Budget'!$J$99-SUM('15 Year Pro Forma'!$E$62:QSV62))</f>
        <v>0</v>
      </c>
      <c r="QSY62" s="962">
        <f>MIN(QSY60*$C$62,'Sources and Uses Budget'!$J$99-SUM('15 Year Pro Forma'!$E$62:QSX62))</f>
        <v>0</v>
      </c>
      <c r="QTA62" s="962">
        <f>MIN(QTA60*$C$62,'Sources and Uses Budget'!$J$99-SUM('15 Year Pro Forma'!$E$62:QSZ62))</f>
        <v>0</v>
      </c>
      <c r="QTC62" s="962">
        <f>MIN(QTC60*$C$62,'Sources and Uses Budget'!$J$99-SUM('15 Year Pro Forma'!$E$62:QTB62))</f>
        <v>0</v>
      </c>
      <c r="QTE62" s="962">
        <f>MIN(QTE60*$C$62,'Sources and Uses Budget'!$J$99-SUM('15 Year Pro Forma'!$E$62:QTD62))</f>
        <v>0</v>
      </c>
      <c r="QTG62" s="962">
        <f>MIN(QTG60*$C$62,'Sources and Uses Budget'!$J$99-SUM('15 Year Pro Forma'!$E$62:QTF62))</f>
        <v>0</v>
      </c>
      <c r="QTI62" s="962">
        <f>MIN(QTI60*$C$62,'Sources and Uses Budget'!$J$99-SUM('15 Year Pro Forma'!$E$62:QTH62))</f>
        <v>0</v>
      </c>
      <c r="QTK62" s="962">
        <f>MIN(QTK60*$C$62,'Sources and Uses Budget'!$J$99-SUM('15 Year Pro Forma'!$E$62:QTJ62))</f>
        <v>0</v>
      </c>
      <c r="QTM62" s="962">
        <f>MIN(QTM60*$C$62,'Sources and Uses Budget'!$J$99-SUM('15 Year Pro Forma'!$E$62:QTL62))</f>
        <v>0</v>
      </c>
      <c r="QTO62" s="962">
        <f>MIN(QTO60*$C$62,'Sources and Uses Budget'!$J$99-SUM('15 Year Pro Forma'!$E$62:QTN62))</f>
        <v>0</v>
      </c>
      <c r="QTQ62" s="962">
        <f>MIN(QTQ60*$C$62,'Sources and Uses Budget'!$J$99-SUM('15 Year Pro Forma'!$E$62:QTP62))</f>
        <v>0</v>
      </c>
      <c r="QTS62" s="962">
        <f>MIN(QTS60*$C$62,'Sources and Uses Budget'!$J$99-SUM('15 Year Pro Forma'!$E$62:QTR62))</f>
        <v>0</v>
      </c>
      <c r="QTU62" s="962">
        <f>MIN(QTU60*$C$62,'Sources and Uses Budget'!$J$99-SUM('15 Year Pro Forma'!$E$62:QTT62))</f>
        <v>0</v>
      </c>
      <c r="QTW62" s="962">
        <f>MIN(QTW60*$C$62,'Sources and Uses Budget'!$J$99-SUM('15 Year Pro Forma'!$E$62:QTV62))</f>
        <v>0</v>
      </c>
      <c r="QTY62" s="962">
        <f>MIN(QTY60*$C$62,'Sources and Uses Budget'!$J$99-SUM('15 Year Pro Forma'!$E$62:QTX62))</f>
        <v>0</v>
      </c>
      <c r="QUA62" s="962">
        <f>MIN(QUA60*$C$62,'Sources and Uses Budget'!$J$99-SUM('15 Year Pro Forma'!$E$62:QTZ62))</f>
        <v>0</v>
      </c>
      <c r="QUC62" s="962">
        <f>MIN(QUC60*$C$62,'Sources and Uses Budget'!$J$99-SUM('15 Year Pro Forma'!$E$62:QUB62))</f>
        <v>0</v>
      </c>
      <c r="QUE62" s="962">
        <f>MIN(QUE60*$C$62,'Sources and Uses Budget'!$J$99-SUM('15 Year Pro Forma'!$E$62:QUD62))</f>
        <v>0</v>
      </c>
      <c r="QUG62" s="962">
        <f>MIN(QUG60*$C$62,'Sources and Uses Budget'!$J$99-SUM('15 Year Pro Forma'!$E$62:QUF62))</f>
        <v>0</v>
      </c>
      <c r="QUI62" s="962">
        <f>MIN(QUI60*$C$62,'Sources and Uses Budget'!$J$99-SUM('15 Year Pro Forma'!$E$62:QUH62))</f>
        <v>0</v>
      </c>
      <c r="QUK62" s="962">
        <f>MIN(QUK60*$C$62,'Sources and Uses Budget'!$J$99-SUM('15 Year Pro Forma'!$E$62:QUJ62))</f>
        <v>0</v>
      </c>
      <c r="QUM62" s="962">
        <f>MIN(QUM60*$C$62,'Sources and Uses Budget'!$J$99-SUM('15 Year Pro Forma'!$E$62:QUL62))</f>
        <v>0</v>
      </c>
      <c r="QUO62" s="962">
        <f>MIN(QUO60*$C$62,'Sources and Uses Budget'!$J$99-SUM('15 Year Pro Forma'!$E$62:QUN62))</f>
        <v>0</v>
      </c>
      <c r="QUQ62" s="962">
        <f>MIN(QUQ60*$C$62,'Sources and Uses Budget'!$J$99-SUM('15 Year Pro Forma'!$E$62:QUP62))</f>
        <v>0</v>
      </c>
      <c r="QUS62" s="962">
        <f>MIN(QUS60*$C$62,'Sources and Uses Budget'!$J$99-SUM('15 Year Pro Forma'!$E$62:QUR62))</f>
        <v>0</v>
      </c>
      <c r="QUU62" s="962">
        <f>MIN(QUU60*$C$62,'Sources and Uses Budget'!$J$99-SUM('15 Year Pro Forma'!$E$62:QUT62))</f>
        <v>0</v>
      </c>
      <c r="QUW62" s="962">
        <f>MIN(QUW60*$C$62,'Sources and Uses Budget'!$J$99-SUM('15 Year Pro Forma'!$E$62:QUV62))</f>
        <v>0</v>
      </c>
      <c r="QUY62" s="962">
        <f>MIN(QUY60*$C$62,'Sources and Uses Budget'!$J$99-SUM('15 Year Pro Forma'!$E$62:QUX62))</f>
        <v>0</v>
      </c>
      <c r="QVA62" s="962">
        <f>MIN(QVA60*$C$62,'Sources and Uses Budget'!$J$99-SUM('15 Year Pro Forma'!$E$62:QUZ62))</f>
        <v>0</v>
      </c>
      <c r="QVC62" s="962">
        <f>MIN(QVC60*$C$62,'Sources and Uses Budget'!$J$99-SUM('15 Year Pro Forma'!$E$62:QVB62))</f>
        <v>0</v>
      </c>
      <c r="QVE62" s="962">
        <f>MIN(QVE60*$C$62,'Sources and Uses Budget'!$J$99-SUM('15 Year Pro Forma'!$E$62:QVD62))</f>
        <v>0</v>
      </c>
      <c r="QVG62" s="962">
        <f>MIN(QVG60*$C$62,'Sources and Uses Budget'!$J$99-SUM('15 Year Pro Forma'!$E$62:QVF62))</f>
        <v>0</v>
      </c>
      <c r="QVI62" s="962">
        <f>MIN(QVI60*$C$62,'Sources and Uses Budget'!$J$99-SUM('15 Year Pro Forma'!$E$62:QVH62))</f>
        <v>0</v>
      </c>
      <c r="QVK62" s="962">
        <f>MIN(QVK60*$C$62,'Sources and Uses Budget'!$J$99-SUM('15 Year Pro Forma'!$E$62:QVJ62))</f>
        <v>0</v>
      </c>
      <c r="QVM62" s="962">
        <f>MIN(QVM60*$C$62,'Sources and Uses Budget'!$J$99-SUM('15 Year Pro Forma'!$E$62:QVL62))</f>
        <v>0</v>
      </c>
      <c r="QVO62" s="962">
        <f>MIN(QVO60*$C$62,'Sources and Uses Budget'!$J$99-SUM('15 Year Pro Forma'!$E$62:QVN62))</f>
        <v>0</v>
      </c>
      <c r="QVQ62" s="962">
        <f>MIN(QVQ60*$C$62,'Sources and Uses Budget'!$J$99-SUM('15 Year Pro Forma'!$E$62:QVP62))</f>
        <v>0</v>
      </c>
      <c r="QVS62" s="962">
        <f>MIN(QVS60*$C$62,'Sources and Uses Budget'!$J$99-SUM('15 Year Pro Forma'!$E$62:QVR62))</f>
        <v>0</v>
      </c>
      <c r="QVU62" s="962">
        <f>MIN(QVU60*$C$62,'Sources and Uses Budget'!$J$99-SUM('15 Year Pro Forma'!$E$62:QVT62))</f>
        <v>0</v>
      </c>
      <c r="QVW62" s="962">
        <f>MIN(QVW60*$C$62,'Sources and Uses Budget'!$J$99-SUM('15 Year Pro Forma'!$E$62:QVV62))</f>
        <v>0</v>
      </c>
      <c r="QVY62" s="962">
        <f>MIN(QVY60*$C$62,'Sources and Uses Budget'!$J$99-SUM('15 Year Pro Forma'!$E$62:QVX62))</f>
        <v>0</v>
      </c>
      <c r="QWA62" s="962">
        <f>MIN(QWA60*$C$62,'Sources and Uses Budget'!$J$99-SUM('15 Year Pro Forma'!$E$62:QVZ62))</f>
        <v>0</v>
      </c>
      <c r="QWC62" s="962">
        <f>MIN(QWC60*$C$62,'Sources and Uses Budget'!$J$99-SUM('15 Year Pro Forma'!$E$62:QWB62))</f>
        <v>0</v>
      </c>
      <c r="QWE62" s="962">
        <f>MIN(QWE60*$C$62,'Sources and Uses Budget'!$J$99-SUM('15 Year Pro Forma'!$E$62:QWD62))</f>
        <v>0</v>
      </c>
      <c r="QWG62" s="962">
        <f>MIN(QWG60*$C$62,'Sources and Uses Budget'!$J$99-SUM('15 Year Pro Forma'!$E$62:QWF62))</f>
        <v>0</v>
      </c>
      <c r="QWI62" s="962">
        <f>MIN(QWI60*$C$62,'Sources and Uses Budget'!$J$99-SUM('15 Year Pro Forma'!$E$62:QWH62))</f>
        <v>0</v>
      </c>
      <c r="QWK62" s="962">
        <f>MIN(QWK60*$C$62,'Sources and Uses Budget'!$J$99-SUM('15 Year Pro Forma'!$E$62:QWJ62))</f>
        <v>0</v>
      </c>
      <c r="QWM62" s="962">
        <f>MIN(QWM60*$C$62,'Sources and Uses Budget'!$J$99-SUM('15 Year Pro Forma'!$E$62:QWL62))</f>
        <v>0</v>
      </c>
      <c r="QWO62" s="962">
        <f>MIN(QWO60*$C$62,'Sources and Uses Budget'!$J$99-SUM('15 Year Pro Forma'!$E$62:QWN62))</f>
        <v>0</v>
      </c>
      <c r="QWQ62" s="962">
        <f>MIN(QWQ60*$C$62,'Sources and Uses Budget'!$J$99-SUM('15 Year Pro Forma'!$E$62:QWP62))</f>
        <v>0</v>
      </c>
      <c r="QWS62" s="962">
        <f>MIN(QWS60*$C$62,'Sources and Uses Budget'!$J$99-SUM('15 Year Pro Forma'!$E$62:QWR62))</f>
        <v>0</v>
      </c>
      <c r="QWU62" s="962">
        <f>MIN(QWU60*$C$62,'Sources and Uses Budget'!$J$99-SUM('15 Year Pro Forma'!$E$62:QWT62))</f>
        <v>0</v>
      </c>
      <c r="QWW62" s="962">
        <f>MIN(QWW60*$C$62,'Sources and Uses Budget'!$J$99-SUM('15 Year Pro Forma'!$E$62:QWV62))</f>
        <v>0</v>
      </c>
      <c r="QWY62" s="962">
        <f>MIN(QWY60*$C$62,'Sources and Uses Budget'!$J$99-SUM('15 Year Pro Forma'!$E$62:QWX62))</f>
        <v>0</v>
      </c>
      <c r="QXA62" s="962">
        <f>MIN(QXA60*$C$62,'Sources and Uses Budget'!$J$99-SUM('15 Year Pro Forma'!$E$62:QWZ62))</f>
        <v>0</v>
      </c>
      <c r="QXC62" s="962">
        <f>MIN(QXC60*$C$62,'Sources and Uses Budget'!$J$99-SUM('15 Year Pro Forma'!$E$62:QXB62))</f>
        <v>0</v>
      </c>
      <c r="QXE62" s="962">
        <f>MIN(QXE60*$C$62,'Sources and Uses Budget'!$J$99-SUM('15 Year Pro Forma'!$E$62:QXD62))</f>
        <v>0</v>
      </c>
      <c r="QXG62" s="962">
        <f>MIN(QXG60*$C$62,'Sources and Uses Budget'!$J$99-SUM('15 Year Pro Forma'!$E$62:QXF62))</f>
        <v>0</v>
      </c>
      <c r="QXI62" s="962">
        <f>MIN(QXI60*$C$62,'Sources and Uses Budget'!$J$99-SUM('15 Year Pro Forma'!$E$62:QXH62))</f>
        <v>0</v>
      </c>
      <c r="QXK62" s="962">
        <f>MIN(QXK60*$C$62,'Sources and Uses Budget'!$J$99-SUM('15 Year Pro Forma'!$E$62:QXJ62))</f>
        <v>0</v>
      </c>
      <c r="QXM62" s="962">
        <f>MIN(QXM60*$C$62,'Sources and Uses Budget'!$J$99-SUM('15 Year Pro Forma'!$E$62:QXL62))</f>
        <v>0</v>
      </c>
      <c r="QXO62" s="962">
        <f>MIN(QXO60*$C$62,'Sources and Uses Budget'!$J$99-SUM('15 Year Pro Forma'!$E$62:QXN62))</f>
        <v>0</v>
      </c>
      <c r="QXQ62" s="962">
        <f>MIN(QXQ60*$C$62,'Sources and Uses Budget'!$J$99-SUM('15 Year Pro Forma'!$E$62:QXP62))</f>
        <v>0</v>
      </c>
      <c r="QXS62" s="962">
        <f>MIN(QXS60*$C$62,'Sources and Uses Budget'!$J$99-SUM('15 Year Pro Forma'!$E$62:QXR62))</f>
        <v>0</v>
      </c>
      <c r="QXU62" s="962">
        <f>MIN(QXU60*$C$62,'Sources and Uses Budget'!$J$99-SUM('15 Year Pro Forma'!$E$62:QXT62))</f>
        <v>0</v>
      </c>
      <c r="QXW62" s="962">
        <f>MIN(QXW60*$C$62,'Sources and Uses Budget'!$J$99-SUM('15 Year Pro Forma'!$E$62:QXV62))</f>
        <v>0</v>
      </c>
      <c r="QXY62" s="962">
        <f>MIN(QXY60*$C$62,'Sources and Uses Budget'!$J$99-SUM('15 Year Pro Forma'!$E$62:QXX62))</f>
        <v>0</v>
      </c>
      <c r="QYA62" s="962">
        <f>MIN(QYA60*$C$62,'Sources and Uses Budget'!$J$99-SUM('15 Year Pro Forma'!$E$62:QXZ62))</f>
        <v>0</v>
      </c>
      <c r="QYC62" s="962">
        <f>MIN(QYC60*$C$62,'Sources and Uses Budget'!$J$99-SUM('15 Year Pro Forma'!$E$62:QYB62))</f>
        <v>0</v>
      </c>
      <c r="QYE62" s="962">
        <f>MIN(QYE60*$C$62,'Sources and Uses Budget'!$J$99-SUM('15 Year Pro Forma'!$E$62:QYD62))</f>
        <v>0</v>
      </c>
      <c r="QYG62" s="962">
        <f>MIN(QYG60*$C$62,'Sources and Uses Budget'!$J$99-SUM('15 Year Pro Forma'!$E$62:QYF62))</f>
        <v>0</v>
      </c>
      <c r="QYI62" s="962">
        <f>MIN(QYI60*$C$62,'Sources and Uses Budget'!$J$99-SUM('15 Year Pro Forma'!$E$62:QYH62))</f>
        <v>0</v>
      </c>
      <c r="QYK62" s="962">
        <f>MIN(QYK60*$C$62,'Sources and Uses Budget'!$J$99-SUM('15 Year Pro Forma'!$E$62:QYJ62))</f>
        <v>0</v>
      </c>
      <c r="QYM62" s="962">
        <f>MIN(QYM60*$C$62,'Sources and Uses Budget'!$J$99-SUM('15 Year Pro Forma'!$E$62:QYL62))</f>
        <v>0</v>
      </c>
      <c r="QYO62" s="962">
        <f>MIN(QYO60*$C$62,'Sources and Uses Budget'!$J$99-SUM('15 Year Pro Forma'!$E$62:QYN62))</f>
        <v>0</v>
      </c>
      <c r="QYQ62" s="962">
        <f>MIN(QYQ60*$C$62,'Sources and Uses Budget'!$J$99-SUM('15 Year Pro Forma'!$E$62:QYP62))</f>
        <v>0</v>
      </c>
      <c r="QYS62" s="962">
        <f>MIN(QYS60*$C$62,'Sources and Uses Budget'!$J$99-SUM('15 Year Pro Forma'!$E$62:QYR62))</f>
        <v>0</v>
      </c>
      <c r="QYU62" s="962">
        <f>MIN(QYU60*$C$62,'Sources and Uses Budget'!$J$99-SUM('15 Year Pro Forma'!$E$62:QYT62))</f>
        <v>0</v>
      </c>
      <c r="QYW62" s="962">
        <f>MIN(QYW60*$C$62,'Sources and Uses Budget'!$J$99-SUM('15 Year Pro Forma'!$E$62:QYV62))</f>
        <v>0</v>
      </c>
      <c r="QYY62" s="962">
        <f>MIN(QYY60*$C$62,'Sources and Uses Budget'!$J$99-SUM('15 Year Pro Forma'!$E$62:QYX62))</f>
        <v>0</v>
      </c>
      <c r="QZA62" s="962">
        <f>MIN(QZA60*$C$62,'Sources and Uses Budget'!$J$99-SUM('15 Year Pro Forma'!$E$62:QYZ62))</f>
        <v>0</v>
      </c>
      <c r="QZC62" s="962">
        <f>MIN(QZC60*$C$62,'Sources and Uses Budget'!$J$99-SUM('15 Year Pro Forma'!$E$62:QZB62))</f>
        <v>0</v>
      </c>
      <c r="QZE62" s="962">
        <f>MIN(QZE60*$C$62,'Sources and Uses Budget'!$J$99-SUM('15 Year Pro Forma'!$E$62:QZD62))</f>
        <v>0</v>
      </c>
      <c r="QZG62" s="962">
        <f>MIN(QZG60*$C$62,'Sources and Uses Budget'!$J$99-SUM('15 Year Pro Forma'!$E$62:QZF62))</f>
        <v>0</v>
      </c>
      <c r="QZI62" s="962">
        <f>MIN(QZI60*$C$62,'Sources and Uses Budget'!$J$99-SUM('15 Year Pro Forma'!$E$62:QZH62))</f>
        <v>0</v>
      </c>
      <c r="QZK62" s="962">
        <f>MIN(QZK60*$C$62,'Sources and Uses Budget'!$J$99-SUM('15 Year Pro Forma'!$E$62:QZJ62))</f>
        <v>0</v>
      </c>
      <c r="QZM62" s="962">
        <f>MIN(QZM60*$C$62,'Sources and Uses Budget'!$J$99-SUM('15 Year Pro Forma'!$E$62:QZL62))</f>
        <v>0</v>
      </c>
      <c r="QZO62" s="962">
        <f>MIN(QZO60*$C$62,'Sources and Uses Budget'!$J$99-SUM('15 Year Pro Forma'!$E$62:QZN62))</f>
        <v>0</v>
      </c>
      <c r="QZQ62" s="962">
        <f>MIN(QZQ60*$C$62,'Sources and Uses Budget'!$J$99-SUM('15 Year Pro Forma'!$E$62:QZP62))</f>
        <v>0</v>
      </c>
      <c r="QZS62" s="962">
        <f>MIN(QZS60*$C$62,'Sources and Uses Budget'!$J$99-SUM('15 Year Pro Forma'!$E$62:QZR62))</f>
        <v>0</v>
      </c>
      <c r="QZU62" s="962">
        <f>MIN(QZU60*$C$62,'Sources and Uses Budget'!$J$99-SUM('15 Year Pro Forma'!$E$62:QZT62))</f>
        <v>0</v>
      </c>
      <c r="QZW62" s="962">
        <f>MIN(QZW60*$C$62,'Sources and Uses Budget'!$J$99-SUM('15 Year Pro Forma'!$E$62:QZV62))</f>
        <v>0</v>
      </c>
      <c r="QZY62" s="962">
        <f>MIN(QZY60*$C$62,'Sources and Uses Budget'!$J$99-SUM('15 Year Pro Forma'!$E$62:QZX62))</f>
        <v>0</v>
      </c>
      <c r="RAA62" s="962">
        <f>MIN(RAA60*$C$62,'Sources and Uses Budget'!$J$99-SUM('15 Year Pro Forma'!$E$62:QZZ62))</f>
        <v>0</v>
      </c>
      <c r="RAC62" s="962">
        <f>MIN(RAC60*$C$62,'Sources and Uses Budget'!$J$99-SUM('15 Year Pro Forma'!$E$62:RAB62))</f>
        <v>0</v>
      </c>
      <c r="RAE62" s="962">
        <f>MIN(RAE60*$C$62,'Sources and Uses Budget'!$J$99-SUM('15 Year Pro Forma'!$E$62:RAD62))</f>
        <v>0</v>
      </c>
      <c r="RAG62" s="962">
        <f>MIN(RAG60*$C$62,'Sources and Uses Budget'!$J$99-SUM('15 Year Pro Forma'!$E$62:RAF62))</f>
        <v>0</v>
      </c>
      <c r="RAI62" s="962">
        <f>MIN(RAI60*$C$62,'Sources and Uses Budget'!$J$99-SUM('15 Year Pro Forma'!$E$62:RAH62))</f>
        <v>0</v>
      </c>
      <c r="RAK62" s="962">
        <f>MIN(RAK60*$C$62,'Sources and Uses Budget'!$J$99-SUM('15 Year Pro Forma'!$E$62:RAJ62))</f>
        <v>0</v>
      </c>
      <c r="RAM62" s="962">
        <f>MIN(RAM60*$C$62,'Sources and Uses Budget'!$J$99-SUM('15 Year Pro Forma'!$E$62:RAL62))</f>
        <v>0</v>
      </c>
      <c r="RAO62" s="962">
        <f>MIN(RAO60*$C$62,'Sources and Uses Budget'!$J$99-SUM('15 Year Pro Forma'!$E$62:RAN62))</f>
        <v>0</v>
      </c>
      <c r="RAQ62" s="962">
        <f>MIN(RAQ60*$C$62,'Sources and Uses Budget'!$J$99-SUM('15 Year Pro Forma'!$E$62:RAP62))</f>
        <v>0</v>
      </c>
      <c r="RAS62" s="962">
        <f>MIN(RAS60*$C$62,'Sources and Uses Budget'!$J$99-SUM('15 Year Pro Forma'!$E$62:RAR62))</f>
        <v>0</v>
      </c>
      <c r="RAU62" s="962">
        <f>MIN(RAU60*$C$62,'Sources and Uses Budget'!$J$99-SUM('15 Year Pro Forma'!$E$62:RAT62))</f>
        <v>0</v>
      </c>
      <c r="RAW62" s="962">
        <f>MIN(RAW60*$C$62,'Sources and Uses Budget'!$J$99-SUM('15 Year Pro Forma'!$E$62:RAV62))</f>
        <v>0</v>
      </c>
      <c r="RAY62" s="962">
        <f>MIN(RAY60*$C$62,'Sources and Uses Budget'!$J$99-SUM('15 Year Pro Forma'!$E$62:RAX62))</f>
        <v>0</v>
      </c>
      <c r="RBA62" s="962">
        <f>MIN(RBA60*$C$62,'Sources and Uses Budget'!$J$99-SUM('15 Year Pro Forma'!$E$62:RAZ62))</f>
        <v>0</v>
      </c>
      <c r="RBC62" s="962">
        <f>MIN(RBC60*$C$62,'Sources and Uses Budget'!$J$99-SUM('15 Year Pro Forma'!$E$62:RBB62))</f>
        <v>0</v>
      </c>
      <c r="RBE62" s="962">
        <f>MIN(RBE60*$C$62,'Sources and Uses Budget'!$J$99-SUM('15 Year Pro Forma'!$E$62:RBD62))</f>
        <v>0</v>
      </c>
      <c r="RBG62" s="962">
        <f>MIN(RBG60*$C$62,'Sources and Uses Budget'!$J$99-SUM('15 Year Pro Forma'!$E$62:RBF62))</f>
        <v>0</v>
      </c>
      <c r="RBI62" s="962">
        <f>MIN(RBI60*$C$62,'Sources and Uses Budget'!$J$99-SUM('15 Year Pro Forma'!$E$62:RBH62))</f>
        <v>0</v>
      </c>
      <c r="RBK62" s="962">
        <f>MIN(RBK60*$C$62,'Sources and Uses Budget'!$J$99-SUM('15 Year Pro Forma'!$E$62:RBJ62))</f>
        <v>0</v>
      </c>
      <c r="RBM62" s="962">
        <f>MIN(RBM60*$C$62,'Sources and Uses Budget'!$J$99-SUM('15 Year Pro Forma'!$E$62:RBL62))</f>
        <v>0</v>
      </c>
      <c r="RBO62" s="962">
        <f>MIN(RBO60*$C$62,'Sources and Uses Budget'!$J$99-SUM('15 Year Pro Forma'!$E$62:RBN62))</f>
        <v>0</v>
      </c>
      <c r="RBQ62" s="962">
        <f>MIN(RBQ60*$C$62,'Sources and Uses Budget'!$J$99-SUM('15 Year Pro Forma'!$E$62:RBP62))</f>
        <v>0</v>
      </c>
      <c r="RBS62" s="962">
        <f>MIN(RBS60*$C$62,'Sources and Uses Budget'!$J$99-SUM('15 Year Pro Forma'!$E$62:RBR62))</f>
        <v>0</v>
      </c>
      <c r="RBU62" s="962">
        <f>MIN(RBU60*$C$62,'Sources and Uses Budget'!$J$99-SUM('15 Year Pro Forma'!$E$62:RBT62))</f>
        <v>0</v>
      </c>
      <c r="RBW62" s="962">
        <f>MIN(RBW60*$C$62,'Sources and Uses Budget'!$J$99-SUM('15 Year Pro Forma'!$E$62:RBV62))</f>
        <v>0</v>
      </c>
      <c r="RBY62" s="962">
        <f>MIN(RBY60*$C$62,'Sources and Uses Budget'!$J$99-SUM('15 Year Pro Forma'!$E$62:RBX62))</f>
        <v>0</v>
      </c>
      <c r="RCA62" s="962">
        <f>MIN(RCA60*$C$62,'Sources and Uses Budget'!$J$99-SUM('15 Year Pro Forma'!$E$62:RBZ62))</f>
        <v>0</v>
      </c>
      <c r="RCC62" s="962">
        <f>MIN(RCC60*$C$62,'Sources and Uses Budget'!$J$99-SUM('15 Year Pro Forma'!$E$62:RCB62))</f>
        <v>0</v>
      </c>
      <c r="RCE62" s="962">
        <f>MIN(RCE60*$C$62,'Sources and Uses Budget'!$J$99-SUM('15 Year Pro Forma'!$E$62:RCD62))</f>
        <v>0</v>
      </c>
      <c r="RCG62" s="962">
        <f>MIN(RCG60*$C$62,'Sources and Uses Budget'!$J$99-SUM('15 Year Pro Forma'!$E$62:RCF62))</f>
        <v>0</v>
      </c>
      <c r="RCI62" s="962">
        <f>MIN(RCI60*$C$62,'Sources and Uses Budget'!$J$99-SUM('15 Year Pro Forma'!$E$62:RCH62))</f>
        <v>0</v>
      </c>
      <c r="RCK62" s="962">
        <f>MIN(RCK60*$C$62,'Sources and Uses Budget'!$J$99-SUM('15 Year Pro Forma'!$E$62:RCJ62))</f>
        <v>0</v>
      </c>
      <c r="RCM62" s="962">
        <f>MIN(RCM60*$C$62,'Sources and Uses Budget'!$J$99-SUM('15 Year Pro Forma'!$E$62:RCL62))</f>
        <v>0</v>
      </c>
      <c r="RCO62" s="962">
        <f>MIN(RCO60*$C$62,'Sources and Uses Budget'!$J$99-SUM('15 Year Pro Forma'!$E$62:RCN62))</f>
        <v>0</v>
      </c>
      <c r="RCQ62" s="962">
        <f>MIN(RCQ60*$C$62,'Sources and Uses Budget'!$J$99-SUM('15 Year Pro Forma'!$E$62:RCP62))</f>
        <v>0</v>
      </c>
      <c r="RCS62" s="962">
        <f>MIN(RCS60*$C$62,'Sources and Uses Budget'!$J$99-SUM('15 Year Pro Forma'!$E$62:RCR62))</f>
        <v>0</v>
      </c>
      <c r="RCU62" s="962">
        <f>MIN(RCU60*$C$62,'Sources and Uses Budget'!$J$99-SUM('15 Year Pro Forma'!$E$62:RCT62))</f>
        <v>0</v>
      </c>
      <c r="RCW62" s="962">
        <f>MIN(RCW60*$C$62,'Sources and Uses Budget'!$J$99-SUM('15 Year Pro Forma'!$E$62:RCV62))</f>
        <v>0</v>
      </c>
      <c r="RCY62" s="962">
        <f>MIN(RCY60*$C$62,'Sources and Uses Budget'!$J$99-SUM('15 Year Pro Forma'!$E$62:RCX62))</f>
        <v>0</v>
      </c>
      <c r="RDA62" s="962">
        <f>MIN(RDA60*$C$62,'Sources and Uses Budget'!$J$99-SUM('15 Year Pro Forma'!$E$62:RCZ62))</f>
        <v>0</v>
      </c>
      <c r="RDC62" s="962">
        <f>MIN(RDC60*$C$62,'Sources and Uses Budget'!$J$99-SUM('15 Year Pro Forma'!$E$62:RDB62))</f>
        <v>0</v>
      </c>
      <c r="RDE62" s="962">
        <f>MIN(RDE60*$C$62,'Sources and Uses Budget'!$J$99-SUM('15 Year Pro Forma'!$E$62:RDD62))</f>
        <v>0</v>
      </c>
      <c r="RDG62" s="962">
        <f>MIN(RDG60*$C$62,'Sources and Uses Budget'!$J$99-SUM('15 Year Pro Forma'!$E$62:RDF62))</f>
        <v>0</v>
      </c>
      <c r="RDI62" s="962">
        <f>MIN(RDI60*$C$62,'Sources and Uses Budget'!$J$99-SUM('15 Year Pro Forma'!$E$62:RDH62))</f>
        <v>0</v>
      </c>
      <c r="RDK62" s="962">
        <f>MIN(RDK60*$C$62,'Sources and Uses Budget'!$J$99-SUM('15 Year Pro Forma'!$E$62:RDJ62))</f>
        <v>0</v>
      </c>
      <c r="RDM62" s="962">
        <f>MIN(RDM60*$C$62,'Sources and Uses Budget'!$J$99-SUM('15 Year Pro Forma'!$E$62:RDL62))</f>
        <v>0</v>
      </c>
      <c r="RDO62" s="962">
        <f>MIN(RDO60*$C$62,'Sources and Uses Budget'!$J$99-SUM('15 Year Pro Forma'!$E$62:RDN62))</f>
        <v>0</v>
      </c>
      <c r="RDQ62" s="962">
        <f>MIN(RDQ60*$C$62,'Sources and Uses Budget'!$J$99-SUM('15 Year Pro Forma'!$E$62:RDP62))</f>
        <v>0</v>
      </c>
      <c r="RDS62" s="962">
        <f>MIN(RDS60*$C$62,'Sources and Uses Budget'!$J$99-SUM('15 Year Pro Forma'!$E$62:RDR62))</f>
        <v>0</v>
      </c>
      <c r="RDU62" s="962">
        <f>MIN(RDU60*$C$62,'Sources and Uses Budget'!$J$99-SUM('15 Year Pro Forma'!$E$62:RDT62))</f>
        <v>0</v>
      </c>
      <c r="RDW62" s="962">
        <f>MIN(RDW60*$C$62,'Sources and Uses Budget'!$J$99-SUM('15 Year Pro Forma'!$E$62:RDV62))</f>
        <v>0</v>
      </c>
      <c r="RDY62" s="962">
        <f>MIN(RDY60*$C$62,'Sources and Uses Budget'!$J$99-SUM('15 Year Pro Forma'!$E$62:RDX62))</f>
        <v>0</v>
      </c>
      <c r="REA62" s="962">
        <f>MIN(REA60*$C$62,'Sources and Uses Budget'!$J$99-SUM('15 Year Pro Forma'!$E$62:RDZ62))</f>
        <v>0</v>
      </c>
      <c r="REC62" s="962">
        <f>MIN(REC60*$C$62,'Sources and Uses Budget'!$J$99-SUM('15 Year Pro Forma'!$E$62:REB62))</f>
        <v>0</v>
      </c>
      <c r="REE62" s="962">
        <f>MIN(REE60*$C$62,'Sources and Uses Budget'!$J$99-SUM('15 Year Pro Forma'!$E$62:RED62))</f>
        <v>0</v>
      </c>
      <c r="REG62" s="962">
        <f>MIN(REG60*$C$62,'Sources and Uses Budget'!$J$99-SUM('15 Year Pro Forma'!$E$62:REF62))</f>
        <v>0</v>
      </c>
      <c r="REI62" s="962">
        <f>MIN(REI60*$C$62,'Sources and Uses Budget'!$J$99-SUM('15 Year Pro Forma'!$E$62:REH62))</f>
        <v>0</v>
      </c>
      <c r="REK62" s="962">
        <f>MIN(REK60*$C$62,'Sources and Uses Budget'!$J$99-SUM('15 Year Pro Forma'!$E$62:REJ62))</f>
        <v>0</v>
      </c>
      <c r="REM62" s="962">
        <f>MIN(REM60*$C$62,'Sources and Uses Budget'!$J$99-SUM('15 Year Pro Forma'!$E$62:REL62))</f>
        <v>0</v>
      </c>
      <c r="REO62" s="962">
        <f>MIN(REO60*$C$62,'Sources and Uses Budget'!$J$99-SUM('15 Year Pro Forma'!$E$62:REN62))</f>
        <v>0</v>
      </c>
      <c r="REQ62" s="962">
        <f>MIN(REQ60*$C$62,'Sources and Uses Budget'!$J$99-SUM('15 Year Pro Forma'!$E$62:REP62))</f>
        <v>0</v>
      </c>
      <c r="RES62" s="962">
        <f>MIN(RES60*$C$62,'Sources and Uses Budget'!$J$99-SUM('15 Year Pro Forma'!$E$62:RER62))</f>
        <v>0</v>
      </c>
      <c r="REU62" s="962">
        <f>MIN(REU60*$C$62,'Sources and Uses Budget'!$J$99-SUM('15 Year Pro Forma'!$E$62:RET62))</f>
        <v>0</v>
      </c>
      <c r="REW62" s="962">
        <f>MIN(REW60*$C$62,'Sources and Uses Budget'!$J$99-SUM('15 Year Pro Forma'!$E$62:REV62))</f>
        <v>0</v>
      </c>
      <c r="REY62" s="962">
        <f>MIN(REY60*$C$62,'Sources and Uses Budget'!$J$99-SUM('15 Year Pro Forma'!$E$62:REX62))</f>
        <v>0</v>
      </c>
      <c r="RFA62" s="962">
        <f>MIN(RFA60*$C$62,'Sources and Uses Budget'!$J$99-SUM('15 Year Pro Forma'!$E$62:REZ62))</f>
        <v>0</v>
      </c>
      <c r="RFC62" s="962">
        <f>MIN(RFC60*$C$62,'Sources and Uses Budget'!$J$99-SUM('15 Year Pro Forma'!$E$62:RFB62))</f>
        <v>0</v>
      </c>
      <c r="RFE62" s="962">
        <f>MIN(RFE60*$C$62,'Sources and Uses Budget'!$J$99-SUM('15 Year Pro Forma'!$E$62:RFD62))</f>
        <v>0</v>
      </c>
      <c r="RFG62" s="962">
        <f>MIN(RFG60*$C$62,'Sources and Uses Budget'!$J$99-SUM('15 Year Pro Forma'!$E$62:RFF62))</f>
        <v>0</v>
      </c>
      <c r="RFI62" s="962">
        <f>MIN(RFI60*$C$62,'Sources and Uses Budget'!$J$99-SUM('15 Year Pro Forma'!$E$62:RFH62))</f>
        <v>0</v>
      </c>
      <c r="RFK62" s="962">
        <f>MIN(RFK60*$C$62,'Sources and Uses Budget'!$J$99-SUM('15 Year Pro Forma'!$E$62:RFJ62))</f>
        <v>0</v>
      </c>
      <c r="RFM62" s="962">
        <f>MIN(RFM60*$C$62,'Sources and Uses Budget'!$J$99-SUM('15 Year Pro Forma'!$E$62:RFL62))</f>
        <v>0</v>
      </c>
      <c r="RFO62" s="962">
        <f>MIN(RFO60*$C$62,'Sources and Uses Budget'!$J$99-SUM('15 Year Pro Forma'!$E$62:RFN62))</f>
        <v>0</v>
      </c>
      <c r="RFQ62" s="962">
        <f>MIN(RFQ60*$C$62,'Sources and Uses Budget'!$J$99-SUM('15 Year Pro Forma'!$E$62:RFP62))</f>
        <v>0</v>
      </c>
      <c r="RFS62" s="962">
        <f>MIN(RFS60*$C$62,'Sources and Uses Budget'!$J$99-SUM('15 Year Pro Forma'!$E$62:RFR62))</f>
        <v>0</v>
      </c>
      <c r="RFU62" s="962">
        <f>MIN(RFU60*$C$62,'Sources and Uses Budget'!$J$99-SUM('15 Year Pro Forma'!$E$62:RFT62))</f>
        <v>0</v>
      </c>
      <c r="RFW62" s="962">
        <f>MIN(RFW60*$C$62,'Sources and Uses Budget'!$J$99-SUM('15 Year Pro Forma'!$E$62:RFV62))</f>
        <v>0</v>
      </c>
      <c r="RFY62" s="962">
        <f>MIN(RFY60*$C$62,'Sources and Uses Budget'!$J$99-SUM('15 Year Pro Forma'!$E$62:RFX62))</f>
        <v>0</v>
      </c>
      <c r="RGA62" s="962">
        <f>MIN(RGA60*$C$62,'Sources and Uses Budget'!$J$99-SUM('15 Year Pro Forma'!$E$62:RFZ62))</f>
        <v>0</v>
      </c>
      <c r="RGC62" s="962">
        <f>MIN(RGC60*$C$62,'Sources and Uses Budget'!$J$99-SUM('15 Year Pro Forma'!$E$62:RGB62))</f>
        <v>0</v>
      </c>
      <c r="RGE62" s="962">
        <f>MIN(RGE60*$C$62,'Sources and Uses Budget'!$J$99-SUM('15 Year Pro Forma'!$E$62:RGD62))</f>
        <v>0</v>
      </c>
      <c r="RGG62" s="962">
        <f>MIN(RGG60*$C$62,'Sources and Uses Budget'!$J$99-SUM('15 Year Pro Forma'!$E$62:RGF62))</f>
        <v>0</v>
      </c>
      <c r="RGI62" s="962">
        <f>MIN(RGI60*$C$62,'Sources and Uses Budget'!$J$99-SUM('15 Year Pro Forma'!$E$62:RGH62))</f>
        <v>0</v>
      </c>
      <c r="RGK62" s="962">
        <f>MIN(RGK60*$C$62,'Sources and Uses Budget'!$J$99-SUM('15 Year Pro Forma'!$E$62:RGJ62))</f>
        <v>0</v>
      </c>
      <c r="RGM62" s="962">
        <f>MIN(RGM60*$C$62,'Sources and Uses Budget'!$J$99-SUM('15 Year Pro Forma'!$E$62:RGL62))</f>
        <v>0</v>
      </c>
      <c r="RGO62" s="962">
        <f>MIN(RGO60*$C$62,'Sources and Uses Budget'!$J$99-SUM('15 Year Pro Forma'!$E$62:RGN62))</f>
        <v>0</v>
      </c>
      <c r="RGQ62" s="962">
        <f>MIN(RGQ60*$C$62,'Sources and Uses Budget'!$J$99-SUM('15 Year Pro Forma'!$E$62:RGP62))</f>
        <v>0</v>
      </c>
      <c r="RGS62" s="962">
        <f>MIN(RGS60*$C$62,'Sources and Uses Budget'!$J$99-SUM('15 Year Pro Forma'!$E$62:RGR62))</f>
        <v>0</v>
      </c>
      <c r="RGU62" s="962">
        <f>MIN(RGU60*$C$62,'Sources and Uses Budget'!$J$99-SUM('15 Year Pro Forma'!$E$62:RGT62))</f>
        <v>0</v>
      </c>
      <c r="RGW62" s="962">
        <f>MIN(RGW60*$C$62,'Sources and Uses Budget'!$J$99-SUM('15 Year Pro Forma'!$E$62:RGV62))</f>
        <v>0</v>
      </c>
      <c r="RGY62" s="962">
        <f>MIN(RGY60*$C$62,'Sources and Uses Budget'!$J$99-SUM('15 Year Pro Forma'!$E$62:RGX62))</f>
        <v>0</v>
      </c>
      <c r="RHA62" s="962">
        <f>MIN(RHA60*$C$62,'Sources and Uses Budget'!$J$99-SUM('15 Year Pro Forma'!$E$62:RGZ62))</f>
        <v>0</v>
      </c>
      <c r="RHC62" s="962">
        <f>MIN(RHC60*$C$62,'Sources and Uses Budget'!$J$99-SUM('15 Year Pro Forma'!$E$62:RHB62))</f>
        <v>0</v>
      </c>
      <c r="RHE62" s="962">
        <f>MIN(RHE60*$C$62,'Sources and Uses Budget'!$J$99-SUM('15 Year Pro Forma'!$E$62:RHD62))</f>
        <v>0</v>
      </c>
      <c r="RHG62" s="962">
        <f>MIN(RHG60*$C$62,'Sources and Uses Budget'!$J$99-SUM('15 Year Pro Forma'!$E$62:RHF62))</f>
        <v>0</v>
      </c>
      <c r="RHI62" s="962">
        <f>MIN(RHI60*$C$62,'Sources and Uses Budget'!$J$99-SUM('15 Year Pro Forma'!$E$62:RHH62))</f>
        <v>0</v>
      </c>
      <c r="RHK62" s="962">
        <f>MIN(RHK60*$C$62,'Sources and Uses Budget'!$J$99-SUM('15 Year Pro Forma'!$E$62:RHJ62))</f>
        <v>0</v>
      </c>
      <c r="RHM62" s="962">
        <f>MIN(RHM60*$C$62,'Sources and Uses Budget'!$J$99-SUM('15 Year Pro Forma'!$E$62:RHL62))</f>
        <v>0</v>
      </c>
      <c r="RHO62" s="962">
        <f>MIN(RHO60*$C$62,'Sources and Uses Budget'!$J$99-SUM('15 Year Pro Forma'!$E$62:RHN62))</f>
        <v>0</v>
      </c>
      <c r="RHQ62" s="962">
        <f>MIN(RHQ60*$C$62,'Sources and Uses Budget'!$J$99-SUM('15 Year Pro Forma'!$E$62:RHP62))</f>
        <v>0</v>
      </c>
      <c r="RHS62" s="962">
        <f>MIN(RHS60*$C$62,'Sources and Uses Budget'!$J$99-SUM('15 Year Pro Forma'!$E$62:RHR62))</f>
        <v>0</v>
      </c>
      <c r="RHU62" s="962">
        <f>MIN(RHU60*$C$62,'Sources and Uses Budget'!$J$99-SUM('15 Year Pro Forma'!$E$62:RHT62))</f>
        <v>0</v>
      </c>
      <c r="RHW62" s="962">
        <f>MIN(RHW60*$C$62,'Sources and Uses Budget'!$J$99-SUM('15 Year Pro Forma'!$E$62:RHV62))</f>
        <v>0</v>
      </c>
      <c r="RHY62" s="962">
        <f>MIN(RHY60*$C$62,'Sources and Uses Budget'!$J$99-SUM('15 Year Pro Forma'!$E$62:RHX62))</f>
        <v>0</v>
      </c>
      <c r="RIA62" s="962">
        <f>MIN(RIA60*$C$62,'Sources and Uses Budget'!$J$99-SUM('15 Year Pro Forma'!$E$62:RHZ62))</f>
        <v>0</v>
      </c>
      <c r="RIC62" s="962">
        <f>MIN(RIC60*$C$62,'Sources and Uses Budget'!$J$99-SUM('15 Year Pro Forma'!$E$62:RIB62))</f>
        <v>0</v>
      </c>
      <c r="RIE62" s="962">
        <f>MIN(RIE60*$C$62,'Sources and Uses Budget'!$J$99-SUM('15 Year Pro Forma'!$E$62:RID62))</f>
        <v>0</v>
      </c>
      <c r="RIG62" s="962">
        <f>MIN(RIG60*$C$62,'Sources and Uses Budget'!$J$99-SUM('15 Year Pro Forma'!$E$62:RIF62))</f>
        <v>0</v>
      </c>
      <c r="RII62" s="962">
        <f>MIN(RII60*$C$62,'Sources and Uses Budget'!$J$99-SUM('15 Year Pro Forma'!$E$62:RIH62))</f>
        <v>0</v>
      </c>
      <c r="RIK62" s="962">
        <f>MIN(RIK60*$C$62,'Sources and Uses Budget'!$J$99-SUM('15 Year Pro Forma'!$E$62:RIJ62))</f>
        <v>0</v>
      </c>
      <c r="RIM62" s="962">
        <f>MIN(RIM60*$C$62,'Sources and Uses Budget'!$J$99-SUM('15 Year Pro Forma'!$E$62:RIL62))</f>
        <v>0</v>
      </c>
      <c r="RIO62" s="962">
        <f>MIN(RIO60*$C$62,'Sources and Uses Budget'!$J$99-SUM('15 Year Pro Forma'!$E$62:RIN62))</f>
        <v>0</v>
      </c>
      <c r="RIQ62" s="962">
        <f>MIN(RIQ60*$C$62,'Sources and Uses Budget'!$J$99-SUM('15 Year Pro Forma'!$E$62:RIP62))</f>
        <v>0</v>
      </c>
      <c r="RIS62" s="962">
        <f>MIN(RIS60*$C$62,'Sources and Uses Budget'!$J$99-SUM('15 Year Pro Forma'!$E$62:RIR62))</f>
        <v>0</v>
      </c>
      <c r="RIU62" s="962">
        <f>MIN(RIU60*$C$62,'Sources and Uses Budget'!$J$99-SUM('15 Year Pro Forma'!$E$62:RIT62))</f>
        <v>0</v>
      </c>
      <c r="RIW62" s="962">
        <f>MIN(RIW60*$C$62,'Sources and Uses Budget'!$J$99-SUM('15 Year Pro Forma'!$E$62:RIV62))</f>
        <v>0</v>
      </c>
      <c r="RIY62" s="962">
        <f>MIN(RIY60*$C$62,'Sources and Uses Budget'!$J$99-SUM('15 Year Pro Forma'!$E$62:RIX62))</f>
        <v>0</v>
      </c>
      <c r="RJA62" s="962">
        <f>MIN(RJA60*$C$62,'Sources and Uses Budget'!$J$99-SUM('15 Year Pro Forma'!$E$62:RIZ62))</f>
        <v>0</v>
      </c>
      <c r="RJC62" s="962">
        <f>MIN(RJC60*$C$62,'Sources and Uses Budget'!$J$99-SUM('15 Year Pro Forma'!$E$62:RJB62))</f>
        <v>0</v>
      </c>
      <c r="RJE62" s="962">
        <f>MIN(RJE60*$C$62,'Sources and Uses Budget'!$J$99-SUM('15 Year Pro Forma'!$E$62:RJD62))</f>
        <v>0</v>
      </c>
      <c r="RJG62" s="962">
        <f>MIN(RJG60*$C$62,'Sources and Uses Budget'!$J$99-SUM('15 Year Pro Forma'!$E$62:RJF62))</f>
        <v>0</v>
      </c>
      <c r="RJI62" s="962">
        <f>MIN(RJI60*$C$62,'Sources and Uses Budget'!$J$99-SUM('15 Year Pro Forma'!$E$62:RJH62))</f>
        <v>0</v>
      </c>
      <c r="RJK62" s="962">
        <f>MIN(RJK60*$C$62,'Sources and Uses Budget'!$J$99-SUM('15 Year Pro Forma'!$E$62:RJJ62))</f>
        <v>0</v>
      </c>
      <c r="RJM62" s="962">
        <f>MIN(RJM60*$C$62,'Sources and Uses Budget'!$J$99-SUM('15 Year Pro Forma'!$E$62:RJL62))</f>
        <v>0</v>
      </c>
      <c r="RJO62" s="962">
        <f>MIN(RJO60*$C$62,'Sources and Uses Budget'!$J$99-SUM('15 Year Pro Forma'!$E$62:RJN62))</f>
        <v>0</v>
      </c>
      <c r="RJQ62" s="962">
        <f>MIN(RJQ60*$C$62,'Sources and Uses Budget'!$J$99-SUM('15 Year Pro Forma'!$E$62:RJP62))</f>
        <v>0</v>
      </c>
      <c r="RJS62" s="962">
        <f>MIN(RJS60*$C$62,'Sources and Uses Budget'!$J$99-SUM('15 Year Pro Forma'!$E$62:RJR62))</f>
        <v>0</v>
      </c>
      <c r="RJU62" s="962">
        <f>MIN(RJU60*$C$62,'Sources and Uses Budget'!$J$99-SUM('15 Year Pro Forma'!$E$62:RJT62))</f>
        <v>0</v>
      </c>
      <c r="RJW62" s="962">
        <f>MIN(RJW60*$C$62,'Sources and Uses Budget'!$J$99-SUM('15 Year Pro Forma'!$E$62:RJV62))</f>
        <v>0</v>
      </c>
      <c r="RJY62" s="962">
        <f>MIN(RJY60*$C$62,'Sources and Uses Budget'!$J$99-SUM('15 Year Pro Forma'!$E$62:RJX62))</f>
        <v>0</v>
      </c>
      <c r="RKA62" s="962">
        <f>MIN(RKA60*$C$62,'Sources and Uses Budget'!$J$99-SUM('15 Year Pro Forma'!$E$62:RJZ62))</f>
        <v>0</v>
      </c>
      <c r="RKC62" s="962">
        <f>MIN(RKC60*$C$62,'Sources and Uses Budget'!$J$99-SUM('15 Year Pro Forma'!$E$62:RKB62))</f>
        <v>0</v>
      </c>
      <c r="RKE62" s="962">
        <f>MIN(RKE60*$C$62,'Sources and Uses Budget'!$J$99-SUM('15 Year Pro Forma'!$E$62:RKD62))</f>
        <v>0</v>
      </c>
      <c r="RKG62" s="962">
        <f>MIN(RKG60*$C$62,'Sources and Uses Budget'!$J$99-SUM('15 Year Pro Forma'!$E$62:RKF62))</f>
        <v>0</v>
      </c>
      <c r="RKI62" s="962">
        <f>MIN(RKI60*$C$62,'Sources and Uses Budget'!$J$99-SUM('15 Year Pro Forma'!$E$62:RKH62))</f>
        <v>0</v>
      </c>
      <c r="RKK62" s="962">
        <f>MIN(RKK60*$C$62,'Sources and Uses Budget'!$J$99-SUM('15 Year Pro Forma'!$E$62:RKJ62))</f>
        <v>0</v>
      </c>
      <c r="RKM62" s="962">
        <f>MIN(RKM60*$C$62,'Sources and Uses Budget'!$J$99-SUM('15 Year Pro Forma'!$E$62:RKL62))</f>
        <v>0</v>
      </c>
      <c r="RKO62" s="962">
        <f>MIN(RKO60*$C$62,'Sources and Uses Budget'!$J$99-SUM('15 Year Pro Forma'!$E$62:RKN62))</f>
        <v>0</v>
      </c>
      <c r="RKQ62" s="962">
        <f>MIN(RKQ60*$C$62,'Sources and Uses Budget'!$J$99-SUM('15 Year Pro Forma'!$E$62:RKP62))</f>
        <v>0</v>
      </c>
      <c r="RKS62" s="962">
        <f>MIN(RKS60*$C$62,'Sources and Uses Budget'!$J$99-SUM('15 Year Pro Forma'!$E$62:RKR62))</f>
        <v>0</v>
      </c>
      <c r="RKU62" s="962">
        <f>MIN(RKU60*$C$62,'Sources and Uses Budget'!$J$99-SUM('15 Year Pro Forma'!$E$62:RKT62))</f>
        <v>0</v>
      </c>
      <c r="RKW62" s="962">
        <f>MIN(RKW60*$C$62,'Sources and Uses Budget'!$J$99-SUM('15 Year Pro Forma'!$E$62:RKV62))</f>
        <v>0</v>
      </c>
      <c r="RKY62" s="962">
        <f>MIN(RKY60*$C$62,'Sources and Uses Budget'!$J$99-SUM('15 Year Pro Forma'!$E$62:RKX62))</f>
        <v>0</v>
      </c>
      <c r="RLA62" s="962">
        <f>MIN(RLA60*$C$62,'Sources and Uses Budget'!$J$99-SUM('15 Year Pro Forma'!$E$62:RKZ62))</f>
        <v>0</v>
      </c>
      <c r="RLC62" s="962">
        <f>MIN(RLC60*$C$62,'Sources and Uses Budget'!$J$99-SUM('15 Year Pro Forma'!$E$62:RLB62))</f>
        <v>0</v>
      </c>
      <c r="RLE62" s="962">
        <f>MIN(RLE60*$C$62,'Sources and Uses Budget'!$J$99-SUM('15 Year Pro Forma'!$E$62:RLD62))</f>
        <v>0</v>
      </c>
      <c r="RLG62" s="962">
        <f>MIN(RLG60*$C$62,'Sources and Uses Budget'!$J$99-SUM('15 Year Pro Forma'!$E$62:RLF62))</f>
        <v>0</v>
      </c>
      <c r="RLI62" s="962">
        <f>MIN(RLI60*$C$62,'Sources and Uses Budget'!$J$99-SUM('15 Year Pro Forma'!$E$62:RLH62))</f>
        <v>0</v>
      </c>
      <c r="RLK62" s="962">
        <f>MIN(RLK60*$C$62,'Sources and Uses Budget'!$J$99-SUM('15 Year Pro Forma'!$E$62:RLJ62))</f>
        <v>0</v>
      </c>
      <c r="RLM62" s="962">
        <f>MIN(RLM60*$C$62,'Sources and Uses Budget'!$J$99-SUM('15 Year Pro Forma'!$E$62:RLL62))</f>
        <v>0</v>
      </c>
      <c r="RLO62" s="962">
        <f>MIN(RLO60*$C$62,'Sources and Uses Budget'!$J$99-SUM('15 Year Pro Forma'!$E$62:RLN62))</f>
        <v>0</v>
      </c>
      <c r="RLQ62" s="962">
        <f>MIN(RLQ60*$C$62,'Sources and Uses Budget'!$J$99-SUM('15 Year Pro Forma'!$E$62:RLP62))</f>
        <v>0</v>
      </c>
      <c r="RLS62" s="962">
        <f>MIN(RLS60*$C$62,'Sources and Uses Budget'!$J$99-SUM('15 Year Pro Forma'!$E$62:RLR62))</f>
        <v>0</v>
      </c>
      <c r="RLU62" s="962">
        <f>MIN(RLU60*$C$62,'Sources and Uses Budget'!$J$99-SUM('15 Year Pro Forma'!$E$62:RLT62))</f>
        <v>0</v>
      </c>
      <c r="RLW62" s="962">
        <f>MIN(RLW60*$C$62,'Sources and Uses Budget'!$J$99-SUM('15 Year Pro Forma'!$E$62:RLV62))</f>
        <v>0</v>
      </c>
      <c r="RLY62" s="962">
        <f>MIN(RLY60*$C$62,'Sources and Uses Budget'!$J$99-SUM('15 Year Pro Forma'!$E$62:RLX62))</f>
        <v>0</v>
      </c>
      <c r="RMA62" s="962">
        <f>MIN(RMA60*$C$62,'Sources and Uses Budget'!$J$99-SUM('15 Year Pro Forma'!$E$62:RLZ62))</f>
        <v>0</v>
      </c>
      <c r="RMC62" s="962">
        <f>MIN(RMC60*$C$62,'Sources and Uses Budget'!$J$99-SUM('15 Year Pro Forma'!$E$62:RMB62))</f>
        <v>0</v>
      </c>
      <c r="RME62" s="962">
        <f>MIN(RME60*$C$62,'Sources and Uses Budget'!$J$99-SUM('15 Year Pro Forma'!$E$62:RMD62))</f>
        <v>0</v>
      </c>
      <c r="RMG62" s="962">
        <f>MIN(RMG60*$C$62,'Sources and Uses Budget'!$J$99-SUM('15 Year Pro Forma'!$E$62:RMF62))</f>
        <v>0</v>
      </c>
      <c r="RMI62" s="962">
        <f>MIN(RMI60*$C$62,'Sources and Uses Budget'!$J$99-SUM('15 Year Pro Forma'!$E$62:RMH62))</f>
        <v>0</v>
      </c>
      <c r="RMK62" s="962">
        <f>MIN(RMK60*$C$62,'Sources and Uses Budget'!$J$99-SUM('15 Year Pro Forma'!$E$62:RMJ62))</f>
        <v>0</v>
      </c>
      <c r="RMM62" s="962">
        <f>MIN(RMM60*$C$62,'Sources and Uses Budget'!$J$99-SUM('15 Year Pro Forma'!$E$62:RML62))</f>
        <v>0</v>
      </c>
      <c r="RMO62" s="962">
        <f>MIN(RMO60*$C$62,'Sources and Uses Budget'!$J$99-SUM('15 Year Pro Forma'!$E$62:RMN62))</f>
        <v>0</v>
      </c>
      <c r="RMQ62" s="962">
        <f>MIN(RMQ60*$C$62,'Sources and Uses Budget'!$J$99-SUM('15 Year Pro Forma'!$E$62:RMP62))</f>
        <v>0</v>
      </c>
      <c r="RMS62" s="962">
        <f>MIN(RMS60*$C$62,'Sources and Uses Budget'!$J$99-SUM('15 Year Pro Forma'!$E$62:RMR62))</f>
        <v>0</v>
      </c>
      <c r="RMU62" s="962">
        <f>MIN(RMU60*$C$62,'Sources and Uses Budget'!$J$99-SUM('15 Year Pro Forma'!$E$62:RMT62))</f>
        <v>0</v>
      </c>
      <c r="RMW62" s="962">
        <f>MIN(RMW60*$C$62,'Sources and Uses Budget'!$J$99-SUM('15 Year Pro Forma'!$E$62:RMV62))</f>
        <v>0</v>
      </c>
      <c r="RMY62" s="962">
        <f>MIN(RMY60*$C$62,'Sources and Uses Budget'!$J$99-SUM('15 Year Pro Forma'!$E$62:RMX62))</f>
        <v>0</v>
      </c>
      <c r="RNA62" s="962">
        <f>MIN(RNA60*$C$62,'Sources and Uses Budget'!$J$99-SUM('15 Year Pro Forma'!$E$62:RMZ62))</f>
        <v>0</v>
      </c>
      <c r="RNC62" s="962">
        <f>MIN(RNC60*$C$62,'Sources and Uses Budget'!$J$99-SUM('15 Year Pro Forma'!$E$62:RNB62))</f>
        <v>0</v>
      </c>
      <c r="RNE62" s="962">
        <f>MIN(RNE60*$C$62,'Sources and Uses Budget'!$J$99-SUM('15 Year Pro Forma'!$E$62:RND62))</f>
        <v>0</v>
      </c>
      <c r="RNG62" s="962">
        <f>MIN(RNG60*$C$62,'Sources and Uses Budget'!$J$99-SUM('15 Year Pro Forma'!$E$62:RNF62))</f>
        <v>0</v>
      </c>
      <c r="RNI62" s="962">
        <f>MIN(RNI60*$C$62,'Sources and Uses Budget'!$J$99-SUM('15 Year Pro Forma'!$E$62:RNH62))</f>
        <v>0</v>
      </c>
      <c r="RNK62" s="962">
        <f>MIN(RNK60*$C$62,'Sources and Uses Budget'!$J$99-SUM('15 Year Pro Forma'!$E$62:RNJ62))</f>
        <v>0</v>
      </c>
      <c r="RNM62" s="962">
        <f>MIN(RNM60*$C$62,'Sources and Uses Budget'!$J$99-SUM('15 Year Pro Forma'!$E$62:RNL62))</f>
        <v>0</v>
      </c>
      <c r="RNO62" s="962">
        <f>MIN(RNO60*$C$62,'Sources and Uses Budget'!$J$99-SUM('15 Year Pro Forma'!$E$62:RNN62))</f>
        <v>0</v>
      </c>
      <c r="RNQ62" s="962">
        <f>MIN(RNQ60*$C$62,'Sources and Uses Budget'!$J$99-SUM('15 Year Pro Forma'!$E$62:RNP62))</f>
        <v>0</v>
      </c>
      <c r="RNS62" s="962">
        <f>MIN(RNS60*$C$62,'Sources and Uses Budget'!$J$99-SUM('15 Year Pro Forma'!$E$62:RNR62))</f>
        <v>0</v>
      </c>
      <c r="RNU62" s="962">
        <f>MIN(RNU60*$C$62,'Sources and Uses Budget'!$J$99-SUM('15 Year Pro Forma'!$E$62:RNT62))</f>
        <v>0</v>
      </c>
      <c r="RNW62" s="962">
        <f>MIN(RNW60*$C$62,'Sources and Uses Budget'!$J$99-SUM('15 Year Pro Forma'!$E$62:RNV62))</f>
        <v>0</v>
      </c>
      <c r="RNY62" s="962">
        <f>MIN(RNY60*$C$62,'Sources and Uses Budget'!$J$99-SUM('15 Year Pro Forma'!$E$62:RNX62))</f>
        <v>0</v>
      </c>
      <c r="ROA62" s="962">
        <f>MIN(ROA60*$C$62,'Sources and Uses Budget'!$J$99-SUM('15 Year Pro Forma'!$E$62:RNZ62))</f>
        <v>0</v>
      </c>
      <c r="ROC62" s="962">
        <f>MIN(ROC60*$C$62,'Sources and Uses Budget'!$J$99-SUM('15 Year Pro Forma'!$E$62:ROB62))</f>
        <v>0</v>
      </c>
      <c r="ROE62" s="962">
        <f>MIN(ROE60*$C$62,'Sources and Uses Budget'!$J$99-SUM('15 Year Pro Forma'!$E$62:ROD62))</f>
        <v>0</v>
      </c>
      <c r="ROG62" s="962">
        <f>MIN(ROG60*$C$62,'Sources and Uses Budget'!$J$99-SUM('15 Year Pro Forma'!$E$62:ROF62))</f>
        <v>0</v>
      </c>
      <c r="ROI62" s="962">
        <f>MIN(ROI60*$C$62,'Sources and Uses Budget'!$J$99-SUM('15 Year Pro Forma'!$E$62:ROH62))</f>
        <v>0</v>
      </c>
      <c r="ROK62" s="962">
        <f>MIN(ROK60*$C$62,'Sources and Uses Budget'!$J$99-SUM('15 Year Pro Forma'!$E$62:ROJ62))</f>
        <v>0</v>
      </c>
      <c r="ROM62" s="962">
        <f>MIN(ROM60*$C$62,'Sources and Uses Budget'!$J$99-SUM('15 Year Pro Forma'!$E$62:ROL62))</f>
        <v>0</v>
      </c>
      <c r="ROO62" s="962">
        <f>MIN(ROO60*$C$62,'Sources and Uses Budget'!$J$99-SUM('15 Year Pro Forma'!$E$62:RON62))</f>
        <v>0</v>
      </c>
      <c r="ROQ62" s="962">
        <f>MIN(ROQ60*$C$62,'Sources and Uses Budget'!$J$99-SUM('15 Year Pro Forma'!$E$62:ROP62))</f>
        <v>0</v>
      </c>
      <c r="ROS62" s="962">
        <f>MIN(ROS60*$C$62,'Sources and Uses Budget'!$J$99-SUM('15 Year Pro Forma'!$E$62:ROR62))</f>
        <v>0</v>
      </c>
      <c r="ROU62" s="962">
        <f>MIN(ROU60*$C$62,'Sources and Uses Budget'!$J$99-SUM('15 Year Pro Forma'!$E$62:ROT62))</f>
        <v>0</v>
      </c>
      <c r="ROW62" s="962">
        <f>MIN(ROW60*$C$62,'Sources and Uses Budget'!$J$99-SUM('15 Year Pro Forma'!$E$62:ROV62))</f>
        <v>0</v>
      </c>
      <c r="ROY62" s="962">
        <f>MIN(ROY60*$C$62,'Sources and Uses Budget'!$J$99-SUM('15 Year Pro Forma'!$E$62:ROX62))</f>
        <v>0</v>
      </c>
      <c r="RPA62" s="962">
        <f>MIN(RPA60*$C$62,'Sources and Uses Budget'!$J$99-SUM('15 Year Pro Forma'!$E$62:ROZ62))</f>
        <v>0</v>
      </c>
      <c r="RPC62" s="962">
        <f>MIN(RPC60*$C$62,'Sources and Uses Budget'!$J$99-SUM('15 Year Pro Forma'!$E$62:RPB62))</f>
        <v>0</v>
      </c>
      <c r="RPE62" s="962">
        <f>MIN(RPE60*$C$62,'Sources and Uses Budget'!$J$99-SUM('15 Year Pro Forma'!$E$62:RPD62))</f>
        <v>0</v>
      </c>
      <c r="RPG62" s="962">
        <f>MIN(RPG60*$C$62,'Sources and Uses Budget'!$J$99-SUM('15 Year Pro Forma'!$E$62:RPF62))</f>
        <v>0</v>
      </c>
      <c r="RPI62" s="962">
        <f>MIN(RPI60*$C$62,'Sources and Uses Budget'!$J$99-SUM('15 Year Pro Forma'!$E$62:RPH62))</f>
        <v>0</v>
      </c>
      <c r="RPK62" s="962">
        <f>MIN(RPK60*$C$62,'Sources and Uses Budget'!$J$99-SUM('15 Year Pro Forma'!$E$62:RPJ62))</f>
        <v>0</v>
      </c>
      <c r="RPM62" s="962">
        <f>MIN(RPM60*$C$62,'Sources and Uses Budget'!$J$99-SUM('15 Year Pro Forma'!$E$62:RPL62))</f>
        <v>0</v>
      </c>
      <c r="RPO62" s="962">
        <f>MIN(RPO60*$C$62,'Sources and Uses Budget'!$J$99-SUM('15 Year Pro Forma'!$E$62:RPN62))</f>
        <v>0</v>
      </c>
      <c r="RPQ62" s="962">
        <f>MIN(RPQ60*$C$62,'Sources and Uses Budget'!$J$99-SUM('15 Year Pro Forma'!$E$62:RPP62))</f>
        <v>0</v>
      </c>
      <c r="RPS62" s="962">
        <f>MIN(RPS60*$C$62,'Sources and Uses Budget'!$J$99-SUM('15 Year Pro Forma'!$E$62:RPR62))</f>
        <v>0</v>
      </c>
      <c r="RPU62" s="962">
        <f>MIN(RPU60*$C$62,'Sources and Uses Budget'!$J$99-SUM('15 Year Pro Forma'!$E$62:RPT62))</f>
        <v>0</v>
      </c>
      <c r="RPW62" s="962">
        <f>MIN(RPW60*$C$62,'Sources and Uses Budget'!$J$99-SUM('15 Year Pro Forma'!$E$62:RPV62))</f>
        <v>0</v>
      </c>
      <c r="RPY62" s="962">
        <f>MIN(RPY60*$C$62,'Sources and Uses Budget'!$J$99-SUM('15 Year Pro Forma'!$E$62:RPX62))</f>
        <v>0</v>
      </c>
      <c r="RQA62" s="962">
        <f>MIN(RQA60*$C$62,'Sources and Uses Budget'!$J$99-SUM('15 Year Pro Forma'!$E$62:RPZ62))</f>
        <v>0</v>
      </c>
      <c r="RQC62" s="962">
        <f>MIN(RQC60*$C$62,'Sources and Uses Budget'!$J$99-SUM('15 Year Pro Forma'!$E$62:RQB62))</f>
        <v>0</v>
      </c>
      <c r="RQE62" s="962">
        <f>MIN(RQE60*$C$62,'Sources and Uses Budget'!$J$99-SUM('15 Year Pro Forma'!$E$62:RQD62))</f>
        <v>0</v>
      </c>
      <c r="RQG62" s="962">
        <f>MIN(RQG60*$C$62,'Sources and Uses Budget'!$J$99-SUM('15 Year Pro Forma'!$E$62:RQF62))</f>
        <v>0</v>
      </c>
      <c r="RQI62" s="962">
        <f>MIN(RQI60*$C$62,'Sources and Uses Budget'!$J$99-SUM('15 Year Pro Forma'!$E$62:RQH62))</f>
        <v>0</v>
      </c>
      <c r="RQK62" s="962">
        <f>MIN(RQK60*$C$62,'Sources and Uses Budget'!$J$99-SUM('15 Year Pro Forma'!$E$62:RQJ62))</f>
        <v>0</v>
      </c>
      <c r="RQM62" s="962">
        <f>MIN(RQM60*$C$62,'Sources and Uses Budget'!$J$99-SUM('15 Year Pro Forma'!$E$62:RQL62))</f>
        <v>0</v>
      </c>
      <c r="RQO62" s="962">
        <f>MIN(RQO60*$C$62,'Sources and Uses Budget'!$J$99-SUM('15 Year Pro Forma'!$E$62:RQN62))</f>
        <v>0</v>
      </c>
      <c r="RQQ62" s="962">
        <f>MIN(RQQ60*$C$62,'Sources and Uses Budget'!$J$99-SUM('15 Year Pro Forma'!$E$62:RQP62))</f>
        <v>0</v>
      </c>
      <c r="RQS62" s="962">
        <f>MIN(RQS60*$C$62,'Sources and Uses Budget'!$J$99-SUM('15 Year Pro Forma'!$E$62:RQR62))</f>
        <v>0</v>
      </c>
      <c r="RQU62" s="962">
        <f>MIN(RQU60*$C$62,'Sources and Uses Budget'!$J$99-SUM('15 Year Pro Forma'!$E$62:RQT62))</f>
        <v>0</v>
      </c>
      <c r="RQW62" s="962">
        <f>MIN(RQW60*$C$62,'Sources and Uses Budget'!$J$99-SUM('15 Year Pro Forma'!$E$62:RQV62))</f>
        <v>0</v>
      </c>
      <c r="RQY62" s="962">
        <f>MIN(RQY60*$C$62,'Sources and Uses Budget'!$J$99-SUM('15 Year Pro Forma'!$E$62:RQX62))</f>
        <v>0</v>
      </c>
      <c r="RRA62" s="962">
        <f>MIN(RRA60*$C$62,'Sources and Uses Budget'!$J$99-SUM('15 Year Pro Forma'!$E$62:RQZ62))</f>
        <v>0</v>
      </c>
      <c r="RRC62" s="962">
        <f>MIN(RRC60*$C$62,'Sources and Uses Budget'!$J$99-SUM('15 Year Pro Forma'!$E$62:RRB62))</f>
        <v>0</v>
      </c>
      <c r="RRE62" s="962">
        <f>MIN(RRE60*$C$62,'Sources and Uses Budget'!$J$99-SUM('15 Year Pro Forma'!$E$62:RRD62))</f>
        <v>0</v>
      </c>
      <c r="RRG62" s="962">
        <f>MIN(RRG60*$C$62,'Sources and Uses Budget'!$J$99-SUM('15 Year Pro Forma'!$E$62:RRF62))</f>
        <v>0</v>
      </c>
      <c r="RRI62" s="962">
        <f>MIN(RRI60*$C$62,'Sources and Uses Budget'!$J$99-SUM('15 Year Pro Forma'!$E$62:RRH62))</f>
        <v>0</v>
      </c>
      <c r="RRK62" s="962">
        <f>MIN(RRK60*$C$62,'Sources and Uses Budget'!$J$99-SUM('15 Year Pro Forma'!$E$62:RRJ62))</f>
        <v>0</v>
      </c>
      <c r="RRM62" s="962">
        <f>MIN(RRM60*$C$62,'Sources and Uses Budget'!$J$99-SUM('15 Year Pro Forma'!$E$62:RRL62))</f>
        <v>0</v>
      </c>
      <c r="RRO62" s="962">
        <f>MIN(RRO60*$C$62,'Sources and Uses Budget'!$J$99-SUM('15 Year Pro Forma'!$E$62:RRN62))</f>
        <v>0</v>
      </c>
      <c r="RRQ62" s="962">
        <f>MIN(RRQ60*$C$62,'Sources and Uses Budget'!$J$99-SUM('15 Year Pro Forma'!$E$62:RRP62))</f>
        <v>0</v>
      </c>
      <c r="RRS62" s="962">
        <f>MIN(RRS60*$C$62,'Sources and Uses Budget'!$J$99-SUM('15 Year Pro Forma'!$E$62:RRR62))</f>
        <v>0</v>
      </c>
      <c r="RRU62" s="962">
        <f>MIN(RRU60*$C$62,'Sources and Uses Budget'!$J$99-SUM('15 Year Pro Forma'!$E$62:RRT62))</f>
        <v>0</v>
      </c>
      <c r="RRW62" s="962">
        <f>MIN(RRW60*$C$62,'Sources and Uses Budget'!$J$99-SUM('15 Year Pro Forma'!$E$62:RRV62))</f>
        <v>0</v>
      </c>
      <c r="RRY62" s="962">
        <f>MIN(RRY60*$C$62,'Sources and Uses Budget'!$J$99-SUM('15 Year Pro Forma'!$E$62:RRX62))</f>
        <v>0</v>
      </c>
      <c r="RSA62" s="962">
        <f>MIN(RSA60*$C$62,'Sources and Uses Budget'!$J$99-SUM('15 Year Pro Forma'!$E$62:RRZ62))</f>
        <v>0</v>
      </c>
      <c r="RSC62" s="962">
        <f>MIN(RSC60*$C$62,'Sources and Uses Budget'!$J$99-SUM('15 Year Pro Forma'!$E$62:RSB62))</f>
        <v>0</v>
      </c>
      <c r="RSE62" s="962">
        <f>MIN(RSE60*$C$62,'Sources and Uses Budget'!$J$99-SUM('15 Year Pro Forma'!$E$62:RSD62))</f>
        <v>0</v>
      </c>
      <c r="RSG62" s="962">
        <f>MIN(RSG60*$C$62,'Sources and Uses Budget'!$J$99-SUM('15 Year Pro Forma'!$E$62:RSF62))</f>
        <v>0</v>
      </c>
      <c r="RSI62" s="962">
        <f>MIN(RSI60*$C$62,'Sources and Uses Budget'!$J$99-SUM('15 Year Pro Forma'!$E$62:RSH62))</f>
        <v>0</v>
      </c>
      <c r="RSK62" s="962">
        <f>MIN(RSK60*$C$62,'Sources and Uses Budget'!$J$99-SUM('15 Year Pro Forma'!$E$62:RSJ62))</f>
        <v>0</v>
      </c>
      <c r="RSM62" s="962">
        <f>MIN(RSM60*$C$62,'Sources and Uses Budget'!$J$99-SUM('15 Year Pro Forma'!$E$62:RSL62))</f>
        <v>0</v>
      </c>
      <c r="RSO62" s="962">
        <f>MIN(RSO60*$C$62,'Sources and Uses Budget'!$J$99-SUM('15 Year Pro Forma'!$E$62:RSN62))</f>
        <v>0</v>
      </c>
      <c r="RSQ62" s="962">
        <f>MIN(RSQ60*$C$62,'Sources and Uses Budget'!$J$99-SUM('15 Year Pro Forma'!$E$62:RSP62))</f>
        <v>0</v>
      </c>
      <c r="RSS62" s="962">
        <f>MIN(RSS60*$C$62,'Sources and Uses Budget'!$J$99-SUM('15 Year Pro Forma'!$E$62:RSR62))</f>
        <v>0</v>
      </c>
      <c r="RSU62" s="962">
        <f>MIN(RSU60*$C$62,'Sources and Uses Budget'!$J$99-SUM('15 Year Pro Forma'!$E$62:RST62))</f>
        <v>0</v>
      </c>
      <c r="RSW62" s="962">
        <f>MIN(RSW60*$C$62,'Sources and Uses Budget'!$J$99-SUM('15 Year Pro Forma'!$E$62:RSV62))</f>
        <v>0</v>
      </c>
      <c r="RSY62" s="962">
        <f>MIN(RSY60*$C$62,'Sources and Uses Budget'!$J$99-SUM('15 Year Pro Forma'!$E$62:RSX62))</f>
        <v>0</v>
      </c>
      <c r="RTA62" s="962">
        <f>MIN(RTA60*$C$62,'Sources and Uses Budget'!$J$99-SUM('15 Year Pro Forma'!$E$62:RSZ62))</f>
        <v>0</v>
      </c>
      <c r="RTC62" s="962">
        <f>MIN(RTC60*$C$62,'Sources and Uses Budget'!$J$99-SUM('15 Year Pro Forma'!$E$62:RTB62))</f>
        <v>0</v>
      </c>
      <c r="RTE62" s="962">
        <f>MIN(RTE60*$C$62,'Sources and Uses Budget'!$J$99-SUM('15 Year Pro Forma'!$E$62:RTD62))</f>
        <v>0</v>
      </c>
      <c r="RTG62" s="962">
        <f>MIN(RTG60*$C$62,'Sources and Uses Budget'!$J$99-SUM('15 Year Pro Forma'!$E$62:RTF62))</f>
        <v>0</v>
      </c>
      <c r="RTI62" s="962">
        <f>MIN(RTI60*$C$62,'Sources and Uses Budget'!$J$99-SUM('15 Year Pro Forma'!$E$62:RTH62))</f>
        <v>0</v>
      </c>
      <c r="RTK62" s="962">
        <f>MIN(RTK60*$C$62,'Sources and Uses Budget'!$J$99-SUM('15 Year Pro Forma'!$E$62:RTJ62))</f>
        <v>0</v>
      </c>
      <c r="RTM62" s="962">
        <f>MIN(RTM60*$C$62,'Sources and Uses Budget'!$J$99-SUM('15 Year Pro Forma'!$E$62:RTL62))</f>
        <v>0</v>
      </c>
      <c r="RTO62" s="962">
        <f>MIN(RTO60*$C$62,'Sources and Uses Budget'!$J$99-SUM('15 Year Pro Forma'!$E$62:RTN62))</f>
        <v>0</v>
      </c>
      <c r="RTQ62" s="962">
        <f>MIN(RTQ60*$C$62,'Sources and Uses Budget'!$J$99-SUM('15 Year Pro Forma'!$E$62:RTP62))</f>
        <v>0</v>
      </c>
      <c r="RTS62" s="962">
        <f>MIN(RTS60*$C$62,'Sources and Uses Budget'!$J$99-SUM('15 Year Pro Forma'!$E$62:RTR62))</f>
        <v>0</v>
      </c>
      <c r="RTU62" s="962">
        <f>MIN(RTU60*$C$62,'Sources and Uses Budget'!$J$99-SUM('15 Year Pro Forma'!$E$62:RTT62))</f>
        <v>0</v>
      </c>
      <c r="RTW62" s="962">
        <f>MIN(RTW60*$C$62,'Sources and Uses Budget'!$J$99-SUM('15 Year Pro Forma'!$E$62:RTV62))</f>
        <v>0</v>
      </c>
      <c r="RTY62" s="962">
        <f>MIN(RTY60*$C$62,'Sources and Uses Budget'!$J$99-SUM('15 Year Pro Forma'!$E$62:RTX62))</f>
        <v>0</v>
      </c>
      <c r="RUA62" s="962">
        <f>MIN(RUA60*$C$62,'Sources and Uses Budget'!$J$99-SUM('15 Year Pro Forma'!$E$62:RTZ62))</f>
        <v>0</v>
      </c>
      <c r="RUC62" s="962">
        <f>MIN(RUC60*$C$62,'Sources and Uses Budget'!$J$99-SUM('15 Year Pro Forma'!$E$62:RUB62))</f>
        <v>0</v>
      </c>
      <c r="RUE62" s="962">
        <f>MIN(RUE60*$C$62,'Sources and Uses Budget'!$J$99-SUM('15 Year Pro Forma'!$E$62:RUD62))</f>
        <v>0</v>
      </c>
      <c r="RUG62" s="962">
        <f>MIN(RUG60*$C$62,'Sources and Uses Budget'!$J$99-SUM('15 Year Pro Forma'!$E$62:RUF62))</f>
        <v>0</v>
      </c>
      <c r="RUI62" s="962">
        <f>MIN(RUI60*$C$62,'Sources and Uses Budget'!$J$99-SUM('15 Year Pro Forma'!$E$62:RUH62))</f>
        <v>0</v>
      </c>
      <c r="RUK62" s="962">
        <f>MIN(RUK60*$C$62,'Sources and Uses Budget'!$J$99-SUM('15 Year Pro Forma'!$E$62:RUJ62))</f>
        <v>0</v>
      </c>
      <c r="RUM62" s="962">
        <f>MIN(RUM60*$C$62,'Sources and Uses Budget'!$J$99-SUM('15 Year Pro Forma'!$E$62:RUL62))</f>
        <v>0</v>
      </c>
      <c r="RUO62" s="962">
        <f>MIN(RUO60*$C$62,'Sources and Uses Budget'!$J$99-SUM('15 Year Pro Forma'!$E$62:RUN62))</f>
        <v>0</v>
      </c>
      <c r="RUQ62" s="962">
        <f>MIN(RUQ60*$C$62,'Sources and Uses Budget'!$J$99-SUM('15 Year Pro Forma'!$E$62:RUP62))</f>
        <v>0</v>
      </c>
      <c r="RUS62" s="962">
        <f>MIN(RUS60*$C$62,'Sources and Uses Budget'!$J$99-SUM('15 Year Pro Forma'!$E$62:RUR62))</f>
        <v>0</v>
      </c>
      <c r="RUU62" s="962">
        <f>MIN(RUU60*$C$62,'Sources and Uses Budget'!$J$99-SUM('15 Year Pro Forma'!$E$62:RUT62))</f>
        <v>0</v>
      </c>
      <c r="RUW62" s="962">
        <f>MIN(RUW60*$C$62,'Sources and Uses Budget'!$J$99-SUM('15 Year Pro Forma'!$E$62:RUV62))</f>
        <v>0</v>
      </c>
      <c r="RUY62" s="962">
        <f>MIN(RUY60*$C$62,'Sources and Uses Budget'!$J$99-SUM('15 Year Pro Forma'!$E$62:RUX62))</f>
        <v>0</v>
      </c>
      <c r="RVA62" s="962">
        <f>MIN(RVA60*$C$62,'Sources and Uses Budget'!$J$99-SUM('15 Year Pro Forma'!$E$62:RUZ62))</f>
        <v>0</v>
      </c>
      <c r="RVC62" s="962">
        <f>MIN(RVC60*$C$62,'Sources and Uses Budget'!$J$99-SUM('15 Year Pro Forma'!$E$62:RVB62))</f>
        <v>0</v>
      </c>
      <c r="RVE62" s="962">
        <f>MIN(RVE60*$C$62,'Sources and Uses Budget'!$J$99-SUM('15 Year Pro Forma'!$E$62:RVD62))</f>
        <v>0</v>
      </c>
      <c r="RVG62" s="962">
        <f>MIN(RVG60*$C$62,'Sources and Uses Budget'!$J$99-SUM('15 Year Pro Forma'!$E$62:RVF62))</f>
        <v>0</v>
      </c>
      <c r="RVI62" s="962">
        <f>MIN(RVI60*$C$62,'Sources and Uses Budget'!$J$99-SUM('15 Year Pro Forma'!$E$62:RVH62))</f>
        <v>0</v>
      </c>
      <c r="RVK62" s="962">
        <f>MIN(RVK60*$C$62,'Sources and Uses Budget'!$J$99-SUM('15 Year Pro Forma'!$E$62:RVJ62))</f>
        <v>0</v>
      </c>
      <c r="RVM62" s="962">
        <f>MIN(RVM60*$C$62,'Sources and Uses Budget'!$J$99-SUM('15 Year Pro Forma'!$E$62:RVL62))</f>
        <v>0</v>
      </c>
      <c r="RVO62" s="962">
        <f>MIN(RVO60*$C$62,'Sources and Uses Budget'!$J$99-SUM('15 Year Pro Forma'!$E$62:RVN62))</f>
        <v>0</v>
      </c>
      <c r="RVQ62" s="962">
        <f>MIN(RVQ60*$C$62,'Sources and Uses Budget'!$J$99-SUM('15 Year Pro Forma'!$E$62:RVP62))</f>
        <v>0</v>
      </c>
      <c r="RVS62" s="962">
        <f>MIN(RVS60*$C$62,'Sources and Uses Budget'!$J$99-SUM('15 Year Pro Forma'!$E$62:RVR62))</f>
        <v>0</v>
      </c>
      <c r="RVU62" s="962">
        <f>MIN(RVU60*$C$62,'Sources and Uses Budget'!$J$99-SUM('15 Year Pro Forma'!$E$62:RVT62))</f>
        <v>0</v>
      </c>
      <c r="RVW62" s="962">
        <f>MIN(RVW60*$C$62,'Sources and Uses Budget'!$J$99-SUM('15 Year Pro Forma'!$E$62:RVV62))</f>
        <v>0</v>
      </c>
      <c r="RVY62" s="962">
        <f>MIN(RVY60*$C$62,'Sources and Uses Budget'!$J$99-SUM('15 Year Pro Forma'!$E$62:RVX62))</f>
        <v>0</v>
      </c>
      <c r="RWA62" s="962">
        <f>MIN(RWA60*$C$62,'Sources and Uses Budget'!$J$99-SUM('15 Year Pro Forma'!$E$62:RVZ62))</f>
        <v>0</v>
      </c>
      <c r="RWC62" s="962">
        <f>MIN(RWC60*$C$62,'Sources and Uses Budget'!$J$99-SUM('15 Year Pro Forma'!$E$62:RWB62))</f>
        <v>0</v>
      </c>
      <c r="RWE62" s="962">
        <f>MIN(RWE60*$C$62,'Sources and Uses Budget'!$J$99-SUM('15 Year Pro Forma'!$E$62:RWD62))</f>
        <v>0</v>
      </c>
      <c r="RWG62" s="962">
        <f>MIN(RWG60*$C$62,'Sources and Uses Budget'!$J$99-SUM('15 Year Pro Forma'!$E$62:RWF62))</f>
        <v>0</v>
      </c>
      <c r="RWI62" s="962">
        <f>MIN(RWI60*$C$62,'Sources and Uses Budget'!$J$99-SUM('15 Year Pro Forma'!$E$62:RWH62))</f>
        <v>0</v>
      </c>
      <c r="RWK62" s="962">
        <f>MIN(RWK60*$C$62,'Sources and Uses Budget'!$J$99-SUM('15 Year Pro Forma'!$E$62:RWJ62))</f>
        <v>0</v>
      </c>
      <c r="RWM62" s="962">
        <f>MIN(RWM60*$C$62,'Sources and Uses Budget'!$J$99-SUM('15 Year Pro Forma'!$E$62:RWL62))</f>
        <v>0</v>
      </c>
      <c r="RWO62" s="962">
        <f>MIN(RWO60*$C$62,'Sources and Uses Budget'!$J$99-SUM('15 Year Pro Forma'!$E$62:RWN62))</f>
        <v>0</v>
      </c>
      <c r="RWQ62" s="962">
        <f>MIN(RWQ60*$C$62,'Sources and Uses Budget'!$J$99-SUM('15 Year Pro Forma'!$E$62:RWP62))</f>
        <v>0</v>
      </c>
      <c r="RWS62" s="962">
        <f>MIN(RWS60*$C$62,'Sources and Uses Budget'!$J$99-SUM('15 Year Pro Forma'!$E$62:RWR62))</f>
        <v>0</v>
      </c>
      <c r="RWU62" s="962">
        <f>MIN(RWU60*$C$62,'Sources and Uses Budget'!$J$99-SUM('15 Year Pro Forma'!$E$62:RWT62))</f>
        <v>0</v>
      </c>
      <c r="RWW62" s="962">
        <f>MIN(RWW60*$C$62,'Sources and Uses Budget'!$J$99-SUM('15 Year Pro Forma'!$E$62:RWV62))</f>
        <v>0</v>
      </c>
      <c r="RWY62" s="962">
        <f>MIN(RWY60*$C$62,'Sources and Uses Budget'!$J$99-SUM('15 Year Pro Forma'!$E$62:RWX62))</f>
        <v>0</v>
      </c>
      <c r="RXA62" s="962">
        <f>MIN(RXA60*$C$62,'Sources and Uses Budget'!$J$99-SUM('15 Year Pro Forma'!$E$62:RWZ62))</f>
        <v>0</v>
      </c>
      <c r="RXC62" s="962">
        <f>MIN(RXC60*$C$62,'Sources and Uses Budget'!$J$99-SUM('15 Year Pro Forma'!$E$62:RXB62))</f>
        <v>0</v>
      </c>
      <c r="RXE62" s="962">
        <f>MIN(RXE60*$C$62,'Sources and Uses Budget'!$J$99-SUM('15 Year Pro Forma'!$E$62:RXD62))</f>
        <v>0</v>
      </c>
      <c r="RXG62" s="962">
        <f>MIN(RXG60*$C$62,'Sources and Uses Budget'!$J$99-SUM('15 Year Pro Forma'!$E$62:RXF62))</f>
        <v>0</v>
      </c>
      <c r="RXI62" s="962">
        <f>MIN(RXI60*$C$62,'Sources and Uses Budget'!$J$99-SUM('15 Year Pro Forma'!$E$62:RXH62))</f>
        <v>0</v>
      </c>
      <c r="RXK62" s="962">
        <f>MIN(RXK60*$C$62,'Sources and Uses Budget'!$J$99-SUM('15 Year Pro Forma'!$E$62:RXJ62))</f>
        <v>0</v>
      </c>
      <c r="RXM62" s="962">
        <f>MIN(RXM60*$C$62,'Sources and Uses Budget'!$J$99-SUM('15 Year Pro Forma'!$E$62:RXL62))</f>
        <v>0</v>
      </c>
      <c r="RXO62" s="962">
        <f>MIN(RXO60*$C$62,'Sources and Uses Budget'!$J$99-SUM('15 Year Pro Forma'!$E$62:RXN62))</f>
        <v>0</v>
      </c>
      <c r="RXQ62" s="962">
        <f>MIN(RXQ60*$C$62,'Sources and Uses Budget'!$J$99-SUM('15 Year Pro Forma'!$E$62:RXP62))</f>
        <v>0</v>
      </c>
      <c r="RXS62" s="962">
        <f>MIN(RXS60*$C$62,'Sources and Uses Budget'!$J$99-SUM('15 Year Pro Forma'!$E$62:RXR62))</f>
        <v>0</v>
      </c>
      <c r="RXU62" s="962">
        <f>MIN(RXU60*$C$62,'Sources and Uses Budget'!$J$99-SUM('15 Year Pro Forma'!$E$62:RXT62))</f>
        <v>0</v>
      </c>
      <c r="RXW62" s="962">
        <f>MIN(RXW60*$C$62,'Sources and Uses Budget'!$J$99-SUM('15 Year Pro Forma'!$E$62:RXV62))</f>
        <v>0</v>
      </c>
      <c r="RXY62" s="962">
        <f>MIN(RXY60*$C$62,'Sources and Uses Budget'!$J$99-SUM('15 Year Pro Forma'!$E$62:RXX62))</f>
        <v>0</v>
      </c>
      <c r="RYA62" s="962">
        <f>MIN(RYA60*$C$62,'Sources and Uses Budget'!$J$99-SUM('15 Year Pro Forma'!$E$62:RXZ62))</f>
        <v>0</v>
      </c>
      <c r="RYC62" s="962">
        <f>MIN(RYC60*$C$62,'Sources and Uses Budget'!$J$99-SUM('15 Year Pro Forma'!$E$62:RYB62))</f>
        <v>0</v>
      </c>
      <c r="RYE62" s="962">
        <f>MIN(RYE60*$C$62,'Sources and Uses Budget'!$J$99-SUM('15 Year Pro Forma'!$E$62:RYD62))</f>
        <v>0</v>
      </c>
      <c r="RYG62" s="962">
        <f>MIN(RYG60*$C$62,'Sources and Uses Budget'!$J$99-SUM('15 Year Pro Forma'!$E$62:RYF62))</f>
        <v>0</v>
      </c>
      <c r="RYI62" s="962">
        <f>MIN(RYI60*$C$62,'Sources and Uses Budget'!$J$99-SUM('15 Year Pro Forma'!$E$62:RYH62))</f>
        <v>0</v>
      </c>
      <c r="RYK62" s="962">
        <f>MIN(RYK60*$C$62,'Sources and Uses Budget'!$J$99-SUM('15 Year Pro Forma'!$E$62:RYJ62))</f>
        <v>0</v>
      </c>
      <c r="RYM62" s="962">
        <f>MIN(RYM60*$C$62,'Sources and Uses Budget'!$J$99-SUM('15 Year Pro Forma'!$E$62:RYL62))</f>
        <v>0</v>
      </c>
      <c r="RYO62" s="962">
        <f>MIN(RYO60*$C$62,'Sources and Uses Budget'!$J$99-SUM('15 Year Pro Forma'!$E$62:RYN62))</f>
        <v>0</v>
      </c>
      <c r="RYQ62" s="962">
        <f>MIN(RYQ60*$C$62,'Sources and Uses Budget'!$J$99-SUM('15 Year Pro Forma'!$E$62:RYP62))</f>
        <v>0</v>
      </c>
      <c r="RYS62" s="962">
        <f>MIN(RYS60*$C$62,'Sources and Uses Budget'!$J$99-SUM('15 Year Pro Forma'!$E$62:RYR62))</f>
        <v>0</v>
      </c>
      <c r="RYU62" s="962">
        <f>MIN(RYU60*$C$62,'Sources and Uses Budget'!$J$99-SUM('15 Year Pro Forma'!$E$62:RYT62))</f>
        <v>0</v>
      </c>
      <c r="RYW62" s="962">
        <f>MIN(RYW60*$C$62,'Sources and Uses Budget'!$J$99-SUM('15 Year Pro Forma'!$E$62:RYV62))</f>
        <v>0</v>
      </c>
      <c r="RYY62" s="962">
        <f>MIN(RYY60*$C$62,'Sources and Uses Budget'!$J$99-SUM('15 Year Pro Forma'!$E$62:RYX62))</f>
        <v>0</v>
      </c>
      <c r="RZA62" s="962">
        <f>MIN(RZA60*$C$62,'Sources and Uses Budget'!$J$99-SUM('15 Year Pro Forma'!$E$62:RYZ62))</f>
        <v>0</v>
      </c>
      <c r="RZC62" s="962">
        <f>MIN(RZC60*$C$62,'Sources and Uses Budget'!$J$99-SUM('15 Year Pro Forma'!$E$62:RZB62))</f>
        <v>0</v>
      </c>
      <c r="RZE62" s="962">
        <f>MIN(RZE60*$C$62,'Sources and Uses Budget'!$J$99-SUM('15 Year Pro Forma'!$E$62:RZD62))</f>
        <v>0</v>
      </c>
      <c r="RZG62" s="962">
        <f>MIN(RZG60*$C$62,'Sources and Uses Budget'!$J$99-SUM('15 Year Pro Forma'!$E$62:RZF62))</f>
        <v>0</v>
      </c>
      <c r="RZI62" s="962">
        <f>MIN(RZI60*$C$62,'Sources and Uses Budget'!$J$99-SUM('15 Year Pro Forma'!$E$62:RZH62))</f>
        <v>0</v>
      </c>
      <c r="RZK62" s="962">
        <f>MIN(RZK60*$C$62,'Sources and Uses Budget'!$J$99-SUM('15 Year Pro Forma'!$E$62:RZJ62))</f>
        <v>0</v>
      </c>
      <c r="RZM62" s="962">
        <f>MIN(RZM60*$C$62,'Sources and Uses Budget'!$J$99-SUM('15 Year Pro Forma'!$E$62:RZL62))</f>
        <v>0</v>
      </c>
      <c r="RZO62" s="962">
        <f>MIN(RZO60*$C$62,'Sources and Uses Budget'!$J$99-SUM('15 Year Pro Forma'!$E$62:RZN62))</f>
        <v>0</v>
      </c>
      <c r="RZQ62" s="962">
        <f>MIN(RZQ60*$C$62,'Sources and Uses Budget'!$J$99-SUM('15 Year Pro Forma'!$E$62:RZP62))</f>
        <v>0</v>
      </c>
      <c r="RZS62" s="962">
        <f>MIN(RZS60*$C$62,'Sources and Uses Budget'!$J$99-SUM('15 Year Pro Forma'!$E$62:RZR62))</f>
        <v>0</v>
      </c>
      <c r="RZU62" s="962">
        <f>MIN(RZU60*$C$62,'Sources and Uses Budget'!$J$99-SUM('15 Year Pro Forma'!$E$62:RZT62))</f>
        <v>0</v>
      </c>
      <c r="RZW62" s="962">
        <f>MIN(RZW60*$C$62,'Sources and Uses Budget'!$J$99-SUM('15 Year Pro Forma'!$E$62:RZV62))</f>
        <v>0</v>
      </c>
      <c r="RZY62" s="962">
        <f>MIN(RZY60*$C$62,'Sources and Uses Budget'!$J$99-SUM('15 Year Pro Forma'!$E$62:RZX62))</f>
        <v>0</v>
      </c>
      <c r="SAA62" s="962">
        <f>MIN(SAA60*$C$62,'Sources and Uses Budget'!$J$99-SUM('15 Year Pro Forma'!$E$62:RZZ62))</f>
        <v>0</v>
      </c>
      <c r="SAC62" s="962">
        <f>MIN(SAC60*$C$62,'Sources and Uses Budget'!$J$99-SUM('15 Year Pro Forma'!$E$62:SAB62))</f>
        <v>0</v>
      </c>
      <c r="SAE62" s="962">
        <f>MIN(SAE60*$C$62,'Sources and Uses Budget'!$J$99-SUM('15 Year Pro Forma'!$E$62:SAD62))</f>
        <v>0</v>
      </c>
      <c r="SAG62" s="962">
        <f>MIN(SAG60*$C$62,'Sources and Uses Budget'!$J$99-SUM('15 Year Pro Forma'!$E$62:SAF62))</f>
        <v>0</v>
      </c>
      <c r="SAI62" s="962">
        <f>MIN(SAI60*$C$62,'Sources and Uses Budget'!$J$99-SUM('15 Year Pro Forma'!$E$62:SAH62))</f>
        <v>0</v>
      </c>
      <c r="SAK62" s="962">
        <f>MIN(SAK60*$C$62,'Sources and Uses Budget'!$J$99-SUM('15 Year Pro Forma'!$E$62:SAJ62))</f>
        <v>0</v>
      </c>
      <c r="SAM62" s="962">
        <f>MIN(SAM60*$C$62,'Sources and Uses Budget'!$J$99-SUM('15 Year Pro Forma'!$E$62:SAL62))</f>
        <v>0</v>
      </c>
      <c r="SAO62" s="962">
        <f>MIN(SAO60*$C$62,'Sources and Uses Budget'!$J$99-SUM('15 Year Pro Forma'!$E$62:SAN62))</f>
        <v>0</v>
      </c>
      <c r="SAQ62" s="962">
        <f>MIN(SAQ60*$C$62,'Sources and Uses Budget'!$J$99-SUM('15 Year Pro Forma'!$E$62:SAP62))</f>
        <v>0</v>
      </c>
      <c r="SAS62" s="962">
        <f>MIN(SAS60*$C$62,'Sources and Uses Budget'!$J$99-SUM('15 Year Pro Forma'!$E$62:SAR62))</f>
        <v>0</v>
      </c>
      <c r="SAU62" s="962">
        <f>MIN(SAU60*$C$62,'Sources and Uses Budget'!$J$99-SUM('15 Year Pro Forma'!$E$62:SAT62))</f>
        <v>0</v>
      </c>
      <c r="SAW62" s="962">
        <f>MIN(SAW60*$C$62,'Sources and Uses Budget'!$J$99-SUM('15 Year Pro Forma'!$E$62:SAV62))</f>
        <v>0</v>
      </c>
      <c r="SAY62" s="962">
        <f>MIN(SAY60*$C$62,'Sources and Uses Budget'!$J$99-SUM('15 Year Pro Forma'!$E$62:SAX62))</f>
        <v>0</v>
      </c>
      <c r="SBA62" s="962">
        <f>MIN(SBA60*$C$62,'Sources and Uses Budget'!$J$99-SUM('15 Year Pro Forma'!$E$62:SAZ62))</f>
        <v>0</v>
      </c>
      <c r="SBC62" s="962">
        <f>MIN(SBC60*$C$62,'Sources and Uses Budget'!$J$99-SUM('15 Year Pro Forma'!$E$62:SBB62))</f>
        <v>0</v>
      </c>
      <c r="SBE62" s="962">
        <f>MIN(SBE60*$C$62,'Sources and Uses Budget'!$J$99-SUM('15 Year Pro Forma'!$E$62:SBD62))</f>
        <v>0</v>
      </c>
      <c r="SBG62" s="962">
        <f>MIN(SBG60*$C$62,'Sources and Uses Budget'!$J$99-SUM('15 Year Pro Forma'!$E$62:SBF62))</f>
        <v>0</v>
      </c>
      <c r="SBI62" s="962">
        <f>MIN(SBI60*$C$62,'Sources and Uses Budget'!$J$99-SUM('15 Year Pro Forma'!$E$62:SBH62))</f>
        <v>0</v>
      </c>
      <c r="SBK62" s="962">
        <f>MIN(SBK60*$C$62,'Sources and Uses Budget'!$J$99-SUM('15 Year Pro Forma'!$E$62:SBJ62))</f>
        <v>0</v>
      </c>
      <c r="SBM62" s="962">
        <f>MIN(SBM60*$C$62,'Sources and Uses Budget'!$J$99-SUM('15 Year Pro Forma'!$E$62:SBL62))</f>
        <v>0</v>
      </c>
      <c r="SBO62" s="962">
        <f>MIN(SBO60*$C$62,'Sources and Uses Budget'!$J$99-SUM('15 Year Pro Forma'!$E$62:SBN62))</f>
        <v>0</v>
      </c>
      <c r="SBQ62" s="962">
        <f>MIN(SBQ60*$C$62,'Sources and Uses Budget'!$J$99-SUM('15 Year Pro Forma'!$E$62:SBP62))</f>
        <v>0</v>
      </c>
      <c r="SBS62" s="962">
        <f>MIN(SBS60*$C$62,'Sources and Uses Budget'!$J$99-SUM('15 Year Pro Forma'!$E$62:SBR62))</f>
        <v>0</v>
      </c>
      <c r="SBU62" s="962">
        <f>MIN(SBU60*$C$62,'Sources and Uses Budget'!$J$99-SUM('15 Year Pro Forma'!$E$62:SBT62))</f>
        <v>0</v>
      </c>
      <c r="SBW62" s="962">
        <f>MIN(SBW60*$C$62,'Sources and Uses Budget'!$J$99-SUM('15 Year Pro Forma'!$E$62:SBV62))</f>
        <v>0</v>
      </c>
      <c r="SBY62" s="962">
        <f>MIN(SBY60*$C$62,'Sources and Uses Budget'!$J$99-SUM('15 Year Pro Forma'!$E$62:SBX62))</f>
        <v>0</v>
      </c>
      <c r="SCA62" s="962">
        <f>MIN(SCA60*$C$62,'Sources and Uses Budget'!$J$99-SUM('15 Year Pro Forma'!$E$62:SBZ62))</f>
        <v>0</v>
      </c>
      <c r="SCC62" s="962">
        <f>MIN(SCC60*$C$62,'Sources and Uses Budget'!$J$99-SUM('15 Year Pro Forma'!$E$62:SCB62))</f>
        <v>0</v>
      </c>
      <c r="SCE62" s="962">
        <f>MIN(SCE60*$C$62,'Sources and Uses Budget'!$J$99-SUM('15 Year Pro Forma'!$E$62:SCD62))</f>
        <v>0</v>
      </c>
      <c r="SCG62" s="962">
        <f>MIN(SCG60*$C$62,'Sources and Uses Budget'!$J$99-SUM('15 Year Pro Forma'!$E$62:SCF62))</f>
        <v>0</v>
      </c>
      <c r="SCI62" s="962">
        <f>MIN(SCI60*$C$62,'Sources and Uses Budget'!$J$99-SUM('15 Year Pro Forma'!$E$62:SCH62))</f>
        <v>0</v>
      </c>
      <c r="SCK62" s="962">
        <f>MIN(SCK60*$C$62,'Sources and Uses Budget'!$J$99-SUM('15 Year Pro Forma'!$E$62:SCJ62))</f>
        <v>0</v>
      </c>
      <c r="SCM62" s="962">
        <f>MIN(SCM60*$C$62,'Sources and Uses Budget'!$J$99-SUM('15 Year Pro Forma'!$E$62:SCL62))</f>
        <v>0</v>
      </c>
      <c r="SCO62" s="962">
        <f>MIN(SCO60*$C$62,'Sources and Uses Budget'!$J$99-SUM('15 Year Pro Forma'!$E$62:SCN62))</f>
        <v>0</v>
      </c>
      <c r="SCQ62" s="962">
        <f>MIN(SCQ60*$C$62,'Sources and Uses Budget'!$J$99-SUM('15 Year Pro Forma'!$E$62:SCP62))</f>
        <v>0</v>
      </c>
      <c r="SCS62" s="962">
        <f>MIN(SCS60*$C$62,'Sources and Uses Budget'!$J$99-SUM('15 Year Pro Forma'!$E$62:SCR62))</f>
        <v>0</v>
      </c>
      <c r="SCU62" s="962">
        <f>MIN(SCU60*$C$62,'Sources and Uses Budget'!$J$99-SUM('15 Year Pro Forma'!$E$62:SCT62))</f>
        <v>0</v>
      </c>
      <c r="SCW62" s="962">
        <f>MIN(SCW60*$C$62,'Sources and Uses Budget'!$J$99-SUM('15 Year Pro Forma'!$E$62:SCV62))</f>
        <v>0</v>
      </c>
      <c r="SCY62" s="962">
        <f>MIN(SCY60*$C$62,'Sources and Uses Budget'!$J$99-SUM('15 Year Pro Forma'!$E$62:SCX62))</f>
        <v>0</v>
      </c>
      <c r="SDA62" s="962">
        <f>MIN(SDA60*$C$62,'Sources and Uses Budget'!$J$99-SUM('15 Year Pro Forma'!$E$62:SCZ62))</f>
        <v>0</v>
      </c>
      <c r="SDC62" s="962">
        <f>MIN(SDC60*$C$62,'Sources and Uses Budget'!$J$99-SUM('15 Year Pro Forma'!$E$62:SDB62))</f>
        <v>0</v>
      </c>
      <c r="SDE62" s="962">
        <f>MIN(SDE60*$C$62,'Sources and Uses Budget'!$J$99-SUM('15 Year Pro Forma'!$E$62:SDD62))</f>
        <v>0</v>
      </c>
      <c r="SDG62" s="962">
        <f>MIN(SDG60*$C$62,'Sources and Uses Budget'!$J$99-SUM('15 Year Pro Forma'!$E$62:SDF62))</f>
        <v>0</v>
      </c>
      <c r="SDI62" s="962">
        <f>MIN(SDI60*$C$62,'Sources and Uses Budget'!$J$99-SUM('15 Year Pro Forma'!$E$62:SDH62))</f>
        <v>0</v>
      </c>
      <c r="SDK62" s="962">
        <f>MIN(SDK60*$C$62,'Sources and Uses Budget'!$J$99-SUM('15 Year Pro Forma'!$E$62:SDJ62))</f>
        <v>0</v>
      </c>
      <c r="SDM62" s="962">
        <f>MIN(SDM60*$C$62,'Sources and Uses Budget'!$J$99-SUM('15 Year Pro Forma'!$E$62:SDL62))</f>
        <v>0</v>
      </c>
      <c r="SDO62" s="962">
        <f>MIN(SDO60*$C$62,'Sources and Uses Budget'!$J$99-SUM('15 Year Pro Forma'!$E$62:SDN62))</f>
        <v>0</v>
      </c>
      <c r="SDQ62" s="962">
        <f>MIN(SDQ60*$C$62,'Sources and Uses Budget'!$J$99-SUM('15 Year Pro Forma'!$E$62:SDP62))</f>
        <v>0</v>
      </c>
      <c r="SDS62" s="962">
        <f>MIN(SDS60*$C$62,'Sources and Uses Budget'!$J$99-SUM('15 Year Pro Forma'!$E$62:SDR62))</f>
        <v>0</v>
      </c>
      <c r="SDU62" s="962">
        <f>MIN(SDU60*$C$62,'Sources and Uses Budget'!$J$99-SUM('15 Year Pro Forma'!$E$62:SDT62))</f>
        <v>0</v>
      </c>
      <c r="SDW62" s="962">
        <f>MIN(SDW60*$C$62,'Sources and Uses Budget'!$J$99-SUM('15 Year Pro Forma'!$E$62:SDV62))</f>
        <v>0</v>
      </c>
      <c r="SDY62" s="962">
        <f>MIN(SDY60*$C$62,'Sources and Uses Budget'!$J$99-SUM('15 Year Pro Forma'!$E$62:SDX62))</f>
        <v>0</v>
      </c>
      <c r="SEA62" s="962">
        <f>MIN(SEA60*$C$62,'Sources and Uses Budget'!$J$99-SUM('15 Year Pro Forma'!$E$62:SDZ62))</f>
        <v>0</v>
      </c>
      <c r="SEC62" s="962">
        <f>MIN(SEC60*$C$62,'Sources and Uses Budget'!$J$99-SUM('15 Year Pro Forma'!$E$62:SEB62))</f>
        <v>0</v>
      </c>
      <c r="SEE62" s="962">
        <f>MIN(SEE60*$C$62,'Sources and Uses Budget'!$J$99-SUM('15 Year Pro Forma'!$E$62:SED62))</f>
        <v>0</v>
      </c>
      <c r="SEG62" s="962">
        <f>MIN(SEG60*$C$62,'Sources and Uses Budget'!$J$99-SUM('15 Year Pro Forma'!$E$62:SEF62))</f>
        <v>0</v>
      </c>
      <c r="SEI62" s="962">
        <f>MIN(SEI60*$C$62,'Sources and Uses Budget'!$J$99-SUM('15 Year Pro Forma'!$E$62:SEH62))</f>
        <v>0</v>
      </c>
      <c r="SEK62" s="962">
        <f>MIN(SEK60*$C$62,'Sources and Uses Budget'!$J$99-SUM('15 Year Pro Forma'!$E$62:SEJ62))</f>
        <v>0</v>
      </c>
      <c r="SEM62" s="962">
        <f>MIN(SEM60*$C$62,'Sources and Uses Budget'!$J$99-SUM('15 Year Pro Forma'!$E$62:SEL62))</f>
        <v>0</v>
      </c>
      <c r="SEO62" s="962">
        <f>MIN(SEO60*$C$62,'Sources and Uses Budget'!$J$99-SUM('15 Year Pro Forma'!$E$62:SEN62))</f>
        <v>0</v>
      </c>
      <c r="SEQ62" s="962">
        <f>MIN(SEQ60*$C$62,'Sources and Uses Budget'!$J$99-SUM('15 Year Pro Forma'!$E$62:SEP62))</f>
        <v>0</v>
      </c>
      <c r="SES62" s="962">
        <f>MIN(SES60*$C$62,'Sources and Uses Budget'!$J$99-SUM('15 Year Pro Forma'!$E$62:SER62))</f>
        <v>0</v>
      </c>
      <c r="SEU62" s="962">
        <f>MIN(SEU60*$C$62,'Sources and Uses Budget'!$J$99-SUM('15 Year Pro Forma'!$E$62:SET62))</f>
        <v>0</v>
      </c>
      <c r="SEW62" s="962">
        <f>MIN(SEW60*$C$62,'Sources and Uses Budget'!$J$99-SUM('15 Year Pro Forma'!$E$62:SEV62))</f>
        <v>0</v>
      </c>
      <c r="SEY62" s="962">
        <f>MIN(SEY60*$C$62,'Sources and Uses Budget'!$J$99-SUM('15 Year Pro Forma'!$E$62:SEX62))</f>
        <v>0</v>
      </c>
      <c r="SFA62" s="962">
        <f>MIN(SFA60*$C$62,'Sources and Uses Budget'!$J$99-SUM('15 Year Pro Forma'!$E$62:SEZ62))</f>
        <v>0</v>
      </c>
      <c r="SFC62" s="962">
        <f>MIN(SFC60*$C$62,'Sources and Uses Budget'!$J$99-SUM('15 Year Pro Forma'!$E$62:SFB62))</f>
        <v>0</v>
      </c>
      <c r="SFE62" s="962">
        <f>MIN(SFE60*$C$62,'Sources and Uses Budget'!$J$99-SUM('15 Year Pro Forma'!$E$62:SFD62))</f>
        <v>0</v>
      </c>
      <c r="SFG62" s="962">
        <f>MIN(SFG60*$C$62,'Sources and Uses Budget'!$J$99-SUM('15 Year Pro Forma'!$E$62:SFF62))</f>
        <v>0</v>
      </c>
      <c r="SFI62" s="962">
        <f>MIN(SFI60*$C$62,'Sources and Uses Budget'!$J$99-SUM('15 Year Pro Forma'!$E$62:SFH62))</f>
        <v>0</v>
      </c>
      <c r="SFK62" s="962">
        <f>MIN(SFK60*$C$62,'Sources and Uses Budget'!$J$99-SUM('15 Year Pro Forma'!$E$62:SFJ62))</f>
        <v>0</v>
      </c>
      <c r="SFM62" s="962">
        <f>MIN(SFM60*$C$62,'Sources and Uses Budget'!$J$99-SUM('15 Year Pro Forma'!$E$62:SFL62))</f>
        <v>0</v>
      </c>
      <c r="SFO62" s="962">
        <f>MIN(SFO60*$C$62,'Sources and Uses Budget'!$J$99-SUM('15 Year Pro Forma'!$E$62:SFN62))</f>
        <v>0</v>
      </c>
      <c r="SFQ62" s="962">
        <f>MIN(SFQ60*$C$62,'Sources and Uses Budget'!$J$99-SUM('15 Year Pro Forma'!$E$62:SFP62))</f>
        <v>0</v>
      </c>
      <c r="SFS62" s="962">
        <f>MIN(SFS60*$C$62,'Sources and Uses Budget'!$J$99-SUM('15 Year Pro Forma'!$E$62:SFR62))</f>
        <v>0</v>
      </c>
      <c r="SFU62" s="962">
        <f>MIN(SFU60*$C$62,'Sources and Uses Budget'!$J$99-SUM('15 Year Pro Forma'!$E$62:SFT62))</f>
        <v>0</v>
      </c>
      <c r="SFW62" s="962">
        <f>MIN(SFW60*$C$62,'Sources and Uses Budget'!$J$99-SUM('15 Year Pro Forma'!$E$62:SFV62))</f>
        <v>0</v>
      </c>
      <c r="SFY62" s="962">
        <f>MIN(SFY60*$C$62,'Sources and Uses Budget'!$J$99-SUM('15 Year Pro Forma'!$E$62:SFX62))</f>
        <v>0</v>
      </c>
      <c r="SGA62" s="962">
        <f>MIN(SGA60*$C$62,'Sources and Uses Budget'!$J$99-SUM('15 Year Pro Forma'!$E$62:SFZ62))</f>
        <v>0</v>
      </c>
      <c r="SGC62" s="962">
        <f>MIN(SGC60*$C$62,'Sources and Uses Budget'!$J$99-SUM('15 Year Pro Forma'!$E$62:SGB62))</f>
        <v>0</v>
      </c>
      <c r="SGE62" s="962">
        <f>MIN(SGE60*$C$62,'Sources and Uses Budget'!$J$99-SUM('15 Year Pro Forma'!$E$62:SGD62))</f>
        <v>0</v>
      </c>
      <c r="SGG62" s="962">
        <f>MIN(SGG60*$C$62,'Sources and Uses Budget'!$J$99-SUM('15 Year Pro Forma'!$E$62:SGF62))</f>
        <v>0</v>
      </c>
      <c r="SGI62" s="962">
        <f>MIN(SGI60*$C$62,'Sources and Uses Budget'!$J$99-SUM('15 Year Pro Forma'!$E$62:SGH62))</f>
        <v>0</v>
      </c>
      <c r="SGK62" s="962">
        <f>MIN(SGK60*$C$62,'Sources and Uses Budget'!$J$99-SUM('15 Year Pro Forma'!$E$62:SGJ62))</f>
        <v>0</v>
      </c>
      <c r="SGM62" s="962">
        <f>MIN(SGM60*$C$62,'Sources and Uses Budget'!$J$99-SUM('15 Year Pro Forma'!$E$62:SGL62))</f>
        <v>0</v>
      </c>
      <c r="SGO62" s="962">
        <f>MIN(SGO60*$C$62,'Sources and Uses Budget'!$J$99-SUM('15 Year Pro Forma'!$E$62:SGN62))</f>
        <v>0</v>
      </c>
      <c r="SGQ62" s="962">
        <f>MIN(SGQ60*$C$62,'Sources and Uses Budget'!$J$99-SUM('15 Year Pro Forma'!$E$62:SGP62))</f>
        <v>0</v>
      </c>
      <c r="SGS62" s="962">
        <f>MIN(SGS60*$C$62,'Sources and Uses Budget'!$J$99-SUM('15 Year Pro Forma'!$E$62:SGR62))</f>
        <v>0</v>
      </c>
      <c r="SGU62" s="962">
        <f>MIN(SGU60*$C$62,'Sources and Uses Budget'!$J$99-SUM('15 Year Pro Forma'!$E$62:SGT62))</f>
        <v>0</v>
      </c>
      <c r="SGW62" s="962">
        <f>MIN(SGW60*$C$62,'Sources and Uses Budget'!$J$99-SUM('15 Year Pro Forma'!$E$62:SGV62))</f>
        <v>0</v>
      </c>
      <c r="SGY62" s="962">
        <f>MIN(SGY60*$C$62,'Sources and Uses Budget'!$J$99-SUM('15 Year Pro Forma'!$E$62:SGX62))</f>
        <v>0</v>
      </c>
      <c r="SHA62" s="962">
        <f>MIN(SHA60*$C$62,'Sources and Uses Budget'!$J$99-SUM('15 Year Pro Forma'!$E$62:SGZ62))</f>
        <v>0</v>
      </c>
      <c r="SHC62" s="962">
        <f>MIN(SHC60*$C$62,'Sources and Uses Budget'!$J$99-SUM('15 Year Pro Forma'!$E$62:SHB62))</f>
        <v>0</v>
      </c>
      <c r="SHE62" s="962">
        <f>MIN(SHE60*$C$62,'Sources and Uses Budget'!$J$99-SUM('15 Year Pro Forma'!$E$62:SHD62))</f>
        <v>0</v>
      </c>
      <c r="SHG62" s="962">
        <f>MIN(SHG60*$C$62,'Sources and Uses Budget'!$J$99-SUM('15 Year Pro Forma'!$E$62:SHF62))</f>
        <v>0</v>
      </c>
      <c r="SHI62" s="962">
        <f>MIN(SHI60*$C$62,'Sources and Uses Budget'!$J$99-SUM('15 Year Pro Forma'!$E$62:SHH62))</f>
        <v>0</v>
      </c>
      <c r="SHK62" s="962">
        <f>MIN(SHK60*$C$62,'Sources and Uses Budget'!$J$99-SUM('15 Year Pro Forma'!$E$62:SHJ62))</f>
        <v>0</v>
      </c>
      <c r="SHM62" s="962">
        <f>MIN(SHM60*$C$62,'Sources and Uses Budget'!$J$99-SUM('15 Year Pro Forma'!$E$62:SHL62))</f>
        <v>0</v>
      </c>
      <c r="SHO62" s="962">
        <f>MIN(SHO60*$C$62,'Sources and Uses Budget'!$J$99-SUM('15 Year Pro Forma'!$E$62:SHN62))</f>
        <v>0</v>
      </c>
      <c r="SHQ62" s="962">
        <f>MIN(SHQ60*$C$62,'Sources and Uses Budget'!$J$99-SUM('15 Year Pro Forma'!$E$62:SHP62))</f>
        <v>0</v>
      </c>
      <c r="SHS62" s="962">
        <f>MIN(SHS60*$C$62,'Sources and Uses Budget'!$J$99-SUM('15 Year Pro Forma'!$E$62:SHR62))</f>
        <v>0</v>
      </c>
      <c r="SHU62" s="962">
        <f>MIN(SHU60*$C$62,'Sources and Uses Budget'!$J$99-SUM('15 Year Pro Forma'!$E$62:SHT62))</f>
        <v>0</v>
      </c>
      <c r="SHW62" s="962">
        <f>MIN(SHW60*$C$62,'Sources and Uses Budget'!$J$99-SUM('15 Year Pro Forma'!$E$62:SHV62))</f>
        <v>0</v>
      </c>
      <c r="SHY62" s="962">
        <f>MIN(SHY60*$C$62,'Sources and Uses Budget'!$J$99-SUM('15 Year Pro Forma'!$E$62:SHX62))</f>
        <v>0</v>
      </c>
      <c r="SIA62" s="962">
        <f>MIN(SIA60*$C$62,'Sources and Uses Budget'!$J$99-SUM('15 Year Pro Forma'!$E$62:SHZ62))</f>
        <v>0</v>
      </c>
      <c r="SIC62" s="962">
        <f>MIN(SIC60*$C$62,'Sources and Uses Budget'!$J$99-SUM('15 Year Pro Forma'!$E$62:SIB62))</f>
        <v>0</v>
      </c>
      <c r="SIE62" s="962">
        <f>MIN(SIE60*$C$62,'Sources and Uses Budget'!$J$99-SUM('15 Year Pro Forma'!$E$62:SID62))</f>
        <v>0</v>
      </c>
      <c r="SIG62" s="962">
        <f>MIN(SIG60*$C$62,'Sources and Uses Budget'!$J$99-SUM('15 Year Pro Forma'!$E$62:SIF62))</f>
        <v>0</v>
      </c>
      <c r="SII62" s="962">
        <f>MIN(SII60*$C$62,'Sources and Uses Budget'!$J$99-SUM('15 Year Pro Forma'!$E$62:SIH62))</f>
        <v>0</v>
      </c>
      <c r="SIK62" s="962">
        <f>MIN(SIK60*$C$62,'Sources and Uses Budget'!$J$99-SUM('15 Year Pro Forma'!$E$62:SIJ62))</f>
        <v>0</v>
      </c>
      <c r="SIM62" s="962">
        <f>MIN(SIM60*$C$62,'Sources and Uses Budget'!$J$99-SUM('15 Year Pro Forma'!$E$62:SIL62))</f>
        <v>0</v>
      </c>
      <c r="SIO62" s="962">
        <f>MIN(SIO60*$C$62,'Sources and Uses Budget'!$J$99-SUM('15 Year Pro Forma'!$E$62:SIN62))</f>
        <v>0</v>
      </c>
      <c r="SIQ62" s="962">
        <f>MIN(SIQ60*$C$62,'Sources and Uses Budget'!$J$99-SUM('15 Year Pro Forma'!$E$62:SIP62))</f>
        <v>0</v>
      </c>
      <c r="SIS62" s="962">
        <f>MIN(SIS60*$C$62,'Sources and Uses Budget'!$J$99-SUM('15 Year Pro Forma'!$E$62:SIR62))</f>
        <v>0</v>
      </c>
      <c r="SIU62" s="962">
        <f>MIN(SIU60*$C$62,'Sources and Uses Budget'!$J$99-SUM('15 Year Pro Forma'!$E$62:SIT62))</f>
        <v>0</v>
      </c>
      <c r="SIW62" s="962">
        <f>MIN(SIW60*$C$62,'Sources and Uses Budget'!$J$99-SUM('15 Year Pro Forma'!$E$62:SIV62))</f>
        <v>0</v>
      </c>
      <c r="SIY62" s="962">
        <f>MIN(SIY60*$C$62,'Sources and Uses Budget'!$J$99-SUM('15 Year Pro Forma'!$E$62:SIX62))</f>
        <v>0</v>
      </c>
      <c r="SJA62" s="962">
        <f>MIN(SJA60*$C$62,'Sources and Uses Budget'!$J$99-SUM('15 Year Pro Forma'!$E$62:SIZ62))</f>
        <v>0</v>
      </c>
      <c r="SJC62" s="962">
        <f>MIN(SJC60*$C$62,'Sources and Uses Budget'!$J$99-SUM('15 Year Pro Forma'!$E$62:SJB62))</f>
        <v>0</v>
      </c>
      <c r="SJE62" s="962">
        <f>MIN(SJE60*$C$62,'Sources and Uses Budget'!$J$99-SUM('15 Year Pro Forma'!$E$62:SJD62))</f>
        <v>0</v>
      </c>
      <c r="SJG62" s="962">
        <f>MIN(SJG60*$C$62,'Sources and Uses Budget'!$J$99-SUM('15 Year Pro Forma'!$E$62:SJF62))</f>
        <v>0</v>
      </c>
      <c r="SJI62" s="962">
        <f>MIN(SJI60*$C$62,'Sources and Uses Budget'!$J$99-SUM('15 Year Pro Forma'!$E$62:SJH62))</f>
        <v>0</v>
      </c>
      <c r="SJK62" s="962">
        <f>MIN(SJK60*$C$62,'Sources and Uses Budget'!$J$99-SUM('15 Year Pro Forma'!$E$62:SJJ62))</f>
        <v>0</v>
      </c>
      <c r="SJM62" s="962">
        <f>MIN(SJM60*$C$62,'Sources and Uses Budget'!$J$99-SUM('15 Year Pro Forma'!$E$62:SJL62))</f>
        <v>0</v>
      </c>
      <c r="SJO62" s="962">
        <f>MIN(SJO60*$C$62,'Sources and Uses Budget'!$J$99-SUM('15 Year Pro Forma'!$E$62:SJN62))</f>
        <v>0</v>
      </c>
      <c r="SJQ62" s="962">
        <f>MIN(SJQ60*$C$62,'Sources and Uses Budget'!$J$99-SUM('15 Year Pro Forma'!$E$62:SJP62))</f>
        <v>0</v>
      </c>
      <c r="SJS62" s="962">
        <f>MIN(SJS60*$C$62,'Sources and Uses Budget'!$J$99-SUM('15 Year Pro Forma'!$E$62:SJR62))</f>
        <v>0</v>
      </c>
      <c r="SJU62" s="962">
        <f>MIN(SJU60*$C$62,'Sources and Uses Budget'!$J$99-SUM('15 Year Pro Forma'!$E$62:SJT62))</f>
        <v>0</v>
      </c>
      <c r="SJW62" s="962">
        <f>MIN(SJW60*$C$62,'Sources and Uses Budget'!$J$99-SUM('15 Year Pro Forma'!$E$62:SJV62))</f>
        <v>0</v>
      </c>
      <c r="SJY62" s="962">
        <f>MIN(SJY60*$C$62,'Sources and Uses Budget'!$J$99-SUM('15 Year Pro Forma'!$E$62:SJX62))</f>
        <v>0</v>
      </c>
      <c r="SKA62" s="962">
        <f>MIN(SKA60*$C$62,'Sources and Uses Budget'!$J$99-SUM('15 Year Pro Forma'!$E$62:SJZ62))</f>
        <v>0</v>
      </c>
      <c r="SKC62" s="962">
        <f>MIN(SKC60*$C$62,'Sources and Uses Budget'!$J$99-SUM('15 Year Pro Forma'!$E$62:SKB62))</f>
        <v>0</v>
      </c>
      <c r="SKE62" s="962">
        <f>MIN(SKE60*$C$62,'Sources and Uses Budget'!$J$99-SUM('15 Year Pro Forma'!$E$62:SKD62))</f>
        <v>0</v>
      </c>
      <c r="SKG62" s="962">
        <f>MIN(SKG60*$C$62,'Sources and Uses Budget'!$J$99-SUM('15 Year Pro Forma'!$E$62:SKF62))</f>
        <v>0</v>
      </c>
      <c r="SKI62" s="962">
        <f>MIN(SKI60*$C$62,'Sources and Uses Budget'!$J$99-SUM('15 Year Pro Forma'!$E$62:SKH62))</f>
        <v>0</v>
      </c>
      <c r="SKK62" s="962">
        <f>MIN(SKK60*$C$62,'Sources and Uses Budget'!$J$99-SUM('15 Year Pro Forma'!$E$62:SKJ62))</f>
        <v>0</v>
      </c>
      <c r="SKM62" s="962">
        <f>MIN(SKM60*$C$62,'Sources and Uses Budget'!$J$99-SUM('15 Year Pro Forma'!$E$62:SKL62))</f>
        <v>0</v>
      </c>
      <c r="SKO62" s="962">
        <f>MIN(SKO60*$C$62,'Sources and Uses Budget'!$J$99-SUM('15 Year Pro Forma'!$E$62:SKN62))</f>
        <v>0</v>
      </c>
      <c r="SKQ62" s="962">
        <f>MIN(SKQ60*$C$62,'Sources and Uses Budget'!$J$99-SUM('15 Year Pro Forma'!$E$62:SKP62))</f>
        <v>0</v>
      </c>
      <c r="SKS62" s="962">
        <f>MIN(SKS60*$C$62,'Sources and Uses Budget'!$J$99-SUM('15 Year Pro Forma'!$E$62:SKR62))</f>
        <v>0</v>
      </c>
      <c r="SKU62" s="962">
        <f>MIN(SKU60*$C$62,'Sources and Uses Budget'!$J$99-SUM('15 Year Pro Forma'!$E$62:SKT62))</f>
        <v>0</v>
      </c>
      <c r="SKW62" s="962">
        <f>MIN(SKW60*$C$62,'Sources and Uses Budget'!$J$99-SUM('15 Year Pro Forma'!$E$62:SKV62))</f>
        <v>0</v>
      </c>
      <c r="SKY62" s="962">
        <f>MIN(SKY60*$C$62,'Sources and Uses Budget'!$J$99-SUM('15 Year Pro Forma'!$E$62:SKX62))</f>
        <v>0</v>
      </c>
      <c r="SLA62" s="962">
        <f>MIN(SLA60*$C$62,'Sources and Uses Budget'!$J$99-SUM('15 Year Pro Forma'!$E$62:SKZ62))</f>
        <v>0</v>
      </c>
      <c r="SLC62" s="962">
        <f>MIN(SLC60*$C$62,'Sources and Uses Budget'!$J$99-SUM('15 Year Pro Forma'!$E$62:SLB62))</f>
        <v>0</v>
      </c>
      <c r="SLE62" s="962">
        <f>MIN(SLE60*$C$62,'Sources and Uses Budget'!$J$99-SUM('15 Year Pro Forma'!$E$62:SLD62))</f>
        <v>0</v>
      </c>
      <c r="SLG62" s="962">
        <f>MIN(SLG60*$C$62,'Sources and Uses Budget'!$J$99-SUM('15 Year Pro Forma'!$E$62:SLF62))</f>
        <v>0</v>
      </c>
      <c r="SLI62" s="962">
        <f>MIN(SLI60*$C$62,'Sources and Uses Budget'!$J$99-SUM('15 Year Pro Forma'!$E$62:SLH62))</f>
        <v>0</v>
      </c>
      <c r="SLK62" s="962">
        <f>MIN(SLK60*$C$62,'Sources and Uses Budget'!$J$99-SUM('15 Year Pro Forma'!$E$62:SLJ62))</f>
        <v>0</v>
      </c>
      <c r="SLM62" s="962">
        <f>MIN(SLM60*$C$62,'Sources and Uses Budget'!$J$99-SUM('15 Year Pro Forma'!$E$62:SLL62))</f>
        <v>0</v>
      </c>
      <c r="SLO62" s="962">
        <f>MIN(SLO60*$C$62,'Sources and Uses Budget'!$J$99-SUM('15 Year Pro Forma'!$E$62:SLN62))</f>
        <v>0</v>
      </c>
      <c r="SLQ62" s="962">
        <f>MIN(SLQ60*$C$62,'Sources and Uses Budget'!$J$99-SUM('15 Year Pro Forma'!$E$62:SLP62))</f>
        <v>0</v>
      </c>
      <c r="SLS62" s="962">
        <f>MIN(SLS60*$C$62,'Sources and Uses Budget'!$J$99-SUM('15 Year Pro Forma'!$E$62:SLR62))</f>
        <v>0</v>
      </c>
      <c r="SLU62" s="962">
        <f>MIN(SLU60*$C$62,'Sources and Uses Budget'!$J$99-SUM('15 Year Pro Forma'!$E$62:SLT62))</f>
        <v>0</v>
      </c>
      <c r="SLW62" s="962">
        <f>MIN(SLW60*$C$62,'Sources and Uses Budget'!$J$99-SUM('15 Year Pro Forma'!$E$62:SLV62))</f>
        <v>0</v>
      </c>
      <c r="SLY62" s="962">
        <f>MIN(SLY60*$C$62,'Sources and Uses Budget'!$J$99-SUM('15 Year Pro Forma'!$E$62:SLX62))</f>
        <v>0</v>
      </c>
      <c r="SMA62" s="962">
        <f>MIN(SMA60*$C$62,'Sources and Uses Budget'!$J$99-SUM('15 Year Pro Forma'!$E$62:SLZ62))</f>
        <v>0</v>
      </c>
      <c r="SMC62" s="962">
        <f>MIN(SMC60*$C$62,'Sources and Uses Budget'!$J$99-SUM('15 Year Pro Forma'!$E$62:SMB62))</f>
        <v>0</v>
      </c>
      <c r="SME62" s="962">
        <f>MIN(SME60*$C$62,'Sources and Uses Budget'!$J$99-SUM('15 Year Pro Forma'!$E$62:SMD62))</f>
        <v>0</v>
      </c>
      <c r="SMG62" s="962">
        <f>MIN(SMG60*$C$62,'Sources and Uses Budget'!$J$99-SUM('15 Year Pro Forma'!$E$62:SMF62))</f>
        <v>0</v>
      </c>
      <c r="SMI62" s="962">
        <f>MIN(SMI60*$C$62,'Sources and Uses Budget'!$J$99-SUM('15 Year Pro Forma'!$E$62:SMH62))</f>
        <v>0</v>
      </c>
      <c r="SMK62" s="962">
        <f>MIN(SMK60*$C$62,'Sources and Uses Budget'!$J$99-SUM('15 Year Pro Forma'!$E$62:SMJ62))</f>
        <v>0</v>
      </c>
      <c r="SMM62" s="962">
        <f>MIN(SMM60*$C$62,'Sources and Uses Budget'!$J$99-SUM('15 Year Pro Forma'!$E$62:SML62))</f>
        <v>0</v>
      </c>
      <c r="SMO62" s="962">
        <f>MIN(SMO60*$C$62,'Sources and Uses Budget'!$J$99-SUM('15 Year Pro Forma'!$E$62:SMN62))</f>
        <v>0</v>
      </c>
      <c r="SMQ62" s="962">
        <f>MIN(SMQ60*$C$62,'Sources and Uses Budget'!$J$99-SUM('15 Year Pro Forma'!$E$62:SMP62))</f>
        <v>0</v>
      </c>
      <c r="SMS62" s="962">
        <f>MIN(SMS60*$C$62,'Sources and Uses Budget'!$J$99-SUM('15 Year Pro Forma'!$E$62:SMR62))</f>
        <v>0</v>
      </c>
      <c r="SMU62" s="962">
        <f>MIN(SMU60*$C$62,'Sources and Uses Budget'!$J$99-SUM('15 Year Pro Forma'!$E$62:SMT62))</f>
        <v>0</v>
      </c>
      <c r="SMW62" s="962">
        <f>MIN(SMW60*$C$62,'Sources and Uses Budget'!$J$99-SUM('15 Year Pro Forma'!$E$62:SMV62))</f>
        <v>0</v>
      </c>
      <c r="SMY62" s="962">
        <f>MIN(SMY60*$C$62,'Sources and Uses Budget'!$J$99-SUM('15 Year Pro Forma'!$E$62:SMX62))</f>
        <v>0</v>
      </c>
      <c r="SNA62" s="962">
        <f>MIN(SNA60*$C$62,'Sources and Uses Budget'!$J$99-SUM('15 Year Pro Forma'!$E$62:SMZ62))</f>
        <v>0</v>
      </c>
      <c r="SNC62" s="962">
        <f>MIN(SNC60*$C$62,'Sources and Uses Budget'!$J$99-SUM('15 Year Pro Forma'!$E$62:SNB62))</f>
        <v>0</v>
      </c>
      <c r="SNE62" s="962">
        <f>MIN(SNE60*$C$62,'Sources and Uses Budget'!$J$99-SUM('15 Year Pro Forma'!$E$62:SND62))</f>
        <v>0</v>
      </c>
      <c r="SNG62" s="962">
        <f>MIN(SNG60*$C$62,'Sources and Uses Budget'!$J$99-SUM('15 Year Pro Forma'!$E$62:SNF62))</f>
        <v>0</v>
      </c>
      <c r="SNI62" s="962">
        <f>MIN(SNI60*$C$62,'Sources and Uses Budget'!$J$99-SUM('15 Year Pro Forma'!$E$62:SNH62))</f>
        <v>0</v>
      </c>
      <c r="SNK62" s="962">
        <f>MIN(SNK60*$C$62,'Sources and Uses Budget'!$J$99-SUM('15 Year Pro Forma'!$E$62:SNJ62))</f>
        <v>0</v>
      </c>
      <c r="SNM62" s="962">
        <f>MIN(SNM60*$C$62,'Sources and Uses Budget'!$J$99-SUM('15 Year Pro Forma'!$E$62:SNL62))</f>
        <v>0</v>
      </c>
      <c r="SNO62" s="962">
        <f>MIN(SNO60*$C$62,'Sources and Uses Budget'!$J$99-SUM('15 Year Pro Forma'!$E$62:SNN62))</f>
        <v>0</v>
      </c>
      <c r="SNQ62" s="962">
        <f>MIN(SNQ60*$C$62,'Sources and Uses Budget'!$J$99-SUM('15 Year Pro Forma'!$E$62:SNP62))</f>
        <v>0</v>
      </c>
      <c r="SNS62" s="962">
        <f>MIN(SNS60*$C$62,'Sources and Uses Budget'!$J$99-SUM('15 Year Pro Forma'!$E$62:SNR62))</f>
        <v>0</v>
      </c>
      <c r="SNU62" s="962">
        <f>MIN(SNU60*$C$62,'Sources and Uses Budget'!$J$99-SUM('15 Year Pro Forma'!$E$62:SNT62))</f>
        <v>0</v>
      </c>
      <c r="SNW62" s="962">
        <f>MIN(SNW60*$C$62,'Sources and Uses Budget'!$J$99-SUM('15 Year Pro Forma'!$E$62:SNV62))</f>
        <v>0</v>
      </c>
      <c r="SNY62" s="962">
        <f>MIN(SNY60*$C$62,'Sources and Uses Budget'!$J$99-SUM('15 Year Pro Forma'!$E$62:SNX62))</f>
        <v>0</v>
      </c>
      <c r="SOA62" s="962">
        <f>MIN(SOA60*$C$62,'Sources and Uses Budget'!$J$99-SUM('15 Year Pro Forma'!$E$62:SNZ62))</f>
        <v>0</v>
      </c>
      <c r="SOC62" s="962">
        <f>MIN(SOC60*$C$62,'Sources and Uses Budget'!$J$99-SUM('15 Year Pro Forma'!$E$62:SOB62))</f>
        <v>0</v>
      </c>
      <c r="SOE62" s="962">
        <f>MIN(SOE60*$C$62,'Sources and Uses Budget'!$J$99-SUM('15 Year Pro Forma'!$E$62:SOD62))</f>
        <v>0</v>
      </c>
      <c r="SOG62" s="962">
        <f>MIN(SOG60*$C$62,'Sources and Uses Budget'!$J$99-SUM('15 Year Pro Forma'!$E$62:SOF62))</f>
        <v>0</v>
      </c>
      <c r="SOI62" s="962">
        <f>MIN(SOI60*$C$62,'Sources and Uses Budget'!$J$99-SUM('15 Year Pro Forma'!$E$62:SOH62))</f>
        <v>0</v>
      </c>
      <c r="SOK62" s="962">
        <f>MIN(SOK60*$C$62,'Sources and Uses Budget'!$J$99-SUM('15 Year Pro Forma'!$E$62:SOJ62))</f>
        <v>0</v>
      </c>
      <c r="SOM62" s="962">
        <f>MIN(SOM60*$C$62,'Sources and Uses Budget'!$J$99-SUM('15 Year Pro Forma'!$E$62:SOL62))</f>
        <v>0</v>
      </c>
      <c r="SOO62" s="962">
        <f>MIN(SOO60*$C$62,'Sources and Uses Budget'!$J$99-SUM('15 Year Pro Forma'!$E$62:SON62))</f>
        <v>0</v>
      </c>
      <c r="SOQ62" s="962">
        <f>MIN(SOQ60*$C$62,'Sources and Uses Budget'!$J$99-SUM('15 Year Pro Forma'!$E$62:SOP62))</f>
        <v>0</v>
      </c>
      <c r="SOS62" s="962">
        <f>MIN(SOS60*$C$62,'Sources and Uses Budget'!$J$99-SUM('15 Year Pro Forma'!$E$62:SOR62))</f>
        <v>0</v>
      </c>
      <c r="SOU62" s="962">
        <f>MIN(SOU60*$C$62,'Sources and Uses Budget'!$J$99-SUM('15 Year Pro Forma'!$E$62:SOT62))</f>
        <v>0</v>
      </c>
      <c r="SOW62" s="962">
        <f>MIN(SOW60*$C$62,'Sources and Uses Budget'!$J$99-SUM('15 Year Pro Forma'!$E$62:SOV62))</f>
        <v>0</v>
      </c>
      <c r="SOY62" s="962">
        <f>MIN(SOY60*$C$62,'Sources and Uses Budget'!$J$99-SUM('15 Year Pro Forma'!$E$62:SOX62))</f>
        <v>0</v>
      </c>
      <c r="SPA62" s="962">
        <f>MIN(SPA60*$C$62,'Sources and Uses Budget'!$J$99-SUM('15 Year Pro Forma'!$E$62:SOZ62))</f>
        <v>0</v>
      </c>
      <c r="SPC62" s="962">
        <f>MIN(SPC60*$C$62,'Sources and Uses Budget'!$J$99-SUM('15 Year Pro Forma'!$E$62:SPB62))</f>
        <v>0</v>
      </c>
      <c r="SPE62" s="962">
        <f>MIN(SPE60*$C$62,'Sources and Uses Budget'!$J$99-SUM('15 Year Pro Forma'!$E$62:SPD62))</f>
        <v>0</v>
      </c>
      <c r="SPG62" s="962">
        <f>MIN(SPG60*$C$62,'Sources and Uses Budget'!$J$99-SUM('15 Year Pro Forma'!$E$62:SPF62))</f>
        <v>0</v>
      </c>
      <c r="SPI62" s="962">
        <f>MIN(SPI60*$C$62,'Sources and Uses Budget'!$J$99-SUM('15 Year Pro Forma'!$E$62:SPH62))</f>
        <v>0</v>
      </c>
      <c r="SPK62" s="962">
        <f>MIN(SPK60*$C$62,'Sources and Uses Budget'!$J$99-SUM('15 Year Pro Forma'!$E$62:SPJ62))</f>
        <v>0</v>
      </c>
      <c r="SPM62" s="962">
        <f>MIN(SPM60*$C$62,'Sources and Uses Budget'!$J$99-SUM('15 Year Pro Forma'!$E$62:SPL62))</f>
        <v>0</v>
      </c>
      <c r="SPO62" s="962">
        <f>MIN(SPO60*$C$62,'Sources and Uses Budget'!$J$99-SUM('15 Year Pro Forma'!$E$62:SPN62))</f>
        <v>0</v>
      </c>
      <c r="SPQ62" s="962">
        <f>MIN(SPQ60*$C$62,'Sources and Uses Budget'!$J$99-SUM('15 Year Pro Forma'!$E$62:SPP62))</f>
        <v>0</v>
      </c>
      <c r="SPS62" s="962">
        <f>MIN(SPS60*$C$62,'Sources and Uses Budget'!$J$99-SUM('15 Year Pro Forma'!$E$62:SPR62))</f>
        <v>0</v>
      </c>
      <c r="SPU62" s="962">
        <f>MIN(SPU60*$C$62,'Sources and Uses Budget'!$J$99-SUM('15 Year Pro Forma'!$E$62:SPT62))</f>
        <v>0</v>
      </c>
      <c r="SPW62" s="962">
        <f>MIN(SPW60*$C$62,'Sources and Uses Budget'!$J$99-SUM('15 Year Pro Forma'!$E$62:SPV62))</f>
        <v>0</v>
      </c>
      <c r="SPY62" s="962">
        <f>MIN(SPY60*$C$62,'Sources and Uses Budget'!$J$99-SUM('15 Year Pro Forma'!$E$62:SPX62))</f>
        <v>0</v>
      </c>
      <c r="SQA62" s="962">
        <f>MIN(SQA60*$C$62,'Sources and Uses Budget'!$J$99-SUM('15 Year Pro Forma'!$E$62:SPZ62))</f>
        <v>0</v>
      </c>
      <c r="SQC62" s="962">
        <f>MIN(SQC60*$C$62,'Sources and Uses Budget'!$J$99-SUM('15 Year Pro Forma'!$E$62:SQB62))</f>
        <v>0</v>
      </c>
      <c r="SQE62" s="962">
        <f>MIN(SQE60*$C$62,'Sources and Uses Budget'!$J$99-SUM('15 Year Pro Forma'!$E$62:SQD62))</f>
        <v>0</v>
      </c>
      <c r="SQG62" s="962">
        <f>MIN(SQG60*$C$62,'Sources and Uses Budget'!$J$99-SUM('15 Year Pro Forma'!$E$62:SQF62))</f>
        <v>0</v>
      </c>
      <c r="SQI62" s="962">
        <f>MIN(SQI60*$C$62,'Sources and Uses Budget'!$J$99-SUM('15 Year Pro Forma'!$E$62:SQH62))</f>
        <v>0</v>
      </c>
      <c r="SQK62" s="962">
        <f>MIN(SQK60*$C$62,'Sources and Uses Budget'!$J$99-SUM('15 Year Pro Forma'!$E$62:SQJ62))</f>
        <v>0</v>
      </c>
      <c r="SQM62" s="962">
        <f>MIN(SQM60*$C$62,'Sources and Uses Budget'!$J$99-SUM('15 Year Pro Forma'!$E$62:SQL62))</f>
        <v>0</v>
      </c>
      <c r="SQO62" s="962">
        <f>MIN(SQO60*$C$62,'Sources and Uses Budget'!$J$99-SUM('15 Year Pro Forma'!$E$62:SQN62))</f>
        <v>0</v>
      </c>
      <c r="SQQ62" s="962">
        <f>MIN(SQQ60*$C$62,'Sources and Uses Budget'!$J$99-SUM('15 Year Pro Forma'!$E$62:SQP62))</f>
        <v>0</v>
      </c>
      <c r="SQS62" s="962">
        <f>MIN(SQS60*$C$62,'Sources and Uses Budget'!$J$99-SUM('15 Year Pro Forma'!$E$62:SQR62))</f>
        <v>0</v>
      </c>
      <c r="SQU62" s="962">
        <f>MIN(SQU60*$C$62,'Sources and Uses Budget'!$J$99-SUM('15 Year Pro Forma'!$E$62:SQT62))</f>
        <v>0</v>
      </c>
      <c r="SQW62" s="962">
        <f>MIN(SQW60*$C$62,'Sources and Uses Budget'!$J$99-SUM('15 Year Pro Forma'!$E$62:SQV62))</f>
        <v>0</v>
      </c>
      <c r="SQY62" s="962">
        <f>MIN(SQY60*$C$62,'Sources and Uses Budget'!$J$99-SUM('15 Year Pro Forma'!$E$62:SQX62))</f>
        <v>0</v>
      </c>
      <c r="SRA62" s="962">
        <f>MIN(SRA60*$C$62,'Sources and Uses Budget'!$J$99-SUM('15 Year Pro Forma'!$E$62:SQZ62))</f>
        <v>0</v>
      </c>
      <c r="SRC62" s="962">
        <f>MIN(SRC60*$C$62,'Sources and Uses Budget'!$J$99-SUM('15 Year Pro Forma'!$E$62:SRB62))</f>
        <v>0</v>
      </c>
      <c r="SRE62" s="962">
        <f>MIN(SRE60*$C$62,'Sources and Uses Budget'!$J$99-SUM('15 Year Pro Forma'!$E$62:SRD62))</f>
        <v>0</v>
      </c>
      <c r="SRG62" s="962">
        <f>MIN(SRG60*$C$62,'Sources and Uses Budget'!$J$99-SUM('15 Year Pro Forma'!$E$62:SRF62))</f>
        <v>0</v>
      </c>
      <c r="SRI62" s="962">
        <f>MIN(SRI60*$C$62,'Sources and Uses Budget'!$J$99-SUM('15 Year Pro Forma'!$E$62:SRH62))</f>
        <v>0</v>
      </c>
      <c r="SRK62" s="962">
        <f>MIN(SRK60*$C$62,'Sources and Uses Budget'!$J$99-SUM('15 Year Pro Forma'!$E$62:SRJ62))</f>
        <v>0</v>
      </c>
      <c r="SRM62" s="962">
        <f>MIN(SRM60*$C$62,'Sources and Uses Budget'!$J$99-SUM('15 Year Pro Forma'!$E$62:SRL62))</f>
        <v>0</v>
      </c>
      <c r="SRO62" s="962">
        <f>MIN(SRO60*$C$62,'Sources and Uses Budget'!$J$99-SUM('15 Year Pro Forma'!$E$62:SRN62))</f>
        <v>0</v>
      </c>
      <c r="SRQ62" s="962">
        <f>MIN(SRQ60*$C$62,'Sources and Uses Budget'!$J$99-SUM('15 Year Pro Forma'!$E$62:SRP62))</f>
        <v>0</v>
      </c>
      <c r="SRS62" s="962">
        <f>MIN(SRS60*$C$62,'Sources and Uses Budget'!$J$99-SUM('15 Year Pro Forma'!$E$62:SRR62))</f>
        <v>0</v>
      </c>
      <c r="SRU62" s="962">
        <f>MIN(SRU60*$C$62,'Sources and Uses Budget'!$J$99-SUM('15 Year Pro Forma'!$E$62:SRT62))</f>
        <v>0</v>
      </c>
      <c r="SRW62" s="962">
        <f>MIN(SRW60*$C$62,'Sources and Uses Budget'!$J$99-SUM('15 Year Pro Forma'!$E$62:SRV62))</f>
        <v>0</v>
      </c>
      <c r="SRY62" s="962">
        <f>MIN(SRY60*$C$62,'Sources and Uses Budget'!$J$99-SUM('15 Year Pro Forma'!$E$62:SRX62))</f>
        <v>0</v>
      </c>
      <c r="SSA62" s="962">
        <f>MIN(SSA60*$C$62,'Sources and Uses Budget'!$J$99-SUM('15 Year Pro Forma'!$E$62:SRZ62))</f>
        <v>0</v>
      </c>
      <c r="SSC62" s="962">
        <f>MIN(SSC60*$C$62,'Sources and Uses Budget'!$J$99-SUM('15 Year Pro Forma'!$E$62:SSB62))</f>
        <v>0</v>
      </c>
      <c r="SSE62" s="962">
        <f>MIN(SSE60*$C$62,'Sources and Uses Budget'!$J$99-SUM('15 Year Pro Forma'!$E$62:SSD62))</f>
        <v>0</v>
      </c>
      <c r="SSG62" s="962">
        <f>MIN(SSG60*$C$62,'Sources and Uses Budget'!$J$99-SUM('15 Year Pro Forma'!$E$62:SSF62))</f>
        <v>0</v>
      </c>
      <c r="SSI62" s="962">
        <f>MIN(SSI60*$C$62,'Sources and Uses Budget'!$J$99-SUM('15 Year Pro Forma'!$E$62:SSH62))</f>
        <v>0</v>
      </c>
      <c r="SSK62" s="962">
        <f>MIN(SSK60*$C$62,'Sources and Uses Budget'!$J$99-SUM('15 Year Pro Forma'!$E$62:SSJ62))</f>
        <v>0</v>
      </c>
      <c r="SSM62" s="962">
        <f>MIN(SSM60*$C$62,'Sources and Uses Budget'!$J$99-SUM('15 Year Pro Forma'!$E$62:SSL62))</f>
        <v>0</v>
      </c>
      <c r="SSO62" s="962">
        <f>MIN(SSO60*$C$62,'Sources and Uses Budget'!$J$99-SUM('15 Year Pro Forma'!$E$62:SSN62))</f>
        <v>0</v>
      </c>
      <c r="SSQ62" s="962">
        <f>MIN(SSQ60*$C$62,'Sources and Uses Budget'!$J$99-SUM('15 Year Pro Forma'!$E$62:SSP62))</f>
        <v>0</v>
      </c>
      <c r="SSS62" s="962">
        <f>MIN(SSS60*$C$62,'Sources and Uses Budget'!$J$99-SUM('15 Year Pro Forma'!$E$62:SSR62))</f>
        <v>0</v>
      </c>
      <c r="SSU62" s="962">
        <f>MIN(SSU60*$C$62,'Sources and Uses Budget'!$J$99-SUM('15 Year Pro Forma'!$E$62:SST62))</f>
        <v>0</v>
      </c>
      <c r="SSW62" s="962">
        <f>MIN(SSW60*$C$62,'Sources and Uses Budget'!$J$99-SUM('15 Year Pro Forma'!$E$62:SSV62))</f>
        <v>0</v>
      </c>
      <c r="SSY62" s="962">
        <f>MIN(SSY60*$C$62,'Sources and Uses Budget'!$J$99-SUM('15 Year Pro Forma'!$E$62:SSX62))</f>
        <v>0</v>
      </c>
      <c r="STA62" s="962">
        <f>MIN(STA60*$C$62,'Sources and Uses Budget'!$J$99-SUM('15 Year Pro Forma'!$E$62:SSZ62))</f>
        <v>0</v>
      </c>
      <c r="STC62" s="962">
        <f>MIN(STC60*$C$62,'Sources and Uses Budget'!$J$99-SUM('15 Year Pro Forma'!$E$62:STB62))</f>
        <v>0</v>
      </c>
      <c r="STE62" s="962">
        <f>MIN(STE60*$C$62,'Sources and Uses Budget'!$J$99-SUM('15 Year Pro Forma'!$E$62:STD62))</f>
        <v>0</v>
      </c>
      <c r="STG62" s="962">
        <f>MIN(STG60*$C$62,'Sources and Uses Budget'!$J$99-SUM('15 Year Pro Forma'!$E$62:STF62))</f>
        <v>0</v>
      </c>
      <c r="STI62" s="962">
        <f>MIN(STI60*$C$62,'Sources and Uses Budget'!$J$99-SUM('15 Year Pro Forma'!$E$62:STH62))</f>
        <v>0</v>
      </c>
      <c r="STK62" s="962">
        <f>MIN(STK60*$C$62,'Sources and Uses Budget'!$J$99-SUM('15 Year Pro Forma'!$E$62:STJ62))</f>
        <v>0</v>
      </c>
      <c r="STM62" s="962">
        <f>MIN(STM60*$C$62,'Sources and Uses Budget'!$J$99-SUM('15 Year Pro Forma'!$E$62:STL62))</f>
        <v>0</v>
      </c>
      <c r="STO62" s="962">
        <f>MIN(STO60*$C$62,'Sources and Uses Budget'!$J$99-SUM('15 Year Pro Forma'!$E$62:STN62))</f>
        <v>0</v>
      </c>
      <c r="STQ62" s="962">
        <f>MIN(STQ60*$C$62,'Sources and Uses Budget'!$J$99-SUM('15 Year Pro Forma'!$E$62:STP62))</f>
        <v>0</v>
      </c>
      <c r="STS62" s="962">
        <f>MIN(STS60*$C$62,'Sources and Uses Budget'!$J$99-SUM('15 Year Pro Forma'!$E$62:STR62))</f>
        <v>0</v>
      </c>
      <c r="STU62" s="962">
        <f>MIN(STU60*$C$62,'Sources and Uses Budget'!$J$99-SUM('15 Year Pro Forma'!$E$62:STT62))</f>
        <v>0</v>
      </c>
      <c r="STW62" s="962">
        <f>MIN(STW60*$C$62,'Sources and Uses Budget'!$J$99-SUM('15 Year Pro Forma'!$E$62:STV62))</f>
        <v>0</v>
      </c>
      <c r="STY62" s="962">
        <f>MIN(STY60*$C$62,'Sources and Uses Budget'!$J$99-SUM('15 Year Pro Forma'!$E$62:STX62))</f>
        <v>0</v>
      </c>
      <c r="SUA62" s="962">
        <f>MIN(SUA60*$C$62,'Sources and Uses Budget'!$J$99-SUM('15 Year Pro Forma'!$E$62:STZ62))</f>
        <v>0</v>
      </c>
      <c r="SUC62" s="962">
        <f>MIN(SUC60*$C$62,'Sources and Uses Budget'!$J$99-SUM('15 Year Pro Forma'!$E$62:SUB62))</f>
        <v>0</v>
      </c>
      <c r="SUE62" s="962">
        <f>MIN(SUE60*$C$62,'Sources and Uses Budget'!$J$99-SUM('15 Year Pro Forma'!$E$62:SUD62))</f>
        <v>0</v>
      </c>
      <c r="SUG62" s="962">
        <f>MIN(SUG60*$C$62,'Sources and Uses Budget'!$J$99-SUM('15 Year Pro Forma'!$E$62:SUF62))</f>
        <v>0</v>
      </c>
      <c r="SUI62" s="962">
        <f>MIN(SUI60*$C$62,'Sources and Uses Budget'!$J$99-SUM('15 Year Pro Forma'!$E$62:SUH62))</f>
        <v>0</v>
      </c>
      <c r="SUK62" s="962">
        <f>MIN(SUK60*$C$62,'Sources and Uses Budget'!$J$99-SUM('15 Year Pro Forma'!$E$62:SUJ62))</f>
        <v>0</v>
      </c>
      <c r="SUM62" s="962">
        <f>MIN(SUM60*$C$62,'Sources and Uses Budget'!$J$99-SUM('15 Year Pro Forma'!$E$62:SUL62))</f>
        <v>0</v>
      </c>
      <c r="SUO62" s="962">
        <f>MIN(SUO60*$C$62,'Sources and Uses Budget'!$J$99-SUM('15 Year Pro Forma'!$E$62:SUN62))</f>
        <v>0</v>
      </c>
      <c r="SUQ62" s="962">
        <f>MIN(SUQ60*$C$62,'Sources and Uses Budget'!$J$99-SUM('15 Year Pro Forma'!$E$62:SUP62))</f>
        <v>0</v>
      </c>
      <c r="SUS62" s="962">
        <f>MIN(SUS60*$C$62,'Sources and Uses Budget'!$J$99-SUM('15 Year Pro Forma'!$E$62:SUR62))</f>
        <v>0</v>
      </c>
      <c r="SUU62" s="962">
        <f>MIN(SUU60*$C$62,'Sources and Uses Budget'!$J$99-SUM('15 Year Pro Forma'!$E$62:SUT62))</f>
        <v>0</v>
      </c>
      <c r="SUW62" s="962">
        <f>MIN(SUW60*$C$62,'Sources and Uses Budget'!$J$99-SUM('15 Year Pro Forma'!$E$62:SUV62))</f>
        <v>0</v>
      </c>
      <c r="SUY62" s="962">
        <f>MIN(SUY60*$C$62,'Sources and Uses Budget'!$J$99-SUM('15 Year Pro Forma'!$E$62:SUX62))</f>
        <v>0</v>
      </c>
      <c r="SVA62" s="962">
        <f>MIN(SVA60*$C$62,'Sources and Uses Budget'!$J$99-SUM('15 Year Pro Forma'!$E$62:SUZ62))</f>
        <v>0</v>
      </c>
      <c r="SVC62" s="962">
        <f>MIN(SVC60*$C$62,'Sources and Uses Budget'!$J$99-SUM('15 Year Pro Forma'!$E$62:SVB62))</f>
        <v>0</v>
      </c>
      <c r="SVE62" s="962">
        <f>MIN(SVE60*$C$62,'Sources and Uses Budget'!$J$99-SUM('15 Year Pro Forma'!$E$62:SVD62))</f>
        <v>0</v>
      </c>
      <c r="SVG62" s="962">
        <f>MIN(SVG60*$C$62,'Sources and Uses Budget'!$J$99-SUM('15 Year Pro Forma'!$E$62:SVF62))</f>
        <v>0</v>
      </c>
      <c r="SVI62" s="962">
        <f>MIN(SVI60*$C$62,'Sources and Uses Budget'!$J$99-SUM('15 Year Pro Forma'!$E$62:SVH62))</f>
        <v>0</v>
      </c>
      <c r="SVK62" s="962">
        <f>MIN(SVK60*$C$62,'Sources and Uses Budget'!$J$99-SUM('15 Year Pro Forma'!$E$62:SVJ62))</f>
        <v>0</v>
      </c>
      <c r="SVM62" s="962">
        <f>MIN(SVM60*$C$62,'Sources and Uses Budget'!$J$99-SUM('15 Year Pro Forma'!$E$62:SVL62))</f>
        <v>0</v>
      </c>
      <c r="SVO62" s="962">
        <f>MIN(SVO60*$C$62,'Sources and Uses Budget'!$J$99-SUM('15 Year Pro Forma'!$E$62:SVN62))</f>
        <v>0</v>
      </c>
      <c r="SVQ62" s="962">
        <f>MIN(SVQ60*$C$62,'Sources and Uses Budget'!$J$99-SUM('15 Year Pro Forma'!$E$62:SVP62))</f>
        <v>0</v>
      </c>
      <c r="SVS62" s="962">
        <f>MIN(SVS60*$C$62,'Sources and Uses Budget'!$J$99-SUM('15 Year Pro Forma'!$E$62:SVR62))</f>
        <v>0</v>
      </c>
      <c r="SVU62" s="962">
        <f>MIN(SVU60*$C$62,'Sources and Uses Budget'!$J$99-SUM('15 Year Pro Forma'!$E$62:SVT62))</f>
        <v>0</v>
      </c>
      <c r="SVW62" s="962">
        <f>MIN(SVW60*$C$62,'Sources and Uses Budget'!$J$99-SUM('15 Year Pro Forma'!$E$62:SVV62))</f>
        <v>0</v>
      </c>
      <c r="SVY62" s="962">
        <f>MIN(SVY60*$C$62,'Sources and Uses Budget'!$J$99-SUM('15 Year Pro Forma'!$E$62:SVX62))</f>
        <v>0</v>
      </c>
      <c r="SWA62" s="962">
        <f>MIN(SWA60*$C$62,'Sources and Uses Budget'!$J$99-SUM('15 Year Pro Forma'!$E$62:SVZ62))</f>
        <v>0</v>
      </c>
      <c r="SWC62" s="962">
        <f>MIN(SWC60*$C$62,'Sources and Uses Budget'!$J$99-SUM('15 Year Pro Forma'!$E$62:SWB62))</f>
        <v>0</v>
      </c>
      <c r="SWE62" s="962">
        <f>MIN(SWE60*$C$62,'Sources and Uses Budget'!$J$99-SUM('15 Year Pro Forma'!$E$62:SWD62))</f>
        <v>0</v>
      </c>
      <c r="SWG62" s="962">
        <f>MIN(SWG60*$C$62,'Sources and Uses Budget'!$J$99-SUM('15 Year Pro Forma'!$E$62:SWF62))</f>
        <v>0</v>
      </c>
      <c r="SWI62" s="962">
        <f>MIN(SWI60*$C$62,'Sources and Uses Budget'!$J$99-SUM('15 Year Pro Forma'!$E$62:SWH62))</f>
        <v>0</v>
      </c>
      <c r="SWK62" s="962">
        <f>MIN(SWK60*$C$62,'Sources and Uses Budget'!$J$99-SUM('15 Year Pro Forma'!$E$62:SWJ62))</f>
        <v>0</v>
      </c>
      <c r="SWM62" s="962">
        <f>MIN(SWM60*$C$62,'Sources and Uses Budget'!$J$99-SUM('15 Year Pro Forma'!$E$62:SWL62))</f>
        <v>0</v>
      </c>
      <c r="SWO62" s="962">
        <f>MIN(SWO60*$C$62,'Sources and Uses Budget'!$J$99-SUM('15 Year Pro Forma'!$E$62:SWN62))</f>
        <v>0</v>
      </c>
      <c r="SWQ62" s="962">
        <f>MIN(SWQ60*$C$62,'Sources and Uses Budget'!$J$99-SUM('15 Year Pro Forma'!$E$62:SWP62))</f>
        <v>0</v>
      </c>
      <c r="SWS62" s="962">
        <f>MIN(SWS60*$C$62,'Sources and Uses Budget'!$J$99-SUM('15 Year Pro Forma'!$E$62:SWR62))</f>
        <v>0</v>
      </c>
      <c r="SWU62" s="962">
        <f>MIN(SWU60*$C$62,'Sources and Uses Budget'!$J$99-SUM('15 Year Pro Forma'!$E$62:SWT62))</f>
        <v>0</v>
      </c>
      <c r="SWW62" s="962">
        <f>MIN(SWW60*$C$62,'Sources and Uses Budget'!$J$99-SUM('15 Year Pro Forma'!$E$62:SWV62))</f>
        <v>0</v>
      </c>
      <c r="SWY62" s="962">
        <f>MIN(SWY60*$C$62,'Sources and Uses Budget'!$J$99-SUM('15 Year Pro Forma'!$E$62:SWX62))</f>
        <v>0</v>
      </c>
      <c r="SXA62" s="962">
        <f>MIN(SXA60*$C$62,'Sources and Uses Budget'!$J$99-SUM('15 Year Pro Forma'!$E$62:SWZ62))</f>
        <v>0</v>
      </c>
      <c r="SXC62" s="962">
        <f>MIN(SXC60*$C$62,'Sources and Uses Budget'!$J$99-SUM('15 Year Pro Forma'!$E$62:SXB62))</f>
        <v>0</v>
      </c>
      <c r="SXE62" s="962">
        <f>MIN(SXE60*$C$62,'Sources and Uses Budget'!$J$99-SUM('15 Year Pro Forma'!$E$62:SXD62))</f>
        <v>0</v>
      </c>
      <c r="SXG62" s="962">
        <f>MIN(SXG60*$C$62,'Sources and Uses Budget'!$J$99-SUM('15 Year Pro Forma'!$E$62:SXF62))</f>
        <v>0</v>
      </c>
      <c r="SXI62" s="962">
        <f>MIN(SXI60*$C$62,'Sources and Uses Budget'!$J$99-SUM('15 Year Pro Forma'!$E$62:SXH62))</f>
        <v>0</v>
      </c>
      <c r="SXK62" s="962">
        <f>MIN(SXK60*$C$62,'Sources and Uses Budget'!$J$99-SUM('15 Year Pro Forma'!$E$62:SXJ62))</f>
        <v>0</v>
      </c>
      <c r="SXM62" s="962">
        <f>MIN(SXM60*$C$62,'Sources and Uses Budget'!$J$99-SUM('15 Year Pro Forma'!$E$62:SXL62))</f>
        <v>0</v>
      </c>
      <c r="SXO62" s="962">
        <f>MIN(SXO60*$C$62,'Sources and Uses Budget'!$J$99-SUM('15 Year Pro Forma'!$E$62:SXN62))</f>
        <v>0</v>
      </c>
      <c r="SXQ62" s="962">
        <f>MIN(SXQ60*$C$62,'Sources and Uses Budget'!$J$99-SUM('15 Year Pro Forma'!$E$62:SXP62))</f>
        <v>0</v>
      </c>
      <c r="SXS62" s="962">
        <f>MIN(SXS60*$C$62,'Sources and Uses Budget'!$J$99-SUM('15 Year Pro Forma'!$E$62:SXR62))</f>
        <v>0</v>
      </c>
      <c r="SXU62" s="962">
        <f>MIN(SXU60*$C$62,'Sources and Uses Budget'!$J$99-SUM('15 Year Pro Forma'!$E$62:SXT62))</f>
        <v>0</v>
      </c>
      <c r="SXW62" s="962">
        <f>MIN(SXW60*$C$62,'Sources and Uses Budget'!$J$99-SUM('15 Year Pro Forma'!$E$62:SXV62))</f>
        <v>0</v>
      </c>
      <c r="SXY62" s="962">
        <f>MIN(SXY60*$C$62,'Sources and Uses Budget'!$J$99-SUM('15 Year Pro Forma'!$E$62:SXX62))</f>
        <v>0</v>
      </c>
      <c r="SYA62" s="962">
        <f>MIN(SYA60*$C$62,'Sources and Uses Budget'!$J$99-SUM('15 Year Pro Forma'!$E$62:SXZ62))</f>
        <v>0</v>
      </c>
      <c r="SYC62" s="962">
        <f>MIN(SYC60*$C$62,'Sources and Uses Budget'!$J$99-SUM('15 Year Pro Forma'!$E$62:SYB62))</f>
        <v>0</v>
      </c>
      <c r="SYE62" s="962">
        <f>MIN(SYE60*$C$62,'Sources and Uses Budget'!$J$99-SUM('15 Year Pro Forma'!$E$62:SYD62))</f>
        <v>0</v>
      </c>
      <c r="SYG62" s="962">
        <f>MIN(SYG60*$C$62,'Sources and Uses Budget'!$J$99-SUM('15 Year Pro Forma'!$E$62:SYF62))</f>
        <v>0</v>
      </c>
      <c r="SYI62" s="962">
        <f>MIN(SYI60*$C$62,'Sources and Uses Budget'!$J$99-SUM('15 Year Pro Forma'!$E$62:SYH62))</f>
        <v>0</v>
      </c>
      <c r="SYK62" s="962">
        <f>MIN(SYK60*$C$62,'Sources and Uses Budget'!$J$99-SUM('15 Year Pro Forma'!$E$62:SYJ62))</f>
        <v>0</v>
      </c>
      <c r="SYM62" s="962">
        <f>MIN(SYM60*$C$62,'Sources and Uses Budget'!$J$99-SUM('15 Year Pro Forma'!$E$62:SYL62))</f>
        <v>0</v>
      </c>
      <c r="SYO62" s="962">
        <f>MIN(SYO60*$C$62,'Sources and Uses Budget'!$J$99-SUM('15 Year Pro Forma'!$E$62:SYN62))</f>
        <v>0</v>
      </c>
      <c r="SYQ62" s="962">
        <f>MIN(SYQ60*$C$62,'Sources and Uses Budget'!$J$99-SUM('15 Year Pro Forma'!$E$62:SYP62))</f>
        <v>0</v>
      </c>
      <c r="SYS62" s="962">
        <f>MIN(SYS60*$C$62,'Sources and Uses Budget'!$J$99-SUM('15 Year Pro Forma'!$E$62:SYR62))</f>
        <v>0</v>
      </c>
      <c r="SYU62" s="962">
        <f>MIN(SYU60*$C$62,'Sources and Uses Budget'!$J$99-SUM('15 Year Pro Forma'!$E$62:SYT62))</f>
        <v>0</v>
      </c>
      <c r="SYW62" s="962">
        <f>MIN(SYW60*$C$62,'Sources and Uses Budget'!$J$99-SUM('15 Year Pro Forma'!$E$62:SYV62))</f>
        <v>0</v>
      </c>
      <c r="SYY62" s="962">
        <f>MIN(SYY60*$C$62,'Sources and Uses Budget'!$J$99-SUM('15 Year Pro Forma'!$E$62:SYX62))</f>
        <v>0</v>
      </c>
      <c r="SZA62" s="962">
        <f>MIN(SZA60*$C$62,'Sources and Uses Budget'!$J$99-SUM('15 Year Pro Forma'!$E$62:SYZ62))</f>
        <v>0</v>
      </c>
      <c r="SZC62" s="962">
        <f>MIN(SZC60*$C$62,'Sources and Uses Budget'!$J$99-SUM('15 Year Pro Forma'!$E$62:SZB62))</f>
        <v>0</v>
      </c>
      <c r="SZE62" s="962">
        <f>MIN(SZE60*$C$62,'Sources and Uses Budget'!$J$99-SUM('15 Year Pro Forma'!$E$62:SZD62))</f>
        <v>0</v>
      </c>
      <c r="SZG62" s="962">
        <f>MIN(SZG60*$C$62,'Sources and Uses Budget'!$J$99-SUM('15 Year Pro Forma'!$E$62:SZF62))</f>
        <v>0</v>
      </c>
      <c r="SZI62" s="962">
        <f>MIN(SZI60*$C$62,'Sources and Uses Budget'!$J$99-SUM('15 Year Pro Forma'!$E$62:SZH62))</f>
        <v>0</v>
      </c>
      <c r="SZK62" s="962">
        <f>MIN(SZK60*$C$62,'Sources and Uses Budget'!$J$99-SUM('15 Year Pro Forma'!$E$62:SZJ62))</f>
        <v>0</v>
      </c>
      <c r="SZM62" s="962">
        <f>MIN(SZM60*$C$62,'Sources and Uses Budget'!$J$99-SUM('15 Year Pro Forma'!$E$62:SZL62))</f>
        <v>0</v>
      </c>
      <c r="SZO62" s="962">
        <f>MIN(SZO60*$C$62,'Sources and Uses Budget'!$J$99-SUM('15 Year Pro Forma'!$E$62:SZN62))</f>
        <v>0</v>
      </c>
      <c r="SZQ62" s="962">
        <f>MIN(SZQ60*$C$62,'Sources and Uses Budget'!$J$99-SUM('15 Year Pro Forma'!$E$62:SZP62))</f>
        <v>0</v>
      </c>
      <c r="SZS62" s="962">
        <f>MIN(SZS60*$C$62,'Sources and Uses Budget'!$J$99-SUM('15 Year Pro Forma'!$E$62:SZR62))</f>
        <v>0</v>
      </c>
      <c r="SZU62" s="962">
        <f>MIN(SZU60*$C$62,'Sources and Uses Budget'!$J$99-SUM('15 Year Pro Forma'!$E$62:SZT62))</f>
        <v>0</v>
      </c>
      <c r="SZW62" s="962">
        <f>MIN(SZW60*$C$62,'Sources and Uses Budget'!$J$99-SUM('15 Year Pro Forma'!$E$62:SZV62))</f>
        <v>0</v>
      </c>
      <c r="SZY62" s="962">
        <f>MIN(SZY60*$C$62,'Sources and Uses Budget'!$J$99-SUM('15 Year Pro Forma'!$E$62:SZX62))</f>
        <v>0</v>
      </c>
      <c r="TAA62" s="962">
        <f>MIN(TAA60*$C$62,'Sources and Uses Budget'!$J$99-SUM('15 Year Pro Forma'!$E$62:SZZ62))</f>
        <v>0</v>
      </c>
      <c r="TAC62" s="962">
        <f>MIN(TAC60*$C$62,'Sources and Uses Budget'!$J$99-SUM('15 Year Pro Forma'!$E$62:TAB62))</f>
        <v>0</v>
      </c>
      <c r="TAE62" s="962">
        <f>MIN(TAE60*$C$62,'Sources and Uses Budget'!$J$99-SUM('15 Year Pro Forma'!$E$62:TAD62))</f>
        <v>0</v>
      </c>
      <c r="TAG62" s="962">
        <f>MIN(TAG60*$C$62,'Sources and Uses Budget'!$J$99-SUM('15 Year Pro Forma'!$E$62:TAF62))</f>
        <v>0</v>
      </c>
      <c r="TAI62" s="962">
        <f>MIN(TAI60*$C$62,'Sources and Uses Budget'!$J$99-SUM('15 Year Pro Forma'!$E$62:TAH62))</f>
        <v>0</v>
      </c>
      <c r="TAK62" s="962">
        <f>MIN(TAK60*$C$62,'Sources and Uses Budget'!$J$99-SUM('15 Year Pro Forma'!$E$62:TAJ62))</f>
        <v>0</v>
      </c>
      <c r="TAM62" s="962">
        <f>MIN(TAM60*$C$62,'Sources and Uses Budget'!$J$99-SUM('15 Year Pro Forma'!$E$62:TAL62))</f>
        <v>0</v>
      </c>
      <c r="TAO62" s="962">
        <f>MIN(TAO60*$C$62,'Sources and Uses Budget'!$J$99-SUM('15 Year Pro Forma'!$E$62:TAN62))</f>
        <v>0</v>
      </c>
      <c r="TAQ62" s="962">
        <f>MIN(TAQ60*$C$62,'Sources and Uses Budget'!$J$99-SUM('15 Year Pro Forma'!$E$62:TAP62))</f>
        <v>0</v>
      </c>
      <c r="TAS62" s="962">
        <f>MIN(TAS60*$C$62,'Sources and Uses Budget'!$J$99-SUM('15 Year Pro Forma'!$E$62:TAR62))</f>
        <v>0</v>
      </c>
      <c r="TAU62" s="962">
        <f>MIN(TAU60*$C$62,'Sources and Uses Budget'!$J$99-SUM('15 Year Pro Forma'!$E$62:TAT62))</f>
        <v>0</v>
      </c>
      <c r="TAW62" s="962">
        <f>MIN(TAW60*$C$62,'Sources and Uses Budget'!$J$99-SUM('15 Year Pro Forma'!$E$62:TAV62))</f>
        <v>0</v>
      </c>
      <c r="TAY62" s="962">
        <f>MIN(TAY60*$C$62,'Sources and Uses Budget'!$J$99-SUM('15 Year Pro Forma'!$E$62:TAX62))</f>
        <v>0</v>
      </c>
      <c r="TBA62" s="962">
        <f>MIN(TBA60*$C$62,'Sources and Uses Budget'!$J$99-SUM('15 Year Pro Forma'!$E$62:TAZ62))</f>
        <v>0</v>
      </c>
      <c r="TBC62" s="962">
        <f>MIN(TBC60*$C$62,'Sources and Uses Budget'!$J$99-SUM('15 Year Pro Forma'!$E$62:TBB62))</f>
        <v>0</v>
      </c>
      <c r="TBE62" s="962">
        <f>MIN(TBE60*$C$62,'Sources and Uses Budget'!$J$99-SUM('15 Year Pro Forma'!$E$62:TBD62))</f>
        <v>0</v>
      </c>
      <c r="TBG62" s="962">
        <f>MIN(TBG60*$C$62,'Sources and Uses Budget'!$J$99-SUM('15 Year Pro Forma'!$E$62:TBF62))</f>
        <v>0</v>
      </c>
      <c r="TBI62" s="962">
        <f>MIN(TBI60*$C$62,'Sources and Uses Budget'!$J$99-SUM('15 Year Pro Forma'!$E$62:TBH62))</f>
        <v>0</v>
      </c>
      <c r="TBK62" s="962">
        <f>MIN(TBK60*$C$62,'Sources and Uses Budget'!$J$99-SUM('15 Year Pro Forma'!$E$62:TBJ62))</f>
        <v>0</v>
      </c>
      <c r="TBM62" s="962">
        <f>MIN(TBM60*$C$62,'Sources and Uses Budget'!$J$99-SUM('15 Year Pro Forma'!$E$62:TBL62))</f>
        <v>0</v>
      </c>
      <c r="TBO62" s="962">
        <f>MIN(TBO60*$C$62,'Sources and Uses Budget'!$J$99-SUM('15 Year Pro Forma'!$E$62:TBN62))</f>
        <v>0</v>
      </c>
      <c r="TBQ62" s="962">
        <f>MIN(TBQ60*$C$62,'Sources and Uses Budget'!$J$99-SUM('15 Year Pro Forma'!$E$62:TBP62))</f>
        <v>0</v>
      </c>
      <c r="TBS62" s="962">
        <f>MIN(TBS60*$C$62,'Sources and Uses Budget'!$J$99-SUM('15 Year Pro Forma'!$E$62:TBR62))</f>
        <v>0</v>
      </c>
      <c r="TBU62" s="962">
        <f>MIN(TBU60*$C$62,'Sources and Uses Budget'!$J$99-SUM('15 Year Pro Forma'!$E$62:TBT62))</f>
        <v>0</v>
      </c>
      <c r="TBW62" s="962">
        <f>MIN(TBW60*$C$62,'Sources and Uses Budget'!$J$99-SUM('15 Year Pro Forma'!$E$62:TBV62))</f>
        <v>0</v>
      </c>
      <c r="TBY62" s="962">
        <f>MIN(TBY60*$C$62,'Sources and Uses Budget'!$J$99-SUM('15 Year Pro Forma'!$E$62:TBX62))</f>
        <v>0</v>
      </c>
      <c r="TCA62" s="962">
        <f>MIN(TCA60*$C$62,'Sources and Uses Budget'!$J$99-SUM('15 Year Pro Forma'!$E$62:TBZ62))</f>
        <v>0</v>
      </c>
      <c r="TCC62" s="962">
        <f>MIN(TCC60*$C$62,'Sources and Uses Budget'!$J$99-SUM('15 Year Pro Forma'!$E$62:TCB62))</f>
        <v>0</v>
      </c>
      <c r="TCE62" s="962">
        <f>MIN(TCE60*$C$62,'Sources and Uses Budget'!$J$99-SUM('15 Year Pro Forma'!$E$62:TCD62))</f>
        <v>0</v>
      </c>
      <c r="TCG62" s="962">
        <f>MIN(TCG60*$C$62,'Sources and Uses Budget'!$J$99-SUM('15 Year Pro Forma'!$E$62:TCF62))</f>
        <v>0</v>
      </c>
      <c r="TCI62" s="962">
        <f>MIN(TCI60*$C$62,'Sources and Uses Budget'!$J$99-SUM('15 Year Pro Forma'!$E$62:TCH62))</f>
        <v>0</v>
      </c>
      <c r="TCK62" s="962">
        <f>MIN(TCK60*$C$62,'Sources and Uses Budget'!$J$99-SUM('15 Year Pro Forma'!$E$62:TCJ62))</f>
        <v>0</v>
      </c>
      <c r="TCM62" s="962">
        <f>MIN(TCM60*$C$62,'Sources and Uses Budget'!$J$99-SUM('15 Year Pro Forma'!$E$62:TCL62))</f>
        <v>0</v>
      </c>
      <c r="TCO62" s="962">
        <f>MIN(TCO60*$C$62,'Sources and Uses Budget'!$J$99-SUM('15 Year Pro Forma'!$E$62:TCN62))</f>
        <v>0</v>
      </c>
      <c r="TCQ62" s="962">
        <f>MIN(TCQ60*$C$62,'Sources and Uses Budget'!$J$99-SUM('15 Year Pro Forma'!$E$62:TCP62))</f>
        <v>0</v>
      </c>
      <c r="TCS62" s="962">
        <f>MIN(TCS60*$C$62,'Sources and Uses Budget'!$J$99-SUM('15 Year Pro Forma'!$E$62:TCR62))</f>
        <v>0</v>
      </c>
      <c r="TCU62" s="962">
        <f>MIN(TCU60*$C$62,'Sources and Uses Budget'!$J$99-SUM('15 Year Pro Forma'!$E$62:TCT62))</f>
        <v>0</v>
      </c>
      <c r="TCW62" s="962">
        <f>MIN(TCW60*$C$62,'Sources and Uses Budget'!$J$99-SUM('15 Year Pro Forma'!$E$62:TCV62))</f>
        <v>0</v>
      </c>
      <c r="TCY62" s="962">
        <f>MIN(TCY60*$C$62,'Sources and Uses Budget'!$J$99-SUM('15 Year Pro Forma'!$E$62:TCX62))</f>
        <v>0</v>
      </c>
      <c r="TDA62" s="962">
        <f>MIN(TDA60*$C$62,'Sources and Uses Budget'!$J$99-SUM('15 Year Pro Forma'!$E$62:TCZ62))</f>
        <v>0</v>
      </c>
      <c r="TDC62" s="962">
        <f>MIN(TDC60*$C$62,'Sources and Uses Budget'!$J$99-SUM('15 Year Pro Forma'!$E$62:TDB62))</f>
        <v>0</v>
      </c>
      <c r="TDE62" s="962">
        <f>MIN(TDE60*$C$62,'Sources and Uses Budget'!$J$99-SUM('15 Year Pro Forma'!$E$62:TDD62))</f>
        <v>0</v>
      </c>
      <c r="TDG62" s="962">
        <f>MIN(TDG60*$C$62,'Sources and Uses Budget'!$J$99-SUM('15 Year Pro Forma'!$E$62:TDF62))</f>
        <v>0</v>
      </c>
      <c r="TDI62" s="962">
        <f>MIN(TDI60*$C$62,'Sources and Uses Budget'!$J$99-SUM('15 Year Pro Forma'!$E$62:TDH62))</f>
        <v>0</v>
      </c>
      <c r="TDK62" s="962">
        <f>MIN(TDK60*$C$62,'Sources and Uses Budget'!$J$99-SUM('15 Year Pro Forma'!$E$62:TDJ62))</f>
        <v>0</v>
      </c>
      <c r="TDM62" s="962">
        <f>MIN(TDM60*$C$62,'Sources and Uses Budget'!$J$99-SUM('15 Year Pro Forma'!$E$62:TDL62))</f>
        <v>0</v>
      </c>
      <c r="TDO62" s="962">
        <f>MIN(TDO60*$C$62,'Sources and Uses Budget'!$J$99-SUM('15 Year Pro Forma'!$E$62:TDN62))</f>
        <v>0</v>
      </c>
      <c r="TDQ62" s="962">
        <f>MIN(TDQ60*$C$62,'Sources and Uses Budget'!$J$99-SUM('15 Year Pro Forma'!$E$62:TDP62))</f>
        <v>0</v>
      </c>
      <c r="TDS62" s="962">
        <f>MIN(TDS60*$C$62,'Sources and Uses Budget'!$J$99-SUM('15 Year Pro Forma'!$E$62:TDR62))</f>
        <v>0</v>
      </c>
      <c r="TDU62" s="962">
        <f>MIN(TDU60*$C$62,'Sources and Uses Budget'!$J$99-SUM('15 Year Pro Forma'!$E$62:TDT62))</f>
        <v>0</v>
      </c>
      <c r="TDW62" s="962">
        <f>MIN(TDW60*$C$62,'Sources and Uses Budget'!$J$99-SUM('15 Year Pro Forma'!$E$62:TDV62))</f>
        <v>0</v>
      </c>
      <c r="TDY62" s="962">
        <f>MIN(TDY60*$C$62,'Sources and Uses Budget'!$J$99-SUM('15 Year Pro Forma'!$E$62:TDX62))</f>
        <v>0</v>
      </c>
      <c r="TEA62" s="962">
        <f>MIN(TEA60*$C$62,'Sources and Uses Budget'!$J$99-SUM('15 Year Pro Forma'!$E$62:TDZ62))</f>
        <v>0</v>
      </c>
      <c r="TEC62" s="962">
        <f>MIN(TEC60*$C$62,'Sources and Uses Budget'!$J$99-SUM('15 Year Pro Forma'!$E$62:TEB62))</f>
        <v>0</v>
      </c>
      <c r="TEE62" s="962">
        <f>MIN(TEE60*$C$62,'Sources and Uses Budget'!$J$99-SUM('15 Year Pro Forma'!$E$62:TED62))</f>
        <v>0</v>
      </c>
      <c r="TEG62" s="962">
        <f>MIN(TEG60*$C$62,'Sources and Uses Budget'!$J$99-SUM('15 Year Pro Forma'!$E$62:TEF62))</f>
        <v>0</v>
      </c>
      <c r="TEI62" s="962">
        <f>MIN(TEI60*$C$62,'Sources and Uses Budget'!$J$99-SUM('15 Year Pro Forma'!$E$62:TEH62))</f>
        <v>0</v>
      </c>
      <c r="TEK62" s="962">
        <f>MIN(TEK60*$C$62,'Sources and Uses Budget'!$J$99-SUM('15 Year Pro Forma'!$E$62:TEJ62))</f>
        <v>0</v>
      </c>
      <c r="TEM62" s="962">
        <f>MIN(TEM60*$C$62,'Sources and Uses Budget'!$J$99-SUM('15 Year Pro Forma'!$E$62:TEL62))</f>
        <v>0</v>
      </c>
      <c r="TEO62" s="962">
        <f>MIN(TEO60*$C$62,'Sources and Uses Budget'!$J$99-SUM('15 Year Pro Forma'!$E$62:TEN62))</f>
        <v>0</v>
      </c>
      <c r="TEQ62" s="962">
        <f>MIN(TEQ60*$C$62,'Sources and Uses Budget'!$J$99-SUM('15 Year Pro Forma'!$E$62:TEP62))</f>
        <v>0</v>
      </c>
      <c r="TES62" s="962">
        <f>MIN(TES60*$C$62,'Sources and Uses Budget'!$J$99-SUM('15 Year Pro Forma'!$E$62:TER62))</f>
        <v>0</v>
      </c>
      <c r="TEU62" s="962">
        <f>MIN(TEU60*$C$62,'Sources and Uses Budget'!$J$99-SUM('15 Year Pro Forma'!$E$62:TET62))</f>
        <v>0</v>
      </c>
      <c r="TEW62" s="962">
        <f>MIN(TEW60*$C$62,'Sources and Uses Budget'!$J$99-SUM('15 Year Pro Forma'!$E$62:TEV62))</f>
        <v>0</v>
      </c>
      <c r="TEY62" s="962">
        <f>MIN(TEY60*$C$62,'Sources and Uses Budget'!$J$99-SUM('15 Year Pro Forma'!$E$62:TEX62))</f>
        <v>0</v>
      </c>
      <c r="TFA62" s="962">
        <f>MIN(TFA60*$C$62,'Sources and Uses Budget'!$J$99-SUM('15 Year Pro Forma'!$E$62:TEZ62))</f>
        <v>0</v>
      </c>
      <c r="TFC62" s="962">
        <f>MIN(TFC60*$C$62,'Sources and Uses Budget'!$J$99-SUM('15 Year Pro Forma'!$E$62:TFB62))</f>
        <v>0</v>
      </c>
      <c r="TFE62" s="962">
        <f>MIN(TFE60*$C$62,'Sources and Uses Budget'!$J$99-SUM('15 Year Pro Forma'!$E$62:TFD62))</f>
        <v>0</v>
      </c>
      <c r="TFG62" s="962">
        <f>MIN(TFG60*$C$62,'Sources and Uses Budget'!$J$99-SUM('15 Year Pro Forma'!$E$62:TFF62))</f>
        <v>0</v>
      </c>
      <c r="TFI62" s="962">
        <f>MIN(TFI60*$C$62,'Sources and Uses Budget'!$J$99-SUM('15 Year Pro Forma'!$E$62:TFH62))</f>
        <v>0</v>
      </c>
      <c r="TFK62" s="962">
        <f>MIN(TFK60*$C$62,'Sources and Uses Budget'!$J$99-SUM('15 Year Pro Forma'!$E$62:TFJ62))</f>
        <v>0</v>
      </c>
      <c r="TFM62" s="962">
        <f>MIN(TFM60*$C$62,'Sources and Uses Budget'!$J$99-SUM('15 Year Pro Forma'!$E$62:TFL62))</f>
        <v>0</v>
      </c>
      <c r="TFO62" s="962">
        <f>MIN(TFO60*$C$62,'Sources and Uses Budget'!$J$99-SUM('15 Year Pro Forma'!$E$62:TFN62))</f>
        <v>0</v>
      </c>
      <c r="TFQ62" s="962">
        <f>MIN(TFQ60*$C$62,'Sources and Uses Budget'!$J$99-SUM('15 Year Pro Forma'!$E$62:TFP62))</f>
        <v>0</v>
      </c>
      <c r="TFS62" s="962">
        <f>MIN(TFS60*$C$62,'Sources and Uses Budget'!$J$99-SUM('15 Year Pro Forma'!$E$62:TFR62))</f>
        <v>0</v>
      </c>
      <c r="TFU62" s="962">
        <f>MIN(TFU60*$C$62,'Sources and Uses Budget'!$J$99-SUM('15 Year Pro Forma'!$E$62:TFT62))</f>
        <v>0</v>
      </c>
      <c r="TFW62" s="962">
        <f>MIN(TFW60*$C$62,'Sources and Uses Budget'!$J$99-SUM('15 Year Pro Forma'!$E$62:TFV62))</f>
        <v>0</v>
      </c>
      <c r="TFY62" s="962">
        <f>MIN(TFY60*$C$62,'Sources and Uses Budget'!$J$99-SUM('15 Year Pro Forma'!$E$62:TFX62))</f>
        <v>0</v>
      </c>
      <c r="TGA62" s="962">
        <f>MIN(TGA60*$C$62,'Sources and Uses Budget'!$J$99-SUM('15 Year Pro Forma'!$E$62:TFZ62))</f>
        <v>0</v>
      </c>
      <c r="TGC62" s="962">
        <f>MIN(TGC60*$C$62,'Sources and Uses Budget'!$J$99-SUM('15 Year Pro Forma'!$E$62:TGB62))</f>
        <v>0</v>
      </c>
      <c r="TGE62" s="962">
        <f>MIN(TGE60*$C$62,'Sources and Uses Budget'!$J$99-SUM('15 Year Pro Forma'!$E$62:TGD62))</f>
        <v>0</v>
      </c>
      <c r="TGG62" s="962">
        <f>MIN(TGG60*$C$62,'Sources and Uses Budget'!$J$99-SUM('15 Year Pro Forma'!$E$62:TGF62))</f>
        <v>0</v>
      </c>
      <c r="TGI62" s="962">
        <f>MIN(TGI60*$C$62,'Sources and Uses Budget'!$J$99-SUM('15 Year Pro Forma'!$E$62:TGH62))</f>
        <v>0</v>
      </c>
      <c r="TGK62" s="962">
        <f>MIN(TGK60*$C$62,'Sources and Uses Budget'!$J$99-SUM('15 Year Pro Forma'!$E$62:TGJ62))</f>
        <v>0</v>
      </c>
      <c r="TGM62" s="962">
        <f>MIN(TGM60*$C$62,'Sources and Uses Budget'!$J$99-SUM('15 Year Pro Forma'!$E$62:TGL62))</f>
        <v>0</v>
      </c>
      <c r="TGO62" s="962">
        <f>MIN(TGO60*$C$62,'Sources and Uses Budget'!$J$99-SUM('15 Year Pro Forma'!$E$62:TGN62))</f>
        <v>0</v>
      </c>
      <c r="TGQ62" s="962">
        <f>MIN(TGQ60*$C$62,'Sources and Uses Budget'!$J$99-SUM('15 Year Pro Forma'!$E$62:TGP62))</f>
        <v>0</v>
      </c>
      <c r="TGS62" s="962">
        <f>MIN(TGS60*$C$62,'Sources and Uses Budget'!$J$99-SUM('15 Year Pro Forma'!$E$62:TGR62))</f>
        <v>0</v>
      </c>
      <c r="TGU62" s="962">
        <f>MIN(TGU60*$C$62,'Sources and Uses Budget'!$J$99-SUM('15 Year Pro Forma'!$E$62:TGT62))</f>
        <v>0</v>
      </c>
      <c r="TGW62" s="962">
        <f>MIN(TGW60*$C$62,'Sources and Uses Budget'!$J$99-SUM('15 Year Pro Forma'!$E$62:TGV62))</f>
        <v>0</v>
      </c>
      <c r="TGY62" s="962">
        <f>MIN(TGY60*$C$62,'Sources and Uses Budget'!$J$99-SUM('15 Year Pro Forma'!$E$62:TGX62))</f>
        <v>0</v>
      </c>
      <c r="THA62" s="962">
        <f>MIN(THA60*$C$62,'Sources and Uses Budget'!$J$99-SUM('15 Year Pro Forma'!$E$62:TGZ62))</f>
        <v>0</v>
      </c>
      <c r="THC62" s="962">
        <f>MIN(THC60*$C$62,'Sources and Uses Budget'!$J$99-SUM('15 Year Pro Forma'!$E$62:THB62))</f>
        <v>0</v>
      </c>
      <c r="THE62" s="962">
        <f>MIN(THE60*$C$62,'Sources and Uses Budget'!$J$99-SUM('15 Year Pro Forma'!$E$62:THD62))</f>
        <v>0</v>
      </c>
      <c r="THG62" s="962">
        <f>MIN(THG60*$C$62,'Sources and Uses Budget'!$J$99-SUM('15 Year Pro Forma'!$E$62:THF62))</f>
        <v>0</v>
      </c>
      <c r="THI62" s="962">
        <f>MIN(THI60*$C$62,'Sources and Uses Budget'!$J$99-SUM('15 Year Pro Forma'!$E$62:THH62))</f>
        <v>0</v>
      </c>
      <c r="THK62" s="962">
        <f>MIN(THK60*$C$62,'Sources and Uses Budget'!$J$99-SUM('15 Year Pro Forma'!$E$62:THJ62))</f>
        <v>0</v>
      </c>
      <c r="THM62" s="962">
        <f>MIN(THM60*$C$62,'Sources and Uses Budget'!$J$99-SUM('15 Year Pro Forma'!$E$62:THL62))</f>
        <v>0</v>
      </c>
      <c r="THO62" s="962">
        <f>MIN(THO60*$C$62,'Sources and Uses Budget'!$J$99-SUM('15 Year Pro Forma'!$E$62:THN62))</f>
        <v>0</v>
      </c>
      <c r="THQ62" s="962">
        <f>MIN(THQ60*$C$62,'Sources and Uses Budget'!$J$99-SUM('15 Year Pro Forma'!$E$62:THP62))</f>
        <v>0</v>
      </c>
      <c r="THS62" s="962">
        <f>MIN(THS60*$C$62,'Sources and Uses Budget'!$J$99-SUM('15 Year Pro Forma'!$E$62:THR62))</f>
        <v>0</v>
      </c>
      <c r="THU62" s="962">
        <f>MIN(THU60*$C$62,'Sources and Uses Budget'!$J$99-SUM('15 Year Pro Forma'!$E$62:THT62))</f>
        <v>0</v>
      </c>
      <c r="THW62" s="962">
        <f>MIN(THW60*$C$62,'Sources and Uses Budget'!$J$99-SUM('15 Year Pro Forma'!$E$62:THV62))</f>
        <v>0</v>
      </c>
      <c r="THY62" s="962">
        <f>MIN(THY60*$C$62,'Sources and Uses Budget'!$J$99-SUM('15 Year Pro Forma'!$E$62:THX62))</f>
        <v>0</v>
      </c>
      <c r="TIA62" s="962">
        <f>MIN(TIA60*$C$62,'Sources and Uses Budget'!$J$99-SUM('15 Year Pro Forma'!$E$62:THZ62))</f>
        <v>0</v>
      </c>
      <c r="TIC62" s="962">
        <f>MIN(TIC60*$C$62,'Sources and Uses Budget'!$J$99-SUM('15 Year Pro Forma'!$E$62:TIB62))</f>
        <v>0</v>
      </c>
      <c r="TIE62" s="962">
        <f>MIN(TIE60*$C$62,'Sources and Uses Budget'!$J$99-SUM('15 Year Pro Forma'!$E$62:TID62))</f>
        <v>0</v>
      </c>
      <c r="TIG62" s="962">
        <f>MIN(TIG60*$C$62,'Sources and Uses Budget'!$J$99-SUM('15 Year Pro Forma'!$E$62:TIF62))</f>
        <v>0</v>
      </c>
      <c r="TII62" s="962">
        <f>MIN(TII60*$C$62,'Sources and Uses Budget'!$J$99-SUM('15 Year Pro Forma'!$E$62:TIH62))</f>
        <v>0</v>
      </c>
      <c r="TIK62" s="962">
        <f>MIN(TIK60*$C$62,'Sources and Uses Budget'!$J$99-SUM('15 Year Pro Forma'!$E$62:TIJ62))</f>
        <v>0</v>
      </c>
      <c r="TIM62" s="962">
        <f>MIN(TIM60*$C$62,'Sources and Uses Budget'!$J$99-SUM('15 Year Pro Forma'!$E$62:TIL62))</f>
        <v>0</v>
      </c>
      <c r="TIO62" s="962">
        <f>MIN(TIO60*$C$62,'Sources and Uses Budget'!$J$99-SUM('15 Year Pro Forma'!$E$62:TIN62))</f>
        <v>0</v>
      </c>
      <c r="TIQ62" s="962">
        <f>MIN(TIQ60*$C$62,'Sources and Uses Budget'!$J$99-SUM('15 Year Pro Forma'!$E$62:TIP62))</f>
        <v>0</v>
      </c>
      <c r="TIS62" s="962">
        <f>MIN(TIS60*$C$62,'Sources and Uses Budget'!$J$99-SUM('15 Year Pro Forma'!$E$62:TIR62))</f>
        <v>0</v>
      </c>
      <c r="TIU62" s="962">
        <f>MIN(TIU60*$C$62,'Sources and Uses Budget'!$J$99-SUM('15 Year Pro Forma'!$E$62:TIT62))</f>
        <v>0</v>
      </c>
      <c r="TIW62" s="962">
        <f>MIN(TIW60*$C$62,'Sources and Uses Budget'!$J$99-SUM('15 Year Pro Forma'!$E$62:TIV62))</f>
        <v>0</v>
      </c>
      <c r="TIY62" s="962">
        <f>MIN(TIY60*$C$62,'Sources and Uses Budget'!$J$99-SUM('15 Year Pro Forma'!$E$62:TIX62))</f>
        <v>0</v>
      </c>
      <c r="TJA62" s="962">
        <f>MIN(TJA60*$C$62,'Sources and Uses Budget'!$J$99-SUM('15 Year Pro Forma'!$E$62:TIZ62))</f>
        <v>0</v>
      </c>
      <c r="TJC62" s="962">
        <f>MIN(TJC60*$C$62,'Sources and Uses Budget'!$J$99-SUM('15 Year Pro Forma'!$E$62:TJB62))</f>
        <v>0</v>
      </c>
      <c r="TJE62" s="962">
        <f>MIN(TJE60*$C$62,'Sources and Uses Budget'!$J$99-SUM('15 Year Pro Forma'!$E$62:TJD62))</f>
        <v>0</v>
      </c>
      <c r="TJG62" s="962">
        <f>MIN(TJG60*$C$62,'Sources and Uses Budget'!$J$99-SUM('15 Year Pro Forma'!$E$62:TJF62))</f>
        <v>0</v>
      </c>
      <c r="TJI62" s="962">
        <f>MIN(TJI60*$C$62,'Sources and Uses Budget'!$J$99-SUM('15 Year Pro Forma'!$E$62:TJH62))</f>
        <v>0</v>
      </c>
      <c r="TJK62" s="962">
        <f>MIN(TJK60*$C$62,'Sources and Uses Budget'!$J$99-SUM('15 Year Pro Forma'!$E$62:TJJ62))</f>
        <v>0</v>
      </c>
      <c r="TJM62" s="962">
        <f>MIN(TJM60*$C$62,'Sources and Uses Budget'!$J$99-SUM('15 Year Pro Forma'!$E$62:TJL62))</f>
        <v>0</v>
      </c>
      <c r="TJO62" s="962">
        <f>MIN(TJO60*$C$62,'Sources and Uses Budget'!$J$99-SUM('15 Year Pro Forma'!$E$62:TJN62))</f>
        <v>0</v>
      </c>
      <c r="TJQ62" s="962">
        <f>MIN(TJQ60*$C$62,'Sources and Uses Budget'!$J$99-SUM('15 Year Pro Forma'!$E$62:TJP62))</f>
        <v>0</v>
      </c>
      <c r="TJS62" s="962">
        <f>MIN(TJS60*$C$62,'Sources and Uses Budget'!$J$99-SUM('15 Year Pro Forma'!$E$62:TJR62))</f>
        <v>0</v>
      </c>
      <c r="TJU62" s="962">
        <f>MIN(TJU60*$C$62,'Sources and Uses Budget'!$J$99-SUM('15 Year Pro Forma'!$E$62:TJT62))</f>
        <v>0</v>
      </c>
      <c r="TJW62" s="962">
        <f>MIN(TJW60*$C$62,'Sources and Uses Budget'!$J$99-SUM('15 Year Pro Forma'!$E$62:TJV62))</f>
        <v>0</v>
      </c>
      <c r="TJY62" s="962">
        <f>MIN(TJY60*$C$62,'Sources and Uses Budget'!$J$99-SUM('15 Year Pro Forma'!$E$62:TJX62))</f>
        <v>0</v>
      </c>
      <c r="TKA62" s="962">
        <f>MIN(TKA60*$C$62,'Sources and Uses Budget'!$J$99-SUM('15 Year Pro Forma'!$E$62:TJZ62))</f>
        <v>0</v>
      </c>
      <c r="TKC62" s="962">
        <f>MIN(TKC60*$C$62,'Sources and Uses Budget'!$J$99-SUM('15 Year Pro Forma'!$E$62:TKB62))</f>
        <v>0</v>
      </c>
      <c r="TKE62" s="962">
        <f>MIN(TKE60*$C$62,'Sources and Uses Budget'!$J$99-SUM('15 Year Pro Forma'!$E$62:TKD62))</f>
        <v>0</v>
      </c>
      <c r="TKG62" s="962">
        <f>MIN(TKG60*$C$62,'Sources and Uses Budget'!$J$99-SUM('15 Year Pro Forma'!$E$62:TKF62))</f>
        <v>0</v>
      </c>
      <c r="TKI62" s="962">
        <f>MIN(TKI60*$C$62,'Sources and Uses Budget'!$J$99-SUM('15 Year Pro Forma'!$E$62:TKH62))</f>
        <v>0</v>
      </c>
      <c r="TKK62" s="962">
        <f>MIN(TKK60*$C$62,'Sources and Uses Budget'!$J$99-SUM('15 Year Pro Forma'!$E$62:TKJ62))</f>
        <v>0</v>
      </c>
      <c r="TKM62" s="962">
        <f>MIN(TKM60*$C$62,'Sources and Uses Budget'!$J$99-SUM('15 Year Pro Forma'!$E$62:TKL62))</f>
        <v>0</v>
      </c>
      <c r="TKO62" s="962">
        <f>MIN(TKO60*$C$62,'Sources and Uses Budget'!$J$99-SUM('15 Year Pro Forma'!$E$62:TKN62))</f>
        <v>0</v>
      </c>
      <c r="TKQ62" s="962">
        <f>MIN(TKQ60*$C$62,'Sources and Uses Budget'!$J$99-SUM('15 Year Pro Forma'!$E$62:TKP62))</f>
        <v>0</v>
      </c>
      <c r="TKS62" s="962">
        <f>MIN(TKS60*$C$62,'Sources and Uses Budget'!$J$99-SUM('15 Year Pro Forma'!$E$62:TKR62))</f>
        <v>0</v>
      </c>
      <c r="TKU62" s="962">
        <f>MIN(TKU60*$C$62,'Sources and Uses Budget'!$J$99-SUM('15 Year Pro Forma'!$E$62:TKT62))</f>
        <v>0</v>
      </c>
      <c r="TKW62" s="962">
        <f>MIN(TKW60*$C$62,'Sources and Uses Budget'!$J$99-SUM('15 Year Pro Forma'!$E$62:TKV62))</f>
        <v>0</v>
      </c>
      <c r="TKY62" s="962">
        <f>MIN(TKY60*$C$62,'Sources and Uses Budget'!$J$99-SUM('15 Year Pro Forma'!$E$62:TKX62))</f>
        <v>0</v>
      </c>
      <c r="TLA62" s="962">
        <f>MIN(TLA60*$C$62,'Sources and Uses Budget'!$J$99-SUM('15 Year Pro Forma'!$E$62:TKZ62))</f>
        <v>0</v>
      </c>
      <c r="TLC62" s="962">
        <f>MIN(TLC60*$C$62,'Sources and Uses Budget'!$J$99-SUM('15 Year Pro Forma'!$E$62:TLB62))</f>
        <v>0</v>
      </c>
      <c r="TLE62" s="962">
        <f>MIN(TLE60*$C$62,'Sources and Uses Budget'!$J$99-SUM('15 Year Pro Forma'!$E$62:TLD62))</f>
        <v>0</v>
      </c>
      <c r="TLG62" s="962">
        <f>MIN(TLG60*$C$62,'Sources and Uses Budget'!$J$99-SUM('15 Year Pro Forma'!$E$62:TLF62))</f>
        <v>0</v>
      </c>
      <c r="TLI62" s="962">
        <f>MIN(TLI60*$C$62,'Sources and Uses Budget'!$J$99-SUM('15 Year Pro Forma'!$E$62:TLH62))</f>
        <v>0</v>
      </c>
      <c r="TLK62" s="962">
        <f>MIN(TLK60*$C$62,'Sources and Uses Budget'!$J$99-SUM('15 Year Pro Forma'!$E$62:TLJ62))</f>
        <v>0</v>
      </c>
      <c r="TLM62" s="962">
        <f>MIN(TLM60*$C$62,'Sources and Uses Budget'!$J$99-SUM('15 Year Pro Forma'!$E$62:TLL62))</f>
        <v>0</v>
      </c>
      <c r="TLO62" s="962">
        <f>MIN(TLO60*$C$62,'Sources and Uses Budget'!$J$99-SUM('15 Year Pro Forma'!$E$62:TLN62))</f>
        <v>0</v>
      </c>
      <c r="TLQ62" s="962">
        <f>MIN(TLQ60*$C$62,'Sources and Uses Budget'!$J$99-SUM('15 Year Pro Forma'!$E$62:TLP62))</f>
        <v>0</v>
      </c>
      <c r="TLS62" s="962">
        <f>MIN(TLS60*$C$62,'Sources and Uses Budget'!$J$99-SUM('15 Year Pro Forma'!$E$62:TLR62))</f>
        <v>0</v>
      </c>
      <c r="TLU62" s="962">
        <f>MIN(TLU60*$C$62,'Sources and Uses Budget'!$J$99-SUM('15 Year Pro Forma'!$E$62:TLT62))</f>
        <v>0</v>
      </c>
      <c r="TLW62" s="962">
        <f>MIN(TLW60*$C$62,'Sources and Uses Budget'!$J$99-SUM('15 Year Pro Forma'!$E$62:TLV62))</f>
        <v>0</v>
      </c>
      <c r="TLY62" s="962">
        <f>MIN(TLY60*$C$62,'Sources and Uses Budget'!$J$99-SUM('15 Year Pro Forma'!$E$62:TLX62))</f>
        <v>0</v>
      </c>
      <c r="TMA62" s="962">
        <f>MIN(TMA60*$C$62,'Sources and Uses Budget'!$J$99-SUM('15 Year Pro Forma'!$E$62:TLZ62))</f>
        <v>0</v>
      </c>
      <c r="TMC62" s="962">
        <f>MIN(TMC60*$C$62,'Sources and Uses Budget'!$J$99-SUM('15 Year Pro Forma'!$E$62:TMB62))</f>
        <v>0</v>
      </c>
      <c r="TME62" s="962">
        <f>MIN(TME60*$C$62,'Sources and Uses Budget'!$J$99-SUM('15 Year Pro Forma'!$E$62:TMD62))</f>
        <v>0</v>
      </c>
      <c r="TMG62" s="962">
        <f>MIN(TMG60*$C$62,'Sources and Uses Budget'!$J$99-SUM('15 Year Pro Forma'!$E$62:TMF62))</f>
        <v>0</v>
      </c>
      <c r="TMI62" s="962">
        <f>MIN(TMI60*$C$62,'Sources and Uses Budget'!$J$99-SUM('15 Year Pro Forma'!$E$62:TMH62))</f>
        <v>0</v>
      </c>
      <c r="TMK62" s="962">
        <f>MIN(TMK60*$C$62,'Sources and Uses Budget'!$J$99-SUM('15 Year Pro Forma'!$E$62:TMJ62))</f>
        <v>0</v>
      </c>
      <c r="TMM62" s="962">
        <f>MIN(TMM60*$C$62,'Sources and Uses Budget'!$J$99-SUM('15 Year Pro Forma'!$E$62:TML62))</f>
        <v>0</v>
      </c>
      <c r="TMO62" s="962">
        <f>MIN(TMO60*$C$62,'Sources and Uses Budget'!$J$99-SUM('15 Year Pro Forma'!$E$62:TMN62))</f>
        <v>0</v>
      </c>
      <c r="TMQ62" s="962">
        <f>MIN(TMQ60*$C$62,'Sources and Uses Budget'!$J$99-SUM('15 Year Pro Forma'!$E$62:TMP62))</f>
        <v>0</v>
      </c>
      <c r="TMS62" s="962">
        <f>MIN(TMS60*$C$62,'Sources and Uses Budget'!$J$99-SUM('15 Year Pro Forma'!$E$62:TMR62))</f>
        <v>0</v>
      </c>
      <c r="TMU62" s="962">
        <f>MIN(TMU60*$C$62,'Sources and Uses Budget'!$J$99-SUM('15 Year Pro Forma'!$E$62:TMT62))</f>
        <v>0</v>
      </c>
      <c r="TMW62" s="962">
        <f>MIN(TMW60*$C$62,'Sources and Uses Budget'!$J$99-SUM('15 Year Pro Forma'!$E$62:TMV62))</f>
        <v>0</v>
      </c>
      <c r="TMY62" s="962">
        <f>MIN(TMY60*$C$62,'Sources and Uses Budget'!$J$99-SUM('15 Year Pro Forma'!$E$62:TMX62))</f>
        <v>0</v>
      </c>
      <c r="TNA62" s="962">
        <f>MIN(TNA60*$C$62,'Sources and Uses Budget'!$J$99-SUM('15 Year Pro Forma'!$E$62:TMZ62))</f>
        <v>0</v>
      </c>
      <c r="TNC62" s="962">
        <f>MIN(TNC60*$C$62,'Sources and Uses Budget'!$J$99-SUM('15 Year Pro Forma'!$E$62:TNB62))</f>
        <v>0</v>
      </c>
      <c r="TNE62" s="962">
        <f>MIN(TNE60*$C$62,'Sources and Uses Budget'!$J$99-SUM('15 Year Pro Forma'!$E$62:TND62))</f>
        <v>0</v>
      </c>
      <c r="TNG62" s="962">
        <f>MIN(TNG60*$C$62,'Sources and Uses Budget'!$J$99-SUM('15 Year Pro Forma'!$E$62:TNF62))</f>
        <v>0</v>
      </c>
      <c r="TNI62" s="962">
        <f>MIN(TNI60*$C$62,'Sources and Uses Budget'!$J$99-SUM('15 Year Pro Forma'!$E$62:TNH62))</f>
        <v>0</v>
      </c>
      <c r="TNK62" s="962">
        <f>MIN(TNK60*$C$62,'Sources and Uses Budget'!$J$99-SUM('15 Year Pro Forma'!$E$62:TNJ62))</f>
        <v>0</v>
      </c>
      <c r="TNM62" s="962">
        <f>MIN(TNM60*$C$62,'Sources and Uses Budget'!$J$99-SUM('15 Year Pro Forma'!$E$62:TNL62))</f>
        <v>0</v>
      </c>
      <c r="TNO62" s="962">
        <f>MIN(TNO60*$C$62,'Sources and Uses Budget'!$J$99-SUM('15 Year Pro Forma'!$E$62:TNN62))</f>
        <v>0</v>
      </c>
      <c r="TNQ62" s="962">
        <f>MIN(TNQ60*$C$62,'Sources and Uses Budget'!$J$99-SUM('15 Year Pro Forma'!$E$62:TNP62))</f>
        <v>0</v>
      </c>
      <c r="TNS62" s="962">
        <f>MIN(TNS60*$C$62,'Sources and Uses Budget'!$J$99-SUM('15 Year Pro Forma'!$E$62:TNR62))</f>
        <v>0</v>
      </c>
      <c r="TNU62" s="962">
        <f>MIN(TNU60*$C$62,'Sources and Uses Budget'!$J$99-SUM('15 Year Pro Forma'!$E$62:TNT62))</f>
        <v>0</v>
      </c>
      <c r="TNW62" s="962">
        <f>MIN(TNW60*$C$62,'Sources and Uses Budget'!$J$99-SUM('15 Year Pro Forma'!$E$62:TNV62))</f>
        <v>0</v>
      </c>
      <c r="TNY62" s="962">
        <f>MIN(TNY60*$C$62,'Sources and Uses Budget'!$J$99-SUM('15 Year Pro Forma'!$E$62:TNX62))</f>
        <v>0</v>
      </c>
      <c r="TOA62" s="962">
        <f>MIN(TOA60*$C$62,'Sources and Uses Budget'!$J$99-SUM('15 Year Pro Forma'!$E$62:TNZ62))</f>
        <v>0</v>
      </c>
      <c r="TOC62" s="962">
        <f>MIN(TOC60*$C$62,'Sources and Uses Budget'!$J$99-SUM('15 Year Pro Forma'!$E$62:TOB62))</f>
        <v>0</v>
      </c>
      <c r="TOE62" s="962">
        <f>MIN(TOE60*$C$62,'Sources and Uses Budget'!$J$99-SUM('15 Year Pro Forma'!$E$62:TOD62))</f>
        <v>0</v>
      </c>
      <c r="TOG62" s="962">
        <f>MIN(TOG60*$C$62,'Sources and Uses Budget'!$J$99-SUM('15 Year Pro Forma'!$E$62:TOF62))</f>
        <v>0</v>
      </c>
      <c r="TOI62" s="962">
        <f>MIN(TOI60*$C$62,'Sources and Uses Budget'!$J$99-SUM('15 Year Pro Forma'!$E$62:TOH62))</f>
        <v>0</v>
      </c>
      <c r="TOK62" s="962">
        <f>MIN(TOK60*$C$62,'Sources and Uses Budget'!$J$99-SUM('15 Year Pro Forma'!$E$62:TOJ62))</f>
        <v>0</v>
      </c>
      <c r="TOM62" s="962">
        <f>MIN(TOM60*$C$62,'Sources and Uses Budget'!$J$99-SUM('15 Year Pro Forma'!$E$62:TOL62))</f>
        <v>0</v>
      </c>
      <c r="TOO62" s="962">
        <f>MIN(TOO60*$C$62,'Sources and Uses Budget'!$J$99-SUM('15 Year Pro Forma'!$E$62:TON62))</f>
        <v>0</v>
      </c>
      <c r="TOQ62" s="962">
        <f>MIN(TOQ60*$C$62,'Sources and Uses Budget'!$J$99-SUM('15 Year Pro Forma'!$E$62:TOP62))</f>
        <v>0</v>
      </c>
      <c r="TOS62" s="962">
        <f>MIN(TOS60*$C$62,'Sources and Uses Budget'!$J$99-SUM('15 Year Pro Forma'!$E$62:TOR62))</f>
        <v>0</v>
      </c>
      <c r="TOU62" s="962">
        <f>MIN(TOU60*$C$62,'Sources and Uses Budget'!$J$99-SUM('15 Year Pro Forma'!$E$62:TOT62))</f>
        <v>0</v>
      </c>
      <c r="TOW62" s="962">
        <f>MIN(TOW60*$C$62,'Sources and Uses Budget'!$J$99-SUM('15 Year Pro Forma'!$E$62:TOV62))</f>
        <v>0</v>
      </c>
      <c r="TOY62" s="962">
        <f>MIN(TOY60*$C$62,'Sources and Uses Budget'!$J$99-SUM('15 Year Pro Forma'!$E$62:TOX62))</f>
        <v>0</v>
      </c>
      <c r="TPA62" s="962">
        <f>MIN(TPA60*$C$62,'Sources and Uses Budget'!$J$99-SUM('15 Year Pro Forma'!$E$62:TOZ62))</f>
        <v>0</v>
      </c>
      <c r="TPC62" s="962">
        <f>MIN(TPC60*$C$62,'Sources and Uses Budget'!$J$99-SUM('15 Year Pro Forma'!$E$62:TPB62))</f>
        <v>0</v>
      </c>
      <c r="TPE62" s="962">
        <f>MIN(TPE60*$C$62,'Sources and Uses Budget'!$J$99-SUM('15 Year Pro Forma'!$E$62:TPD62))</f>
        <v>0</v>
      </c>
      <c r="TPG62" s="962">
        <f>MIN(TPG60*$C$62,'Sources and Uses Budget'!$J$99-SUM('15 Year Pro Forma'!$E$62:TPF62))</f>
        <v>0</v>
      </c>
      <c r="TPI62" s="962">
        <f>MIN(TPI60*$C$62,'Sources and Uses Budget'!$J$99-SUM('15 Year Pro Forma'!$E$62:TPH62))</f>
        <v>0</v>
      </c>
      <c r="TPK62" s="962">
        <f>MIN(TPK60*$C$62,'Sources and Uses Budget'!$J$99-SUM('15 Year Pro Forma'!$E$62:TPJ62))</f>
        <v>0</v>
      </c>
      <c r="TPM62" s="962">
        <f>MIN(TPM60*$C$62,'Sources and Uses Budget'!$J$99-SUM('15 Year Pro Forma'!$E$62:TPL62))</f>
        <v>0</v>
      </c>
      <c r="TPO62" s="962">
        <f>MIN(TPO60*$C$62,'Sources and Uses Budget'!$J$99-SUM('15 Year Pro Forma'!$E$62:TPN62))</f>
        <v>0</v>
      </c>
      <c r="TPQ62" s="962">
        <f>MIN(TPQ60*$C$62,'Sources and Uses Budget'!$J$99-SUM('15 Year Pro Forma'!$E$62:TPP62))</f>
        <v>0</v>
      </c>
      <c r="TPS62" s="962">
        <f>MIN(TPS60*$C$62,'Sources and Uses Budget'!$J$99-SUM('15 Year Pro Forma'!$E$62:TPR62))</f>
        <v>0</v>
      </c>
      <c r="TPU62" s="962">
        <f>MIN(TPU60*$C$62,'Sources and Uses Budget'!$J$99-SUM('15 Year Pro Forma'!$E$62:TPT62))</f>
        <v>0</v>
      </c>
      <c r="TPW62" s="962">
        <f>MIN(TPW60*$C$62,'Sources and Uses Budget'!$J$99-SUM('15 Year Pro Forma'!$E$62:TPV62))</f>
        <v>0</v>
      </c>
      <c r="TPY62" s="962">
        <f>MIN(TPY60*$C$62,'Sources and Uses Budget'!$J$99-SUM('15 Year Pro Forma'!$E$62:TPX62))</f>
        <v>0</v>
      </c>
      <c r="TQA62" s="962">
        <f>MIN(TQA60*$C$62,'Sources and Uses Budget'!$J$99-SUM('15 Year Pro Forma'!$E$62:TPZ62))</f>
        <v>0</v>
      </c>
      <c r="TQC62" s="962">
        <f>MIN(TQC60*$C$62,'Sources and Uses Budget'!$J$99-SUM('15 Year Pro Forma'!$E$62:TQB62))</f>
        <v>0</v>
      </c>
      <c r="TQE62" s="962">
        <f>MIN(TQE60*$C$62,'Sources and Uses Budget'!$J$99-SUM('15 Year Pro Forma'!$E$62:TQD62))</f>
        <v>0</v>
      </c>
      <c r="TQG62" s="962">
        <f>MIN(TQG60*$C$62,'Sources and Uses Budget'!$J$99-SUM('15 Year Pro Forma'!$E$62:TQF62))</f>
        <v>0</v>
      </c>
      <c r="TQI62" s="962">
        <f>MIN(TQI60*$C$62,'Sources and Uses Budget'!$J$99-SUM('15 Year Pro Forma'!$E$62:TQH62))</f>
        <v>0</v>
      </c>
      <c r="TQK62" s="962">
        <f>MIN(TQK60*$C$62,'Sources and Uses Budget'!$J$99-SUM('15 Year Pro Forma'!$E$62:TQJ62))</f>
        <v>0</v>
      </c>
      <c r="TQM62" s="962">
        <f>MIN(TQM60*$C$62,'Sources and Uses Budget'!$J$99-SUM('15 Year Pro Forma'!$E$62:TQL62))</f>
        <v>0</v>
      </c>
      <c r="TQO62" s="962">
        <f>MIN(TQO60*$C$62,'Sources and Uses Budget'!$J$99-SUM('15 Year Pro Forma'!$E$62:TQN62))</f>
        <v>0</v>
      </c>
      <c r="TQQ62" s="962">
        <f>MIN(TQQ60*$C$62,'Sources and Uses Budget'!$J$99-SUM('15 Year Pro Forma'!$E$62:TQP62))</f>
        <v>0</v>
      </c>
      <c r="TQS62" s="962">
        <f>MIN(TQS60*$C$62,'Sources and Uses Budget'!$J$99-SUM('15 Year Pro Forma'!$E$62:TQR62))</f>
        <v>0</v>
      </c>
      <c r="TQU62" s="962">
        <f>MIN(TQU60*$C$62,'Sources and Uses Budget'!$J$99-SUM('15 Year Pro Forma'!$E$62:TQT62))</f>
        <v>0</v>
      </c>
      <c r="TQW62" s="962">
        <f>MIN(TQW60*$C$62,'Sources and Uses Budget'!$J$99-SUM('15 Year Pro Forma'!$E$62:TQV62))</f>
        <v>0</v>
      </c>
      <c r="TQY62" s="962">
        <f>MIN(TQY60*$C$62,'Sources and Uses Budget'!$J$99-SUM('15 Year Pro Forma'!$E$62:TQX62))</f>
        <v>0</v>
      </c>
      <c r="TRA62" s="962">
        <f>MIN(TRA60*$C$62,'Sources and Uses Budget'!$J$99-SUM('15 Year Pro Forma'!$E$62:TQZ62))</f>
        <v>0</v>
      </c>
      <c r="TRC62" s="962">
        <f>MIN(TRC60*$C$62,'Sources and Uses Budget'!$J$99-SUM('15 Year Pro Forma'!$E$62:TRB62))</f>
        <v>0</v>
      </c>
      <c r="TRE62" s="962">
        <f>MIN(TRE60*$C$62,'Sources and Uses Budget'!$J$99-SUM('15 Year Pro Forma'!$E$62:TRD62))</f>
        <v>0</v>
      </c>
      <c r="TRG62" s="962">
        <f>MIN(TRG60*$C$62,'Sources and Uses Budget'!$J$99-SUM('15 Year Pro Forma'!$E$62:TRF62))</f>
        <v>0</v>
      </c>
      <c r="TRI62" s="962">
        <f>MIN(TRI60*$C$62,'Sources and Uses Budget'!$J$99-SUM('15 Year Pro Forma'!$E$62:TRH62))</f>
        <v>0</v>
      </c>
      <c r="TRK62" s="962">
        <f>MIN(TRK60*$C$62,'Sources and Uses Budget'!$J$99-SUM('15 Year Pro Forma'!$E$62:TRJ62))</f>
        <v>0</v>
      </c>
      <c r="TRM62" s="962">
        <f>MIN(TRM60*$C$62,'Sources and Uses Budget'!$J$99-SUM('15 Year Pro Forma'!$E$62:TRL62))</f>
        <v>0</v>
      </c>
      <c r="TRO62" s="962">
        <f>MIN(TRO60*$C$62,'Sources and Uses Budget'!$J$99-SUM('15 Year Pro Forma'!$E$62:TRN62))</f>
        <v>0</v>
      </c>
      <c r="TRQ62" s="962">
        <f>MIN(TRQ60*$C$62,'Sources and Uses Budget'!$J$99-SUM('15 Year Pro Forma'!$E$62:TRP62))</f>
        <v>0</v>
      </c>
      <c r="TRS62" s="962">
        <f>MIN(TRS60*$C$62,'Sources and Uses Budget'!$J$99-SUM('15 Year Pro Forma'!$E$62:TRR62))</f>
        <v>0</v>
      </c>
      <c r="TRU62" s="962">
        <f>MIN(TRU60*$C$62,'Sources and Uses Budget'!$J$99-SUM('15 Year Pro Forma'!$E$62:TRT62))</f>
        <v>0</v>
      </c>
      <c r="TRW62" s="962">
        <f>MIN(TRW60*$C$62,'Sources and Uses Budget'!$J$99-SUM('15 Year Pro Forma'!$E$62:TRV62))</f>
        <v>0</v>
      </c>
      <c r="TRY62" s="962">
        <f>MIN(TRY60*$C$62,'Sources and Uses Budget'!$J$99-SUM('15 Year Pro Forma'!$E$62:TRX62))</f>
        <v>0</v>
      </c>
      <c r="TSA62" s="962">
        <f>MIN(TSA60*$C$62,'Sources and Uses Budget'!$J$99-SUM('15 Year Pro Forma'!$E$62:TRZ62))</f>
        <v>0</v>
      </c>
      <c r="TSC62" s="962">
        <f>MIN(TSC60*$C$62,'Sources and Uses Budget'!$J$99-SUM('15 Year Pro Forma'!$E$62:TSB62))</f>
        <v>0</v>
      </c>
      <c r="TSE62" s="962">
        <f>MIN(TSE60*$C$62,'Sources and Uses Budget'!$J$99-SUM('15 Year Pro Forma'!$E$62:TSD62))</f>
        <v>0</v>
      </c>
      <c r="TSG62" s="962">
        <f>MIN(TSG60*$C$62,'Sources and Uses Budget'!$J$99-SUM('15 Year Pro Forma'!$E$62:TSF62))</f>
        <v>0</v>
      </c>
      <c r="TSI62" s="962">
        <f>MIN(TSI60*$C$62,'Sources and Uses Budget'!$J$99-SUM('15 Year Pro Forma'!$E$62:TSH62))</f>
        <v>0</v>
      </c>
      <c r="TSK62" s="962">
        <f>MIN(TSK60*$C$62,'Sources and Uses Budget'!$J$99-SUM('15 Year Pro Forma'!$E$62:TSJ62))</f>
        <v>0</v>
      </c>
      <c r="TSM62" s="962">
        <f>MIN(TSM60*$C$62,'Sources and Uses Budget'!$J$99-SUM('15 Year Pro Forma'!$E$62:TSL62))</f>
        <v>0</v>
      </c>
      <c r="TSO62" s="962">
        <f>MIN(TSO60*$C$62,'Sources and Uses Budget'!$J$99-SUM('15 Year Pro Forma'!$E$62:TSN62))</f>
        <v>0</v>
      </c>
      <c r="TSQ62" s="962">
        <f>MIN(TSQ60*$C$62,'Sources and Uses Budget'!$J$99-SUM('15 Year Pro Forma'!$E$62:TSP62))</f>
        <v>0</v>
      </c>
      <c r="TSS62" s="962">
        <f>MIN(TSS60*$C$62,'Sources and Uses Budget'!$J$99-SUM('15 Year Pro Forma'!$E$62:TSR62))</f>
        <v>0</v>
      </c>
      <c r="TSU62" s="962">
        <f>MIN(TSU60*$C$62,'Sources and Uses Budget'!$J$99-SUM('15 Year Pro Forma'!$E$62:TST62))</f>
        <v>0</v>
      </c>
      <c r="TSW62" s="962">
        <f>MIN(TSW60*$C$62,'Sources and Uses Budget'!$J$99-SUM('15 Year Pro Forma'!$E$62:TSV62))</f>
        <v>0</v>
      </c>
      <c r="TSY62" s="962">
        <f>MIN(TSY60*$C$62,'Sources and Uses Budget'!$J$99-SUM('15 Year Pro Forma'!$E$62:TSX62))</f>
        <v>0</v>
      </c>
      <c r="TTA62" s="962">
        <f>MIN(TTA60*$C$62,'Sources and Uses Budget'!$J$99-SUM('15 Year Pro Forma'!$E$62:TSZ62))</f>
        <v>0</v>
      </c>
      <c r="TTC62" s="962">
        <f>MIN(TTC60*$C$62,'Sources and Uses Budget'!$J$99-SUM('15 Year Pro Forma'!$E$62:TTB62))</f>
        <v>0</v>
      </c>
      <c r="TTE62" s="962">
        <f>MIN(TTE60*$C$62,'Sources and Uses Budget'!$J$99-SUM('15 Year Pro Forma'!$E$62:TTD62))</f>
        <v>0</v>
      </c>
      <c r="TTG62" s="962">
        <f>MIN(TTG60*$C$62,'Sources and Uses Budget'!$J$99-SUM('15 Year Pro Forma'!$E$62:TTF62))</f>
        <v>0</v>
      </c>
      <c r="TTI62" s="962">
        <f>MIN(TTI60*$C$62,'Sources and Uses Budget'!$J$99-SUM('15 Year Pro Forma'!$E$62:TTH62))</f>
        <v>0</v>
      </c>
      <c r="TTK62" s="962">
        <f>MIN(TTK60*$C$62,'Sources and Uses Budget'!$J$99-SUM('15 Year Pro Forma'!$E$62:TTJ62))</f>
        <v>0</v>
      </c>
      <c r="TTM62" s="962">
        <f>MIN(TTM60*$C$62,'Sources and Uses Budget'!$J$99-SUM('15 Year Pro Forma'!$E$62:TTL62))</f>
        <v>0</v>
      </c>
      <c r="TTO62" s="962">
        <f>MIN(TTO60*$C$62,'Sources and Uses Budget'!$J$99-SUM('15 Year Pro Forma'!$E$62:TTN62))</f>
        <v>0</v>
      </c>
      <c r="TTQ62" s="962">
        <f>MIN(TTQ60*$C$62,'Sources and Uses Budget'!$J$99-SUM('15 Year Pro Forma'!$E$62:TTP62))</f>
        <v>0</v>
      </c>
      <c r="TTS62" s="962">
        <f>MIN(TTS60*$C$62,'Sources and Uses Budget'!$J$99-SUM('15 Year Pro Forma'!$E$62:TTR62))</f>
        <v>0</v>
      </c>
      <c r="TTU62" s="962">
        <f>MIN(TTU60*$C$62,'Sources and Uses Budget'!$J$99-SUM('15 Year Pro Forma'!$E$62:TTT62))</f>
        <v>0</v>
      </c>
      <c r="TTW62" s="962">
        <f>MIN(TTW60*$C$62,'Sources and Uses Budget'!$J$99-SUM('15 Year Pro Forma'!$E$62:TTV62))</f>
        <v>0</v>
      </c>
      <c r="TTY62" s="962">
        <f>MIN(TTY60*$C$62,'Sources and Uses Budget'!$J$99-SUM('15 Year Pro Forma'!$E$62:TTX62))</f>
        <v>0</v>
      </c>
      <c r="TUA62" s="962">
        <f>MIN(TUA60*$C$62,'Sources and Uses Budget'!$J$99-SUM('15 Year Pro Forma'!$E$62:TTZ62))</f>
        <v>0</v>
      </c>
      <c r="TUC62" s="962">
        <f>MIN(TUC60*$C$62,'Sources and Uses Budget'!$J$99-SUM('15 Year Pro Forma'!$E$62:TUB62))</f>
        <v>0</v>
      </c>
      <c r="TUE62" s="962">
        <f>MIN(TUE60*$C$62,'Sources and Uses Budget'!$J$99-SUM('15 Year Pro Forma'!$E$62:TUD62))</f>
        <v>0</v>
      </c>
      <c r="TUG62" s="962">
        <f>MIN(TUG60*$C$62,'Sources and Uses Budget'!$J$99-SUM('15 Year Pro Forma'!$E$62:TUF62))</f>
        <v>0</v>
      </c>
      <c r="TUI62" s="962">
        <f>MIN(TUI60*$C$62,'Sources and Uses Budget'!$J$99-SUM('15 Year Pro Forma'!$E$62:TUH62))</f>
        <v>0</v>
      </c>
      <c r="TUK62" s="962">
        <f>MIN(TUK60*$C$62,'Sources and Uses Budget'!$J$99-SUM('15 Year Pro Forma'!$E$62:TUJ62))</f>
        <v>0</v>
      </c>
      <c r="TUM62" s="962">
        <f>MIN(TUM60*$C$62,'Sources and Uses Budget'!$J$99-SUM('15 Year Pro Forma'!$E$62:TUL62))</f>
        <v>0</v>
      </c>
      <c r="TUO62" s="962">
        <f>MIN(TUO60*$C$62,'Sources and Uses Budget'!$J$99-SUM('15 Year Pro Forma'!$E$62:TUN62))</f>
        <v>0</v>
      </c>
      <c r="TUQ62" s="962">
        <f>MIN(TUQ60*$C$62,'Sources and Uses Budget'!$J$99-SUM('15 Year Pro Forma'!$E$62:TUP62))</f>
        <v>0</v>
      </c>
      <c r="TUS62" s="962">
        <f>MIN(TUS60*$C$62,'Sources and Uses Budget'!$J$99-SUM('15 Year Pro Forma'!$E$62:TUR62))</f>
        <v>0</v>
      </c>
      <c r="TUU62" s="962">
        <f>MIN(TUU60*$C$62,'Sources and Uses Budget'!$J$99-SUM('15 Year Pro Forma'!$E$62:TUT62))</f>
        <v>0</v>
      </c>
      <c r="TUW62" s="962">
        <f>MIN(TUW60*$C$62,'Sources and Uses Budget'!$J$99-SUM('15 Year Pro Forma'!$E$62:TUV62))</f>
        <v>0</v>
      </c>
      <c r="TUY62" s="962">
        <f>MIN(TUY60*$C$62,'Sources and Uses Budget'!$J$99-SUM('15 Year Pro Forma'!$E$62:TUX62))</f>
        <v>0</v>
      </c>
      <c r="TVA62" s="962">
        <f>MIN(TVA60*$C$62,'Sources and Uses Budget'!$J$99-SUM('15 Year Pro Forma'!$E$62:TUZ62))</f>
        <v>0</v>
      </c>
      <c r="TVC62" s="962">
        <f>MIN(TVC60*$C$62,'Sources and Uses Budget'!$J$99-SUM('15 Year Pro Forma'!$E$62:TVB62))</f>
        <v>0</v>
      </c>
      <c r="TVE62" s="962">
        <f>MIN(TVE60*$C$62,'Sources and Uses Budget'!$J$99-SUM('15 Year Pro Forma'!$E$62:TVD62))</f>
        <v>0</v>
      </c>
      <c r="TVG62" s="962">
        <f>MIN(TVG60*$C$62,'Sources and Uses Budget'!$J$99-SUM('15 Year Pro Forma'!$E$62:TVF62))</f>
        <v>0</v>
      </c>
      <c r="TVI62" s="962">
        <f>MIN(TVI60*$C$62,'Sources and Uses Budget'!$J$99-SUM('15 Year Pro Forma'!$E$62:TVH62))</f>
        <v>0</v>
      </c>
      <c r="TVK62" s="962">
        <f>MIN(TVK60*$C$62,'Sources and Uses Budget'!$J$99-SUM('15 Year Pro Forma'!$E$62:TVJ62))</f>
        <v>0</v>
      </c>
      <c r="TVM62" s="962">
        <f>MIN(TVM60*$C$62,'Sources and Uses Budget'!$J$99-SUM('15 Year Pro Forma'!$E$62:TVL62))</f>
        <v>0</v>
      </c>
      <c r="TVO62" s="962">
        <f>MIN(TVO60*$C$62,'Sources and Uses Budget'!$J$99-SUM('15 Year Pro Forma'!$E$62:TVN62))</f>
        <v>0</v>
      </c>
      <c r="TVQ62" s="962">
        <f>MIN(TVQ60*$C$62,'Sources and Uses Budget'!$J$99-SUM('15 Year Pro Forma'!$E$62:TVP62))</f>
        <v>0</v>
      </c>
      <c r="TVS62" s="962">
        <f>MIN(TVS60*$C$62,'Sources and Uses Budget'!$J$99-SUM('15 Year Pro Forma'!$E$62:TVR62))</f>
        <v>0</v>
      </c>
      <c r="TVU62" s="962">
        <f>MIN(TVU60*$C$62,'Sources and Uses Budget'!$J$99-SUM('15 Year Pro Forma'!$E$62:TVT62))</f>
        <v>0</v>
      </c>
      <c r="TVW62" s="962">
        <f>MIN(TVW60*$C$62,'Sources and Uses Budget'!$J$99-SUM('15 Year Pro Forma'!$E$62:TVV62))</f>
        <v>0</v>
      </c>
      <c r="TVY62" s="962">
        <f>MIN(TVY60*$C$62,'Sources and Uses Budget'!$J$99-SUM('15 Year Pro Forma'!$E$62:TVX62))</f>
        <v>0</v>
      </c>
      <c r="TWA62" s="962">
        <f>MIN(TWA60*$C$62,'Sources and Uses Budget'!$J$99-SUM('15 Year Pro Forma'!$E$62:TVZ62))</f>
        <v>0</v>
      </c>
      <c r="TWC62" s="962">
        <f>MIN(TWC60*$C$62,'Sources and Uses Budget'!$J$99-SUM('15 Year Pro Forma'!$E$62:TWB62))</f>
        <v>0</v>
      </c>
      <c r="TWE62" s="962">
        <f>MIN(TWE60*$C$62,'Sources and Uses Budget'!$J$99-SUM('15 Year Pro Forma'!$E$62:TWD62))</f>
        <v>0</v>
      </c>
      <c r="TWG62" s="962">
        <f>MIN(TWG60*$C$62,'Sources and Uses Budget'!$J$99-SUM('15 Year Pro Forma'!$E$62:TWF62))</f>
        <v>0</v>
      </c>
      <c r="TWI62" s="962">
        <f>MIN(TWI60*$C$62,'Sources and Uses Budget'!$J$99-SUM('15 Year Pro Forma'!$E$62:TWH62))</f>
        <v>0</v>
      </c>
      <c r="TWK62" s="962">
        <f>MIN(TWK60*$C$62,'Sources and Uses Budget'!$J$99-SUM('15 Year Pro Forma'!$E$62:TWJ62))</f>
        <v>0</v>
      </c>
      <c r="TWM62" s="962">
        <f>MIN(TWM60*$C$62,'Sources and Uses Budget'!$J$99-SUM('15 Year Pro Forma'!$E$62:TWL62))</f>
        <v>0</v>
      </c>
      <c r="TWO62" s="962">
        <f>MIN(TWO60*$C$62,'Sources and Uses Budget'!$J$99-SUM('15 Year Pro Forma'!$E$62:TWN62))</f>
        <v>0</v>
      </c>
      <c r="TWQ62" s="962">
        <f>MIN(TWQ60*$C$62,'Sources and Uses Budget'!$J$99-SUM('15 Year Pro Forma'!$E$62:TWP62))</f>
        <v>0</v>
      </c>
      <c r="TWS62" s="962">
        <f>MIN(TWS60*$C$62,'Sources and Uses Budget'!$J$99-SUM('15 Year Pro Forma'!$E$62:TWR62))</f>
        <v>0</v>
      </c>
      <c r="TWU62" s="962">
        <f>MIN(TWU60*$C$62,'Sources and Uses Budget'!$J$99-SUM('15 Year Pro Forma'!$E$62:TWT62))</f>
        <v>0</v>
      </c>
      <c r="TWW62" s="962">
        <f>MIN(TWW60*$C$62,'Sources and Uses Budget'!$J$99-SUM('15 Year Pro Forma'!$E$62:TWV62))</f>
        <v>0</v>
      </c>
      <c r="TWY62" s="962">
        <f>MIN(TWY60*$C$62,'Sources and Uses Budget'!$J$99-SUM('15 Year Pro Forma'!$E$62:TWX62))</f>
        <v>0</v>
      </c>
      <c r="TXA62" s="962">
        <f>MIN(TXA60*$C$62,'Sources and Uses Budget'!$J$99-SUM('15 Year Pro Forma'!$E$62:TWZ62))</f>
        <v>0</v>
      </c>
      <c r="TXC62" s="962">
        <f>MIN(TXC60*$C$62,'Sources and Uses Budget'!$J$99-SUM('15 Year Pro Forma'!$E$62:TXB62))</f>
        <v>0</v>
      </c>
      <c r="TXE62" s="962">
        <f>MIN(TXE60*$C$62,'Sources and Uses Budget'!$J$99-SUM('15 Year Pro Forma'!$E$62:TXD62))</f>
        <v>0</v>
      </c>
      <c r="TXG62" s="962">
        <f>MIN(TXG60*$C$62,'Sources and Uses Budget'!$J$99-SUM('15 Year Pro Forma'!$E$62:TXF62))</f>
        <v>0</v>
      </c>
      <c r="TXI62" s="962">
        <f>MIN(TXI60*$C$62,'Sources and Uses Budget'!$J$99-SUM('15 Year Pro Forma'!$E$62:TXH62))</f>
        <v>0</v>
      </c>
      <c r="TXK62" s="962">
        <f>MIN(TXK60*$C$62,'Sources and Uses Budget'!$J$99-SUM('15 Year Pro Forma'!$E$62:TXJ62))</f>
        <v>0</v>
      </c>
      <c r="TXM62" s="962">
        <f>MIN(TXM60*$C$62,'Sources and Uses Budget'!$J$99-SUM('15 Year Pro Forma'!$E$62:TXL62))</f>
        <v>0</v>
      </c>
      <c r="TXO62" s="962">
        <f>MIN(TXO60*$C$62,'Sources and Uses Budget'!$J$99-SUM('15 Year Pro Forma'!$E$62:TXN62))</f>
        <v>0</v>
      </c>
      <c r="TXQ62" s="962">
        <f>MIN(TXQ60*$C$62,'Sources and Uses Budget'!$J$99-SUM('15 Year Pro Forma'!$E$62:TXP62))</f>
        <v>0</v>
      </c>
      <c r="TXS62" s="962">
        <f>MIN(TXS60*$C$62,'Sources and Uses Budget'!$J$99-SUM('15 Year Pro Forma'!$E$62:TXR62))</f>
        <v>0</v>
      </c>
      <c r="TXU62" s="962">
        <f>MIN(TXU60*$C$62,'Sources and Uses Budget'!$J$99-SUM('15 Year Pro Forma'!$E$62:TXT62))</f>
        <v>0</v>
      </c>
      <c r="TXW62" s="962">
        <f>MIN(TXW60*$C$62,'Sources and Uses Budget'!$J$99-SUM('15 Year Pro Forma'!$E$62:TXV62))</f>
        <v>0</v>
      </c>
      <c r="TXY62" s="962">
        <f>MIN(TXY60*$C$62,'Sources and Uses Budget'!$J$99-SUM('15 Year Pro Forma'!$E$62:TXX62))</f>
        <v>0</v>
      </c>
      <c r="TYA62" s="962">
        <f>MIN(TYA60*$C$62,'Sources and Uses Budget'!$J$99-SUM('15 Year Pro Forma'!$E$62:TXZ62))</f>
        <v>0</v>
      </c>
      <c r="TYC62" s="962">
        <f>MIN(TYC60*$C$62,'Sources and Uses Budget'!$J$99-SUM('15 Year Pro Forma'!$E$62:TYB62))</f>
        <v>0</v>
      </c>
      <c r="TYE62" s="962">
        <f>MIN(TYE60*$C$62,'Sources and Uses Budget'!$J$99-SUM('15 Year Pro Forma'!$E$62:TYD62))</f>
        <v>0</v>
      </c>
      <c r="TYG62" s="962">
        <f>MIN(TYG60*$C$62,'Sources and Uses Budget'!$J$99-SUM('15 Year Pro Forma'!$E$62:TYF62))</f>
        <v>0</v>
      </c>
      <c r="TYI62" s="962">
        <f>MIN(TYI60*$C$62,'Sources and Uses Budget'!$J$99-SUM('15 Year Pro Forma'!$E$62:TYH62))</f>
        <v>0</v>
      </c>
      <c r="TYK62" s="962">
        <f>MIN(TYK60*$C$62,'Sources and Uses Budget'!$J$99-SUM('15 Year Pro Forma'!$E$62:TYJ62))</f>
        <v>0</v>
      </c>
      <c r="TYM62" s="962">
        <f>MIN(TYM60*$C$62,'Sources and Uses Budget'!$J$99-SUM('15 Year Pro Forma'!$E$62:TYL62))</f>
        <v>0</v>
      </c>
      <c r="TYO62" s="962">
        <f>MIN(TYO60*$C$62,'Sources and Uses Budget'!$J$99-SUM('15 Year Pro Forma'!$E$62:TYN62))</f>
        <v>0</v>
      </c>
      <c r="TYQ62" s="962">
        <f>MIN(TYQ60*$C$62,'Sources and Uses Budget'!$J$99-SUM('15 Year Pro Forma'!$E$62:TYP62))</f>
        <v>0</v>
      </c>
      <c r="TYS62" s="962">
        <f>MIN(TYS60*$C$62,'Sources and Uses Budget'!$J$99-SUM('15 Year Pro Forma'!$E$62:TYR62))</f>
        <v>0</v>
      </c>
      <c r="TYU62" s="962">
        <f>MIN(TYU60*$C$62,'Sources and Uses Budget'!$J$99-SUM('15 Year Pro Forma'!$E$62:TYT62))</f>
        <v>0</v>
      </c>
      <c r="TYW62" s="962">
        <f>MIN(TYW60*$C$62,'Sources and Uses Budget'!$J$99-SUM('15 Year Pro Forma'!$E$62:TYV62))</f>
        <v>0</v>
      </c>
      <c r="TYY62" s="962">
        <f>MIN(TYY60*$C$62,'Sources and Uses Budget'!$J$99-SUM('15 Year Pro Forma'!$E$62:TYX62))</f>
        <v>0</v>
      </c>
      <c r="TZA62" s="962">
        <f>MIN(TZA60*$C$62,'Sources and Uses Budget'!$J$99-SUM('15 Year Pro Forma'!$E$62:TYZ62))</f>
        <v>0</v>
      </c>
      <c r="TZC62" s="962">
        <f>MIN(TZC60*$C$62,'Sources and Uses Budget'!$J$99-SUM('15 Year Pro Forma'!$E$62:TZB62))</f>
        <v>0</v>
      </c>
      <c r="TZE62" s="962">
        <f>MIN(TZE60*$C$62,'Sources and Uses Budget'!$J$99-SUM('15 Year Pro Forma'!$E$62:TZD62))</f>
        <v>0</v>
      </c>
      <c r="TZG62" s="962">
        <f>MIN(TZG60*$C$62,'Sources and Uses Budget'!$J$99-SUM('15 Year Pro Forma'!$E$62:TZF62))</f>
        <v>0</v>
      </c>
      <c r="TZI62" s="962">
        <f>MIN(TZI60*$C$62,'Sources and Uses Budget'!$J$99-SUM('15 Year Pro Forma'!$E$62:TZH62))</f>
        <v>0</v>
      </c>
      <c r="TZK62" s="962">
        <f>MIN(TZK60*$C$62,'Sources and Uses Budget'!$J$99-SUM('15 Year Pro Forma'!$E$62:TZJ62))</f>
        <v>0</v>
      </c>
      <c r="TZM62" s="962">
        <f>MIN(TZM60*$C$62,'Sources and Uses Budget'!$J$99-SUM('15 Year Pro Forma'!$E$62:TZL62))</f>
        <v>0</v>
      </c>
      <c r="TZO62" s="962">
        <f>MIN(TZO60*$C$62,'Sources and Uses Budget'!$J$99-SUM('15 Year Pro Forma'!$E$62:TZN62))</f>
        <v>0</v>
      </c>
      <c r="TZQ62" s="962">
        <f>MIN(TZQ60*$C$62,'Sources and Uses Budget'!$J$99-SUM('15 Year Pro Forma'!$E$62:TZP62))</f>
        <v>0</v>
      </c>
      <c r="TZS62" s="962">
        <f>MIN(TZS60*$C$62,'Sources and Uses Budget'!$J$99-SUM('15 Year Pro Forma'!$E$62:TZR62))</f>
        <v>0</v>
      </c>
      <c r="TZU62" s="962">
        <f>MIN(TZU60*$C$62,'Sources and Uses Budget'!$J$99-SUM('15 Year Pro Forma'!$E$62:TZT62))</f>
        <v>0</v>
      </c>
      <c r="TZW62" s="962">
        <f>MIN(TZW60*$C$62,'Sources and Uses Budget'!$J$99-SUM('15 Year Pro Forma'!$E$62:TZV62))</f>
        <v>0</v>
      </c>
      <c r="TZY62" s="962">
        <f>MIN(TZY60*$C$62,'Sources and Uses Budget'!$J$99-SUM('15 Year Pro Forma'!$E$62:TZX62))</f>
        <v>0</v>
      </c>
      <c r="UAA62" s="962">
        <f>MIN(UAA60*$C$62,'Sources and Uses Budget'!$J$99-SUM('15 Year Pro Forma'!$E$62:TZZ62))</f>
        <v>0</v>
      </c>
      <c r="UAC62" s="962">
        <f>MIN(UAC60*$C$62,'Sources and Uses Budget'!$J$99-SUM('15 Year Pro Forma'!$E$62:UAB62))</f>
        <v>0</v>
      </c>
      <c r="UAE62" s="962">
        <f>MIN(UAE60*$C$62,'Sources and Uses Budget'!$J$99-SUM('15 Year Pro Forma'!$E$62:UAD62))</f>
        <v>0</v>
      </c>
      <c r="UAG62" s="962">
        <f>MIN(UAG60*$C$62,'Sources and Uses Budget'!$J$99-SUM('15 Year Pro Forma'!$E$62:UAF62))</f>
        <v>0</v>
      </c>
      <c r="UAI62" s="962">
        <f>MIN(UAI60*$C$62,'Sources and Uses Budget'!$J$99-SUM('15 Year Pro Forma'!$E$62:UAH62))</f>
        <v>0</v>
      </c>
      <c r="UAK62" s="962">
        <f>MIN(UAK60*$C$62,'Sources and Uses Budget'!$J$99-SUM('15 Year Pro Forma'!$E$62:UAJ62))</f>
        <v>0</v>
      </c>
      <c r="UAM62" s="962">
        <f>MIN(UAM60*$C$62,'Sources and Uses Budget'!$J$99-SUM('15 Year Pro Forma'!$E$62:UAL62))</f>
        <v>0</v>
      </c>
      <c r="UAO62" s="962">
        <f>MIN(UAO60*$C$62,'Sources and Uses Budget'!$J$99-SUM('15 Year Pro Forma'!$E$62:UAN62))</f>
        <v>0</v>
      </c>
      <c r="UAQ62" s="962">
        <f>MIN(UAQ60*$C$62,'Sources and Uses Budget'!$J$99-SUM('15 Year Pro Forma'!$E$62:UAP62))</f>
        <v>0</v>
      </c>
      <c r="UAS62" s="962">
        <f>MIN(UAS60*$C$62,'Sources and Uses Budget'!$J$99-SUM('15 Year Pro Forma'!$E$62:UAR62))</f>
        <v>0</v>
      </c>
      <c r="UAU62" s="962">
        <f>MIN(UAU60*$C$62,'Sources and Uses Budget'!$J$99-SUM('15 Year Pro Forma'!$E$62:UAT62))</f>
        <v>0</v>
      </c>
      <c r="UAW62" s="962">
        <f>MIN(UAW60*$C$62,'Sources and Uses Budget'!$J$99-SUM('15 Year Pro Forma'!$E$62:UAV62))</f>
        <v>0</v>
      </c>
      <c r="UAY62" s="962">
        <f>MIN(UAY60*$C$62,'Sources and Uses Budget'!$J$99-SUM('15 Year Pro Forma'!$E$62:UAX62))</f>
        <v>0</v>
      </c>
      <c r="UBA62" s="962">
        <f>MIN(UBA60*$C$62,'Sources and Uses Budget'!$J$99-SUM('15 Year Pro Forma'!$E$62:UAZ62))</f>
        <v>0</v>
      </c>
      <c r="UBC62" s="962">
        <f>MIN(UBC60*$C$62,'Sources and Uses Budget'!$J$99-SUM('15 Year Pro Forma'!$E$62:UBB62))</f>
        <v>0</v>
      </c>
      <c r="UBE62" s="962">
        <f>MIN(UBE60*$C$62,'Sources and Uses Budget'!$J$99-SUM('15 Year Pro Forma'!$E$62:UBD62))</f>
        <v>0</v>
      </c>
      <c r="UBG62" s="962">
        <f>MIN(UBG60*$C$62,'Sources and Uses Budget'!$J$99-SUM('15 Year Pro Forma'!$E$62:UBF62))</f>
        <v>0</v>
      </c>
      <c r="UBI62" s="962">
        <f>MIN(UBI60*$C$62,'Sources and Uses Budget'!$J$99-SUM('15 Year Pro Forma'!$E$62:UBH62))</f>
        <v>0</v>
      </c>
      <c r="UBK62" s="962">
        <f>MIN(UBK60*$C$62,'Sources and Uses Budget'!$J$99-SUM('15 Year Pro Forma'!$E$62:UBJ62))</f>
        <v>0</v>
      </c>
      <c r="UBM62" s="962">
        <f>MIN(UBM60*$C$62,'Sources and Uses Budget'!$J$99-SUM('15 Year Pro Forma'!$E$62:UBL62))</f>
        <v>0</v>
      </c>
      <c r="UBO62" s="962">
        <f>MIN(UBO60*$C$62,'Sources and Uses Budget'!$J$99-SUM('15 Year Pro Forma'!$E$62:UBN62))</f>
        <v>0</v>
      </c>
      <c r="UBQ62" s="962">
        <f>MIN(UBQ60*$C$62,'Sources and Uses Budget'!$J$99-SUM('15 Year Pro Forma'!$E$62:UBP62))</f>
        <v>0</v>
      </c>
      <c r="UBS62" s="962">
        <f>MIN(UBS60*$C$62,'Sources and Uses Budget'!$J$99-SUM('15 Year Pro Forma'!$E$62:UBR62))</f>
        <v>0</v>
      </c>
      <c r="UBU62" s="962">
        <f>MIN(UBU60*$C$62,'Sources and Uses Budget'!$J$99-SUM('15 Year Pro Forma'!$E$62:UBT62))</f>
        <v>0</v>
      </c>
      <c r="UBW62" s="962">
        <f>MIN(UBW60*$C$62,'Sources and Uses Budget'!$J$99-SUM('15 Year Pro Forma'!$E$62:UBV62))</f>
        <v>0</v>
      </c>
      <c r="UBY62" s="962">
        <f>MIN(UBY60*$C$62,'Sources and Uses Budget'!$J$99-SUM('15 Year Pro Forma'!$E$62:UBX62))</f>
        <v>0</v>
      </c>
      <c r="UCA62" s="962">
        <f>MIN(UCA60*$C$62,'Sources and Uses Budget'!$J$99-SUM('15 Year Pro Forma'!$E$62:UBZ62))</f>
        <v>0</v>
      </c>
      <c r="UCC62" s="962">
        <f>MIN(UCC60*$C$62,'Sources and Uses Budget'!$J$99-SUM('15 Year Pro Forma'!$E$62:UCB62))</f>
        <v>0</v>
      </c>
      <c r="UCE62" s="962">
        <f>MIN(UCE60*$C$62,'Sources and Uses Budget'!$J$99-SUM('15 Year Pro Forma'!$E$62:UCD62))</f>
        <v>0</v>
      </c>
      <c r="UCG62" s="962">
        <f>MIN(UCG60*$C$62,'Sources and Uses Budget'!$J$99-SUM('15 Year Pro Forma'!$E$62:UCF62))</f>
        <v>0</v>
      </c>
      <c r="UCI62" s="962">
        <f>MIN(UCI60*$C$62,'Sources and Uses Budget'!$J$99-SUM('15 Year Pro Forma'!$E$62:UCH62))</f>
        <v>0</v>
      </c>
      <c r="UCK62" s="962">
        <f>MIN(UCK60*$C$62,'Sources and Uses Budget'!$J$99-SUM('15 Year Pro Forma'!$E$62:UCJ62))</f>
        <v>0</v>
      </c>
      <c r="UCM62" s="962">
        <f>MIN(UCM60*$C$62,'Sources and Uses Budget'!$J$99-SUM('15 Year Pro Forma'!$E$62:UCL62))</f>
        <v>0</v>
      </c>
      <c r="UCO62" s="962">
        <f>MIN(UCO60*$C$62,'Sources and Uses Budget'!$J$99-SUM('15 Year Pro Forma'!$E$62:UCN62))</f>
        <v>0</v>
      </c>
      <c r="UCQ62" s="962">
        <f>MIN(UCQ60*$C$62,'Sources and Uses Budget'!$J$99-SUM('15 Year Pro Forma'!$E$62:UCP62))</f>
        <v>0</v>
      </c>
      <c r="UCS62" s="962">
        <f>MIN(UCS60*$C$62,'Sources and Uses Budget'!$J$99-SUM('15 Year Pro Forma'!$E$62:UCR62))</f>
        <v>0</v>
      </c>
      <c r="UCU62" s="962">
        <f>MIN(UCU60*$C$62,'Sources and Uses Budget'!$J$99-SUM('15 Year Pro Forma'!$E$62:UCT62))</f>
        <v>0</v>
      </c>
      <c r="UCW62" s="962">
        <f>MIN(UCW60*$C$62,'Sources and Uses Budget'!$J$99-SUM('15 Year Pro Forma'!$E$62:UCV62))</f>
        <v>0</v>
      </c>
      <c r="UCY62" s="962">
        <f>MIN(UCY60*$C$62,'Sources and Uses Budget'!$J$99-SUM('15 Year Pro Forma'!$E$62:UCX62))</f>
        <v>0</v>
      </c>
      <c r="UDA62" s="962">
        <f>MIN(UDA60*$C$62,'Sources and Uses Budget'!$J$99-SUM('15 Year Pro Forma'!$E$62:UCZ62))</f>
        <v>0</v>
      </c>
      <c r="UDC62" s="962">
        <f>MIN(UDC60*$C$62,'Sources and Uses Budget'!$J$99-SUM('15 Year Pro Forma'!$E$62:UDB62))</f>
        <v>0</v>
      </c>
      <c r="UDE62" s="962">
        <f>MIN(UDE60*$C$62,'Sources and Uses Budget'!$J$99-SUM('15 Year Pro Forma'!$E$62:UDD62))</f>
        <v>0</v>
      </c>
      <c r="UDG62" s="962">
        <f>MIN(UDG60*$C$62,'Sources and Uses Budget'!$J$99-SUM('15 Year Pro Forma'!$E$62:UDF62))</f>
        <v>0</v>
      </c>
      <c r="UDI62" s="962">
        <f>MIN(UDI60*$C$62,'Sources and Uses Budget'!$J$99-SUM('15 Year Pro Forma'!$E$62:UDH62))</f>
        <v>0</v>
      </c>
      <c r="UDK62" s="962">
        <f>MIN(UDK60*$C$62,'Sources and Uses Budget'!$J$99-SUM('15 Year Pro Forma'!$E$62:UDJ62))</f>
        <v>0</v>
      </c>
      <c r="UDM62" s="962">
        <f>MIN(UDM60*$C$62,'Sources and Uses Budget'!$J$99-SUM('15 Year Pro Forma'!$E$62:UDL62))</f>
        <v>0</v>
      </c>
      <c r="UDO62" s="962">
        <f>MIN(UDO60*$C$62,'Sources and Uses Budget'!$J$99-SUM('15 Year Pro Forma'!$E$62:UDN62))</f>
        <v>0</v>
      </c>
      <c r="UDQ62" s="962">
        <f>MIN(UDQ60*$C$62,'Sources and Uses Budget'!$J$99-SUM('15 Year Pro Forma'!$E$62:UDP62))</f>
        <v>0</v>
      </c>
      <c r="UDS62" s="962">
        <f>MIN(UDS60*$C$62,'Sources and Uses Budget'!$J$99-SUM('15 Year Pro Forma'!$E$62:UDR62))</f>
        <v>0</v>
      </c>
      <c r="UDU62" s="962">
        <f>MIN(UDU60*$C$62,'Sources and Uses Budget'!$J$99-SUM('15 Year Pro Forma'!$E$62:UDT62))</f>
        <v>0</v>
      </c>
      <c r="UDW62" s="962">
        <f>MIN(UDW60*$C$62,'Sources and Uses Budget'!$J$99-SUM('15 Year Pro Forma'!$E$62:UDV62))</f>
        <v>0</v>
      </c>
      <c r="UDY62" s="962">
        <f>MIN(UDY60*$C$62,'Sources and Uses Budget'!$J$99-SUM('15 Year Pro Forma'!$E$62:UDX62))</f>
        <v>0</v>
      </c>
      <c r="UEA62" s="962">
        <f>MIN(UEA60*$C$62,'Sources and Uses Budget'!$J$99-SUM('15 Year Pro Forma'!$E$62:UDZ62))</f>
        <v>0</v>
      </c>
      <c r="UEC62" s="962">
        <f>MIN(UEC60*$C$62,'Sources and Uses Budget'!$J$99-SUM('15 Year Pro Forma'!$E$62:UEB62))</f>
        <v>0</v>
      </c>
      <c r="UEE62" s="962">
        <f>MIN(UEE60*$C$62,'Sources and Uses Budget'!$J$99-SUM('15 Year Pro Forma'!$E$62:UED62))</f>
        <v>0</v>
      </c>
      <c r="UEG62" s="962">
        <f>MIN(UEG60*$C$62,'Sources and Uses Budget'!$J$99-SUM('15 Year Pro Forma'!$E$62:UEF62))</f>
        <v>0</v>
      </c>
      <c r="UEI62" s="962">
        <f>MIN(UEI60*$C$62,'Sources and Uses Budget'!$J$99-SUM('15 Year Pro Forma'!$E$62:UEH62))</f>
        <v>0</v>
      </c>
      <c r="UEK62" s="962">
        <f>MIN(UEK60*$C$62,'Sources and Uses Budget'!$J$99-SUM('15 Year Pro Forma'!$E$62:UEJ62))</f>
        <v>0</v>
      </c>
      <c r="UEM62" s="962">
        <f>MIN(UEM60*$C$62,'Sources and Uses Budget'!$J$99-SUM('15 Year Pro Forma'!$E$62:UEL62))</f>
        <v>0</v>
      </c>
      <c r="UEO62" s="962">
        <f>MIN(UEO60*$C$62,'Sources and Uses Budget'!$J$99-SUM('15 Year Pro Forma'!$E$62:UEN62))</f>
        <v>0</v>
      </c>
      <c r="UEQ62" s="962">
        <f>MIN(UEQ60*$C$62,'Sources and Uses Budget'!$J$99-SUM('15 Year Pro Forma'!$E$62:UEP62))</f>
        <v>0</v>
      </c>
      <c r="UES62" s="962">
        <f>MIN(UES60*$C$62,'Sources and Uses Budget'!$J$99-SUM('15 Year Pro Forma'!$E$62:UER62))</f>
        <v>0</v>
      </c>
      <c r="UEU62" s="962">
        <f>MIN(UEU60*$C$62,'Sources and Uses Budget'!$J$99-SUM('15 Year Pro Forma'!$E$62:UET62))</f>
        <v>0</v>
      </c>
      <c r="UEW62" s="962">
        <f>MIN(UEW60*$C$62,'Sources and Uses Budget'!$J$99-SUM('15 Year Pro Forma'!$E$62:UEV62))</f>
        <v>0</v>
      </c>
      <c r="UEY62" s="962">
        <f>MIN(UEY60*$C$62,'Sources and Uses Budget'!$J$99-SUM('15 Year Pro Forma'!$E$62:UEX62))</f>
        <v>0</v>
      </c>
      <c r="UFA62" s="962">
        <f>MIN(UFA60*$C$62,'Sources and Uses Budget'!$J$99-SUM('15 Year Pro Forma'!$E$62:UEZ62))</f>
        <v>0</v>
      </c>
      <c r="UFC62" s="962">
        <f>MIN(UFC60*$C$62,'Sources and Uses Budget'!$J$99-SUM('15 Year Pro Forma'!$E$62:UFB62))</f>
        <v>0</v>
      </c>
      <c r="UFE62" s="962">
        <f>MIN(UFE60*$C$62,'Sources and Uses Budget'!$J$99-SUM('15 Year Pro Forma'!$E$62:UFD62))</f>
        <v>0</v>
      </c>
      <c r="UFG62" s="962">
        <f>MIN(UFG60*$C$62,'Sources and Uses Budget'!$J$99-SUM('15 Year Pro Forma'!$E$62:UFF62))</f>
        <v>0</v>
      </c>
      <c r="UFI62" s="962">
        <f>MIN(UFI60*$C$62,'Sources and Uses Budget'!$J$99-SUM('15 Year Pro Forma'!$E$62:UFH62))</f>
        <v>0</v>
      </c>
      <c r="UFK62" s="962">
        <f>MIN(UFK60*$C$62,'Sources and Uses Budget'!$J$99-SUM('15 Year Pro Forma'!$E$62:UFJ62))</f>
        <v>0</v>
      </c>
      <c r="UFM62" s="962">
        <f>MIN(UFM60*$C$62,'Sources and Uses Budget'!$J$99-SUM('15 Year Pro Forma'!$E$62:UFL62))</f>
        <v>0</v>
      </c>
      <c r="UFO62" s="962">
        <f>MIN(UFO60*$C$62,'Sources and Uses Budget'!$J$99-SUM('15 Year Pro Forma'!$E$62:UFN62))</f>
        <v>0</v>
      </c>
      <c r="UFQ62" s="962">
        <f>MIN(UFQ60*$C$62,'Sources and Uses Budget'!$J$99-SUM('15 Year Pro Forma'!$E$62:UFP62))</f>
        <v>0</v>
      </c>
      <c r="UFS62" s="962">
        <f>MIN(UFS60*$C$62,'Sources and Uses Budget'!$J$99-SUM('15 Year Pro Forma'!$E$62:UFR62))</f>
        <v>0</v>
      </c>
      <c r="UFU62" s="962">
        <f>MIN(UFU60*$C$62,'Sources and Uses Budget'!$J$99-SUM('15 Year Pro Forma'!$E$62:UFT62))</f>
        <v>0</v>
      </c>
      <c r="UFW62" s="962">
        <f>MIN(UFW60*$C$62,'Sources and Uses Budget'!$J$99-SUM('15 Year Pro Forma'!$E$62:UFV62))</f>
        <v>0</v>
      </c>
      <c r="UFY62" s="962">
        <f>MIN(UFY60*$C$62,'Sources and Uses Budget'!$J$99-SUM('15 Year Pro Forma'!$E$62:UFX62))</f>
        <v>0</v>
      </c>
      <c r="UGA62" s="962">
        <f>MIN(UGA60*$C$62,'Sources and Uses Budget'!$J$99-SUM('15 Year Pro Forma'!$E$62:UFZ62))</f>
        <v>0</v>
      </c>
      <c r="UGC62" s="962">
        <f>MIN(UGC60*$C$62,'Sources and Uses Budget'!$J$99-SUM('15 Year Pro Forma'!$E$62:UGB62))</f>
        <v>0</v>
      </c>
      <c r="UGE62" s="962">
        <f>MIN(UGE60*$C$62,'Sources and Uses Budget'!$J$99-SUM('15 Year Pro Forma'!$E$62:UGD62))</f>
        <v>0</v>
      </c>
      <c r="UGG62" s="962">
        <f>MIN(UGG60*$C$62,'Sources and Uses Budget'!$J$99-SUM('15 Year Pro Forma'!$E$62:UGF62))</f>
        <v>0</v>
      </c>
      <c r="UGI62" s="962">
        <f>MIN(UGI60*$C$62,'Sources and Uses Budget'!$J$99-SUM('15 Year Pro Forma'!$E$62:UGH62))</f>
        <v>0</v>
      </c>
      <c r="UGK62" s="962">
        <f>MIN(UGK60*$C$62,'Sources and Uses Budget'!$J$99-SUM('15 Year Pro Forma'!$E$62:UGJ62))</f>
        <v>0</v>
      </c>
      <c r="UGM62" s="962">
        <f>MIN(UGM60*$C$62,'Sources and Uses Budget'!$J$99-SUM('15 Year Pro Forma'!$E$62:UGL62))</f>
        <v>0</v>
      </c>
      <c r="UGO62" s="962">
        <f>MIN(UGO60*$C$62,'Sources and Uses Budget'!$J$99-SUM('15 Year Pro Forma'!$E$62:UGN62))</f>
        <v>0</v>
      </c>
      <c r="UGQ62" s="962">
        <f>MIN(UGQ60*$C$62,'Sources and Uses Budget'!$J$99-SUM('15 Year Pro Forma'!$E$62:UGP62))</f>
        <v>0</v>
      </c>
      <c r="UGS62" s="962">
        <f>MIN(UGS60*$C$62,'Sources and Uses Budget'!$J$99-SUM('15 Year Pro Forma'!$E$62:UGR62))</f>
        <v>0</v>
      </c>
      <c r="UGU62" s="962">
        <f>MIN(UGU60*$C$62,'Sources and Uses Budget'!$J$99-SUM('15 Year Pro Forma'!$E$62:UGT62))</f>
        <v>0</v>
      </c>
      <c r="UGW62" s="962">
        <f>MIN(UGW60*$C$62,'Sources and Uses Budget'!$J$99-SUM('15 Year Pro Forma'!$E$62:UGV62))</f>
        <v>0</v>
      </c>
      <c r="UGY62" s="962">
        <f>MIN(UGY60*$C$62,'Sources and Uses Budget'!$J$99-SUM('15 Year Pro Forma'!$E$62:UGX62))</f>
        <v>0</v>
      </c>
      <c r="UHA62" s="962">
        <f>MIN(UHA60*$C$62,'Sources and Uses Budget'!$J$99-SUM('15 Year Pro Forma'!$E$62:UGZ62))</f>
        <v>0</v>
      </c>
      <c r="UHC62" s="962">
        <f>MIN(UHC60*$C$62,'Sources and Uses Budget'!$J$99-SUM('15 Year Pro Forma'!$E$62:UHB62))</f>
        <v>0</v>
      </c>
      <c r="UHE62" s="962">
        <f>MIN(UHE60*$C$62,'Sources and Uses Budget'!$J$99-SUM('15 Year Pro Forma'!$E$62:UHD62))</f>
        <v>0</v>
      </c>
      <c r="UHG62" s="962">
        <f>MIN(UHG60*$C$62,'Sources and Uses Budget'!$J$99-SUM('15 Year Pro Forma'!$E$62:UHF62))</f>
        <v>0</v>
      </c>
      <c r="UHI62" s="962">
        <f>MIN(UHI60*$C$62,'Sources and Uses Budget'!$J$99-SUM('15 Year Pro Forma'!$E$62:UHH62))</f>
        <v>0</v>
      </c>
      <c r="UHK62" s="962">
        <f>MIN(UHK60*$C$62,'Sources and Uses Budget'!$J$99-SUM('15 Year Pro Forma'!$E$62:UHJ62))</f>
        <v>0</v>
      </c>
      <c r="UHM62" s="962">
        <f>MIN(UHM60*$C$62,'Sources and Uses Budget'!$J$99-SUM('15 Year Pro Forma'!$E$62:UHL62))</f>
        <v>0</v>
      </c>
      <c r="UHO62" s="962">
        <f>MIN(UHO60*$C$62,'Sources and Uses Budget'!$J$99-SUM('15 Year Pro Forma'!$E$62:UHN62))</f>
        <v>0</v>
      </c>
      <c r="UHQ62" s="962">
        <f>MIN(UHQ60*$C$62,'Sources and Uses Budget'!$J$99-SUM('15 Year Pro Forma'!$E$62:UHP62))</f>
        <v>0</v>
      </c>
      <c r="UHS62" s="962">
        <f>MIN(UHS60*$C$62,'Sources and Uses Budget'!$J$99-SUM('15 Year Pro Forma'!$E$62:UHR62))</f>
        <v>0</v>
      </c>
      <c r="UHU62" s="962">
        <f>MIN(UHU60*$C$62,'Sources and Uses Budget'!$J$99-SUM('15 Year Pro Forma'!$E$62:UHT62))</f>
        <v>0</v>
      </c>
      <c r="UHW62" s="962">
        <f>MIN(UHW60*$C$62,'Sources and Uses Budget'!$J$99-SUM('15 Year Pro Forma'!$E$62:UHV62))</f>
        <v>0</v>
      </c>
      <c r="UHY62" s="962">
        <f>MIN(UHY60*$C$62,'Sources and Uses Budget'!$J$99-SUM('15 Year Pro Forma'!$E$62:UHX62))</f>
        <v>0</v>
      </c>
      <c r="UIA62" s="962">
        <f>MIN(UIA60*$C$62,'Sources and Uses Budget'!$J$99-SUM('15 Year Pro Forma'!$E$62:UHZ62))</f>
        <v>0</v>
      </c>
      <c r="UIC62" s="962">
        <f>MIN(UIC60*$C$62,'Sources and Uses Budget'!$J$99-SUM('15 Year Pro Forma'!$E$62:UIB62))</f>
        <v>0</v>
      </c>
      <c r="UIE62" s="962">
        <f>MIN(UIE60*$C$62,'Sources and Uses Budget'!$J$99-SUM('15 Year Pro Forma'!$E$62:UID62))</f>
        <v>0</v>
      </c>
      <c r="UIG62" s="962">
        <f>MIN(UIG60*$C$62,'Sources and Uses Budget'!$J$99-SUM('15 Year Pro Forma'!$E$62:UIF62))</f>
        <v>0</v>
      </c>
      <c r="UII62" s="962">
        <f>MIN(UII60*$C$62,'Sources and Uses Budget'!$J$99-SUM('15 Year Pro Forma'!$E$62:UIH62))</f>
        <v>0</v>
      </c>
      <c r="UIK62" s="962">
        <f>MIN(UIK60*$C$62,'Sources and Uses Budget'!$J$99-SUM('15 Year Pro Forma'!$E$62:UIJ62))</f>
        <v>0</v>
      </c>
      <c r="UIM62" s="962">
        <f>MIN(UIM60*$C$62,'Sources and Uses Budget'!$J$99-SUM('15 Year Pro Forma'!$E$62:UIL62))</f>
        <v>0</v>
      </c>
      <c r="UIO62" s="962">
        <f>MIN(UIO60*$C$62,'Sources and Uses Budget'!$J$99-SUM('15 Year Pro Forma'!$E$62:UIN62))</f>
        <v>0</v>
      </c>
      <c r="UIQ62" s="962">
        <f>MIN(UIQ60*$C$62,'Sources and Uses Budget'!$J$99-SUM('15 Year Pro Forma'!$E$62:UIP62))</f>
        <v>0</v>
      </c>
      <c r="UIS62" s="962">
        <f>MIN(UIS60*$C$62,'Sources and Uses Budget'!$J$99-SUM('15 Year Pro Forma'!$E$62:UIR62))</f>
        <v>0</v>
      </c>
      <c r="UIU62" s="962">
        <f>MIN(UIU60*$C$62,'Sources and Uses Budget'!$J$99-SUM('15 Year Pro Forma'!$E$62:UIT62))</f>
        <v>0</v>
      </c>
      <c r="UIW62" s="962">
        <f>MIN(UIW60*$C$62,'Sources and Uses Budget'!$J$99-SUM('15 Year Pro Forma'!$E$62:UIV62))</f>
        <v>0</v>
      </c>
      <c r="UIY62" s="962">
        <f>MIN(UIY60*$C$62,'Sources and Uses Budget'!$J$99-SUM('15 Year Pro Forma'!$E$62:UIX62))</f>
        <v>0</v>
      </c>
      <c r="UJA62" s="962">
        <f>MIN(UJA60*$C$62,'Sources and Uses Budget'!$J$99-SUM('15 Year Pro Forma'!$E$62:UIZ62))</f>
        <v>0</v>
      </c>
      <c r="UJC62" s="962">
        <f>MIN(UJC60*$C$62,'Sources and Uses Budget'!$J$99-SUM('15 Year Pro Forma'!$E$62:UJB62))</f>
        <v>0</v>
      </c>
      <c r="UJE62" s="962">
        <f>MIN(UJE60*$C$62,'Sources and Uses Budget'!$J$99-SUM('15 Year Pro Forma'!$E$62:UJD62))</f>
        <v>0</v>
      </c>
      <c r="UJG62" s="962">
        <f>MIN(UJG60*$C$62,'Sources and Uses Budget'!$J$99-SUM('15 Year Pro Forma'!$E$62:UJF62))</f>
        <v>0</v>
      </c>
      <c r="UJI62" s="962">
        <f>MIN(UJI60*$C$62,'Sources and Uses Budget'!$J$99-SUM('15 Year Pro Forma'!$E$62:UJH62))</f>
        <v>0</v>
      </c>
      <c r="UJK62" s="962">
        <f>MIN(UJK60*$C$62,'Sources and Uses Budget'!$J$99-SUM('15 Year Pro Forma'!$E$62:UJJ62))</f>
        <v>0</v>
      </c>
      <c r="UJM62" s="962">
        <f>MIN(UJM60*$C$62,'Sources and Uses Budget'!$J$99-SUM('15 Year Pro Forma'!$E$62:UJL62))</f>
        <v>0</v>
      </c>
      <c r="UJO62" s="962">
        <f>MIN(UJO60*$C$62,'Sources and Uses Budget'!$J$99-SUM('15 Year Pro Forma'!$E$62:UJN62))</f>
        <v>0</v>
      </c>
      <c r="UJQ62" s="962">
        <f>MIN(UJQ60*$C$62,'Sources and Uses Budget'!$J$99-SUM('15 Year Pro Forma'!$E$62:UJP62))</f>
        <v>0</v>
      </c>
      <c r="UJS62" s="962">
        <f>MIN(UJS60*$C$62,'Sources and Uses Budget'!$J$99-SUM('15 Year Pro Forma'!$E$62:UJR62))</f>
        <v>0</v>
      </c>
      <c r="UJU62" s="962">
        <f>MIN(UJU60*$C$62,'Sources and Uses Budget'!$J$99-SUM('15 Year Pro Forma'!$E$62:UJT62))</f>
        <v>0</v>
      </c>
      <c r="UJW62" s="962">
        <f>MIN(UJW60*$C$62,'Sources and Uses Budget'!$J$99-SUM('15 Year Pro Forma'!$E$62:UJV62))</f>
        <v>0</v>
      </c>
      <c r="UJY62" s="962">
        <f>MIN(UJY60*$C$62,'Sources and Uses Budget'!$J$99-SUM('15 Year Pro Forma'!$E$62:UJX62))</f>
        <v>0</v>
      </c>
      <c r="UKA62" s="962">
        <f>MIN(UKA60*$C$62,'Sources and Uses Budget'!$J$99-SUM('15 Year Pro Forma'!$E$62:UJZ62))</f>
        <v>0</v>
      </c>
      <c r="UKC62" s="962">
        <f>MIN(UKC60*$C$62,'Sources and Uses Budget'!$J$99-SUM('15 Year Pro Forma'!$E$62:UKB62))</f>
        <v>0</v>
      </c>
      <c r="UKE62" s="962">
        <f>MIN(UKE60*$C$62,'Sources and Uses Budget'!$J$99-SUM('15 Year Pro Forma'!$E$62:UKD62))</f>
        <v>0</v>
      </c>
      <c r="UKG62" s="962">
        <f>MIN(UKG60*$C$62,'Sources and Uses Budget'!$J$99-SUM('15 Year Pro Forma'!$E$62:UKF62))</f>
        <v>0</v>
      </c>
      <c r="UKI62" s="962">
        <f>MIN(UKI60*$C$62,'Sources and Uses Budget'!$J$99-SUM('15 Year Pro Forma'!$E$62:UKH62))</f>
        <v>0</v>
      </c>
      <c r="UKK62" s="962">
        <f>MIN(UKK60*$C$62,'Sources and Uses Budget'!$J$99-SUM('15 Year Pro Forma'!$E$62:UKJ62))</f>
        <v>0</v>
      </c>
      <c r="UKM62" s="962">
        <f>MIN(UKM60*$C$62,'Sources and Uses Budget'!$J$99-SUM('15 Year Pro Forma'!$E$62:UKL62))</f>
        <v>0</v>
      </c>
      <c r="UKO62" s="962">
        <f>MIN(UKO60*$C$62,'Sources and Uses Budget'!$J$99-SUM('15 Year Pro Forma'!$E$62:UKN62))</f>
        <v>0</v>
      </c>
      <c r="UKQ62" s="962">
        <f>MIN(UKQ60*$C$62,'Sources and Uses Budget'!$J$99-SUM('15 Year Pro Forma'!$E$62:UKP62))</f>
        <v>0</v>
      </c>
      <c r="UKS62" s="962">
        <f>MIN(UKS60*$C$62,'Sources and Uses Budget'!$J$99-SUM('15 Year Pro Forma'!$E$62:UKR62))</f>
        <v>0</v>
      </c>
      <c r="UKU62" s="962">
        <f>MIN(UKU60*$C$62,'Sources and Uses Budget'!$J$99-SUM('15 Year Pro Forma'!$E$62:UKT62))</f>
        <v>0</v>
      </c>
      <c r="UKW62" s="962">
        <f>MIN(UKW60*$C$62,'Sources and Uses Budget'!$J$99-SUM('15 Year Pro Forma'!$E$62:UKV62))</f>
        <v>0</v>
      </c>
      <c r="UKY62" s="962">
        <f>MIN(UKY60*$C$62,'Sources and Uses Budget'!$J$99-SUM('15 Year Pro Forma'!$E$62:UKX62))</f>
        <v>0</v>
      </c>
      <c r="ULA62" s="962">
        <f>MIN(ULA60*$C$62,'Sources and Uses Budget'!$J$99-SUM('15 Year Pro Forma'!$E$62:UKZ62))</f>
        <v>0</v>
      </c>
      <c r="ULC62" s="962">
        <f>MIN(ULC60*$C$62,'Sources and Uses Budget'!$J$99-SUM('15 Year Pro Forma'!$E$62:ULB62))</f>
        <v>0</v>
      </c>
      <c r="ULE62" s="962">
        <f>MIN(ULE60*$C$62,'Sources and Uses Budget'!$J$99-SUM('15 Year Pro Forma'!$E$62:ULD62))</f>
        <v>0</v>
      </c>
      <c r="ULG62" s="962">
        <f>MIN(ULG60*$C$62,'Sources and Uses Budget'!$J$99-SUM('15 Year Pro Forma'!$E$62:ULF62))</f>
        <v>0</v>
      </c>
      <c r="ULI62" s="962">
        <f>MIN(ULI60*$C$62,'Sources and Uses Budget'!$J$99-SUM('15 Year Pro Forma'!$E$62:ULH62))</f>
        <v>0</v>
      </c>
      <c r="ULK62" s="962">
        <f>MIN(ULK60*$C$62,'Sources and Uses Budget'!$J$99-SUM('15 Year Pro Forma'!$E$62:ULJ62))</f>
        <v>0</v>
      </c>
      <c r="ULM62" s="962">
        <f>MIN(ULM60*$C$62,'Sources and Uses Budget'!$J$99-SUM('15 Year Pro Forma'!$E$62:ULL62))</f>
        <v>0</v>
      </c>
      <c r="ULO62" s="962">
        <f>MIN(ULO60*$C$62,'Sources and Uses Budget'!$J$99-SUM('15 Year Pro Forma'!$E$62:ULN62))</f>
        <v>0</v>
      </c>
      <c r="ULQ62" s="962">
        <f>MIN(ULQ60*$C$62,'Sources and Uses Budget'!$J$99-SUM('15 Year Pro Forma'!$E$62:ULP62))</f>
        <v>0</v>
      </c>
      <c r="ULS62" s="962">
        <f>MIN(ULS60*$C$62,'Sources and Uses Budget'!$J$99-SUM('15 Year Pro Forma'!$E$62:ULR62))</f>
        <v>0</v>
      </c>
      <c r="ULU62" s="962">
        <f>MIN(ULU60*$C$62,'Sources and Uses Budget'!$J$99-SUM('15 Year Pro Forma'!$E$62:ULT62))</f>
        <v>0</v>
      </c>
      <c r="ULW62" s="962">
        <f>MIN(ULW60*$C$62,'Sources and Uses Budget'!$J$99-SUM('15 Year Pro Forma'!$E$62:ULV62))</f>
        <v>0</v>
      </c>
      <c r="ULY62" s="962">
        <f>MIN(ULY60*$C$62,'Sources and Uses Budget'!$J$99-SUM('15 Year Pro Forma'!$E$62:ULX62))</f>
        <v>0</v>
      </c>
      <c r="UMA62" s="962">
        <f>MIN(UMA60*$C$62,'Sources and Uses Budget'!$J$99-SUM('15 Year Pro Forma'!$E$62:ULZ62))</f>
        <v>0</v>
      </c>
      <c r="UMC62" s="962">
        <f>MIN(UMC60*$C$62,'Sources and Uses Budget'!$J$99-SUM('15 Year Pro Forma'!$E$62:UMB62))</f>
        <v>0</v>
      </c>
      <c r="UME62" s="962">
        <f>MIN(UME60*$C$62,'Sources and Uses Budget'!$J$99-SUM('15 Year Pro Forma'!$E$62:UMD62))</f>
        <v>0</v>
      </c>
      <c r="UMG62" s="962">
        <f>MIN(UMG60*$C$62,'Sources and Uses Budget'!$J$99-SUM('15 Year Pro Forma'!$E$62:UMF62))</f>
        <v>0</v>
      </c>
      <c r="UMI62" s="962">
        <f>MIN(UMI60*$C$62,'Sources and Uses Budget'!$J$99-SUM('15 Year Pro Forma'!$E$62:UMH62))</f>
        <v>0</v>
      </c>
      <c r="UMK62" s="962">
        <f>MIN(UMK60*$C$62,'Sources and Uses Budget'!$J$99-SUM('15 Year Pro Forma'!$E$62:UMJ62))</f>
        <v>0</v>
      </c>
      <c r="UMM62" s="962">
        <f>MIN(UMM60*$C$62,'Sources and Uses Budget'!$J$99-SUM('15 Year Pro Forma'!$E$62:UML62))</f>
        <v>0</v>
      </c>
      <c r="UMO62" s="962">
        <f>MIN(UMO60*$C$62,'Sources and Uses Budget'!$J$99-SUM('15 Year Pro Forma'!$E$62:UMN62))</f>
        <v>0</v>
      </c>
      <c r="UMQ62" s="962">
        <f>MIN(UMQ60*$C$62,'Sources and Uses Budget'!$J$99-SUM('15 Year Pro Forma'!$E$62:UMP62))</f>
        <v>0</v>
      </c>
      <c r="UMS62" s="962">
        <f>MIN(UMS60*$C$62,'Sources and Uses Budget'!$J$99-SUM('15 Year Pro Forma'!$E$62:UMR62))</f>
        <v>0</v>
      </c>
      <c r="UMU62" s="962">
        <f>MIN(UMU60*$C$62,'Sources and Uses Budget'!$J$99-SUM('15 Year Pro Forma'!$E$62:UMT62))</f>
        <v>0</v>
      </c>
      <c r="UMW62" s="962">
        <f>MIN(UMW60*$C$62,'Sources and Uses Budget'!$J$99-SUM('15 Year Pro Forma'!$E$62:UMV62))</f>
        <v>0</v>
      </c>
      <c r="UMY62" s="962">
        <f>MIN(UMY60*$C$62,'Sources and Uses Budget'!$J$99-SUM('15 Year Pro Forma'!$E$62:UMX62))</f>
        <v>0</v>
      </c>
      <c r="UNA62" s="962">
        <f>MIN(UNA60*$C$62,'Sources and Uses Budget'!$J$99-SUM('15 Year Pro Forma'!$E$62:UMZ62))</f>
        <v>0</v>
      </c>
      <c r="UNC62" s="962">
        <f>MIN(UNC60*$C$62,'Sources and Uses Budget'!$J$99-SUM('15 Year Pro Forma'!$E$62:UNB62))</f>
        <v>0</v>
      </c>
      <c r="UNE62" s="962">
        <f>MIN(UNE60*$C$62,'Sources and Uses Budget'!$J$99-SUM('15 Year Pro Forma'!$E$62:UND62))</f>
        <v>0</v>
      </c>
      <c r="UNG62" s="962">
        <f>MIN(UNG60*$C$62,'Sources and Uses Budget'!$J$99-SUM('15 Year Pro Forma'!$E$62:UNF62))</f>
        <v>0</v>
      </c>
      <c r="UNI62" s="962">
        <f>MIN(UNI60*$C$62,'Sources and Uses Budget'!$J$99-SUM('15 Year Pro Forma'!$E$62:UNH62))</f>
        <v>0</v>
      </c>
      <c r="UNK62" s="962">
        <f>MIN(UNK60*$C$62,'Sources and Uses Budget'!$J$99-SUM('15 Year Pro Forma'!$E$62:UNJ62))</f>
        <v>0</v>
      </c>
      <c r="UNM62" s="962">
        <f>MIN(UNM60*$C$62,'Sources and Uses Budget'!$J$99-SUM('15 Year Pro Forma'!$E$62:UNL62))</f>
        <v>0</v>
      </c>
      <c r="UNO62" s="962">
        <f>MIN(UNO60*$C$62,'Sources and Uses Budget'!$J$99-SUM('15 Year Pro Forma'!$E$62:UNN62))</f>
        <v>0</v>
      </c>
      <c r="UNQ62" s="962">
        <f>MIN(UNQ60*$C$62,'Sources and Uses Budget'!$J$99-SUM('15 Year Pro Forma'!$E$62:UNP62))</f>
        <v>0</v>
      </c>
      <c r="UNS62" s="962">
        <f>MIN(UNS60*$C$62,'Sources and Uses Budget'!$J$99-SUM('15 Year Pro Forma'!$E$62:UNR62))</f>
        <v>0</v>
      </c>
      <c r="UNU62" s="962">
        <f>MIN(UNU60*$C$62,'Sources and Uses Budget'!$J$99-SUM('15 Year Pro Forma'!$E$62:UNT62))</f>
        <v>0</v>
      </c>
      <c r="UNW62" s="962">
        <f>MIN(UNW60*$C$62,'Sources and Uses Budget'!$J$99-SUM('15 Year Pro Forma'!$E$62:UNV62))</f>
        <v>0</v>
      </c>
      <c r="UNY62" s="962">
        <f>MIN(UNY60*$C$62,'Sources and Uses Budget'!$J$99-SUM('15 Year Pro Forma'!$E$62:UNX62))</f>
        <v>0</v>
      </c>
      <c r="UOA62" s="962">
        <f>MIN(UOA60*$C$62,'Sources and Uses Budget'!$J$99-SUM('15 Year Pro Forma'!$E$62:UNZ62))</f>
        <v>0</v>
      </c>
      <c r="UOC62" s="962">
        <f>MIN(UOC60*$C$62,'Sources and Uses Budget'!$J$99-SUM('15 Year Pro Forma'!$E$62:UOB62))</f>
        <v>0</v>
      </c>
      <c r="UOE62" s="962">
        <f>MIN(UOE60*$C$62,'Sources and Uses Budget'!$J$99-SUM('15 Year Pro Forma'!$E$62:UOD62))</f>
        <v>0</v>
      </c>
      <c r="UOG62" s="962">
        <f>MIN(UOG60*$C$62,'Sources and Uses Budget'!$J$99-SUM('15 Year Pro Forma'!$E$62:UOF62))</f>
        <v>0</v>
      </c>
      <c r="UOI62" s="962">
        <f>MIN(UOI60*$C$62,'Sources and Uses Budget'!$J$99-SUM('15 Year Pro Forma'!$E$62:UOH62))</f>
        <v>0</v>
      </c>
      <c r="UOK62" s="962">
        <f>MIN(UOK60*$C$62,'Sources and Uses Budget'!$J$99-SUM('15 Year Pro Forma'!$E$62:UOJ62))</f>
        <v>0</v>
      </c>
      <c r="UOM62" s="962">
        <f>MIN(UOM60*$C$62,'Sources and Uses Budget'!$J$99-SUM('15 Year Pro Forma'!$E$62:UOL62))</f>
        <v>0</v>
      </c>
      <c r="UOO62" s="962">
        <f>MIN(UOO60*$C$62,'Sources and Uses Budget'!$J$99-SUM('15 Year Pro Forma'!$E$62:UON62))</f>
        <v>0</v>
      </c>
      <c r="UOQ62" s="962">
        <f>MIN(UOQ60*$C$62,'Sources and Uses Budget'!$J$99-SUM('15 Year Pro Forma'!$E$62:UOP62))</f>
        <v>0</v>
      </c>
      <c r="UOS62" s="962">
        <f>MIN(UOS60*$C$62,'Sources and Uses Budget'!$J$99-SUM('15 Year Pro Forma'!$E$62:UOR62))</f>
        <v>0</v>
      </c>
      <c r="UOU62" s="962">
        <f>MIN(UOU60*$C$62,'Sources and Uses Budget'!$J$99-SUM('15 Year Pro Forma'!$E$62:UOT62))</f>
        <v>0</v>
      </c>
      <c r="UOW62" s="962">
        <f>MIN(UOW60*$C$62,'Sources and Uses Budget'!$J$99-SUM('15 Year Pro Forma'!$E$62:UOV62))</f>
        <v>0</v>
      </c>
      <c r="UOY62" s="962">
        <f>MIN(UOY60*$C$62,'Sources and Uses Budget'!$J$99-SUM('15 Year Pro Forma'!$E$62:UOX62))</f>
        <v>0</v>
      </c>
      <c r="UPA62" s="962">
        <f>MIN(UPA60*$C$62,'Sources and Uses Budget'!$J$99-SUM('15 Year Pro Forma'!$E$62:UOZ62))</f>
        <v>0</v>
      </c>
      <c r="UPC62" s="962">
        <f>MIN(UPC60*$C$62,'Sources and Uses Budget'!$J$99-SUM('15 Year Pro Forma'!$E$62:UPB62))</f>
        <v>0</v>
      </c>
      <c r="UPE62" s="962">
        <f>MIN(UPE60*$C$62,'Sources and Uses Budget'!$J$99-SUM('15 Year Pro Forma'!$E$62:UPD62))</f>
        <v>0</v>
      </c>
      <c r="UPG62" s="962">
        <f>MIN(UPG60*$C$62,'Sources and Uses Budget'!$J$99-SUM('15 Year Pro Forma'!$E$62:UPF62))</f>
        <v>0</v>
      </c>
      <c r="UPI62" s="962">
        <f>MIN(UPI60*$C$62,'Sources and Uses Budget'!$J$99-SUM('15 Year Pro Forma'!$E$62:UPH62))</f>
        <v>0</v>
      </c>
      <c r="UPK62" s="962">
        <f>MIN(UPK60*$C$62,'Sources and Uses Budget'!$J$99-SUM('15 Year Pro Forma'!$E$62:UPJ62))</f>
        <v>0</v>
      </c>
      <c r="UPM62" s="962">
        <f>MIN(UPM60*$C$62,'Sources and Uses Budget'!$J$99-SUM('15 Year Pro Forma'!$E$62:UPL62))</f>
        <v>0</v>
      </c>
      <c r="UPO62" s="962">
        <f>MIN(UPO60*$C$62,'Sources and Uses Budget'!$J$99-SUM('15 Year Pro Forma'!$E$62:UPN62))</f>
        <v>0</v>
      </c>
      <c r="UPQ62" s="962">
        <f>MIN(UPQ60*$C$62,'Sources and Uses Budget'!$J$99-SUM('15 Year Pro Forma'!$E$62:UPP62))</f>
        <v>0</v>
      </c>
      <c r="UPS62" s="962">
        <f>MIN(UPS60*$C$62,'Sources and Uses Budget'!$J$99-SUM('15 Year Pro Forma'!$E$62:UPR62))</f>
        <v>0</v>
      </c>
      <c r="UPU62" s="962">
        <f>MIN(UPU60*$C$62,'Sources and Uses Budget'!$J$99-SUM('15 Year Pro Forma'!$E$62:UPT62))</f>
        <v>0</v>
      </c>
      <c r="UPW62" s="962">
        <f>MIN(UPW60*$C$62,'Sources and Uses Budget'!$J$99-SUM('15 Year Pro Forma'!$E$62:UPV62))</f>
        <v>0</v>
      </c>
      <c r="UPY62" s="962">
        <f>MIN(UPY60*$C$62,'Sources and Uses Budget'!$J$99-SUM('15 Year Pro Forma'!$E$62:UPX62))</f>
        <v>0</v>
      </c>
      <c r="UQA62" s="962">
        <f>MIN(UQA60*$C$62,'Sources and Uses Budget'!$J$99-SUM('15 Year Pro Forma'!$E$62:UPZ62))</f>
        <v>0</v>
      </c>
      <c r="UQC62" s="962">
        <f>MIN(UQC60*$C$62,'Sources and Uses Budget'!$J$99-SUM('15 Year Pro Forma'!$E$62:UQB62))</f>
        <v>0</v>
      </c>
      <c r="UQE62" s="962">
        <f>MIN(UQE60*$C$62,'Sources and Uses Budget'!$J$99-SUM('15 Year Pro Forma'!$E$62:UQD62))</f>
        <v>0</v>
      </c>
      <c r="UQG62" s="962">
        <f>MIN(UQG60*$C$62,'Sources and Uses Budget'!$J$99-SUM('15 Year Pro Forma'!$E$62:UQF62))</f>
        <v>0</v>
      </c>
      <c r="UQI62" s="962">
        <f>MIN(UQI60*$C$62,'Sources and Uses Budget'!$J$99-SUM('15 Year Pro Forma'!$E$62:UQH62))</f>
        <v>0</v>
      </c>
      <c r="UQK62" s="962">
        <f>MIN(UQK60*$C$62,'Sources and Uses Budget'!$J$99-SUM('15 Year Pro Forma'!$E$62:UQJ62))</f>
        <v>0</v>
      </c>
      <c r="UQM62" s="962">
        <f>MIN(UQM60*$C$62,'Sources and Uses Budget'!$J$99-SUM('15 Year Pro Forma'!$E$62:UQL62))</f>
        <v>0</v>
      </c>
      <c r="UQO62" s="962">
        <f>MIN(UQO60*$C$62,'Sources and Uses Budget'!$J$99-SUM('15 Year Pro Forma'!$E$62:UQN62))</f>
        <v>0</v>
      </c>
      <c r="UQQ62" s="962">
        <f>MIN(UQQ60*$C$62,'Sources and Uses Budget'!$J$99-SUM('15 Year Pro Forma'!$E$62:UQP62))</f>
        <v>0</v>
      </c>
      <c r="UQS62" s="962">
        <f>MIN(UQS60*$C$62,'Sources and Uses Budget'!$J$99-SUM('15 Year Pro Forma'!$E$62:UQR62))</f>
        <v>0</v>
      </c>
      <c r="UQU62" s="962">
        <f>MIN(UQU60*$C$62,'Sources and Uses Budget'!$J$99-SUM('15 Year Pro Forma'!$E$62:UQT62))</f>
        <v>0</v>
      </c>
      <c r="UQW62" s="962">
        <f>MIN(UQW60*$C$62,'Sources and Uses Budget'!$J$99-SUM('15 Year Pro Forma'!$E$62:UQV62))</f>
        <v>0</v>
      </c>
      <c r="UQY62" s="962">
        <f>MIN(UQY60*$C$62,'Sources and Uses Budget'!$J$99-SUM('15 Year Pro Forma'!$E$62:UQX62))</f>
        <v>0</v>
      </c>
      <c r="URA62" s="962">
        <f>MIN(URA60*$C$62,'Sources and Uses Budget'!$J$99-SUM('15 Year Pro Forma'!$E$62:UQZ62))</f>
        <v>0</v>
      </c>
      <c r="URC62" s="962">
        <f>MIN(URC60*$C$62,'Sources and Uses Budget'!$J$99-SUM('15 Year Pro Forma'!$E$62:URB62))</f>
        <v>0</v>
      </c>
      <c r="URE62" s="962">
        <f>MIN(URE60*$C$62,'Sources and Uses Budget'!$J$99-SUM('15 Year Pro Forma'!$E$62:URD62))</f>
        <v>0</v>
      </c>
      <c r="URG62" s="962">
        <f>MIN(URG60*$C$62,'Sources and Uses Budget'!$J$99-SUM('15 Year Pro Forma'!$E$62:URF62))</f>
        <v>0</v>
      </c>
      <c r="URI62" s="962">
        <f>MIN(URI60*$C$62,'Sources and Uses Budget'!$J$99-SUM('15 Year Pro Forma'!$E$62:URH62))</f>
        <v>0</v>
      </c>
      <c r="URK62" s="962">
        <f>MIN(URK60*$C$62,'Sources and Uses Budget'!$J$99-SUM('15 Year Pro Forma'!$E$62:URJ62))</f>
        <v>0</v>
      </c>
      <c r="URM62" s="962">
        <f>MIN(URM60*$C$62,'Sources and Uses Budget'!$J$99-SUM('15 Year Pro Forma'!$E$62:URL62))</f>
        <v>0</v>
      </c>
      <c r="URO62" s="962">
        <f>MIN(URO60*$C$62,'Sources and Uses Budget'!$J$99-SUM('15 Year Pro Forma'!$E$62:URN62))</f>
        <v>0</v>
      </c>
      <c r="URQ62" s="962">
        <f>MIN(URQ60*$C$62,'Sources and Uses Budget'!$J$99-SUM('15 Year Pro Forma'!$E$62:URP62))</f>
        <v>0</v>
      </c>
      <c r="URS62" s="962">
        <f>MIN(URS60*$C$62,'Sources and Uses Budget'!$J$99-SUM('15 Year Pro Forma'!$E$62:URR62))</f>
        <v>0</v>
      </c>
      <c r="URU62" s="962">
        <f>MIN(URU60*$C$62,'Sources and Uses Budget'!$J$99-SUM('15 Year Pro Forma'!$E$62:URT62))</f>
        <v>0</v>
      </c>
      <c r="URW62" s="962">
        <f>MIN(URW60*$C$62,'Sources and Uses Budget'!$J$99-SUM('15 Year Pro Forma'!$E$62:URV62))</f>
        <v>0</v>
      </c>
      <c r="URY62" s="962">
        <f>MIN(URY60*$C$62,'Sources and Uses Budget'!$J$99-SUM('15 Year Pro Forma'!$E$62:URX62))</f>
        <v>0</v>
      </c>
      <c r="USA62" s="962">
        <f>MIN(USA60*$C$62,'Sources and Uses Budget'!$J$99-SUM('15 Year Pro Forma'!$E$62:URZ62))</f>
        <v>0</v>
      </c>
      <c r="USC62" s="962">
        <f>MIN(USC60*$C$62,'Sources and Uses Budget'!$J$99-SUM('15 Year Pro Forma'!$E$62:USB62))</f>
        <v>0</v>
      </c>
      <c r="USE62" s="962">
        <f>MIN(USE60*$C$62,'Sources and Uses Budget'!$J$99-SUM('15 Year Pro Forma'!$E$62:USD62))</f>
        <v>0</v>
      </c>
      <c r="USG62" s="962">
        <f>MIN(USG60*$C$62,'Sources and Uses Budget'!$J$99-SUM('15 Year Pro Forma'!$E$62:USF62))</f>
        <v>0</v>
      </c>
      <c r="USI62" s="962">
        <f>MIN(USI60*$C$62,'Sources and Uses Budget'!$J$99-SUM('15 Year Pro Forma'!$E$62:USH62))</f>
        <v>0</v>
      </c>
      <c r="USK62" s="962">
        <f>MIN(USK60*$C$62,'Sources and Uses Budget'!$J$99-SUM('15 Year Pro Forma'!$E$62:USJ62))</f>
        <v>0</v>
      </c>
      <c r="USM62" s="962">
        <f>MIN(USM60*$C$62,'Sources and Uses Budget'!$J$99-SUM('15 Year Pro Forma'!$E$62:USL62))</f>
        <v>0</v>
      </c>
      <c r="USO62" s="962">
        <f>MIN(USO60*$C$62,'Sources and Uses Budget'!$J$99-SUM('15 Year Pro Forma'!$E$62:USN62))</f>
        <v>0</v>
      </c>
      <c r="USQ62" s="962">
        <f>MIN(USQ60*$C$62,'Sources and Uses Budget'!$J$99-SUM('15 Year Pro Forma'!$E$62:USP62))</f>
        <v>0</v>
      </c>
      <c r="USS62" s="962">
        <f>MIN(USS60*$C$62,'Sources and Uses Budget'!$J$99-SUM('15 Year Pro Forma'!$E$62:USR62))</f>
        <v>0</v>
      </c>
      <c r="USU62" s="962">
        <f>MIN(USU60*$C$62,'Sources and Uses Budget'!$J$99-SUM('15 Year Pro Forma'!$E$62:UST62))</f>
        <v>0</v>
      </c>
      <c r="USW62" s="962">
        <f>MIN(USW60*$C$62,'Sources and Uses Budget'!$J$99-SUM('15 Year Pro Forma'!$E$62:USV62))</f>
        <v>0</v>
      </c>
      <c r="USY62" s="962">
        <f>MIN(USY60*$C$62,'Sources and Uses Budget'!$J$99-SUM('15 Year Pro Forma'!$E$62:USX62))</f>
        <v>0</v>
      </c>
      <c r="UTA62" s="962">
        <f>MIN(UTA60*$C$62,'Sources and Uses Budget'!$J$99-SUM('15 Year Pro Forma'!$E$62:USZ62))</f>
        <v>0</v>
      </c>
      <c r="UTC62" s="962">
        <f>MIN(UTC60*$C$62,'Sources and Uses Budget'!$J$99-SUM('15 Year Pro Forma'!$E$62:UTB62))</f>
        <v>0</v>
      </c>
      <c r="UTE62" s="962">
        <f>MIN(UTE60*$C$62,'Sources and Uses Budget'!$J$99-SUM('15 Year Pro Forma'!$E$62:UTD62))</f>
        <v>0</v>
      </c>
      <c r="UTG62" s="962">
        <f>MIN(UTG60*$C$62,'Sources and Uses Budget'!$J$99-SUM('15 Year Pro Forma'!$E$62:UTF62))</f>
        <v>0</v>
      </c>
      <c r="UTI62" s="962">
        <f>MIN(UTI60*$C$62,'Sources and Uses Budget'!$J$99-SUM('15 Year Pro Forma'!$E$62:UTH62))</f>
        <v>0</v>
      </c>
      <c r="UTK62" s="962">
        <f>MIN(UTK60*$C$62,'Sources and Uses Budget'!$J$99-SUM('15 Year Pro Forma'!$E$62:UTJ62))</f>
        <v>0</v>
      </c>
      <c r="UTM62" s="962">
        <f>MIN(UTM60*$C$62,'Sources and Uses Budget'!$J$99-SUM('15 Year Pro Forma'!$E$62:UTL62))</f>
        <v>0</v>
      </c>
      <c r="UTO62" s="962">
        <f>MIN(UTO60*$C$62,'Sources and Uses Budget'!$J$99-SUM('15 Year Pro Forma'!$E$62:UTN62))</f>
        <v>0</v>
      </c>
      <c r="UTQ62" s="962">
        <f>MIN(UTQ60*$C$62,'Sources and Uses Budget'!$J$99-SUM('15 Year Pro Forma'!$E$62:UTP62))</f>
        <v>0</v>
      </c>
      <c r="UTS62" s="962">
        <f>MIN(UTS60*$C$62,'Sources and Uses Budget'!$J$99-SUM('15 Year Pro Forma'!$E$62:UTR62))</f>
        <v>0</v>
      </c>
      <c r="UTU62" s="962">
        <f>MIN(UTU60*$C$62,'Sources and Uses Budget'!$J$99-SUM('15 Year Pro Forma'!$E$62:UTT62))</f>
        <v>0</v>
      </c>
      <c r="UTW62" s="962">
        <f>MIN(UTW60*$C$62,'Sources and Uses Budget'!$J$99-SUM('15 Year Pro Forma'!$E$62:UTV62))</f>
        <v>0</v>
      </c>
      <c r="UTY62" s="962">
        <f>MIN(UTY60*$C$62,'Sources and Uses Budget'!$J$99-SUM('15 Year Pro Forma'!$E$62:UTX62))</f>
        <v>0</v>
      </c>
      <c r="UUA62" s="962">
        <f>MIN(UUA60*$C$62,'Sources and Uses Budget'!$J$99-SUM('15 Year Pro Forma'!$E$62:UTZ62))</f>
        <v>0</v>
      </c>
      <c r="UUC62" s="962">
        <f>MIN(UUC60*$C$62,'Sources and Uses Budget'!$J$99-SUM('15 Year Pro Forma'!$E$62:UUB62))</f>
        <v>0</v>
      </c>
      <c r="UUE62" s="962">
        <f>MIN(UUE60*$C$62,'Sources and Uses Budget'!$J$99-SUM('15 Year Pro Forma'!$E$62:UUD62))</f>
        <v>0</v>
      </c>
      <c r="UUG62" s="962">
        <f>MIN(UUG60*$C$62,'Sources and Uses Budget'!$J$99-SUM('15 Year Pro Forma'!$E$62:UUF62))</f>
        <v>0</v>
      </c>
      <c r="UUI62" s="962">
        <f>MIN(UUI60*$C$62,'Sources and Uses Budget'!$J$99-SUM('15 Year Pro Forma'!$E$62:UUH62))</f>
        <v>0</v>
      </c>
      <c r="UUK62" s="962">
        <f>MIN(UUK60*$C$62,'Sources and Uses Budget'!$J$99-SUM('15 Year Pro Forma'!$E$62:UUJ62))</f>
        <v>0</v>
      </c>
      <c r="UUM62" s="962">
        <f>MIN(UUM60*$C$62,'Sources and Uses Budget'!$J$99-SUM('15 Year Pro Forma'!$E$62:UUL62))</f>
        <v>0</v>
      </c>
      <c r="UUO62" s="962">
        <f>MIN(UUO60*$C$62,'Sources and Uses Budget'!$J$99-SUM('15 Year Pro Forma'!$E$62:UUN62))</f>
        <v>0</v>
      </c>
      <c r="UUQ62" s="962">
        <f>MIN(UUQ60*$C$62,'Sources and Uses Budget'!$J$99-SUM('15 Year Pro Forma'!$E$62:UUP62))</f>
        <v>0</v>
      </c>
      <c r="UUS62" s="962">
        <f>MIN(UUS60*$C$62,'Sources and Uses Budget'!$J$99-SUM('15 Year Pro Forma'!$E$62:UUR62))</f>
        <v>0</v>
      </c>
      <c r="UUU62" s="962">
        <f>MIN(UUU60*$C$62,'Sources and Uses Budget'!$J$99-SUM('15 Year Pro Forma'!$E$62:UUT62))</f>
        <v>0</v>
      </c>
      <c r="UUW62" s="962">
        <f>MIN(UUW60*$C$62,'Sources and Uses Budget'!$J$99-SUM('15 Year Pro Forma'!$E$62:UUV62))</f>
        <v>0</v>
      </c>
      <c r="UUY62" s="962">
        <f>MIN(UUY60*$C$62,'Sources and Uses Budget'!$J$99-SUM('15 Year Pro Forma'!$E$62:UUX62))</f>
        <v>0</v>
      </c>
      <c r="UVA62" s="962">
        <f>MIN(UVA60*$C$62,'Sources and Uses Budget'!$J$99-SUM('15 Year Pro Forma'!$E$62:UUZ62))</f>
        <v>0</v>
      </c>
      <c r="UVC62" s="962">
        <f>MIN(UVC60*$C$62,'Sources and Uses Budget'!$J$99-SUM('15 Year Pro Forma'!$E$62:UVB62))</f>
        <v>0</v>
      </c>
      <c r="UVE62" s="962">
        <f>MIN(UVE60*$C$62,'Sources and Uses Budget'!$J$99-SUM('15 Year Pro Forma'!$E$62:UVD62))</f>
        <v>0</v>
      </c>
      <c r="UVG62" s="962">
        <f>MIN(UVG60*$C$62,'Sources and Uses Budget'!$J$99-SUM('15 Year Pro Forma'!$E$62:UVF62))</f>
        <v>0</v>
      </c>
      <c r="UVI62" s="962">
        <f>MIN(UVI60*$C$62,'Sources and Uses Budget'!$J$99-SUM('15 Year Pro Forma'!$E$62:UVH62))</f>
        <v>0</v>
      </c>
      <c r="UVK62" s="962">
        <f>MIN(UVK60*$C$62,'Sources and Uses Budget'!$J$99-SUM('15 Year Pro Forma'!$E$62:UVJ62))</f>
        <v>0</v>
      </c>
      <c r="UVM62" s="962">
        <f>MIN(UVM60*$C$62,'Sources and Uses Budget'!$J$99-SUM('15 Year Pro Forma'!$E$62:UVL62))</f>
        <v>0</v>
      </c>
      <c r="UVO62" s="962">
        <f>MIN(UVO60*$C$62,'Sources and Uses Budget'!$J$99-SUM('15 Year Pro Forma'!$E$62:UVN62))</f>
        <v>0</v>
      </c>
      <c r="UVQ62" s="962">
        <f>MIN(UVQ60*$C$62,'Sources and Uses Budget'!$J$99-SUM('15 Year Pro Forma'!$E$62:UVP62))</f>
        <v>0</v>
      </c>
      <c r="UVS62" s="962">
        <f>MIN(UVS60*$C$62,'Sources and Uses Budget'!$J$99-SUM('15 Year Pro Forma'!$E$62:UVR62))</f>
        <v>0</v>
      </c>
      <c r="UVU62" s="962">
        <f>MIN(UVU60*$C$62,'Sources and Uses Budget'!$J$99-SUM('15 Year Pro Forma'!$E$62:UVT62))</f>
        <v>0</v>
      </c>
      <c r="UVW62" s="962">
        <f>MIN(UVW60*$C$62,'Sources and Uses Budget'!$J$99-SUM('15 Year Pro Forma'!$E$62:UVV62))</f>
        <v>0</v>
      </c>
      <c r="UVY62" s="962">
        <f>MIN(UVY60*$C$62,'Sources and Uses Budget'!$J$99-SUM('15 Year Pro Forma'!$E$62:UVX62))</f>
        <v>0</v>
      </c>
      <c r="UWA62" s="962">
        <f>MIN(UWA60*$C$62,'Sources and Uses Budget'!$J$99-SUM('15 Year Pro Forma'!$E$62:UVZ62))</f>
        <v>0</v>
      </c>
      <c r="UWC62" s="962">
        <f>MIN(UWC60*$C$62,'Sources and Uses Budget'!$J$99-SUM('15 Year Pro Forma'!$E$62:UWB62))</f>
        <v>0</v>
      </c>
      <c r="UWE62" s="962">
        <f>MIN(UWE60*$C$62,'Sources and Uses Budget'!$J$99-SUM('15 Year Pro Forma'!$E$62:UWD62))</f>
        <v>0</v>
      </c>
      <c r="UWG62" s="962">
        <f>MIN(UWG60*$C$62,'Sources and Uses Budget'!$J$99-SUM('15 Year Pro Forma'!$E$62:UWF62))</f>
        <v>0</v>
      </c>
      <c r="UWI62" s="962">
        <f>MIN(UWI60*$C$62,'Sources and Uses Budget'!$J$99-SUM('15 Year Pro Forma'!$E$62:UWH62))</f>
        <v>0</v>
      </c>
      <c r="UWK62" s="962">
        <f>MIN(UWK60*$C$62,'Sources and Uses Budget'!$J$99-SUM('15 Year Pro Forma'!$E$62:UWJ62))</f>
        <v>0</v>
      </c>
      <c r="UWM62" s="962">
        <f>MIN(UWM60*$C$62,'Sources and Uses Budget'!$J$99-SUM('15 Year Pro Forma'!$E$62:UWL62))</f>
        <v>0</v>
      </c>
      <c r="UWO62" s="962">
        <f>MIN(UWO60*$C$62,'Sources and Uses Budget'!$J$99-SUM('15 Year Pro Forma'!$E$62:UWN62))</f>
        <v>0</v>
      </c>
      <c r="UWQ62" s="962">
        <f>MIN(UWQ60*$C$62,'Sources and Uses Budget'!$J$99-SUM('15 Year Pro Forma'!$E$62:UWP62))</f>
        <v>0</v>
      </c>
      <c r="UWS62" s="962">
        <f>MIN(UWS60*$C$62,'Sources and Uses Budget'!$J$99-SUM('15 Year Pro Forma'!$E$62:UWR62))</f>
        <v>0</v>
      </c>
      <c r="UWU62" s="962">
        <f>MIN(UWU60*$C$62,'Sources and Uses Budget'!$J$99-SUM('15 Year Pro Forma'!$E$62:UWT62))</f>
        <v>0</v>
      </c>
      <c r="UWW62" s="962">
        <f>MIN(UWW60*$C$62,'Sources and Uses Budget'!$J$99-SUM('15 Year Pro Forma'!$E$62:UWV62))</f>
        <v>0</v>
      </c>
      <c r="UWY62" s="962">
        <f>MIN(UWY60*$C$62,'Sources and Uses Budget'!$J$99-SUM('15 Year Pro Forma'!$E$62:UWX62))</f>
        <v>0</v>
      </c>
      <c r="UXA62" s="962">
        <f>MIN(UXA60*$C$62,'Sources and Uses Budget'!$J$99-SUM('15 Year Pro Forma'!$E$62:UWZ62))</f>
        <v>0</v>
      </c>
      <c r="UXC62" s="962">
        <f>MIN(UXC60*$C$62,'Sources and Uses Budget'!$J$99-SUM('15 Year Pro Forma'!$E$62:UXB62))</f>
        <v>0</v>
      </c>
      <c r="UXE62" s="962">
        <f>MIN(UXE60*$C$62,'Sources and Uses Budget'!$J$99-SUM('15 Year Pro Forma'!$E$62:UXD62))</f>
        <v>0</v>
      </c>
      <c r="UXG62" s="962">
        <f>MIN(UXG60*$C$62,'Sources and Uses Budget'!$J$99-SUM('15 Year Pro Forma'!$E$62:UXF62))</f>
        <v>0</v>
      </c>
      <c r="UXI62" s="962">
        <f>MIN(UXI60*$C$62,'Sources and Uses Budget'!$J$99-SUM('15 Year Pro Forma'!$E$62:UXH62))</f>
        <v>0</v>
      </c>
      <c r="UXK62" s="962">
        <f>MIN(UXK60*$C$62,'Sources and Uses Budget'!$J$99-SUM('15 Year Pro Forma'!$E$62:UXJ62))</f>
        <v>0</v>
      </c>
      <c r="UXM62" s="962">
        <f>MIN(UXM60*$C$62,'Sources and Uses Budget'!$J$99-SUM('15 Year Pro Forma'!$E$62:UXL62))</f>
        <v>0</v>
      </c>
      <c r="UXO62" s="962">
        <f>MIN(UXO60*$C$62,'Sources and Uses Budget'!$J$99-SUM('15 Year Pro Forma'!$E$62:UXN62))</f>
        <v>0</v>
      </c>
      <c r="UXQ62" s="962">
        <f>MIN(UXQ60*$C$62,'Sources and Uses Budget'!$J$99-SUM('15 Year Pro Forma'!$E$62:UXP62))</f>
        <v>0</v>
      </c>
      <c r="UXS62" s="962">
        <f>MIN(UXS60*$C$62,'Sources and Uses Budget'!$J$99-SUM('15 Year Pro Forma'!$E$62:UXR62))</f>
        <v>0</v>
      </c>
      <c r="UXU62" s="962">
        <f>MIN(UXU60*$C$62,'Sources and Uses Budget'!$J$99-SUM('15 Year Pro Forma'!$E$62:UXT62))</f>
        <v>0</v>
      </c>
      <c r="UXW62" s="962">
        <f>MIN(UXW60*$C$62,'Sources and Uses Budget'!$J$99-SUM('15 Year Pro Forma'!$E$62:UXV62))</f>
        <v>0</v>
      </c>
      <c r="UXY62" s="962">
        <f>MIN(UXY60*$C$62,'Sources and Uses Budget'!$J$99-SUM('15 Year Pro Forma'!$E$62:UXX62))</f>
        <v>0</v>
      </c>
      <c r="UYA62" s="962">
        <f>MIN(UYA60*$C$62,'Sources and Uses Budget'!$J$99-SUM('15 Year Pro Forma'!$E$62:UXZ62))</f>
        <v>0</v>
      </c>
      <c r="UYC62" s="962">
        <f>MIN(UYC60*$C$62,'Sources and Uses Budget'!$J$99-SUM('15 Year Pro Forma'!$E$62:UYB62))</f>
        <v>0</v>
      </c>
      <c r="UYE62" s="962">
        <f>MIN(UYE60*$C$62,'Sources and Uses Budget'!$J$99-SUM('15 Year Pro Forma'!$E$62:UYD62))</f>
        <v>0</v>
      </c>
      <c r="UYG62" s="962">
        <f>MIN(UYG60*$C$62,'Sources and Uses Budget'!$J$99-SUM('15 Year Pro Forma'!$E$62:UYF62))</f>
        <v>0</v>
      </c>
      <c r="UYI62" s="962">
        <f>MIN(UYI60*$C$62,'Sources and Uses Budget'!$J$99-SUM('15 Year Pro Forma'!$E$62:UYH62))</f>
        <v>0</v>
      </c>
      <c r="UYK62" s="962">
        <f>MIN(UYK60*$C$62,'Sources and Uses Budget'!$J$99-SUM('15 Year Pro Forma'!$E$62:UYJ62))</f>
        <v>0</v>
      </c>
      <c r="UYM62" s="962">
        <f>MIN(UYM60*$C$62,'Sources and Uses Budget'!$J$99-SUM('15 Year Pro Forma'!$E$62:UYL62))</f>
        <v>0</v>
      </c>
      <c r="UYO62" s="962">
        <f>MIN(UYO60*$C$62,'Sources and Uses Budget'!$J$99-SUM('15 Year Pro Forma'!$E$62:UYN62))</f>
        <v>0</v>
      </c>
      <c r="UYQ62" s="962">
        <f>MIN(UYQ60*$C$62,'Sources and Uses Budget'!$J$99-SUM('15 Year Pro Forma'!$E$62:UYP62))</f>
        <v>0</v>
      </c>
      <c r="UYS62" s="962">
        <f>MIN(UYS60*$C$62,'Sources and Uses Budget'!$J$99-SUM('15 Year Pro Forma'!$E$62:UYR62))</f>
        <v>0</v>
      </c>
      <c r="UYU62" s="962">
        <f>MIN(UYU60*$C$62,'Sources and Uses Budget'!$J$99-SUM('15 Year Pro Forma'!$E$62:UYT62))</f>
        <v>0</v>
      </c>
      <c r="UYW62" s="962">
        <f>MIN(UYW60*$C$62,'Sources and Uses Budget'!$J$99-SUM('15 Year Pro Forma'!$E$62:UYV62))</f>
        <v>0</v>
      </c>
      <c r="UYY62" s="962">
        <f>MIN(UYY60*$C$62,'Sources and Uses Budget'!$J$99-SUM('15 Year Pro Forma'!$E$62:UYX62))</f>
        <v>0</v>
      </c>
      <c r="UZA62" s="962">
        <f>MIN(UZA60*$C$62,'Sources and Uses Budget'!$J$99-SUM('15 Year Pro Forma'!$E$62:UYZ62))</f>
        <v>0</v>
      </c>
      <c r="UZC62" s="962">
        <f>MIN(UZC60*$C$62,'Sources and Uses Budget'!$J$99-SUM('15 Year Pro Forma'!$E$62:UZB62))</f>
        <v>0</v>
      </c>
      <c r="UZE62" s="962">
        <f>MIN(UZE60*$C$62,'Sources and Uses Budget'!$J$99-SUM('15 Year Pro Forma'!$E$62:UZD62))</f>
        <v>0</v>
      </c>
      <c r="UZG62" s="962">
        <f>MIN(UZG60*$C$62,'Sources and Uses Budget'!$J$99-SUM('15 Year Pro Forma'!$E$62:UZF62))</f>
        <v>0</v>
      </c>
      <c r="UZI62" s="962">
        <f>MIN(UZI60*$C$62,'Sources and Uses Budget'!$J$99-SUM('15 Year Pro Forma'!$E$62:UZH62))</f>
        <v>0</v>
      </c>
      <c r="UZK62" s="962">
        <f>MIN(UZK60*$C$62,'Sources and Uses Budget'!$J$99-SUM('15 Year Pro Forma'!$E$62:UZJ62))</f>
        <v>0</v>
      </c>
      <c r="UZM62" s="962">
        <f>MIN(UZM60*$C$62,'Sources and Uses Budget'!$J$99-SUM('15 Year Pro Forma'!$E$62:UZL62))</f>
        <v>0</v>
      </c>
      <c r="UZO62" s="962">
        <f>MIN(UZO60*$C$62,'Sources and Uses Budget'!$J$99-SUM('15 Year Pro Forma'!$E$62:UZN62))</f>
        <v>0</v>
      </c>
      <c r="UZQ62" s="962">
        <f>MIN(UZQ60*$C$62,'Sources and Uses Budget'!$J$99-SUM('15 Year Pro Forma'!$E$62:UZP62))</f>
        <v>0</v>
      </c>
      <c r="UZS62" s="962">
        <f>MIN(UZS60*$C$62,'Sources and Uses Budget'!$J$99-SUM('15 Year Pro Forma'!$E$62:UZR62))</f>
        <v>0</v>
      </c>
      <c r="UZU62" s="962">
        <f>MIN(UZU60*$C$62,'Sources and Uses Budget'!$J$99-SUM('15 Year Pro Forma'!$E$62:UZT62))</f>
        <v>0</v>
      </c>
      <c r="UZW62" s="962">
        <f>MIN(UZW60*$C$62,'Sources and Uses Budget'!$J$99-SUM('15 Year Pro Forma'!$E$62:UZV62))</f>
        <v>0</v>
      </c>
      <c r="UZY62" s="962">
        <f>MIN(UZY60*$C$62,'Sources and Uses Budget'!$J$99-SUM('15 Year Pro Forma'!$E$62:UZX62))</f>
        <v>0</v>
      </c>
      <c r="VAA62" s="962">
        <f>MIN(VAA60*$C$62,'Sources and Uses Budget'!$J$99-SUM('15 Year Pro Forma'!$E$62:UZZ62))</f>
        <v>0</v>
      </c>
      <c r="VAC62" s="962">
        <f>MIN(VAC60*$C$62,'Sources and Uses Budget'!$J$99-SUM('15 Year Pro Forma'!$E$62:VAB62))</f>
        <v>0</v>
      </c>
      <c r="VAE62" s="962">
        <f>MIN(VAE60*$C$62,'Sources and Uses Budget'!$J$99-SUM('15 Year Pro Forma'!$E$62:VAD62))</f>
        <v>0</v>
      </c>
      <c r="VAG62" s="962">
        <f>MIN(VAG60*$C$62,'Sources and Uses Budget'!$J$99-SUM('15 Year Pro Forma'!$E$62:VAF62))</f>
        <v>0</v>
      </c>
      <c r="VAI62" s="962">
        <f>MIN(VAI60*$C$62,'Sources and Uses Budget'!$J$99-SUM('15 Year Pro Forma'!$E$62:VAH62))</f>
        <v>0</v>
      </c>
      <c r="VAK62" s="962">
        <f>MIN(VAK60*$C$62,'Sources and Uses Budget'!$J$99-SUM('15 Year Pro Forma'!$E$62:VAJ62))</f>
        <v>0</v>
      </c>
      <c r="VAM62" s="962">
        <f>MIN(VAM60*$C$62,'Sources and Uses Budget'!$J$99-SUM('15 Year Pro Forma'!$E$62:VAL62))</f>
        <v>0</v>
      </c>
      <c r="VAO62" s="962">
        <f>MIN(VAO60*$C$62,'Sources and Uses Budget'!$J$99-SUM('15 Year Pro Forma'!$E$62:VAN62))</f>
        <v>0</v>
      </c>
      <c r="VAQ62" s="962">
        <f>MIN(VAQ60*$C$62,'Sources and Uses Budget'!$J$99-SUM('15 Year Pro Forma'!$E$62:VAP62))</f>
        <v>0</v>
      </c>
      <c r="VAS62" s="962">
        <f>MIN(VAS60*$C$62,'Sources and Uses Budget'!$J$99-SUM('15 Year Pro Forma'!$E$62:VAR62))</f>
        <v>0</v>
      </c>
      <c r="VAU62" s="962">
        <f>MIN(VAU60*$C$62,'Sources and Uses Budget'!$J$99-SUM('15 Year Pro Forma'!$E$62:VAT62))</f>
        <v>0</v>
      </c>
      <c r="VAW62" s="962">
        <f>MIN(VAW60*$C$62,'Sources and Uses Budget'!$J$99-SUM('15 Year Pro Forma'!$E$62:VAV62))</f>
        <v>0</v>
      </c>
      <c r="VAY62" s="962">
        <f>MIN(VAY60*$C$62,'Sources and Uses Budget'!$J$99-SUM('15 Year Pro Forma'!$E$62:VAX62))</f>
        <v>0</v>
      </c>
      <c r="VBA62" s="962">
        <f>MIN(VBA60*$C$62,'Sources and Uses Budget'!$J$99-SUM('15 Year Pro Forma'!$E$62:VAZ62))</f>
        <v>0</v>
      </c>
      <c r="VBC62" s="962">
        <f>MIN(VBC60*$C$62,'Sources and Uses Budget'!$J$99-SUM('15 Year Pro Forma'!$E$62:VBB62))</f>
        <v>0</v>
      </c>
      <c r="VBE62" s="962">
        <f>MIN(VBE60*$C$62,'Sources and Uses Budget'!$J$99-SUM('15 Year Pro Forma'!$E$62:VBD62))</f>
        <v>0</v>
      </c>
      <c r="VBG62" s="962">
        <f>MIN(VBG60*$C$62,'Sources and Uses Budget'!$J$99-SUM('15 Year Pro Forma'!$E$62:VBF62))</f>
        <v>0</v>
      </c>
      <c r="VBI62" s="962">
        <f>MIN(VBI60*$C$62,'Sources and Uses Budget'!$J$99-SUM('15 Year Pro Forma'!$E$62:VBH62))</f>
        <v>0</v>
      </c>
      <c r="VBK62" s="962">
        <f>MIN(VBK60*$C$62,'Sources and Uses Budget'!$J$99-SUM('15 Year Pro Forma'!$E$62:VBJ62))</f>
        <v>0</v>
      </c>
      <c r="VBM62" s="962">
        <f>MIN(VBM60*$C$62,'Sources and Uses Budget'!$J$99-SUM('15 Year Pro Forma'!$E$62:VBL62))</f>
        <v>0</v>
      </c>
      <c r="VBO62" s="962">
        <f>MIN(VBO60*$C$62,'Sources and Uses Budget'!$J$99-SUM('15 Year Pro Forma'!$E$62:VBN62))</f>
        <v>0</v>
      </c>
      <c r="VBQ62" s="962">
        <f>MIN(VBQ60*$C$62,'Sources and Uses Budget'!$J$99-SUM('15 Year Pro Forma'!$E$62:VBP62))</f>
        <v>0</v>
      </c>
      <c r="VBS62" s="962">
        <f>MIN(VBS60*$C$62,'Sources and Uses Budget'!$J$99-SUM('15 Year Pro Forma'!$E$62:VBR62))</f>
        <v>0</v>
      </c>
      <c r="VBU62" s="962">
        <f>MIN(VBU60*$C$62,'Sources and Uses Budget'!$J$99-SUM('15 Year Pro Forma'!$E$62:VBT62))</f>
        <v>0</v>
      </c>
      <c r="VBW62" s="962">
        <f>MIN(VBW60*$C$62,'Sources and Uses Budget'!$J$99-SUM('15 Year Pro Forma'!$E$62:VBV62))</f>
        <v>0</v>
      </c>
      <c r="VBY62" s="962">
        <f>MIN(VBY60*$C$62,'Sources and Uses Budget'!$J$99-SUM('15 Year Pro Forma'!$E$62:VBX62))</f>
        <v>0</v>
      </c>
      <c r="VCA62" s="962">
        <f>MIN(VCA60*$C$62,'Sources and Uses Budget'!$J$99-SUM('15 Year Pro Forma'!$E$62:VBZ62))</f>
        <v>0</v>
      </c>
      <c r="VCC62" s="962">
        <f>MIN(VCC60*$C$62,'Sources and Uses Budget'!$J$99-SUM('15 Year Pro Forma'!$E$62:VCB62))</f>
        <v>0</v>
      </c>
      <c r="VCE62" s="962">
        <f>MIN(VCE60*$C$62,'Sources and Uses Budget'!$J$99-SUM('15 Year Pro Forma'!$E$62:VCD62))</f>
        <v>0</v>
      </c>
      <c r="VCG62" s="962">
        <f>MIN(VCG60*$C$62,'Sources and Uses Budget'!$J$99-SUM('15 Year Pro Forma'!$E$62:VCF62))</f>
        <v>0</v>
      </c>
      <c r="VCI62" s="962">
        <f>MIN(VCI60*$C$62,'Sources and Uses Budget'!$J$99-SUM('15 Year Pro Forma'!$E$62:VCH62))</f>
        <v>0</v>
      </c>
      <c r="VCK62" s="962">
        <f>MIN(VCK60*$C$62,'Sources and Uses Budget'!$J$99-SUM('15 Year Pro Forma'!$E$62:VCJ62))</f>
        <v>0</v>
      </c>
      <c r="VCM62" s="962">
        <f>MIN(VCM60*$C$62,'Sources and Uses Budget'!$J$99-SUM('15 Year Pro Forma'!$E$62:VCL62))</f>
        <v>0</v>
      </c>
      <c r="VCO62" s="962">
        <f>MIN(VCO60*$C$62,'Sources and Uses Budget'!$J$99-SUM('15 Year Pro Forma'!$E$62:VCN62))</f>
        <v>0</v>
      </c>
      <c r="VCQ62" s="962">
        <f>MIN(VCQ60*$C$62,'Sources and Uses Budget'!$J$99-SUM('15 Year Pro Forma'!$E$62:VCP62))</f>
        <v>0</v>
      </c>
      <c r="VCS62" s="962">
        <f>MIN(VCS60*$C$62,'Sources and Uses Budget'!$J$99-SUM('15 Year Pro Forma'!$E$62:VCR62))</f>
        <v>0</v>
      </c>
      <c r="VCU62" s="962">
        <f>MIN(VCU60*$C$62,'Sources and Uses Budget'!$J$99-SUM('15 Year Pro Forma'!$E$62:VCT62))</f>
        <v>0</v>
      </c>
      <c r="VCW62" s="962">
        <f>MIN(VCW60*$C$62,'Sources and Uses Budget'!$J$99-SUM('15 Year Pro Forma'!$E$62:VCV62))</f>
        <v>0</v>
      </c>
      <c r="VCY62" s="962">
        <f>MIN(VCY60*$C$62,'Sources and Uses Budget'!$J$99-SUM('15 Year Pro Forma'!$E$62:VCX62))</f>
        <v>0</v>
      </c>
      <c r="VDA62" s="962">
        <f>MIN(VDA60*$C$62,'Sources and Uses Budget'!$J$99-SUM('15 Year Pro Forma'!$E$62:VCZ62))</f>
        <v>0</v>
      </c>
      <c r="VDC62" s="962">
        <f>MIN(VDC60*$C$62,'Sources and Uses Budget'!$J$99-SUM('15 Year Pro Forma'!$E$62:VDB62))</f>
        <v>0</v>
      </c>
      <c r="VDE62" s="962">
        <f>MIN(VDE60*$C$62,'Sources and Uses Budget'!$J$99-SUM('15 Year Pro Forma'!$E$62:VDD62))</f>
        <v>0</v>
      </c>
      <c r="VDG62" s="962">
        <f>MIN(VDG60*$C$62,'Sources and Uses Budget'!$J$99-SUM('15 Year Pro Forma'!$E$62:VDF62))</f>
        <v>0</v>
      </c>
      <c r="VDI62" s="962">
        <f>MIN(VDI60*$C$62,'Sources and Uses Budget'!$J$99-SUM('15 Year Pro Forma'!$E$62:VDH62))</f>
        <v>0</v>
      </c>
      <c r="VDK62" s="962">
        <f>MIN(VDK60*$C$62,'Sources and Uses Budget'!$J$99-SUM('15 Year Pro Forma'!$E$62:VDJ62))</f>
        <v>0</v>
      </c>
      <c r="VDM62" s="962">
        <f>MIN(VDM60*$C$62,'Sources and Uses Budget'!$J$99-SUM('15 Year Pro Forma'!$E$62:VDL62))</f>
        <v>0</v>
      </c>
      <c r="VDO62" s="962">
        <f>MIN(VDO60*$C$62,'Sources and Uses Budget'!$J$99-SUM('15 Year Pro Forma'!$E$62:VDN62))</f>
        <v>0</v>
      </c>
      <c r="VDQ62" s="962">
        <f>MIN(VDQ60*$C$62,'Sources and Uses Budget'!$J$99-SUM('15 Year Pro Forma'!$E$62:VDP62))</f>
        <v>0</v>
      </c>
      <c r="VDS62" s="962">
        <f>MIN(VDS60*$C$62,'Sources and Uses Budget'!$J$99-SUM('15 Year Pro Forma'!$E$62:VDR62))</f>
        <v>0</v>
      </c>
      <c r="VDU62" s="962">
        <f>MIN(VDU60*$C$62,'Sources and Uses Budget'!$J$99-SUM('15 Year Pro Forma'!$E$62:VDT62))</f>
        <v>0</v>
      </c>
      <c r="VDW62" s="962">
        <f>MIN(VDW60*$C$62,'Sources and Uses Budget'!$J$99-SUM('15 Year Pro Forma'!$E$62:VDV62))</f>
        <v>0</v>
      </c>
      <c r="VDY62" s="962">
        <f>MIN(VDY60*$C$62,'Sources and Uses Budget'!$J$99-SUM('15 Year Pro Forma'!$E$62:VDX62))</f>
        <v>0</v>
      </c>
      <c r="VEA62" s="962">
        <f>MIN(VEA60*$C$62,'Sources and Uses Budget'!$J$99-SUM('15 Year Pro Forma'!$E$62:VDZ62))</f>
        <v>0</v>
      </c>
      <c r="VEC62" s="962">
        <f>MIN(VEC60*$C$62,'Sources and Uses Budget'!$J$99-SUM('15 Year Pro Forma'!$E$62:VEB62))</f>
        <v>0</v>
      </c>
      <c r="VEE62" s="962">
        <f>MIN(VEE60*$C$62,'Sources and Uses Budget'!$J$99-SUM('15 Year Pro Forma'!$E$62:VED62))</f>
        <v>0</v>
      </c>
      <c r="VEG62" s="962">
        <f>MIN(VEG60*$C$62,'Sources and Uses Budget'!$J$99-SUM('15 Year Pro Forma'!$E$62:VEF62))</f>
        <v>0</v>
      </c>
      <c r="VEI62" s="962">
        <f>MIN(VEI60*$C$62,'Sources and Uses Budget'!$J$99-SUM('15 Year Pro Forma'!$E$62:VEH62))</f>
        <v>0</v>
      </c>
      <c r="VEK62" s="962">
        <f>MIN(VEK60*$C$62,'Sources and Uses Budget'!$J$99-SUM('15 Year Pro Forma'!$E$62:VEJ62))</f>
        <v>0</v>
      </c>
      <c r="VEM62" s="962">
        <f>MIN(VEM60*$C$62,'Sources and Uses Budget'!$J$99-SUM('15 Year Pro Forma'!$E$62:VEL62))</f>
        <v>0</v>
      </c>
      <c r="VEO62" s="962">
        <f>MIN(VEO60*$C$62,'Sources and Uses Budget'!$J$99-SUM('15 Year Pro Forma'!$E$62:VEN62))</f>
        <v>0</v>
      </c>
      <c r="VEQ62" s="962">
        <f>MIN(VEQ60*$C$62,'Sources and Uses Budget'!$J$99-SUM('15 Year Pro Forma'!$E$62:VEP62))</f>
        <v>0</v>
      </c>
      <c r="VES62" s="962">
        <f>MIN(VES60*$C$62,'Sources and Uses Budget'!$J$99-SUM('15 Year Pro Forma'!$E$62:VER62))</f>
        <v>0</v>
      </c>
      <c r="VEU62" s="962">
        <f>MIN(VEU60*$C$62,'Sources and Uses Budget'!$J$99-SUM('15 Year Pro Forma'!$E$62:VET62))</f>
        <v>0</v>
      </c>
      <c r="VEW62" s="962">
        <f>MIN(VEW60*$C$62,'Sources and Uses Budget'!$J$99-SUM('15 Year Pro Forma'!$E$62:VEV62))</f>
        <v>0</v>
      </c>
      <c r="VEY62" s="962">
        <f>MIN(VEY60*$C$62,'Sources and Uses Budget'!$J$99-SUM('15 Year Pro Forma'!$E$62:VEX62))</f>
        <v>0</v>
      </c>
      <c r="VFA62" s="962">
        <f>MIN(VFA60*$C$62,'Sources and Uses Budget'!$J$99-SUM('15 Year Pro Forma'!$E$62:VEZ62))</f>
        <v>0</v>
      </c>
      <c r="VFC62" s="962">
        <f>MIN(VFC60*$C$62,'Sources and Uses Budget'!$J$99-SUM('15 Year Pro Forma'!$E$62:VFB62))</f>
        <v>0</v>
      </c>
      <c r="VFE62" s="962">
        <f>MIN(VFE60*$C$62,'Sources and Uses Budget'!$J$99-SUM('15 Year Pro Forma'!$E$62:VFD62))</f>
        <v>0</v>
      </c>
      <c r="VFG62" s="962">
        <f>MIN(VFG60*$C$62,'Sources and Uses Budget'!$J$99-SUM('15 Year Pro Forma'!$E$62:VFF62))</f>
        <v>0</v>
      </c>
      <c r="VFI62" s="962">
        <f>MIN(VFI60*$C$62,'Sources and Uses Budget'!$J$99-SUM('15 Year Pro Forma'!$E$62:VFH62))</f>
        <v>0</v>
      </c>
      <c r="VFK62" s="962">
        <f>MIN(VFK60*$C$62,'Sources and Uses Budget'!$J$99-SUM('15 Year Pro Forma'!$E$62:VFJ62))</f>
        <v>0</v>
      </c>
      <c r="VFM62" s="962">
        <f>MIN(VFM60*$C$62,'Sources and Uses Budget'!$J$99-SUM('15 Year Pro Forma'!$E$62:VFL62))</f>
        <v>0</v>
      </c>
      <c r="VFO62" s="962">
        <f>MIN(VFO60*$C$62,'Sources and Uses Budget'!$J$99-SUM('15 Year Pro Forma'!$E$62:VFN62))</f>
        <v>0</v>
      </c>
      <c r="VFQ62" s="962">
        <f>MIN(VFQ60*$C$62,'Sources and Uses Budget'!$J$99-SUM('15 Year Pro Forma'!$E$62:VFP62))</f>
        <v>0</v>
      </c>
      <c r="VFS62" s="962">
        <f>MIN(VFS60*$C$62,'Sources and Uses Budget'!$J$99-SUM('15 Year Pro Forma'!$E$62:VFR62))</f>
        <v>0</v>
      </c>
      <c r="VFU62" s="962">
        <f>MIN(VFU60*$C$62,'Sources and Uses Budget'!$J$99-SUM('15 Year Pro Forma'!$E$62:VFT62))</f>
        <v>0</v>
      </c>
      <c r="VFW62" s="962">
        <f>MIN(VFW60*$C$62,'Sources and Uses Budget'!$J$99-SUM('15 Year Pro Forma'!$E$62:VFV62))</f>
        <v>0</v>
      </c>
      <c r="VFY62" s="962">
        <f>MIN(VFY60*$C$62,'Sources and Uses Budget'!$J$99-SUM('15 Year Pro Forma'!$E$62:VFX62))</f>
        <v>0</v>
      </c>
      <c r="VGA62" s="962">
        <f>MIN(VGA60*$C$62,'Sources and Uses Budget'!$J$99-SUM('15 Year Pro Forma'!$E$62:VFZ62))</f>
        <v>0</v>
      </c>
      <c r="VGC62" s="962">
        <f>MIN(VGC60*$C$62,'Sources and Uses Budget'!$J$99-SUM('15 Year Pro Forma'!$E$62:VGB62))</f>
        <v>0</v>
      </c>
      <c r="VGE62" s="962">
        <f>MIN(VGE60*$C$62,'Sources and Uses Budget'!$J$99-SUM('15 Year Pro Forma'!$E$62:VGD62))</f>
        <v>0</v>
      </c>
      <c r="VGG62" s="962">
        <f>MIN(VGG60*$C$62,'Sources and Uses Budget'!$J$99-SUM('15 Year Pro Forma'!$E$62:VGF62))</f>
        <v>0</v>
      </c>
      <c r="VGI62" s="962">
        <f>MIN(VGI60*$C$62,'Sources and Uses Budget'!$J$99-SUM('15 Year Pro Forma'!$E$62:VGH62))</f>
        <v>0</v>
      </c>
      <c r="VGK62" s="962">
        <f>MIN(VGK60*$C$62,'Sources and Uses Budget'!$J$99-SUM('15 Year Pro Forma'!$E$62:VGJ62))</f>
        <v>0</v>
      </c>
      <c r="VGM62" s="962">
        <f>MIN(VGM60*$C$62,'Sources and Uses Budget'!$J$99-SUM('15 Year Pro Forma'!$E$62:VGL62))</f>
        <v>0</v>
      </c>
      <c r="VGO62" s="962">
        <f>MIN(VGO60*$C$62,'Sources and Uses Budget'!$J$99-SUM('15 Year Pro Forma'!$E$62:VGN62))</f>
        <v>0</v>
      </c>
      <c r="VGQ62" s="962">
        <f>MIN(VGQ60*$C$62,'Sources and Uses Budget'!$J$99-SUM('15 Year Pro Forma'!$E$62:VGP62))</f>
        <v>0</v>
      </c>
      <c r="VGS62" s="962">
        <f>MIN(VGS60*$C$62,'Sources and Uses Budget'!$J$99-SUM('15 Year Pro Forma'!$E$62:VGR62))</f>
        <v>0</v>
      </c>
      <c r="VGU62" s="962">
        <f>MIN(VGU60*$C$62,'Sources and Uses Budget'!$J$99-SUM('15 Year Pro Forma'!$E$62:VGT62))</f>
        <v>0</v>
      </c>
      <c r="VGW62" s="962">
        <f>MIN(VGW60*$C$62,'Sources and Uses Budget'!$J$99-SUM('15 Year Pro Forma'!$E$62:VGV62))</f>
        <v>0</v>
      </c>
      <c r="VGY62" s="962">
        <f>MIN(VGY60*$C$62,'Sources and Uses Budget'!$J$99-SUM('15 Year Pro Forma'!$E$62:VGX62))</f>
        <v>0</v>
      </c>
      <c r="VHA62" s="962">
        <f>MIN(VHA60*$C$62,'Sources and Uses Budget'!$J$99-SUM('15 Year Pro Forma'!$E$62:VGZ62))</f>
        <v>0</v>
      </c>
      <c r="VHC62" s="962">
        <f>MIN(VHC60*$C$62,'Sources and Uses Budget'!$J$99-SUM('15 Year Pro Forma'!$E$62:VHB62))</f>
        <v>0</v>
      </c>
      <c r="VHE62" s="962">
        <f>MIN(VHE60*$C$62,'Sources and Uses Budget'!$J$99-SUM('15 Year Pro Forma'!$E$62:VHD62))</f>
        <v>0</v>
      </c>
      <c r="VHG62" s="962">
        <f>MIN(VHG60*$C$62,'Sources and Uses Budget'!$J$99-SUM('15 Year Pro Forma'!$E$62:VHF62))</f>
        <v>0</v>
      </c>
      <c r="VHI62" s="962">
        <f>MIN(VHI60*$C$62,'Sources and Uses Budget'!$J$99-SUM('15 Year Pro Forma'!$E$62:VHH62))</f>
        <v>0</v>
      </c>
      <c r="VHK62" s="962">
        <f>MIN(VHK60*$C$62,'Sources and Uses Budget'!$J$99-SUM('15 Year Pro Forma'!$E$62:VHJ62))</f>
        <v>0</v>
      </c>
      <c r="VHM62" s="962">
        <f>MIN(VHM60*$C$62,'Sources and Uses Budget'!$J$99-SUM('15 Year Pro Forma'!$E$62:VHL62))</f>
        <v>0</v>
      </c>
      <c r="VHO62" s="962">
        <f>MIN(VHO60*$C$62,'Sources and Uses Budget'!$J$99-SUM('15 Year Pro Forma'!$E$62:VHN62))</f>
        <v>0</v>
      </c>
      <c r="VHQ62" s="962">
        <f>MIN(VHQ60*$C$62,'Sources and Uses Budget'!$J$99-SUM('15 Year Pro Forma'!$E$62:VHP62))</f>
        <v>0</v>
      </c>
      <c r="VHS62" s="962">
        <f>MIN(VHS60*$C$62,'Sources and Uses Budget'!$J$99-SUM('15 Year Pro Forma'!$E$62:VHR62))</f>
        <v>0</v>
      </c>
      <c r="VHU62" s="962">
        <f>MIN(VHU60*$C$62,'Sources and Uses Budget'!$J$99-SUM('15 Year Pro Forma'!$E$62:VHT62))</f>
        <v>0</v>
      </c>
      <c r="VHW62" s="962">
        <f>MIN(VHW60*$C$62,'Sources and Uses Budget'!$J$99-SUM('15 Year Pro Forma'!$E$62:VHV62))</f>
        <v>0</v>
      </c>
      <c r="VHY62" s="962">
        <f>MIN(VHY60*$C$62,'Sources and Uses Budget'!$J$99-SUM('15 Year Pro Forma'!$E$62:VHX62))</f>
        <v>0</v>
      </c>
      <c r="VIA62" s="962">
        <f>MIN(VIA60*$C$62,'Sources and Uses Budget'!$J$99-SUM('15 Year Pro Forma'!$E$62:VHZ62))</f>
        <v>0</v>
      </c>
      <c r="VIC62" s="962">
        <f>MIN(VIC60*$C$62,'Sources and Uses Budget'!$J$99-SUM('15 Year Pro Forma'!$E$62:VIB62))</f>
        <v>0</v>
      </c>
      <c r="VIE62" s="962">
        <f>MIN(VIE60*$C$62,'Sources and Uses Budget'!$J$99-SUM('15 Year Pro Forma'!$E$62:VID62))</f>
        <v>0</v>
      </c>
      <c r="VIG62" s="962">
        <f>MIN(VIG60*$C$62,'Sources and Uses Budget'!$J$99-SUM('15 Year Pro Forma'!$E$62:VIF62))</f>
        <v>0</v>
      </c>
      <c r="VII62" s="962">
        <f>MIN(VII60*$C$62,'Sources and Uses Budget'!$J$99-SUM('15 Year Pro Forma'!$E$62:VIH62))</f>
        <v>0</v>
      </c>
      <c r="VIK62" s="962">
        <f>MIN(VIK60*$C$62,'Sources and Uses Budget'!$J$99-SUM('15 Year Pro Forma'!$E$62:VIJ62))</f>
        <v>0</v>
      </c>
      <c r="VIM62" s="962">
        <f>MIN(VIM60*$C$62,'Sources and Uses Budget'!$J$99-SUM('15 Year Pro Forma'!$E$62:VIL62))</f>
        <v>0</v>
      </c>
      <c r="VIO62" s="962">
        <f>MIN(VIO60*$C$62,'Sources and Uses Budget'!$J$99-SUM('15 Year Pro Forma'!$E$62:VIN62))</f>
        <v>0</v>
      </c>
      <c r="VIQ62" s="962">
        <f>MIN(VIQ60*$C$62,'Sources and Uses Budget'!$J$99-SUM('15 Year Pro Forma'!$E$62:VIP62))</f>
        <v>0</v>
      </c>
      <c r="VIS62" s="962">
        <f>MIN(VIS60*$C$62,'Sources and Uses Budget'!$J$99-SUM('15 Year Pro Forma'!$E$62:VIR62))</f>
        <v>0</v>
      </c>
      <c r="VIU62" s="962">
        <f>MIN(VIU60*$C$62,'Sources and Uses Budget'!$J$99-SUM('15 Year Pro Forma'!$E$62:VIT62))</f>
        <v>0</v>
      </c>
      <c r="VIW62" s="962">
        <f>MIN(VIW60*$C$62,'Sources and Uses Budget'!$J$99-SUM('15 Year Pro Forma'!$E$62:VIV62))</f>
        <v>0</v>
      </c>
      <c r="VIY62" s="962">
        <f>MIN(VIY60*$C$62,'Sources and Uses Budget'!$J$99-SUM('15 Year Pro Forma'!$E$62:VIX62))</f>
        <v>0</v>
      </c>
      <c r="VJA62" s="962">
        <f>MIN(VJA60*$C$62,'Sources and Uses Budget'!$J$99-SUM('15 Year Pro Forma'!$E$62:VIZ62))</f>
        <v>0</v>
      </c>
      <c r="VJC62" s="962">
        <f>MIN(VJC60*$C$62,'Sources and Uses Budget'!$J$99-SUM('15 Year Pro Forma'!$E$62:VJB62))</f>
        <v>0</v>
      </c>
      <c r="VJE62" s="962">
        <f>MIN(VJE60*$C$62,'Sources and Uses Budget'!$J$99-SUM('15 Year Pro Forma'!$E$62:VJD62))</f>
        <v>0</v>
      </c>
      <c r="VJG62" s="962">
        <f>MIN(VJG60*$C$62,'Sources and Uses Budget'!$J$99-SUM('15 Year Pro Forma'!$E$62:VJF62))</f>
        <v>0</v>
      </c>
      <c r="VJI62" s="962">
        <f>MIN(VJI60*$C$62,'Sources and Uses Budget'!$J$99-SUM('15 Year Pro Forma'!$E$62:VJH62))</f>
        <v>0</v>
      </c>
      <c r="VJK62" s="962">
        <f>MIN(VJK60*$C$62,'Sources and Uses Budget'!$J$99-SUM('15 Year Pro Forma'!$E$62:VJJ62))</f>
        <v>0</v>
      </c>
      <c r="VJM62" s="962">
        <f>MIN(VJM60*$C$62,'Sources and Uses Budget'!$J$99-SUM('15 Year Pro Forma'!$E$62:VJL62))</f>
        <v>0</v>
      </c>
      <c r="VJO62" s="962">
        <f>MIN(VJO60*$C$62,'Sources and Uses Budget'!$J$99-SUM('15 Year Pro Forma'!$E$62:VJN62))</f>
        <v>0</v>
      </c>
      <c r="VJQ62" s="962">
        <f>MIN(VJQ60*$C$62,'Sources and Uses Budget'!$J$99-SUM('15 Year Pro Forma'!$E$62:VJP62))</f>
        <v>0</v>
      </c>
      <c r="VJS62" s="962">
        <f>MIN(VJS60*$C$62,'Sources and Uses Budget'!$J$99-SUM('15 Year Pro Forma'!$E$62:VJR62))</f>
        <v>0</v>
      </c>
      <c r="VJU62" s="962">
        <f>MIN(VJU60*$C$62,'Sources and Uses Budget'!$J$99-SUM('15 Year Pro Forma'!$E$62:VJT62))</f>
        <v>0</v>
      </c>
      <c r="VJW62" s="962">
        <f>MIN(VJW60*$C$62,'Sources and Uses Budget'!$J$99-SUM('15 Year Pro Forma'!$E$62:VJV62))</f>
        <v>0</v>
      </c>
      <c r="VJY62" s="962">
        <f>MIN(VJY60*$C$62,'Sources and Uses Budget'!$J$99-SUM('15 Year Pro Forma'!$E$62:VJX62))</f>
        <v>0</v>
      </c>
      <c r="VKA62" s="962">
        <f>MIN(VKA60*$C$62,'Sources and Uses Budget'!$J$99-SUM('15 Year Pro Forma'!$E$62:VJZ62))</f>
        <v>0</v>
      </c>
      <c r="VKC62" s="962">
        <f>MIN(VKC60*$C$62,'Sources and Uses Budget'!$J$99-SUM('15 Year Pro Forma'!$E$62:VKB62))</f>
        <v>0</v>
      </c>
      <c r="VKE62" s="962">
        <f>MIN(VKE60*$C$62,'Sources and Uses Budget'!$J$99-SUM('15 Year Pro Forma'!$E$62:VKD62))</f>
        <v>0</v>
      </c>
      <c r="VKG62" s="962">
        <f>MIN(VKG60*$C$62,'Sources and Uses Budget'!$J$99-SUM('15 Year Pro Forma'!$E$62:VKF62))</f>
        <v>0</v>
      </c>
      <c r="VKI62" s="962">
        <f>MIN(VKI60*$C$62,'Sources and Uses Budget'!$J$99-SUM('15 Year Pro Forma'!$E$62:VKH62))</f>
        <v>0</v>
      </c>
      <c r="VKK62" s="962">
        <f>MIN(VKK60*$C$62,'Sources and Uses Budget'!$J$99-SUM('15 Year Pro Forma'!$E$62:VKJ62))</f>
        <v>0</v>
      </c>
      <c r="VKM62" s="962">
        <f>MIN(VKM60*$C$62,'Sources and Uses Budget'!$J$99-SUM('15 Year Pro Forma'!$E$62:VKL62))</f>
        <v>0</v>
      </c>
      <c r="VKO62" s="962">
        <f>MIN(VKO60*$C$62,'Sources and Uses Budget'!$J$99-SUM('15 Year Pro Forma'!$E$62:VKN62))</f>
        <v>0</v>
      </c>
      <c r="VKQ62" s="962">
        <f>MIN(VKQ60*$C$62,'Sources and Uses Budget'!$J$99-SUM('15 Year Pro Forma'!$E$62:VKP62))</f>
        <v>0</v>
      </c>
      <c r="VKS62" s="962">
        <f>MIN(VKS60*$C$62,'Sources and Uses Budget'!$J$99-SUM('15 Year Pro Forma'!$E$62:VKR62))</f>
        <v>0</v>
      </c>
      <c r="VKU62" s="962">
        <f>MIN(VKU60*$C$62,'Sources and Uses Budget'!$J$99-SUM('15 Year Pro Forma'!$E$62:VKT62))</f>
        <v>0</v>
      </c>
      <c r="VKW62" s="962">
        <f>MIN(VKW60*$C$62,'Sources and Uses Budget'!$J$99-SUM('15 Year Pro Forma'!$E$62:VKV62))</f>
        <v>0</v>
      </c>
      <c r="VKY62" s="962">
        <f>MIN(VKY60*$C$62,'Sources and Uses Budget'!$J$99-SUM('15 Year Pro Forma'!$E$62:VKX62))</f>
        <v>0</v>
      </c>
      <c r="VLA62" s="962">
        <f>MIN(VLA60*$C$62,'Sources and Uses Budget'!$J$99-SUM('15 Year Pro Forma'!$E$62:VKZ62))</f>
        <v>0</v>
      </c>
      <c r="VLC62" s="962">
        <f>MIN(VLC60*$C$62,'Sources and Uses Budget'!$J$99-SUM('15 Year Pro Forma'!$E$62:VLB62))</f>
        <v>0</v>
      </c>
      <c r="VLE62" s="962">
        <f>MIN(VLE60*$C$62,'Sources and Uses Budget'!$J$99-SUM('15 Year Pro Forma'!$E$62:VLD62))</f>
        <v>0</v>
      </c>
      <c r="VLG62" s="962">
        <f>MIN(VLG60*$C$62,'Sources and Uses Budget'!$J$99-SUM('15 Year Pro Forma'!$E$62:VLF62))</f>
        <v>0</v>
      </c>
      <c r="VLI62" s="962">
        <f>MIN(VLI60*$C$62,'Sources and Uses Budget'!$J$99-SUM('15 Year Pro Forma'!$E$62:VLH62))</f>
        <v>0</v>
      </c>
      <c r="VLK62" s="962">
        <f>MIN(VLK60*$C$62,'Sources and Uses Budget'!$J$99-SUM('15 Year Pro Forma'!$E$62:VLJ62))</f>
        <v>0</v>
      </c>
      <c r="VLM62" s="962">
        <f>MIN(VLM60*$C$62,'Sources and Uses Budget'!$J$99-SUM('15 Year Pro Forma'!$E$62:VLL62))</f>
        <v>0</v>
      </c>
      <c r="VLO62" s="962">
        <f>MIN(VLO60*$C$62,'Sources and Uses Budget'!$J$99-SUM('15 Year Pro Forma'!$E$62:VLN62))</f>
        <v>0</v>
      </c>
      <c r="VLQ62" s="962">
        <f>MIN(VLQ60*$C$62,'Sources and Uses Budget'!$J$99-SUM('15 Year Pro Forma'!$E$62:VLP62))</f>
        <v>0</v>
      </c>
      <c r="VLS62" s="962">
        <f>MIN(VLS60*$C$62,'Sources and Uses Budget'!$J$99-SUM('15 Year Pro Forma'!$E$62:VLR62))</f>
        <v>0</v>
      </c>
      <c r="VLU62" s="962">
        <f>MIN(VLU60*$C$62,'Sources and Uses Budget'!$J$99-SUM('15 Year Pro Forma'!$E$62:VLT62))</f>
        <v>0</v>
      </c>
      <c r="VLW62" s="962">
        <f>MIN(VLW60*$C$62,'Sources and Uses Budget'!$J$99-SUM('15 Year Pro Forma'!$E$62:VLV62))</f>
        <v>0</v>
      </c>
      <c r="VLY62" s="962">
        <f>MIN(VLY60*$C$62,'Sources and Uses Budget'!$J$99-SUM('15 Year Pro Forma'!$E$62:VLX62))</f>
        <v>0</v>
      </c>
      <c r="VMA62" s="962">
        <f>MIN(VMA60*$C$62,'Sources and Uses Budget'!$J$99-SUM('15 Year Pro Forma'!$E$62:VLZ62))</f>
        <v>0</v>
      </c>
      <c r="VMC62" s="962">
        <f>MIN(VMC60*$C$62,'Sources and Uses Budget'!$J$99-SUM('15 Year Pro Forma'!$E$62:VMB62))</f>
        <v>0</v>
      </c>
      <c r="VME62" s="962">
        <f>MIN(VME60*$C$62,'Sources and Uses Budget'!$J$99-SUM('15 Year Pro Forma'!$E$62:VMD62))</f>
        <v>0</v>
      </c>
      <c r="VMG62" s="962">
        <f>MIN(VMG60*$C$62,'Sources and Uses Budget'!$J$99-SUM('15 Year Pro Forma'!$E$62:VMF62))</f>
        <v>0</v>
      </c>
      <c r="VMI62" s="962">
        <f>MIN(VMI60*$C$62,'Sources and Uses Budget'!$J$99-SUM('15 Year Pro Forma'!$E$62:VMH62))</f>
        <v>0</v>
      </c>
      <c r="VMK62" s="962">
        <f>MIN(VMK60*$C$62,'Sources and Uses Budget'!$J$99-SUM('15 Year Pro Forma'!$E$62:VMJ62))</f>
        <v>0</v>
      </c>
      <c r="VMM62" s="962">
        <f>MIN(VMM60*$C$62,'Sources and Uses Budget'!$J$99-SUM('15 Year Pro Forma'!$E$62:VML62))</f>
        <v>0</v>
      </c>
      <c r="VMO62" s="962">
        <f>MIN(VMO60*$C$62,'Sources and Uses Budget'!$J$99-SUM('15 Year Pro Forma'!$E$62:VMN62))</f>
        <v>0</v>
      </c>
      <c r="VMQ62" s="962">
        <f>MIN(VMQ60*$C$62,'Sources and Uses Budget'!$J$99-SUM('15 Year Pro Forma'!$E$62:VMP62))</f>
        <v>0</v>
      </c>
      <c r="VMS62" s="962">
        <f>MIN(VMS60*$C$62,'Sources and Uses Budget'!$J$99-SUM('15 Year Pro Forma'!$E$62:VMR62))</f>
        <v>0</v>
      </c>
      <c r="VMU62" s="962">
        <f>MIN(VMU60*$C$62,'Sources and Uses Budget'!$J$99-SUM('15 Year Pro Forma'!$E$62:VMT62))</f>
        <v>0</v>
      </c>
      <c r="VMW62" s="962">
        <f>MIN(VMW60*$C$62,'Sources and Uses Budget'!$J$99-SUM('15 Year Pro Forma'!$E$62:VMV62))</f>
        <v>0</v>
      </c>
      <c r="VMY62" s="962">
        <f>MIN(VMY60*$C$62,'Sources and Uses Budget'!$J$99-SUM('15 Year Pro Forma'!$E$62:VMX62))</f>
        <v>0</v>
      </c>
      <c r="VNA62" s="962">
        <f>MIN(VNA60*$C$62,'Sources and Uses Budget'!$J$99-SUM('15 Year Pro Forma'!$E$62:VMZ62))</f>
        <v>0</v>
      </c>
      <c r="VNC62" s="962">
        <f>MIN(VNC60*$C$62,'Sources and Uses Budget'!$J$99-SUM('15 Year Pro Forma'!$E$62:VNB62))</f>
        <v>0</v>
      </c>
      <c r="VNE62" s="962">
        <f>MIN(VNE60*$C$62,'Sources and Uses Budget'!$J$99-SUM('15 Year Pro Forma'!$E$62:VND62))</f>
        <v>0</v>
      </c>
      <c r="VNG62" s="962">
        <f>MIN(VNG60*$C$62,'Sources and Uses Budget'!$J$99-SUM('15 Year Pro Forma'!$E$62:VNF62))</f>
        <v>0</v>
      </c>
      <c r="VNI62" s="962">
        <f>MIN(VNI60*$C$62,'Sources and Uses Budget'!$J$99-SUM('15 Year Pro Forma'!$E$62:VNH62))</f>
        <v>0</v>
      </c>
      <c r="VNK62" s="962">
        <f>MIN(VNK60*$C$62,'Sources and Uses Budget'!$J$99-SUM('15 Year Pro Forma'!$E$62:VNJ62))</f>
        <v>0</v>
      </c>
      <c r="VNM62" s="962">
        <f>MIN(VNM60*$C$62,'Sources and Uses Budget'!$J$99-SUM('15 Year Pro Forma'!$E$62:VNL62))</f>
        <v>0</v>
      </c>
      <c r="VNO62" s="962">
        <f>MIN(VNO60*$C$62,'Sources and Uses Budget'!$J$99-SUM('15 Year Pro Forma'!$E$62:VNN62))</f>
        <v>0</v>
      </c>
      <c r="VNQ62" s="962">
        <f>MIN(VNQ60*$C$62,'Sources and Uses Budget'!$J$99-SUM('15 Year Pro Forma'!$E$62:VNP62))</f>
        <v>0</v>
      </c>
      <c r="VNS62" s="962">
        <f>MIN(VNS60*$C$62,'Sources and Uses Budget'!$J$99-SUM('15 Year Pro Forma'!$E$62:VNR62))</f>
        <v>0</v>
      </c>
      <c r="VNU62" s="962">
        <f>MIN(VNU60*$C$62,'Sources and Uses Budget'!$J$99-SUM('15 Year Pro Forma'!$E$62:VNT62))</f>
        <v>0</v>
      </c>
      <c r="VNW62" s="962">
        <f>MIN(VNW60*$C$62,'Sources and Uses Budget'!$J$99-SUM('15 Year Pro Forma'!$E$62:VNV62))</f>
        <v>0</v>
      </c>
      <c r="VNY62" s="962">
        <f>MIN(VNY60*$C$62,'Sources and Uses Budget'!$J$99-SUM('15 Year Pro Forma'!$E$62:VNX62))</f>
        <v>0</v>
      </c>
      <c r="VOA62" s="962">
        <f>MIN(VOA60*$C$62,'Sources and Uses Budget'!$J$99-SUM('15 Year Pro Forma'!$E$62:VNZ62))</f>
        <v>0</v>
      </c>
      <c r="VOC62" s="962">
        <f>MIN(VOC60*$C$62,'Sources and Uses Budget'!$J$99-SUM('15 Year Pro Forma'!$E$62:VOB62))</f>
        <v>0</v>
      </c>
      <c r="VOE62" s="962">
        <f>MIN(VOE60*$C$62,'Sources and Uses Budget'!$J$99-SUM('15 Year Pro Forma'!$E$62:VOD62))</f>
        <v>0</v>
      </c>
      <c r="VOG62" s="962">
        <f>MIN(VOG60*$C$62,'Sources and Uses Budget'!$J$99-SUM('15 Year Pro Forma'!$E$62:VOF62))</f>
        <v>0</v>
      </c>
      <c r="VOI62" s="962">
        <f>MIN(VOI60*$C$62,'Sources and Uses Budget'!$J$99-SUM('15 Year Pro Forma'!$E$62:VOH62))</f>
        <v>0</v>
      </c>
      <c r="VOK62" s="962">
        <f>MIN(VOK60*$C$62,'Sources and Uses Budget'!$J$99-SUM('15 Year Pro Forma'!$E$62:VOJ62))</f>
        <v>0</v>
      </c>
      <c r="VOM62" s="962">
        <f>MIN(VOM60*$C$62,'Sources and Uses Budget'!$J$99-SUM('15 Year Pro Forma'!$E$62:VOL62))</f>
        <v>0</v>
      </c>
      <c r="VOO62" s="962">
        <f>MIN(VOO60*$C$62,'Sources and Uses Budget'!$J$99-SUM('15 Year Pro Forma'!$E$62:VON62))</f>
        <v>0</v>
      </c>
      <c r="VOQ62" s="962">
        <f>MIN(VOQ60*$C$62,'Sources and Uses Budget'!$J$99-SUM('15 Year Pro Forma'!$E$62:VOP62))</f>
        <v>0</v>
      </c>
      <c r="VOS62" s="962">
        <f>MIN(VOS60*$C$62,'Sources and Uses Budget'!$J$99-SUM('15 Year Pro Forma'!$E$62:VOR62))</f>
        <v>0</v>
      </c>
      <c r="VOU62" s="962">
        <f>MIN(VOU60*$C$62,'Sources and Uses Budget'!$J$99-SUM('15 Year Pro Forma'!$E$62:VOT62))</f>
        <v>0</v>
      </c>
      <c r="VOW62" s="962">
        <f>MIN(VOW60*$C$62,'Sources and Uses Budget'!$J$99-SUM('15 Year Pro Forma'!$E$62:VOV62))</f>
        <v>0</v>
      </c>
      <c r="VOY62" s="962">
        <f>MIN(VOY60*$C$62,'Sources and Uses Budget'!$J$99-SUM('15 Year Pro Forma'!$E$62:VOX62))</f>
        <v>0</v>
      </c>
      <c r="VPA62" s="962">
        <f>MIN(VPA60*$C$62,'Sources and Uses Budget'!$J$99-SUM('15 Year Pro Forma'!$E$62:VOZ62))</f>
        <v>0</v>
      </c>
      <c r="VPC62" s="962">
        <f>MIN(VPC60*$C$62,'Sources and Uses Budget'!$J$99-SUM('15 Year Pro Forma'!$E$62:VPB62))</f>
        <v>0</v>
      </c>
      <c r="VPE62" s="962">
        <f>MIN(VPE60*$C$62,'Sources and Uses Budget'!$J$99-SUM('15 Year Pro Forma'!$E$62:VPD62))</f>
        <v>0</v>
      </c>
      <c r="VPG62" s="962">
        <f>MIN(VPG60*$C$62,'Sources and Uses Budget'!$J$99-SUM('15 Year Pro Forma'!$E$62:VPF62))</f>
        <v>0</v>
      </c>
      <c r="VPI62" s="962">
        <f>MIN(VPI60*$C$62,'Sources and Uses Budget'!$J$99-SUM('15 Year Pro Forma'!$E$62:VPH62))</f>
        <v>0</v>
      </c>
      <c r="VPK62" s="962">
        <f>MIN(VPK60*$C$62,'Sources and Uses Budget'!$J$99-SUM('15 Year Pro Forma'!$E$62:VPJ62))</f>
        <v>0</v>
      </c>
      <c r="VPM62" s="962">
        <f>MIN(VPM60*$C$62,'Sources and Uses Budget'!$J$99-SUM('15 Year Pro Forma'!$E$62:VPL62))</f>
        <v>0</v>
      </c>
      <c r="VPO62" s="962">
        <f>MIN(VPO60*$C$62,'Sources and Uses Budget'!$J$99-SUM('15 Year Pro Forma'!$E$62:VPN62))</f>
        <v>0</v>
      </c>
      <c r="VPQ62" s="962">
        <f>MIN(VPQ60*$C$62,'Sources and Uses Budget'!$J$99-SUM('15 Year Pro Forma'!$E$62:VPP62))</f>
        <v>0</v>
      </c>
      <c r="VPS62" s="962">
        <f>MIN(VPS60*$C$62,'Sources and Uses Budget'!$J$99-SUM('15 Year Pro Forma'!$E$62:VPR62))</f>
        <v>0</v>
      </c>
      <c r="VPU62" s="962">
        <f>MIN(VPU60*$C$62,'Sources and Uses Budget'!$J$99-SUM('15 Year Pro Forma'!$E$62:VPT62))</f>
        <v>0</v>
      </c>
      <c r="VPW62" s="962">
        <f>MIN(VPW60*$C$62,'Sources and Uses Budget'!$J$99-SUM('15 Year Pro Forma'!$E$62:VPV62))</f>
        <v>0</v>
      </c>
      <c r="VPY62" s="962">
        <f>MIN(VPY60*$C$62,'Sources and Uses Budget'!$J$99-SUM('15 Year Pro Forma'!$E$62:VPX62))</f>
        <v>0</v>
      </c>
      <c r="VQA62" s="962">
        <f>MIN(VQA60*$C$62,'Sources and Uses Budget'!$J$99-SUM('15 Year Pro Forma'!$E$62:VPZ62))</f>
        <v>0</v>
      </c>
      <c r="VQC62" s="962">
        <f>MIN(VQC60*$C$62,'Sources and Uses Budget'!$J$99-SUM('15 Year Pro Forma'!$E$62:VQB62))</f>
        <v>0</v>
      </c>
      <c r="VQE62" s="962">
        <f>MIN(VQE60*$C$62,'Sources and Uses Budget'!$J$99-SUM('15 Year Pro Forma'!$E$62:VQD62))</f>
        <v>0</v>
      </c>
      <c r="VQG62" s="962">
        <f>MIN(VQG60*$C$62,'Sources and Uses Budget'!$J$99-SUM('15 Year Pro Forma'!$E$62:VQF62))</f>
        <v>0</v>
      </c>
      <c r="VQI62" s="962">
        <f>MIN(VQI60*$C$62,'Sources and Uses Budget'!$J$99-SUM('15 Year Pro Forma'!$E$62:VQH62))</f>
        <v>0</v>
      </c>
      <c r="VQK62" s="962">
        <f>MIN(VQK60*$C$62,'Sources and Uses Budget'!$J$99-SUM('15 Year Pro Forma'!$E$62:VQJ62))</f>
        <v>0</v>
      </c>
      <c r="VQM62" s="962">
        <f>MIN(VQM60*$C$62,'Sources and Uses Budget'!$J$99-SUM('15 Year Pro Forma'!$E$62:VQL62))</f>
        <v>0</v>
      </c>
      <c r="VQO62" s="962">
        <f>MIN(VQO60*$C$62,'Sources and Uses Budget'!$J$99-SUM('15 Year Pro Forma'!$E$62:VQN62))</f>
        <v>0</v>
      </c>
      <c r="VQQ62" s="962">
        <f>MIN(VQQ60*$C$62,'Sources and Uses Budget'!$J$99-SUM('15 Year Pro Forma'!$E$62:VQP62))</f>
        <v>0</v>
      </c>
      <c r="VQS62" s="962">
        <f>MIN(VQS60*$C$62,'Sources and Uses Budget'!$J$99-SUM('15 Year Pro Forma'!$E$62:VQR62))</f>
        <v>0</v>
      </c>
      <c r="VQU62" s="962">
        <f>MIN(VQU60*$C$62,'Sources and Uses Budget'!$J$99-SUM('15 Year Pro Forma'!$E$62:VQT62))</f>
        <v>0</v>
      </c>
      <c r="VQW62" s="962">
        <f>MIN(VQW60*$C$62,'Sources and Uses Budget'!$J$99-SUM('15 Year Pro Forma'!$E$62:VQV62))</f>
        <v>0</v>
      </c>
      <c r="VQY62" s="962">
        <f>MIN(VQY60*$C$62,'Sources and Uses Budget'!$J$99-SUM('15 Year Pro Forma'!$E$62:VQX62))</f>
        <v>0</v>
      </c>
      <c r="VRA62" s="962">
        <f>MIN(VRA60*$C$62,'Sources and Uses Budget'!$J$99-SUM('15 Year Pro Forma'!$E$62:VQZ62))</f>
        <v>0</v>
      </c>
      <c r="VRC62" s="962">
        <f>MIN(VRC60*$C$62,'Sources and Uses Budget'!$J$99-SUM('15 Year Pro Forma'!$E$62:VRB62))</f>
        <v>0</v>
      </c>
      <c r="VRE62" s="962">
        <f>MIN(VRE60*$C$62,'Sources and Uses Budget'!$J$99-SUM('15 Year Pro Forma'!$E$62:VRD62))</f>
        <v>0</v>
      </c>
      <c r="VRG62" s="962">
        <f>MIN(VRG60*$C$62,'Sources and Uses Budget'!$J$99-SUM('15 Year Pro Forma'!$E$62:VRF62))</f>
        <v>0</v>
      </c>
      <c r="VRI62" s="962">
        <f>MIN(VRI60*$C$62,'Sources and Uses Budget'!$J$99-SUM('15 Year Pro Forma'!$E$62:VRH62))</f>
        <v>0</v>
      </c>
      <c r="VRK62" s="962">
        <f>MIN(VRK60*$C$62,'Sources and Uses Budget'!$J$99-SUM('15 Year Pro Forma'!$E$62:VRJ62))</f>
        <v>0</v>
      </c>
      <c r="VRM62" s="962">
        <f>MIN(VRM60*$C$62,'Sources and Uses Budget'!$J$99-SUM('15 Year Pro Forma'!$E$62:VRL62))</f>
        <v>0</v>
      </c>
      <c r="VRO62" s="962">
        <f>MIN(VRO60*$C$62,'Sources and Uses Budget'!$J$99-SUM('15 Year Pro Forma'!$E$62:VRN62))</f>
        <v>0</v>
      </c>
      <c r="VRQ62" s="962">
        <f>MIN(VRQ60*$C$62,'Sources and Uses Budget'!$J$99-SUM('15 Year Pro Forma'!$E$62:VRP62))</f>
        <v>0</v>
      </c>
      <c r="VRS62" s="962">
        <f>MIN(VRS60*$C$62,'Sources and Uses Budget'!$J$99-SUM('15 Year Pro Forma'!$E$62:VRR62))</f>
        <v>0</v>
      </c>
      <c r="VRU62" s="962">
        <f>MIN(VRU60*$C$62,'Sources and Uses Budget'!$J$99-SUM('15 Year Pro Forma'!$E$62:VRT62))</f>
        <v>0</v>
      </c>
      <c r="VRW62" s="962">
        <f>MIN(VRW60*$C$62,'Sources and Uses Budget'!$J$99-SUM('15 Year Pro Forma'!$E$62:VRV62))</f>
        <v>0</v>
      </c>
      <c r="VRY62" s="962">
        <f>MIN(VRY60*$C$62,'Sources and Uses Budget'!$J$99-SUM('15 Year Pro Forma'!$E$62:VRX62))</f>
        <v>0</v>
      </c>
      <c r="VSA62" s="962">
        <f>MIN(VSA60*$C$62,'Sources and Uses Budget'!$J$99-SUM('15 Year Pro Forma'!$E$62:VRZ62))</f>
        <v>0</v>
      </c>
      <c r="VSC62" s="962">
        <f>MIN(VSC60*$C$62,'Sources and Uses Budget'!$J$99-SUM('15 Year Pro Forma'!$E$62:VSB62))</f>
        <v>0</v>
      </c>
      <c r="VSE62" s="962">
        <f>MIN(VSE60*$C$62,'Sources and Uses Budget'!$J$99-SUM('15 Year Pro Forma'!$E$62:VSD62))</f>
        <v>0</v>
      </c>
      <c r="VSG62" s="962">
        <f>MIN(VSG60*$C$62,'Sources and Uses Budget'!$J$99-SUM('15 Year Pro Forma'!$E$62:VSF62))</f>
        <v>0</v>
      </c>
      <c r="VSI62" s="962">
        <f>MIN(VSI60*$C$62,'Sources and Uses Budget'!$J$99-SUM('15 Year Pro Forma'!$E$62:VSH62))</f>
        <v>0</v>
      </c>
      <c r="VSK62" s="962">
        <f>MIN(VSK60*$C$62,'Sources and Uses Budget'!$J$99-SUM('15 Year Pro Forma'!$E$62:VSJ62))</f>
        <v>0</v>
      </c>
      <c r="VSM62" s="962">
        <f>MIN(VSM60*$C$62,'Sources and Uses Budget'!$J$99-SUM('15 Year Pro Forma'!$E$62:VSL62))</f>
        <v>0</v>
      </c>
      <c r="VSO62" s="962">
        <f>MIN(VSO60*$C$62,'Sources and Uses Budget'!$J$99-SUM('15 Year Pro Forma'!$E$62:VSN62))</f>
        <v>0</v>
      </c>
      <c r="VSQ62" s="962">
        <f>MIN(VSQ60*$C$62,'Sources and Uses Budget'!$J$99-SUM('15 Year Pro Forma'!$E$62:VSP62))</f>
        <v>0</v>
      </c>
      <c r="VSS62" s="962">
        <f>MIN(VSS60*$C$62,'Sources and Uses Budget'!$J$99-SUM('15 Year Pro Forma'!$E$62:VSR62))</f>
        <v>0</v>
      </c>
      <c r="VSU62" s="962">
        <f>MIN(VSU60*$C$62,'Sources and Uses Budget'!$J$99-SUM('15 Year Pro Forma'!$E$62:VST62))</f>
        <v>0</v>
      </c>
      <c r="VSW62" s="962">
        <f>MIN(VSW60*$C$62,'Sources and Uses Budget'!$J$99-SUM('15 Year Pro Forma'!$E$62:VSV62))</f>
        <v>0</v>
      </c>
      <c r="VSY62" s="962">
        <f>MIN(VSY60*$C$62,'Sources and Uses Budget'!$J$99-SUM('15 Year Pro Forma'!$E$62:VSX62))</f>
        <v>0</v>
      </c>
      <c r="VTA62" s="962">
        <f>MIN(VTA60*$C$62,'Sources and Uses Budget'!$J$99-SUM('15 Year Pro Forma'!$E$62:VSZ62))</f>
        <v>0</v>
      </c>
      <c r="VTC62" s="962">
        <f>MIN(VTC60*$C$62,'Sources and Uses Budget'!$J$99-SUM('15 Year Pro Forma'!$E$62:VTB62))</f>
        <v>0</v>
      </c>
      <c r="VTE62" s="962">
        <f>MIN(VTE60*$C$62,'Sources and Uses Budget'!$J$99-SUM('15 Year Pro Forma'!$E$62:VTD62))</f>
        <v>0</v>
      </c>
      <c r="VTG62" s="962">
        <f>MIN(VTG60*$C$62,'Sources and Uses Budget'!$J$99-SUM('15 Year Pro Forma'!$E$62:VTF62))</f>
        <v>0</v>
      </c>
      <c r="VTI62" s="962">
        <f>MIN(VTI60*$C$62,'Sources and Uses Budget'!$J$99-SUM('15 Year Pro Forma'!$E$62:VTH62))</f>
        <v>0</v>
      </c>
      <c r="VTK62" s="962">
        <f>MIN(VTK60*$C$62,'Sources and Uses Budget'!$J$99-SUM('15 Year Pro Forma'!$E$62:VTJ62))</f>
        <v>0</v>
      </c>
      <c r="VTM62" s="962">
        <f>MIN(VTM60*$C$62,'Sources and Uses Budget'!$J$99-SUM('15 Year Pro Forma'!$E$62:VTL62))</f>
        <v>0</v>
      </c>
      <c r="VTO62" s="962">
        <f>MIN(VTO60*$C$62,'Sources and Uses Budget'!$J$99-SUM('15 Year Pro Forma'!$E$62:VTN62))</f>
        <v>0</v>
      </c>
      <c r="VTQ62" s="962">
        <f>MIN(VTQ60*$C$62,'Sources and Uses Budget'!$J$99-SUM('15 Year Pro Forma'!$E$62:VTP62))</f>
        <v>0</v>
      </c>
      <c r="VTS62" s="962">
        <f>MIN(VTS60*$C$62,'Sources and Uses Budget'!$J$99-SUM('15 Year Pro Forma'!$E$62:VTR62))</f>
        <v>0</v>
      </c>
      <c r="VTU62" s="962">
        <f>MIN(VTU60*$C$62,'Sources and Uses Budget'!$J$99-SUM('15 Year Pro Forma'!$E$62:VTT62))</f>
        <v>0</v>
      </c>
      <c r="VTW62" s="962">
        <f>MIN(VTW60*$C$62,'Sources and Uses Budget'!$J$99-SUM('15 Year Pro Forma'!$E$62:VTV62))</f>
        <v>0</v>
      </c>
      <c r="VTY62" s="962">
        <f>MIN(VTY60*$C$62,'Sources and Uses Budget'!$J$99-SUM('15 Year Pro Forma'!$E$62:VTX62))</f>
        <v>0</v>
      </c>
      <c r="VUA62" s="962">
        <f>MIN(VUA60*$C$62,'Sources and Uses Budget'!$J$99-SUM('15 Year Pro Forma'!$E$62:VTZ62))</f>
        <v>0</v>
      </c>
      <c r="VUC62" s="962">
        <f>MIN(VUC60*$C$62,'Sources and Uses Budget'!$J$99-SUM('15 Year Pro Forma'!$E$62:VUB62))</f>
        <v>0</v>
      </c>
      <c r="VUE62" s="962">
        <f>MIN(VUE60*$C$62,'Sources and Uses Budget'!$J$99-SUM('15 Year Pro Forma'!$E$62:VUD62))</f>
        <v>0</v>
      </c>
      <c r="VUG62" s="962">
        <f>MIN(VUG60*$C$62,'Sources and Uses Budget'!$J$99-SUM('15 Year Pro Forma'!$E$62:VUF62))</f>
        <v>0</v>
      </c>
      <c r="VUI62" s="962">
        <f>MIN(VUI60*$C$62,'Sources and Uses Budget'!$J$99-SUM('15 Year Pro Forma'!$E$62:VUH62))</f>
        <v>0</v>
      </c>
      <c r="VUK62" s="962">
        <f>MIN(VUK60*$C$62,'Sources and Uses Budget'!$J$99-SUM('15 Year Pro Forma'!$E$62:VUJ62))</f>
        <v>0</v>
      </c>
      <c r="VUM62" s="962">
        <f>MIN(VUM60*$C$62,'Sources and Uses Budget'!$J$99-SUM('15 Year Pro Forma'!$E$62:VUL62))</f>
        <v>0</v>
      </c>
      <c r="VUO62" s="962">
        <f>MIN(VUO60*$C$62,'Sources and Uses Budget'!$J$99-SUM('15 Year Pro Forma'!$E$62:VUN62))</f>
        <v>0</v>
      </c>
      <c r="VUQ62" s="962">
        <f>MIN(VUQ60*$C$62,'Sources and Uses Budget'!$J$99-SUM('15 Year Pro Forma'!$E$62:VUP62))</f>
        <v>0</v>
      </c>
      <c r="VUS62" s="962">
        <f>MIN(VUS60*$C$62,'Sources and Uses Budget'!$J$99-SUM('15 Year Pro Forma'!$E$62:VUR62))</f>
        <v>0</v>
      </c>
      <c r="VUU62" s="962">
        <f>MIN(VUU60*$C$62,'Sources and Uses Budget'!$J$99-SUM('15 Year Pro Forma'!$E$62:VUT62))</f>
        <v>0</v>
      </c>
      <c r="VUW62" s="962">
        <f>MIN(VUW60*$C$62,'Sources and Uses Budget'!$J$99-SUM('15 Year Pro Forma'!$E$62:VUV62))</f>
        <v>0</v>
      </c>
      <c r="VUY62" s="962">
        <f>MIN(VUY60*$C$62,'Sources and Uses Budget'!$J$99-SUM('15 Year Pro Forma'!$E$62:VUX62))</f>
        <v>0</v>
      </c>
      <c r="VVA62" s="962">
        <f>MIN(VVA60*$C$62,'Sources and Uses Budget'!$J$99-SUM('15 Year Pro Forma'!$E$62:VUZ62))</f>
        <v>0</v>
      </c>
      <c r="VVC62" s="962">
        <f>MIN(VVC60*$C$62,'Sources and Uses Budget'!$J$99-SUM('15 Year Pro Forma'!$E$62:VVB62))</f>
        <v>0</v>
      </c>
      <c r="VVE62" s="962">
        <f>MIN(VVE60*$C$62,'Sources and Uses Budget'!$J$99-SUM('15 Year Pro Forma'!$E$62:VVD62))</f>
        <v>0</v>
      </c>
      <c r="VVG62" s="962">
        <f>MIN(VVG60*$C$62,'Sources and Uses Budget'!$J$99-SUM('15 Year Pro Forma'!$E$62:VVF62))</f>
        <v>0</v>
      </c>
      <c r="VVI62" s="962">
        <f>MIN(VVI60*$C$62,'Sources and Uses Budget'!$J$99-SUM('15 Year Pro Forma'!$E$62:VVH62))</f>
        <v>0</v>
      </c>
      <c r="VVK62" s="962">
        <f>MIN(VVK60*$C$62,'Sources and Uses Budget'!$J$99-SUM('15 Year Pro Forma'!$E$62:VVJ62))</f>
        <v>0</v>
      </c>
      <c r="VVM62" s="962">
        <f>MIN(VVM60*$C$62,'Sources and Uses Budget'!$J$99-SUM('15 Year Pro Forma'!$E$62:VVL62))</f>
        <v>0</v>
      </c>
      <c r="VVO62" s="962">
        <f>MIN(VVO60*$C$62,'Sources and Uses Budget'!$J$99-SUM('15 Year Pro Forma'!$E$62:VVN62))</f>
        <v>0</v>
      </c>
      <c r="VVQ62" s="962">
        <f>MIN(VVQ60*$C$62,'Sources and Uses Budget'!$J$99-SUM('15 Year Pro Forma'!$E$62:VVP62))</f>
        <v>0</v>
      </c>
      <c r="VVS62" s="962">
        <f>MIN(VVS60*$C$62,'Sources and Uses Budget'!$J$99-SUM('15 Year Pro Forma'!$E$62:VVR62))</f>
        <v>0</v>
      </c>
      <c r="VVU62" s="962">
        <f>MIN(VVU60*$C$62,'Sources and Uses Budget'!$J$99-SUM('15 Year Pro Forma'!$E$62:VVT62))</f>
        <v>0</v>
      </c>
      <c r="VVW62" s="962">
        <f>MIN(VVW60*$C$62,'Sources and Uses Budget'!$J$99-SUM('15 Year Pro Forma'!$E$62:VVV62))</f>
        <v>0</v>
      </c>
      <c r="VVY62" s="962">
        <f>MIN(VVY60*$C$62,'Sources and Uses Budget'!$J$99-SUM('15 Year Pro Forma'!$E$62:VVX62))</f>
        <v>0</v>
      </c>
      <c r="VWA62" s="962">
        <f>MIN(VWA60*$C$62,'Sources and Uses Budget'!$J$99-SUM('15 Year Pro Forma'!$E$62:VVZ62))</f>
        <v>0</v>
      </c>
      <c r="VWC62" s="962">
        <f>MIN(VWC60*$C$62,'Sources and Uses Budget'!$J$99-SUM('15 Year Pro Forma'!$E$62:VWB62))</f>
        <v>0</v>
      </c>
      <c r="VWE62" s="962">
        <f>MIN(VWE60*$C$62,'Sources and Uses Budget'!$J$99-SUM('15 Year Pro Forma'!$E$62:VWD62))</f>
        <v>0</v>
      </c>
      <c r="VWG62" s="962">
        <f>MIN(VWG60*$C$62,'Sources and Uses Budget'!$J$99-SUM('15 Year Pro Forma'!$E$62:VWF62))</f>
        <v>0</v>
      </c>
      <c r="VWI62" s="962">
        <f>MIN(VWI60*$C$62,'Sources and Uses Budget'!$J$99-SUM('15 Year Pro Forma'!$E$62:VWH62))</f>
        <v>0</v>
      </c>
      <c r="VWK62" s="962">
        <f>MIN(VWK60*$C$62,'Sources and Uses Budget'!$J$99-SUM('15 Year Pro Forma'!$E$62:VWJ62))</f>
        <v>0</v>
      </c>
      <c r="VWM62" s="962">
        <f>MIN(VWM60*$C$62,'Sources and Uses Budget'!$J$99-SUM('15 Year Pro Forma'!$E$62:VWL62))</f>
        <v>0</v>
      </c>
      <c r="VWO62" s="962">
        <f>MIN(VWO60*$C$62,'Sources and Uses Budget'!$J$99-SUM('15 Year Pro Forma'!$E$62:VWN62))</f>
        <v>0</v>
      </c>
      <c r="VWQ62" s="962">
        <f>MIN(VWQ60*$C$62,'Sources and Uses Budget'!$J$99-SUM('15 Year Pro Forma'!$E$62:VWP62))</f>
        <v>0</v>
      </c>
      <c r="VWS62" s="962">
        <f>MIN(VWS60*$C$62,'Sources and Uses Budget'!$J$99-SUM('15 Year Pro Forma'!$E$62:VWR62))</f>
        <v>0</v>
      </c>
      <c r="VWU62" s="962">
        <f>MIN(VWU60*$C$62,'Sources and Uses Budget'!$J$99-SUM('15 Year Pro Forma'!$E$62:VWT62))</f>
        <v>0</v>
      </c>
      <c r="VWW62" s="962">
        <f>MIN(VWW60*$C$62,'Sources and Uses Budget'!$J$99-SUM('15 Year Pro Forma'!$E$62:VWV62))</f>
        <v>0</v>
      </c>
      <c r="VWY62" s="962">
        <f>MIN(VWY60*$C$62,'Sources and Uses Budget'!$J$99-SUM('15 Year Pro Forma'!$E$62:VWX62))</f>
        <v>0</v>
      </c>
      <c r="VXA62" s="962">
        <f>MIN(VXA60*$C$62,'Sources and Uses Budget'!$J$99-SUM('15 Year Pro Forma'!$E$62:VWZ62))</f>
        <v>0</v>
      </c>
      <c r="VXC62" s="962">
        <f>MIN(VXC60*$C$62,'Sources and Uses Budget'!$J$99-SUM('15 Year Pro Forma'!$E$62:VXB62))</f>
        <v>0</v>
      </c>
      <c r="VXE62" s="962">
        <f>MIN(VXE60*$C$62,'Sources and Uses Budget'!$J$99-SUM('15 Year Pro Forma'!$E$62:VXD62))</f>
        <v>0</v>
      </c>
      <c r="VXG62" s="962">
        <f>MIN(VXG60*$C$62,'Sources and Uses Budget'!$J$99-SUM('15 Year Pro Forma'!$E$62:VXF62))</f>
        <v>0</v>
      </c>
      <c r="VXI62" s="962">
        <f>MIN(VXI60*$C$62,'Sources and Uses Budget'!$J$99-SUM('15 Year Pro Forma'!$E$62:VXH62))</f>
        <v>0</v>
      </c>
      <c r="VXK62" s="962">
        <f>MIN(VXK60*$C$62,'Sources and Uses Budget'!$J$99-SUM('15 Year Pro Forma'!$E$62:VXJ62))</f>
        <v>0</v>
      </c>
      <c r="VXM62" s="962">
        <f>MIN(VXM60*$C$62,'Sources and Uses Budget'!$J$99-SUM('15 Year Pro Forma'!$E$62:VXL62))</f>
        <v>0</v>
      </c>
      <c r="VXO62" s="962">
        <f>MIN(VXO60*$C$62,'Sources and Uses Budget'!$J$99-SUM('15 Year Pro Forma'!$E$62:VXN62))</f>
        <v>0</v>
      </c>
      <c r="VXQ62" s="962">
        <f>MIN(VXQ60*$C$62,'Sources and Uses Budget'!$J$99-SUM('15 Year Pro Forma'!$E$62:VXP62))</f>
        <v>0</v>
      </c>
      <c r="VXS62" s="962">
        <f>MIN(VXS60*$C$62,'Sources and Uses Budget'!$J$99-SUM('15 Year Pro Forma'!$E$62:VXR62))</f>
        <v>0</v>
      </c>
      <c r="VXU62" s="962">
        <f>MIN(VXU60*$C$62,'Sources and Uses Budget'!$J$99-SUM('15 Year Pro Forma'!$E$62:VXT62))</f>
        <v>0</v>
      </c>
      <c r="VXW62" s="962">
        <f>MIN(VXW60*$C$62,'Sources and Uses Budget'!$J$99-SUM('15 Year Pro Forma'!$E$62:VXV62))</f>
        <v>0</v>
      </c>
      <c r="VXY62" s="962">
        <f>MIN(VXY60*$C$62,'Sources and Uses Budget'!$J$99-SUM('15 Year Pro Forma'!$E$62:VXX62))</f>
        <v>0</v>
      </c>
      <c r="VYA62" s="962">
        <f>MIN(VYA60*$C$62,'Sources and Uses Budget'!$J$99-SUM('15 Year Pro Forma'!$E$62:VXZ62))</f>
        <v>0</v>
      </c>
      <c r="VYC62" s="962">
        <f>MIN(VYC60*$C$62,'Sources and Uses Budget'!$J$99-SUM('15 Year Pro Forma'!$E$62:VYB62))</f>
        <v>0</v>
      </c>
      <c r="VYE62" s="962">
        <f>MIN(VYE60*$C$62,'Sources and Uses Budget'!$J$99-SUM('15 Year Pro Forma'!$E$62:VYD62))</f>
        <v>0</v>
      </c>
      <c r="VYG62" s="962">
        <f>MIN(VYG60*$C$62,'Sources and Uses Budget'!$J$99-SUM('15 Year Pro Forma'!$E$62:VYF62))</f>
        <v>0</v>
      </c>
      <c r="VYI62" s="962">
        <f>MIN(VYI60*$C$62,'Sources and Uses Budget'!$J$99-SUM('15 Year Pro Forma'!$E$62:VYH62))</f>
        <v>0</v>
      </c>
      <c r="VYK62" s="962">
        <f>MIN(VYK60*$C$62,'Sources and Uses Budget'!$J$99-SUM('15 Year Pro Forma'!$E$62:VYJ62))</f>
        <v>0</v>
      </c>
      <c r="VYM62" s="962">
        <f>MIN(VYM60*$C$62,'Sources and Uses Budget'!$J$99-SUM('15 Year Pro Forma'!$E$62:VYL62))</f>
        <v>0</v>
      </c>
      <c r="VYO62" s="962">
        <f>MIN(VYO60*$C$62,'Sources and Uses Budget'!$J$99-SUM('15 Year Pro Forma'!$E$62:VYN62))</f>
        <v>0</v>
      </c>
      <c r="VYQ62" s="962">
        <f>MIN(VYQ60*$C$62,'Sources and Uses Budget'!$J$99-SUM('15 Year Pro Forma'!$E$62:VYP62))</f>
        <v>0</v>
      </c>
      <c r="VYS62" s="962">
        <f>MIN(VYS60*$C$62,'Sources and Uses Budget'!$J$99-SUM('15 Year Pro Forma'!$E$62:VYR62))</f>
        <v>0</v>
      </c>
      <c r="VYU62" s="962">
        <f>MIN(VYU60*$C$62,'Sources and Uses Budget'!$J$99-SUM('15 Year Pro Forma'!$E$62:VYT62))</f>
        <v>0</v>
      </c>
      <c r="VYW62" s="962">
        <f>MIN(VYW60*$C$62,'Sources and Uses Budget'!$J$99-SUM('15 Year Pro Forma'!$E$62:VYV62))</f>
        <v>0</v>
      </c>
      <c r="VYY62" s="962">
        <f>MIN(VYY60*$C$62,'Sources and Uses Budget'!$J$99-SUM('15 Year Pro Forma'!$E$62:VYX62))</f>
        <v>0</v>
      </c>
      <c r="VZA62" s="962">
        <f>MIN(VZA60*$C$62,'Sources and Uses Budget'!$J$99-SUM('15 Year Pro Forma'!$E$62:VYZ62))</f>
        <v>0</v>
      </c>
      <c r="VZC62" s="962">
        <f>MIN(VZC60*$C$62,'Sources and Uses Budget'!$J$99-SUM('15 Year Pro Forma'!$E$62:VZB62))</f>
        <v>0</v>
      </c>
      <c r="VZE62" s="962">
        <f>MIN(VZE60*$C$62,'Sources and Uses Budget'!$J$99-SUM('15 Year Pro Forma'!$E$62:VZD62))</f>
        <v>0</v>
      </c>
      <c r="VZG62" s="962">
        <f>MIN(VZG60*$C$62,'Sources and Uses Budget'!$J$99-SUM('15 Year Pro Forma'!$E$62:VZF62))</f>
        <v>0</v>
      </c>
      <c r="VZI62" s="962">
        <f>MIN(VZI60*$C$62,'Sources and Uses Budget'!$J$99-SUM('15 Year Pro Forma'!$E$62:VZH62))</f>
        <v>0</v>
      </c>
      <c r="VZK62" s="962">
        <f>MIN(VZK60*$C$62,'Sources and Uses Budget'!$J$99-SUM('15 Year Pro Forma'!$E$62:VZJ62))</f>
        <v>0</v>
      </c>
      <c r="VZM62" s="962">
        <f>MIN(VZM60*$C$62,'Sources and Uses Budget'!$J$99-SUM('15 Year Pro Forma'!$E$62:VZL62))</f>
        <v>0</v>
      </c>
      <c r="VZO62" s="962">
        <f>MIN(VZO60*$C$62,'Sources and Uses Budget'!$J$99-SUM('15 Year Pro Forma'!$E$62:VZN62))</f>
        <v>0</v>
      </c>
      <c r="VZQ62" s="962">
        <f>MIN(VZQ60*$C$62,'Sources and Uses Budget'!$J$99-SUM('15 Year Pro Forma'!$E$62:VZP62))</f>
        <v>0</v>
      </c>
      <c r="VZS62" s="962">
        <f>MIN(VZS60*$C$62,'Sources and Uses Budget'!$J$99-SUM('15 Year Pro Forma'!$E$62:VZR62))</f>
        <v>0</v>
      </c>
      <c r="VZU62" s="962">
        <f>MIN(VZU60*$C$62,'Sources and Uses Budget'!$J$99-SUM('15 Year Pro Forma'!$E$62:VZT62))</f>
        <v>0</v>
      </c>
      <c r="VZW62" s="962">
        <f>MIN(VZW60*$C$62,'Sources and Uses Budget'!$J$99-SUM('15 Year Pro Forma'!$E$62:VZV62))</f>
        <v>0</v>
      </c>
      <c r="VZY62" s="962">
        <f>MIN(VZY60*$C$62,'Sources and Uses Budget'!$J$99-SUM('15 Year Pro Forma'!$E$62:VZX62))</f>
        <v>0</v>
      </c>
      <c r="WAA62" s="962">
        <f>MIN(WAA60*$C$62,'Sources and Uses Budget'!$J$99-SUM('15 Year Pro Forma'!$E$62:VZZ62))</f>
        <v>0</v>
      </c>
      <c r="WAC62" s="962">
        <f>MIN(WAC60*$C$62,'Sources and Uses Budget'!$J$99-SUM('15 Year Pro Forma'!$E$62:WAB62))</f>
        <v>0</v>
      </c>
      <c r="WAE62" s="962">
        <f>MIN(WAE60*$C$62,'Sources and Uses Budget'!$J$99-SUM('15 Year Pro Forma'!$E$62:WAD62))</f>
        <v>0</v>
      </c>
      <c r="WAG62" s="962">
        <f>MIN(WAG60*$C$62,'Sources and Uses Budget'!$J$99-SUM('15 Year Pro Forma'!$E$62:WAF62))</f>
        <v>0</v>
      </c>
      <c r="WAI62" s="962">
        <f>MIN(WAI60*$C$62,'Sources and Uses Budget'!$J$99-SUM('15 Year Pro Forma'!$E$62:WAH62))</f>
        <v>0</v>
      </c>
      <c r="WAK62" s="962">
        <f>MIN(WAK60*$C$62,'Sources and Uses Budget'!$J$99-SUM('15 Year Pro Forma'!$E$62:WAJ62))</f>
        <v>0</v>
      </c>
      <c r="WAM62" s="962">
        <f>MIN(WAM60*$C$62,'Sources and Uses Budget'!$J$99-SUM('15 Year Pro Forma'!$E$62:WAL62))</f>
        <v>0</v>
      </c>
      <c r="WAO62" s="962">
        <f>MIN(WAO60*$C$62,'Sources and Uses Budget'!$J$99-SUM('15 Year Pro Forma'!$E$62:WAN62))</f>
        <v>0</v>
      </c>
      <c r="WAQ62" s="962">
        <f>MIN(WAQ60*$C$62,'Sources and Uses Budget'!$J$99-SUM('15 Year Pro Forma'!$E$62:WAP62))</f>
        <v>0</v>
      </c>
      <c r="WAS62" s="962">
        <f>MIN(WAS60*$C$62,'Sources and Uses Budget'!$J$99-SUM('15 Year Pro Forma'!$E$62:WAR62))</f>
        <v>0</v>
      </c>
      <c r="WAU62" s="962">
        <f>MIN(WAU60*$C$62,'Sources and Uses Budget'!$J$99-SUM('15 Year Pro Forma'!$E$62:WAT62))</f>
        <v>0</v>
      </c>
      <c r="WAW62" s="962">
        <f>MIN(WAW60*$C$62,'Sources and Uses Budget'!$J$99-SUM('15 Year Pro Forma'!$E$62:WAV62))</f>
        <v>0</v>
      </c>
      <c r="WAY62" s="962">
        <f>MIN(WAY60*$C$62,'Sources and Uses Budget'!$J$99-SUM('15 Year Pro Forma'!$E$62:WAX62))</f>
        <v>0</v>
      </c>
      <c r="WBA62" s="962">
        <f>MIN(WBA60*$C$62,'Sources and Uses Budget'!$J$99-SUM('15 Year Pro Forma'!$E$62:WAZ62))</f>
        <v>0</v>
      </c>
      <c r="WBC62" s="962">
        <f>MIN(WBC60*$C$62,'Sources and Uses Budget'!$J$99-SUM('15 Year Pro Forma'!$E$62:WBB62))</f>
        <v>0</v>
      </c>
      <c r="WBE62" s="962">
        <f>MIN(WBE60*$C$62,'Sources and Uses Budget'!$J$99-SUM('15 Year Pro Forma'!$E$62:WBD62))</f>
        <v>0</v>
      </c>
      <c r="WBG62" s="962">
        <f>MIN(WBG60*$C$62,'Sources and Uses Budget'!$J$99-SUM('15 Year Pro Forma'!$E$62:WBF62))</f>
        <v>0</v>
      </c>
      <c r="WBI62" s="962">
        <f>MIN(WBI60*$C$62,'Sources and Uses Budget'!$J$99-SUM('15 Year Pro Forma'!$E$62:WBH62))</f>
        <v>0</v>
      </c>
      <c r="WBK62" s="962">
        <f>MIN(WBK60*$C$62,'Sources and Uses Budget'!$J$99-SUM('15 Year Pro Forma'!$E$62:WBJ62))</f>
        <v>0</v>
      </c>
      <c r="WBM62" s="962">
        <f>MIN(WBM60*$C$62,'Sources and Uses Budget'!$J$99-SUM('15 Year Pro Forma'!$E$62:WBL62))</f>
        <v>0</v>
      </c>
      <c r="WBO62" s="962">
        <f>MIN(WBO60*$C$62,'Sources and Uses Budget'!$J$99-SUM('15 Year Pro Forma'!$E$62:WBN62))</f>
        <v>0</v>
      </c>
      <c r="WBQ62" s="962">
        <f>MIN(WBQ60*$C$62,'Sources and Uses Budget'!$J$99-SUM('15 Year Pro Forma'!$E$62:WBP62))</f>
        <v>0</v>
      </c>
      <c r="WBS62" s="962">
        <f>MIN(WBS60*$C$62,'Sources and Uses Budget'!$J$99-SUM('15 Year Pro Forma'!$E$62:WBR62))</f>
        <v>0</v>
      </c>
      <c r="WBU62" s="962">
        <f>MIN(WBU60*$C$62,'Sources and Uses Budget'!$J$99-SUM('15 Year Pro Forma'!$E$62:WBT62))</f>
        <v>0</v>
      </c>
      <c r="WBW62" s="962">
        <f>MIN(WBW60*$C$62,'Sources and Uses Budget'!$J$99-SUM('15 Year Pro Forma'!$E$62:WBV62))</f>
        <v>0</v>
      </c>
      <c r="WBY62" s="962">
        <f>MIN(WBY60*$C$62,'Sources and Uses Budget'!$J$99-SUM('15 Year Pro Forma'!$E$62:WBX62))</f>
        <v>0</v>
      </c>
      <c r="WCA62" s="962">
        <f>MIN(WCA60*$C$62,'Sources and Uses Budget'!$J$99-SUM('15 Year Pro Forma'!$E$62:WBZ62))</f>
        <v>0</v>
      </c>
      <c r="WCC62" s="962">
        <f>MIN(WCC60*$C$62,'Sources and Uses Budget'!$J$99-SUM('15 Year Pro Forma'!$E$62:WCB62))</f>
        <v>0</v>
      </c>
      <c r="WCE62" s="962">
        <f>MIN(WCE60*$C$62,'Sources and Uses Budget'!$J$99-SUM('15 Year Pro Forma'!$E$62:WCD62))</f>
        <v>0</v>
      </c>
      <c r="WCG62" s="962">
        <f>MIN(WCG60*$C$62,'Sources and Uses Budget'!$J$99-SUM('15 Year Pro Forma'!$E$62:WCF62))</f>
        <v>0</v>
      </c>
      <c r="WCI62" s="962">
        <f>MIN(WCI60*$C$62,'Sources and Uses Budget'!$J$99-SUM('15 Year Pro Forma'!$E$62:WCH62))</f>
        <v>0</v>
      </c>
      <c r="WCK62" s="962">
        <f>MIN(WCK60*$C$62,'Sources and Uses Budget'!$J$99-SUM('15 Year Pro Forma'!$E$62:WCJ62))</f>
        <v>0</v>
      </c>
      <c r="WCM62" s="962">
        <f>MIN(WCM60*$C$62,'Sources and Uses Budget'!$J$99-SUM('15 Year Pro Forma'!$E$62:WCL62))</f>
        <v>0</v>
      </c>
      <c r="WCO62" s="962">
        <f>MIN(WCO60*$C$62,'Sources and Uses Budget'!$J$99-SUM('15 Year Pro Forma'!$E$62:WCN62))</f>
        <v>0</v>
      </c>
      <c r="WCQ62" s="962">
        <f>MIN(WCQ60*$C$62,'Sources and Uses Budget'!$J$99-SUM('15 Year Pro Forma'!$E$62:WCP62))</f>
        <v>0</v>
      </c>
      <c r="WCS62" s="962">
        <f>MIN(WCS60*$C$62,'Sources and Uses Budget'!$J$99-SUM('15 Year Pro Forma'!$E$62:WCR62))</f>
        <v>0</v>
      </c>
      <c r="WCU62" s="962">
        <f>MIN(WCU60*$C$62,'Sources and Uses Budget'!$J$99-SUM('15 Year Pro Forma'!$E$62:WCT62))</f>
        <v>0</v>
      </c>
      <c r="WCW62" s="962">
        <f>MIN(WCW60*$C$62,'Sources and Uses Budget'!$J$99-SUM('15 Year Pro Forma'!$E$62:WCV62))</f>
        <v>0</v>
      </c>
      <c r="WCY62" s="962">
        <f>MIN(WCY60*$C$62,'Sources and Uses Budget'!$J$99-SUM('15 Year Pro Forma'!$E$62:WCX62))</f>
        <v>0</v>
      </c>
      <c r="WDA62" s="962">
        <f>MIN(WDA60*$C$62,'Sources and Uses Budget'!$J$99-SUM('15 Year Pro Forma'!$E$62:WCZ62))</f>
        <v>0</v>
      </c>
      <c r="WDC62" s="962">
        <f>MIN(WDC60*$C$62,'Sources and Uses Budget'!$J$99-SUM('15 Year Pro Forma'!$E$62:WDB62))</f>
        <v>0</v>
      </c>
      <c r="WDE62" s="962">
        <f>MIN(WDE60*$C$62,'Sources and Uses Budget'!$J$99-SUM('15 Year Pro Forma'!$E$62:WDD62))</f>
        <v>0</v>
      </c>
      <c r="WDG62" s="962">
        <f>MIN(WDG60*$C$62,'Sources and Uses Budget'!$J$99-SUM('15 Year Pro Forma'!$E$62:WDF62))</f>
        <v>0</v>
      </c>
      <c r="WDI62" s="962">
        <f>MIN(WDI60*$C$62,'Sources and Uses Budget'!$J$99-SUM('15 Year Pro Forma'!$E$62:WDH62))</f>
        <v>0</v>
      </c>
      <c r="WDK62" s="962">
        <f>MIN(WDK60*$C$62,'Sources and Uses Budget'!$J$99-SUM('15 Year Pro Forma'!$E$62:WDJ62))</f>
        <v>0</v>
      </c>
      <c r="WDM62" s="962">
        <f>MIN(WDM60*$C$62,'Sources and Uses Budget'!$J$99-SUM('15 Year Pro Forma'!$E$62:WDL62))</f>
        <v>0</v>
      </c>
      <c r="WDO62" s="962">
        <f>MIN(WDO60*$C$62,'Sources and Uses Budget'!$J$99-SUM('15 Year Pro Forma'!$E$62:WDN62))</f>
        <v>0</v>
      </c>
      <c r="WDQ62" s="962">
        <f>MIN(WDQ60*$C$62,'Sources and Uses Budget'!$J$99-SUM('15 Year Pro Forma'!$E$62:WDP62))</f>
        <v>0</v>
      </c>
      <c r="WDS62" s="962">
        <f>MIN(WDS60*$C$62,'Sources and Uses Budget'!$J$99-SUM('15 Year Pro Forma'!$E$62:WDR62))</f>
        <v>0</v>
      </c>
      <c r="WDU62" s="962">
        <f>MIN(WDU60*$C$62,'Sources and Uses Budget'!$J$99-SUM('15 Year Pro Forma'!$E$62:WDT62))</f>
        <v>0</v>
      </c>
      <c r="WDW62" s="962">
        <f>MIN(WDW60*$C$62,'Sources and Uses Budget'!$J$99-SUM('15 Year Pro Forma'!$E$62:WDV62))</f>
        <v>0</v>
      </c>
      <c r="WDY62" s="962">
        <f>MIN(WDY60*$C$62,'Sources and Uses Budget'!$J$99-SUM('15 Year Pro Forma'!$E$62:WDX62))</f>
        <v>0</v>
      </c>
      <c r="WEA62" s="962">
        <f>MIN(WEA60*$C$62,'Sources and Uses Budget'!$J$99-SUM('15 Year Pro Forma'!$E$62:WDZ62))</f>
        <v>0</v>
      </c>
      <c r="WEC62" s="962">
        <f>MIN(WEC60*$C$62,'Sources and Uses Budget'!$J$99-SUM('15 Year Pro Forma'!$E$62:WEB62))</f>
        <v>0</v>
      </c>
      <c r="WEE62" s="962">
        <f>MIN(WEE60*$C$62,'Sources and Uses Budget'!$J$99-SUM('15 Year Pro Forma'!$E$62:WED62))</f>
        <v>0</v>
      </c>
      <c r="WEG62" s="962">
        <f>MIN(WEG60*$C$62,'Sources and Uses Budget'!$J$99-SUM('15 Year Pro Forma'!$E$62:WEF62))</f>
        <v>0</v>
      </c>
      <c r="WEI62" s="962">
        <f>MIN(WEI60*$C$62,'Sources and Uses Budget'!$J$99-SUM('15 Year Pro Forma'!$E$62:WEH62))</f>
        <v>0</v>
      </c>
      <c r="WEK62" s="962">
        <f>MIN(WEK60*$C$62,'Sources and Uses Budget'!$J$99-SUM('15 Year Pro Forma'!$E$62:WEJ62))</f>
        <v>0</v>
      </c>
      <c r="WEM62" s="962">
        <f>MIN(WEM60*$C$62,'Sources and Uses Budget'!$J$99-SUM('15 Year Pro Forma'!$E$62:WEL62))</f>
        <v>0</v>
      </c>
      <c r="WEO62" s="962">
        <f>MIN(WEO60*$C$62,'Sources and Uses Budget'!$J$99-SUM('15 Year Pro Forma'!$E$62:WEN62))</f>
        <v>0</v>
      </c>
      <c r="WEQ62" s="962">
        <f>MIN(WEQ60*$C$62,'Sources and Uses Budget'!$J$99-SUM('15 Year Pro Forma'!$E$62:WEP62))</f>
        <v>0</v>
      </c>
      <c r="WES62" s="962">
        <f>MIN(WES60*$C$62,'Sources and Uses Budget'!$J$99-SUM('15 Year Pro Forma'!$E$62:WER62))</f>
        <v>0</v>
      </c>
      <c r="WEU62" s="962">
        <f>MIN(WEU60*$C$62,'Sources and Uses Budget'!$J$99-SUM('15 Year Pro Forma'!$E$62:WET62))</f>
        <v>0</v>
      </c>
      <c r="WEW62" s="962">
        <f>MIN(WEW60*$C$62,'Sources and Uses Budget'!$J$99-SUM('15 Year Pro Forma'!$E$62:WEV62))</f>
        <v>0</v>
      </c>
      <c r="WEY62" s="962">
        <f>MIN(WEY60*$C$62,'Sources and Uses Budget'!$J$99-SUM('15 Year Pro Forma'!$E$62:WEX62))</f>
        <v>0</v>
      </c>
      <c r="WFA62" s="962">
        <f>MIN(WFA60*$C$62,'Sources and Uses Budget'!$J$99-SUM('15 Year Pro Forma'!$E$62:WEZ62))</f>
        <v>0</v>
      </c>
      <c r="WFC62" s="962">
        <f>MIN(WFC60*$C$62,'Sources and Uses Budget'!$J$99-SUM('15 Year Pro Forma'!$E$62:WFB62))</f>
        <v>0</v>
      </c>
      <c r="WFE62" s="962">
        <f>MIN(WFE60*$C$62,'Sources and Uses Budget'!$J$99-SUM('15 Year Pro Forma'!$E$62:WFD62))</f>
        <v>0</v>
      </c>
      <c r="WFG62" s="962">
        <f>MIN(WFG60*$C$62,'Sources and Uses Budget'!$J$99-SUM('15 Year Pro Forma'!$E$62:WFF62))</f>
        <v>0</v>
      </c>
      <c r="WFI62" s="962">
        <f>MIN(WFI60*$C$62,'Sources and Uses Budget'!$J$99-SUM('15 Year Pro Forma'!$E$62:WFH62))</f>
        <v>0</v>
      </c>
      <c r="WFK62" s="962">
        <f>MIN(WFK60*$C$62,'Sources and Uses Budget'!$J$99-SUM('15 Year Pro Forma'!$E$62:WFJ62))</f>
        <v>0</v>
      </c>
      <c r="WFM62" s="962">
        <f>MIN(WFM60*$C$62,'Sources and Uses Budget'!$J$99-SUM('15 Year Pro Forma'!$E$62:WFL62))</f>
        <v>0</v>
      </c>
      <c r="WFO62" s="962">
        <f>MIN(WFO60*$C$62,'Sources and Uses Budget'!$J$99-SUM('15 Year Pro Forma'!$E$62:WFN62))</f>
        <v>0</v>
      </c>
      <c r="WFQ62" s="962">
        <f>MIN(WFQ60*$C$62,'Sources and Uses Budget'!$J$99-SUM('15 Year Pro Forma'!$E$62:WFP62))</f>
        <v>0</v>
      </c>
      <c r="WFS62" s="962">
        <f>MIN(WFS60*$C$62,'Sources and Uses Budget'!$J$99-SUM('15 Year Pro Forma'!$E$62:WFR62))</f>
        <v>0</v>
      </c>
      <c r="WFU62" s="962">
        <f>MIN(WFU60*$C$62,'Sources and Uses Budget'!$J$99-SUM('15 Year Pro Forma'!$E$62:WFT62))</f>
        <v>0</v>
      </c>
      <c r="WFW62" s="962">
        <f>MIN(WFW60*$C$62,'Sources and Uses Budget'!$J$99-SUM('15 Year Pro Forma'!$E$62:WFV62))</f>
        <v>0</v>
      </c>
      <c r="WFY62" s="962">
        <f>MIN(WFY60*$C$62,'Sources and Uses Budget'!$J$99-SUM('15 Year Pro Forma'!$E$62:WFX62))</f>
        <v>0</v>
      </c>
      <c r="WGA62" s="962">
        <f>MIN(WGA60*$C$62,'Sources and Uses Budget'!$J$99-SUM('15 Year Pro Forma'!$E$62:WFZ62))</f>
        <v>0</v>
      </c>
      <c r="WGC62" s="962">
        <f>MIN(WGC60*$C$62,'Sources and Uses Budget'!$J$99-SUM('15 Year Pro Forma'!$E$62:WGB62))</f>
        <v>0</v>
      </c>
      <c r="WGE62" s="962">
        <f>MIN(WGE60*$C$62,'Sources and Uses Budget'!$J$99-SUM('15 Year Pro Forma'!$E$62:WGD62))</f>
        <v>0</v>
      </c>
      <c r="WGG62" s="962">
        <f>MIN(WGG60*$C$62,'Sources and Uses Budget'!$J$99-SUM('15 Year Pro Forma'!$E$62:WGF62))</f>
        <v>0</v>
      </c>
      <c r="WGI62" s="962">
        <f>MIN(WGI60*$C$62,'Sources and Uses Budget'!$J$99-SUM('15 Year Pro Forma'!$E$62:WGH62))</f>
        <v>0</v>
      </c>
      <c r="WGK62" s="962">
        <f>MIN(WGK60*$C$62,'Sources and Uses Budget'!$J$99-SUM('15 Year Pro Forma'!$E$62:WGJ62))</f>
        <v>0</v>
      </c>
      <c r="WGM62" s="962">
        <f>MIN(WGM60*$C$62,'Sources and Uses Budget'!$J$99-SUM('15 Year Pro Forma'!$E$62:WGL62))</f>
        <v>0</v>
      </c>
      <c r="WGO62" s="962">
        <f>MIN(WGO60*$C$62,'Sources and Uses Budget'!$J$99-SUM('15 Year Pro Forma'!$E$62:WGN62))</f>
        <v>0</v>
      </c>
      <c r="WGQ62" s="962">
        <f>MIN(WGQ60*$C$62,'Sources and Uses Budget'!$J$99-SUM('15 Year Pro Forma'!$E$62:WGP62))</f>
        <v>0</v>
      </c>
      <c r="WGS62" s="962">
        <f>MIN(WGS60*$C$62,'Sources and Uses Budget'!$J$99-SUM('15 Year Pro Forma'!$E$62:WGR62))</f>
        <v>0</v>
      </c>
      <c r="WGU62" s="962">
        <f>MIN(WGU60*$C$62,'Sources and Uses Budget'!$J$99-SUM('15 Year Pro Forma'!$E$62:WGT62))</f>
        <v>0</v>
      </c>
      <c r="WGW62" s="962">
        <f>MIN(WGW60*$C$62,'Sources and Uses Budget'!$J$99-SUM('15 Year Pro Forma'!$E$62:WGV62))</f>
        <v>0</v>
      </c>
      <c r="WGY62" s="962">
        <f>MIN(WGY60*$C$62,'Sources and Uses Budget'!$J$99-SUM('15 Year Pro Forma'!$E$62:WGX62))</f>
        <v>0</v>
      </c>
      <c r="WHA62" s="962">
        <f>MIN(WHA60*$C$62,'Sources and Uses Budget'!$J$99-SUM('15 Year Pro Forma'!$E$62:WGZ62))</f>
        <v>0</v>
      </c>
      <c r="WHC62" s="962">
        <f>MIN(WHC60*$C$62,'Sources and Uses Budget'!$J$99-SUM('15 Year Pro Forma'!$E$62:WHB62))</f>
        <v>0</v>
      </c>
      <c r="WHE62" s="962">
        <f>MIN(WHE60*$C$62,'Sources and Uses Budget'!$J$99-SUM('15 Year Pro Forma'!$E$62:WHD62))</f>
        <v>0</v>
      </c>
      <c r="WHG62" s="962">
        <f>MIN(WHG60*$C$62,'Sources and Uses Budget'!$J$99-SUM('15 Year Pro Forma'!$E$62:WHF62))</f>
        <v>0</v>
      </c>
      <c r="WHI62" s="962">
        <f>MIN(WHI60*$C$62,'Sources and Uses Budget'!$J$99-SUM('15 Year Pro Forma'!$E$62:WHH62))</f>
        <v>0</v>
      </c>
      <c r="WHK62" s="962">
        <f>MIN(WHK60*$C$62,'Sources and Uses Budget'!$J$99-SUM('15 Year Pro Forma'!$E$62:WHJ62))</f>
        <v>0</v>
      </c>
      <c r="WHM62" s="962">
        <f>MIN(WHM60*$C$62,'Sources and Uses Budget'!$J$99-SUM('15 Year Pro Forma'!$E$62:WHL62))</f>
        <v>0</v>
      </c>
      <c r="WHO62" s="962">
        <f>MIN(WHO60*$C$62,'Sources and Uses Budget'!$J$99-SUM('15 Year Pro Forma'!$E$62:WHN62))</f>
        <v>0</v>
      </c>
      <c r="WHQ62" s="962">
        <f>MIN(WHQ60*$C$62,'Sources and Uses Budget'!$J$99-SUM('15 Year Pro Forma'!$E$62:WHP62))</f>
        <v>0</v>
      </c>
      <c r="WHS62" s="962">
        <f>MIN(WHS60*$C$62,'Sources and Uses Budget'!$J$99-SUM('15 Year Pro Forma'!$E$62:WHR62))</f>
        <v>0</v>
      </c>
      <c r="WHU62" s="962">
        <f>MIN(WHU60*$C$62,'Sources and Uses Budget'!$J$99-SUM('15 Year Pro Forma'!$E$62:WHT62))</f>
        <v>0</v>
      </c>
      <c r="WHW62" s="962">
        <f>MIN(WHW60*$C$62,'Sources and Uses Budget'!$J$99-SUM('15 Year Pro Forma'!$E$62:WHV62))</f>
        <v>0</v>
      </c>
      <c r="WHY62" s="962">
        <f>MIN(WHY60*$C$62,'Sources and Uses Budget'!$J$99-SUM('15 Year Pro Forma'!$E$62:WHX62))</f>
        <v>0</v>
      </c>
      <c r="WIA62" s="962">
        <f>MIN(WIA60*$C$62,'Sources and Uses Budget'!$J$99-SUM('15 Year Pro Forma'!$E$62:WHZ62))</f>
        <v>0</v>
      </c>
      <c r="WIC62" s="962">
        <f>MIN(WIC60*$C$62,'Sources and Uses Budget'!$J$99-SUM('15 Year Pro Forma'!$E$62:WIB62))</f>
        <v>0</v>
      </c>
      <c r="WIE62" s="962">
        <f>MIN(WIE60*$C$62,'Sources and Uses Budget'!$J$99-SUM('15 Year Pro Forma'!$E$62:WID62))</f>
        <v>0</v>
      </c>
      <c r="WIG62" s="962">
        <f>MIN(WIG60*$C$62,'Sources and Uses Budget'!$J$99-SUM('15 Year Pro Forma'!$E$62:WIF62))</f>
        <v>0</v>
      </c>
      <c r="WII62" s="962">
        <f>MIN(WII60*$C$62,'Sources and Uses Budget'!$J$99-SUM('15 Year Pro Forma'!$E$62:WIH62))</f>
        <v>0</v>
      </c>
      <c r="WIK62" s="962">
        <f>MIN(WIK60*$C$62,'Sources and Uses Budget'!$J$99-SUM('15 Year Pro Forma'!$E$62:WIJ62))</f>
        <v>0</v>
      </c>
      <c r="WIM62" s="962">
        <f>MIN(WIM60*$C$62,'Sources and Uses Budget'!$J$99-SUM('15 Year Pro Forma'!$E$62:WIL62))</f>
        <v>0</v>
      </c>
      <c r="WIO62" s="962">
        <f>MIN(WIO60*$C$62,'Sources and Uses Budget'!$J$99-SUM('15 Year Pro Forma'!$E$62:WIN62))</f>
        <v>0</v>
      </c>
      <c r="WIQ62" s="962">
        <f>MIN(WIQ60*$C$62,'Sources and Uses Budget'!$J$99-SUM('15 Year Pro Forma'!$E$62:WIP62))</f>
        <v>0</v>
      </c>
      <c r="WIS62" s="962">
        <f>MIN(WIS60*$C$62,'Sources and Uses Budget'!$J$99-SUM('15 Year Pro Forma'!$E$62:WIR62))</f>
        <v>0</v>
      </c>
      <c r="WIU62" s="962">
        <f>MIN(WIU60*$C$62,'Sources and Uses Budget'!$J$99-SUM('15 Year Pro Forma'!$E$62:WIT62))</f>
        <v>0</v>
      </c>
      <c r="WIW62" s="962">
        <f>MIN(WIW60*$C$62,'Sources and Uses Budget'!$J$99-SUM('15 Year Pro Forma'!$E$62:WIV62))</f>
        <v>0</v>
      </c>
      <c r="WIY62" s="962">
        <f>MIN(WIY60*$C$62,'Sources and Uses Budget'!$J$99-SUM('15 Year Pro Forma'!$E$62:WIX62))</f>
        <v>0</v>
      </c>
      <c r="WJA62" s="962">
        <f>MIN(WJA60*$C$62,'Sources and Uses Budget'!$J$99-SUM('15 Year Pro Forma'!$E$62:WIZ62))</f>
        <v>0</v>
      </c>
      <c r="WJC62" s="962">
        <f>MIN(WJC60*$C$62,'Sources and Uses Budget'!$J$99-SUM('15 Year Pro Forma'!$E$62:WJB62))</f>
        <v>0</v>
      </c>
      <c r="WJE62" s="962">
        <f>MIN(WJE60*$C$62,'Sources and Uses Budget'!$J$99-SUM('15 Year Pro Forma'!$E$62:WJD62))</f>
        <v>0</v>
      </c>
      <c r="WJG62" s="962">
        <f>MIN(WJG60*$C$62,'Sources and Uses Budget'!$J$99-SUM('15 Year Pro Forma'!$E$62:WJF62))</f>
        <v>0</v>
      </c>
      <c r="WJI62" s="962">
        <f>MIN(WJI60*$C$62,'Sources and Uses Budget'!$J$99-SUM('15 Year Pro Forma'!$E$62:WJH62))</f>
        <v>0</v>
      </c>
      <c r="WJK62" s="962">
        <f>MIN(WJK60*$C$62,'Sources and Uses Budget'!$J$99-SUM('15 Year Pro Forma'!$E$62:WJJ62))</f>
        <v>0</v>
      </c>
      <c r="WJM62" s="962">
        <f>MIN(WJM60*$C$62,'Sources and Uses Budget'!$J$99-SUM('15 Year Pro Forma'!$E$62:WJL62))</f>
        <v>0</v>
      </c>
      <c r="WJO62" s="962">
        <f>MIN(WJO60*$C$62,'Sources and Uses Budget'!$J$99-SUM('15 Year Pro Forma'!$E$62:WJN62))</f>
        <v>0</v>
      </c>
      <c r="WJQ62" s="962">
        <f>MIN(WJQ60*$C$62,'Sources and Uses Budget'!$J$99-SUM('15 Year Pro Forma'!$E$62:WJP62))</f>
        <v>0</v>
      </c>
      <c r="WJS62" s="962">
        <f>MIN(WJS60*$C$62,'Sources and Uses Budget'!$J$99-SUM('15 Year Pro Forma'!$E$62:WJR62))</f>
        <v>0</v>
      </c>
      <c r="WJU62" s="962">
        <f>MIN(WJU60*$C$62,'Sources and Uses Budget'!$J$99-SUM('15 Year Pro Forma'!$E$62:WJT62))</f>
        <v>0</v>
      </c>
      <c r="WJW62" s="962">
        <f>MIN(WJW60*$C$62,'Sources and Uses Budget'!$J$99-SUM('15 Year Pro Forma'!$E$62:WJV62))</f>
        <v>0</v>
      </c>
      <c r="WJY62" s="962">
        <f>MIN(WJY60*$C$62,'Sources and Uses Budget'!$J$99-SUM('15 Year Pro Forma'!$E$62:WJX62))</f>
        <v>0</v>
      </c>
      <c r="WKA62" s="962">
        <f>MIN(WKA60*$C$62,'Sources and Uses Budget'!$J$99-SUM('15 Year Pro Forma'!$E$62:WJZ62))</f>
        <v>0</v>
      </c>
      <c r="WKC62" s="962">
        <f>MIN(WKC60*$C$62,'Sources and Uses Budget'!$J$99-SUM('15 Year Pro Forma'!$E$62:WKB62))</f>
        <v>0</v>
      </c>
      <c r="WKE62" s="962">
        <f>MIN(WKE60*$C$62,'Sources and Uses Budget'!$J$99-SUM('15 Year Pro Forma'!$E$62:WKD62))</f>
        <v>0</v>
      </c>
      <c r="WKG62" s="962">
        <f>MIN(WKG60*$C$62,'Sources and Uses Budget'!$J$99-SUM('15 Year Pro Forma'!$E$62:WKF62))</f>
        <v>0</v>
      </c>
      <c r="WKI62" s="962">
        <f>MIN(WKI60*$C$62,'Sources and Uses Budget'!$J$99-SUM('15 Year Pro Forma'!$E$62:WKH62))</f>
        <v>0</v>
      </c>
      <c r="WKK62" s="962">
        <f>MIN(WKK60*$C$62,'Sources and Uses Budget'!$J$99-SUM('15 Year Pro Forma'!$E$62:WKJ62))</f>
        <v>0</v>
      </c>
      <c r="WKM62" s="962">
        <f>MIN(WKM60*$C$62,'Sources and Uses Budget'!$J$99-SUM('15 Year Pro Forma'!$E$62:WKL62))</f>
        <v>0</v>
      </c>
      <c r="WKO62" s="962">
        <f>MIN(WKO60*$C$62,'Sources and Uses Budget'!$J$99-SUM('15 Year Pro Forma'!$E$62:WKN62))</f>
        <v>0</v>
      </c>
      <c r="WKQ62" s="962">
        <f>MIN(WKQ60*$C$62,'Sources and Uses Budget'!$J$99-SUM('15 Year Pro Forma'!$E$62:WKP62))</f>
        <v>0</v>
      </c>
      <c r="WKS62" s="962">
        <f>MIN(WKS60*$C$62,'Sources and Uses Budget'!$J$99-SUM('15 Year Pro Forma'!$E$62:WKR62))</f>
        <v>0</v>
      </c>
      <c r="WKU62" s="962">
        <f>MIN(WKU60*$C$62,'Sources and Uses Budget'!$J$99-SUM('15 Year Pro Forma'!$E$62:WKT62))</f>
        <v>0</v>
      </c>
      <c r="WKW62" s="962">
        <f>MIN(WKW60*$C$62,'Sources and Uses Budget'!$J$99-SUM('15 Year Pro Forma'!$E$62:WKV62))</f>
        <v>0</v>
      </c>
      <c r="WKY62" s="962">
        <f>MIN(WKY60*$C$62,'Sources and Uses Budget'!$J$99-SUM('15 Year Pro Forma'!$E$62:WKX62))</f>
        <v>0</v>
      </c>
      <c r="WLA62" s="962">
        <f>MIN(WLA60*$C$62,'Sources and Uses Budget'!$J$99-SUM('15 Year Pro Forma'!$E$62:WKZ62))</f>
        <v>0</v>
      </c>
      <c r="WLC62" s="962">
        <f>MIN(WLC60*$C$62,'Sources and Uses Budget'!$J$99-SUM('15 Year Pro Forma'!$E$62:WLB62))</f>
        <v>0</v>
      </c>
      <c r="WLE62" s="962">
        <f>MIN(WLE60*$C$62,'Sources and Uses Budget'!$J$99-SUM('15 Year Pro Forma'!$E$62:WLD62))</f>
        <v>0</v>
      </c>
      <c r="WLG62" s="962">
        <f>MIN(WLG60*$C$62,'Sources and Uses Budget'!$J$99-SUM('15 Year Pro Forma'!$E$62:WLF62))</f>
        <v>0</v>
      </c>
      <c r="WLI62" s="962">
        <f>MIN(WLI60*$C$62,'Sources and Uses Budget'!$J$99-SUM('15 Year Pro Forma'!$E$62:WLH62))</f>
        <v>0</v>
      </c>
      <c r="WLK62" s="962">
        <f>MIN(WLK60*$C$62,'Sources and Uses Budget'!$J$99-SUM('15 Year Pro Forma'!$E$62:WLJ62))</f>
        <v>0</v>
      </c>
      <c r="WLM62" s="962">
        <f>MIN(WLM60*$C$62,'Sources and Uses Budget'!$J$99-SUM('15 Year Pro Forma'!$E$62:WLL62))</f>
        <v>0</v>
      </c>
      <c r="WLO62" s="962">
        <f>MIN(WLO60*$C$62,'Sources and Uses Budget'!$J$99-SUM('15 Year Pro Forma'!$E$62:WLN62))</f>
        <v>0</v>
      </c>
      <c r="WLQ62" s="962">
        <f>MIN(WLQ60*$C$62,'Sources and Uses Budget'!$J$99-SUM('15 Year Pro Forma'!$E$62:WLP62))</f>
        <v>0</v>
      </c>
      <c r="WLS62" s="962">
        <f>MIN(WLS60*$C$62,'Sources and Uses Budget'!$J$99-SUM('15 Year Pro Forma'!$E$62:WLR62))</f>
        <v>0</v>
      </c>
      <c r="WLU62" s="962">
        <f>MIN(WLU60*$C$62,'Sources and Uses Budget'!$J$99-SUM('15 Year Pro Forma'!$E$62:WLT62))</f>
        <v>0</v>
      </c>
      <c r="WLW62" s="962">
        <f>MIN(WLW60*$C$62,'Sources and Uses Budget'!$J$99-SUM('15 Year Pro Forma'!$E$62:WLV62))</f>
        <v>0</v>
      </c>
      <c r="WLY62" s="962">
        <f>MIN(WLY60*$C$62,'Sources and Uses Budget'!$J$99-SUM('15 Year Pro Forma'!$E$62:WLX62))</f>
        <v>0</v>
      </c>
      <c r="WMA62" s="962">
        <f>MIN(WMA60*$C$62,'Sources and Uses Budget'!$J$99-SUM('15 Year Pro Forma'!$E$62:WLZ62))</f>
        <v>0</v>
      </c>
      <c r="WMC62" s="962">
        <f>MIN(WMC60*$C$62,'Sources and Uses Budget'!$J$99-SUM('15 Year Pro Forma'!$E$62:WMB62))</f>
        <v>0</v>
      </c>
      <c r="WME62" s="962">
        <f>MIN(WME60*$C$62,'Sources and Uses Budget'!$J$99-SUM('15 Year Pro Forma'!$E$62:WMD62))</f>
        <v>0</v>
      </c>
      <c r="WMG62" s="962">
        <f>MIN(WMG60*$C$62,'Sources and Uses Budget'!$J$99-SUM('15 Year Pro Forma'!$E$62:WMF62))</f>
        <v>0</v>
      </c>
      <c r="WMI62" s="962">
        <f>MIN(WMI60*$C$62,'Sources and Uses Budget'!$J$99-SUM('15 Year Pro Forma'!$E$62:WMH62))</f>
        <v>0</v>
      </c>
      <c r="WMK62" s="962">
        <f>MIN(WMK60*$C$62,'Sources and Uses Budget'!$J$99-SUM('15 Year Pro Forma'!$E$62:WMJ62))</f>
        <v>0</v>
      </c>
      <c r="WMM62" s="962">
        <f>MIN(WMM60*$C$62,'Sources and Uses Budget'!$J$99-SUM('15 Year Pro Forma'!$E$62:WML62))</f>
        <v>0</v>
      </c>
      <c r="WMO62" s="962">
        <f>MIN(WMO60*$C$62,'Sources and Uses Budget'!$J$99-SUM('15 Year Pro Forma'!$E$62:WMN62))</f>
        <v>0</v>
      </c>
      <c r="WMQ62" s="962">
        <f>MIN(WMQ60*$C$62,'Sources and Uses Budget'!$J$99-SUM('15 Year Pro Forma'!$E$62:WMP62))</f>
        <v>0</v>
      </c>
      <c r="WMS62" s="962">
        <f>MIN(WMS60*$C$62,'Sources and Uses Budget'!$J$99-SUM('15 Year Pro Forma'!$E$62:WMR62))</f>
        <v>0</v>
      </c>
      <c r="WMU62" s="962">
        <f>MIN(WMU60*$C$62,'Sources and Uses Budget'!$J$99-SUM('15 Year Pro Forma'!$E$62:WMT62))</f>
        <v>0</v>
      </c>
      <c r="WMW62" s="962">
        <f>MIN(WMW60*$C$62,'Sources and Uses Budget'!$J$99-SUM('15 Year Pro Forma'!$E$62:WMV62))</f>
        <v>0</v>
      </c>
      <c r="WMY62" s="962">
        <f>MIN(WMY60*$C$62,'Sources and Uses Budget'!$J$99-SUM('15 Year Pro Forma'!$E$62:WMX62))</f>
        <v>0</v>
      </c>
      <c r="WNA62" s="962">
        <f>MIN(WNA60*$C$62,'Sources and Uses Budget'!$J$99-SUM('15 Year Pro Forma'!$E$62:WMZ62))</f>
        <v>0</v>
      </c>
      <c r="WNC62" s="962">
        <f>MIN(WNC60*$C$62,'Sources and Uses Budget'!$J$99-SUM('15 Year Pro Forma'!$E$62:WNB62))</f>
        <v>0</v>
      </c>
      <c r="WNE62" s="962">
        <f>MIN(WNE60*$C$62,'Sources and Uses Budget'!$J$99-SUM('15 Year Pro Forma'!$E$62:WND62))</f>
        <v>0</v>
      </c>
      <c r="WNG62" s="962">
        <f>MIN(WNG60*$C$62,'Sources and Uses Budget'!$J$99-SUM('15 Year Pro Forma'!$E$62:WNF62))</f>
        <v>0</v>
      </c>
      <c r="WNI62" s="962">
        <f>MIN(WNI60*$C$62,'Sources and Uses Budget'!$J$99-SUM('15 Year Pro Forma'!$E$62:WNH62))</f>
        <v>0</v>
      </c>
      <c r="WNK62" s="962">
        <f>MIN(WNK60*$C$62,'Sources and Uses Budget'!$J$99-SUM('15 Year Pro Forma'!$E$62:WNJ62))</f>
        <v>0</v>
      </c>
      <c r="WNM62" s="962">
        <f>MIN(WNM60*$C$62,'Sources and Uses Budget'!$J$99-SUM('15 Year Pro Forma'!$E$62:WNL62))</f>
        <v>0</v>
      </c>
      <c r="WNO62" s="962">
        <f>MIN(WNO60*$C$62,'Sources and Uses Budget'!$J$99-SUM('15 Year Pro Forma'!$E$62:WNN62))</f>
        <v>0</v>
      </c>
      <c r="WNQ62" s="962">
        <f>MIN(WNQ60*$C$62,'Sources and Uses Budget'!$J$99-SUM('15 Year Pro Forma'!$E$62:WNP62))</f>
        <v>0</v>
      </c>
      <c r="WNS62" s="962">
        <f>MIN(WNS60*$C$62,'Sources and Uses Budget'!$J$99-SUM('15 Year Pro Forma'!$E$62:WNR62))</f>
        <v>0</v>
      </c>
      <c r="WNU62" s="962">
        <f>MIN(WNU60*$C$62,'Sources and Uses Budget'!$J$99-SUM('15 Year Pro Forma'!$E$62:WNT62))</f>
        <v>0</v>
      </c>
      <c r="WNW62" s="962">
        <f>MIN(WNW60*$C$62,'Sources and Uses Budget'!$J$99-SUM('15 Year Pro Forma'!$E$62:WNV62))</f>
        <v>0</v>
      </c>
      <c r="WNY62" s="962">
        <f>MIN(WNY60*$C$62,'Sources and Uses Budget'!$J$99-SUM('15 Year Pro Forma'!$E$62:WNX62))</f>
        <v>0</v>
      </c>
      <c r="WOA62" s="962">
        <f>MIN(WOA60*$C$62,'Sources and Uses Budget'!$J$99-SUM('15 Year Pro Forma'!$E$62:WNZ62))</f>
        <v>0</v>
      </c>
      <c r="WOC62" s="962">
        <f>MIN(WOC60*$C$62,'Sources and Uses Budget'!$J$99-SUM('15 Year Pro Forma'!$E$62:WOB62))</f>
        <v>0</v>
      </c>
      <c r="WOE62" s="962">
        <f>MIN(WOE60*$C$62,'Sources and Uses Budget'!$J$99-SUM('15 Year Pro Forma'!$E$62:WOD62))</f>
        <v>0</v>
      </c>
      <c r="WOG62" s="962">
        <f>MIN(WOG60*$C$62,'Sources and Uses Budget'!$J$99-SUM('15 Year Pro Forma'!$E$62:WOF62))</f>
        <v>0</v>
      </c>
      <c r="WOI62" s="962">
        <f>MIN(WOI60*$C$62,'Sources and Uses Budget'!$J$99-SUM('15 Year Pro Forma'!$E$62:WOH62))</f>
        <v>0</v>
      </c>
      <c r="WOK62" s="962">
        <f>MIN(WOK60*$C$62,'Sources and Uses Budget'!$J$99-SUM('15 Year Pro Forma'!$E$62:WOJ62))</f>
        <v>0</v>
      </c>
      <c r="WOM62" s="962">
        <f>MIN(WOM60*$C$62,'Sources and Uses Budget'!$J$99-SUM('15 Year Pro Forma'!$E$62:WOL62))</f>
        <v>0</v>
      </c>
      <c r="WOO62" s="962">
        <f>MIN(WOO60*$C$62,'Sources and Uses Budget'!$J$99-SUM('15 Year Pro Forma'!$E$62:WON62))</f>
        <v>0</v>
      </c>
      <c r="WOQ62" s="962">
        <f>MIN(WOQ60*$C$62,'Sources and Uses Budget'!$J$99-SUM('15 Year Pro Forma'!$E$62:WOP62))</f>
        <v>0</v>
      </c>
      <c r="WOS62" s="962">
        <f>MIN(WOS60*$C$62,'Sources and Uses Budget'!$J$99-SUM('15 Year Pro Forma'!$E$62:WOR62))</f>
        <v>0</v>
      </c>
      <c r="WOU62" s="962">
        <f>MIN(WOU60*$C$62,'Sources and Uses Budget'!$J$99-SUM('15 Year Pro Forma'!$E$62:WOT62))</f>
        <v>0</v>
      </c>
      <c r="WOW62" s="962">
        <f>MIN(WOW60*$C$62,'Sources and Uses Budget'!$J$99-SUM('15 Year Pro Forma'!$E$62:WOV62))</f>
        <v>0</v>
      </c>
      <c r="WOY62" s="962">
        <f>MIN(WOY60*$C$62,'Sources and Uses Budget'!$J$99-SUM('15 Year Pro Forma'!$E$62:WOX62))</f>
        <v>0</v>
      </c>
      <c r="WPA62" s="962">
        <f>MIN(WPA60*$C$62,'Sources and Uses Budget'!$J$99-SUM('15 Year Pro Forma'!$E$62:WOZ62))</f>
        <v>0</v>
      </c>
      <c r="WPC62" s="962">
        <f>MIN(WPC60*$C$62,'Sources and Uses Budget'!$J$99-SUM('15 Year Pro Forma'!$E$62:WPB62))</f>
        <v>0</v>
      </c>
      <c r="WPE62" s="962">
        <f>MIN(WPE60*$C$62,'Sources and Uses Budget'!$J$99-SUM('15 Year Pro Forma'!$E$62:WPD62))</f>
        <v>0</v>
      </c>
      <c r="WPG62" s="962">
        <f>MIN(WPG60*$C$62,'Sources and Uses Budget'!$J$99-SUM('15 Year Pro Forma'!$E$62:WPF62))</f>
        <v>0</v>
      </c>
      <c r="WPI62" s="962">
        <f>MIN(WPI60*$C$62,'Sources and Uses Budget'!$J$99-SUM('15 Year Pro Forma'!$E$62:WPH62))</f>
        <v>0</v>
      </c>
      <c r="WPK62" s="962">
        <f>MIN(WPK60*$C$62,'Sources and Uses Budget'!$J$99-SUM('15 Year Pro Forma'!$E$62:WPJ62))</f>
        <v>0</v>
      </c>
      <c r="WPM62" s="962">
        <f>MIN(WPM60*$C$62,'Sources and Uses Budget'!$J$99-SUM('15 Year Pro Forma'!$E$62:WPL62))</f>
        <v>0</v>
      </c>
      <c r="WPO62" s="962">
        <f>MIN(WPO60*$C$62,'Sources and Uses Budget'!$J$99-SUM('15 Year Pro Forma'!$E$62:WPN62))</f>
        <v>0</v>
      </c>
      <c r="WPQ62" s="962">
        <f>MIN(WPQ60*$C$62,'Sources and Uses Budget'!$J$99-SUM('15 Year Pro Forma'!$E$62:WPP62))</f>
        <v>0</v>
      </c>
      <c r="WPS62" s="962">
        <f>MIN(WPS60*$C$62,'Sources and Uses Budget'!$J$99-SUM('15 Year Pro Forma'!$E$62:WPR62))</f>
        <v>0</v>
      </c>
      <c r="WPU62" s="962">
        <f>MIN(WPU60*$C$62,'Sources and Uses Budget'!$J$99-SUM('15 Year Pro Forma'!$E$62:WPT62))</f>
        <v>0</v>
      </c>
      <c r="WPW62" s="962">
        <f>MIN(WPW60*$C$62,'Sources and Uses Budget'!$J$99-SUM('15 Year Pro Forma'!$E$62:WPV62))</f>
        <v>0</v>
      </c>
      <c r="WPY62" s="962">
        <f>MIN(WPY60*$C$62,'Sources and Uses Budget'!$J$99-SUM('15 Year Pro Forma'!$E$62:WPX62))</f>
        <v>0</v>
      </c>
      <c r="WQA62" s="962">
        <f>MIN(WQA60*$C$62,'Sources and Uses Budget'!$J$99-SUM('15 Year Pro Forma'!$E$62:WPZ62))</f>
        <v>0</v>
      </c>
      <c r="WQC62" s="962">
        <f>MIN(WQC60*$C$62,'Sources and Uses Budget'!$J$99-SUM('15 Year Pro Forma'!$E$62:WQB62))</f>
        <v>0</v>
      </c>
      <c r="WQE62" s="962">
        <f>MIN(WQE60*$C$62,'Sources and Uses Budget'!$J$99-SUM('15 Year Pro Forma'!$E$62:WQD62))</f>
        <v>0</v>
      </c>
      <c r="WQG62" s="962">
        <f>MIN(WQG60*$C$62,'Sources and Uses Budget'!$J$99-SUM('15 Year Pro Forma'!$E$62:WQF62))</f>
        <v>0</v>
      </c>
      <c r="WQI62" s="962">
        <f>MIN(WQI60*$C$62,'Sources and Uses Budget'!$J$99-SUM('15 Year Pro Forma'!$E$62:WQH62))</f>
        <v>0</v>
      </c>
      <c r="WQK62" s="962">
        <f>MIN(WQK60*$C$62,'Sources and Uses Budget'!$J$99-SUM('15 Year Pro Forma'!$E$62:WQJ62))</f>
        <v>0</v>
      </c>
      <c r="WQM62" s="962">
        <f>MIN(WQM60*$C$62,'Sources and Uses Budget'!$J$99-SUM('15 Year Pro Forma'!$E$62:WQL62))</f>
        <v>0</v>
      </c>
      <c r="WQO62" s="962">
        <f>MIN(WQO60*$C$62,'Sources and Uses Budget'!$J$99-SUM('15 Year Pro Forma'!$E$62:WQN62))</f>
        <v>0</v>
      </c>
      <c r="WQQ62" s="962">
        <f>MIN(WQQ60*$C$62,'Sources and Uses Budget'!$J$99-SUM('15 Year Pro Forma'!$E$62:WQP62))</f>
        <v>0</v>
      </c>
      <c r="WQS62" s="962">
        <f>MIN(WQS60*$C$62,'Sources and Uses Budget'!$J$99-SUM('15 Year Pro Forma'!$E$62:WQR62))</f>
        <v>0</v>
      </c>
      <c r="WQU62" s="962">
        <f>MIN(WQU60*$C$62,'Sources and Uses Budget'!$J$99-SUM('15 Year Pro Forma'!$E$62:WQT62))</f>
        <v>0</v>
      </c>
      <c r="WQW62" s="962">
        <f>MIN(WQW60*$C$62,'Sources and Uses Budget'!$J$99-SUM('15 Year Pro Forma'!$E$62:WQV62))</f>
        <v>0</v>
      </c>
      <c r="WQY62" s="962">
        <f>MIN(WQY60*$C$62,'Sources and Uses Budget'!$J$99-SUM('15 Year Pro Forma'!$E$62:WQX62))</f>
        <v>0</v>
      </c>
      <c r="WRA62" s="962">
        <f>MIN(WRA60*$C$62,'Sources and Uses Budget'!$J$99-SUM('15 Year Pro Forma'!$E$62:WQZ62))</f>
        <v>0</v>
      </c>
      <c r="WRC62" s="962">
        <f>MIN(WRC60*$C$62,'Sources and Uses Budget'!$J$99-SUM('15 Year Pro Forma'!$E$62:WRB62))</f>
        <v>0</v>
      </c>
      <c r="WRE62" s="962">
        <f>MIN(WRE60*$C$62,'Sources and Uses Budget'!$J$99-SUM('15 Year Pro Forma'!$E$62:WRD62))</f>
        <v>0</v>
      </c>
      <c r="WRG62" s="962">
        <f>MIN(WRG60*$C$62,'Sources and Uses Budget'!$J$99-SUM('15 Year Pro Forma'!$E$62:WRF62))</f>
        <v>0</v>
      </c>
      <c r="WRI62" s="962">
        <f>MIN(WRI60*$C$62,'Sources and Uses Budget'!$J$99-SUM('15 Year Pro Forma'!$E$62:WRH62))</f>
        <v>0</v>
      </c>
      <c r="WRK62" s="962">
        <f>MIN(WRK60*$C$62,'Sources and Uses Budget'!$J$99-SUM('15 Year Pro Forma'!$E$62:WRJ62))</f>
        <v>0</v>
      </c>
      <c r="WRM62" s="962">
        <f>MIN(WRM60*$C$62,'Sources and Uses Budget'!$J$99-SUM('15 Year Pro Forma'!$E$62:WRL62))</f>
        <v>0</v>
      </c>
      <c r="WRO62" s="962">
        <f>MIN(WRO60*$C$62,'Sources and Uses Budget'!$J$99-SUM('15 Year Pro Forma'!$E$62:WRN62))</f>
        <v>0</v>
      </c>
      <c r="WRQ62" s="962">
        <f>MIN(WRQ60*$C$62,'Sources and Uses Budget'!$J$99-SUM('15 Year Pro Forma'!$E$62:WRP62))</f>
        <v>0</v>
      </c>
      <c r="WRS62" s="962">
        <f>MIN(WRS60*$C$62,'Sources and Uses Budget'!$J$99-SUM('15 Year Pro Forma'!$E$62:WRR62))</f>
        <v>0</v>
      </c>
      <c r="WRU62" s="962">
        <f>MIN(WRU60*$C$62,'Sources and Uses Budget'!$J$99-SUM('15 Year Pro Forma'!$E$62:WRT62))</f>
        <v>0</v>
      </c>
      <c r="WRW62" s="962">
        <f>MIN(WRW60*$C$62,'Sources and Uses Budget'!$J$99-SUM('15 Year Pro Forma'!$E$62:WRV62))</f>
        <v>0</v>
      </c>
      <c r="WRY62" s="962">
        <f>MIN(WRY60*$C$62,'Sources and Uses Budget'!$J$99-SUM('15 Year Pro Forma'!$E$62:WRX62))</f>
        <v>0</v>
      </c>
      <c r="WSA62" s="962">
        <f>MIN(WSA60*$C$62,'Sources and Uses Budget'!$J$99-SUM('15 Year Pro Forma'!$E$62:WRZ62))</f>
        <v>0</v>
      </c>
      <c r="WSC62" s="962">
        <f>MIN(WSC60*$C$62,'Sources and Uses Budget'!$J$99-SUM('15 Year Pro Forma'!$E$62:WSB62))</f>
        <v>0</v>
      </c>
      <c r="WSE62" s="962">
        <f>MIN(WSE60*$C$62,'Sources and Uses Budget'!$J$99-SUM('15 Year Pro Forma'!$E$62:WSD62))</f>
        <v>0</v>
      </c>
      <c r="WSG62" s="962">
        <f>MIN(WSG60*$C$62,'Sources and Uses Budget'!$J$99-SUM('15 Year Pro Forma'!$E$62:WSF62))</f>
        <v>0</v>
      </c>
      <c r="WSI62" s="962">
        <f>MIN(WSI60*$C$62,'Sources and Uses Budget'!$J$99-SUM('15 Year Pro Forma'!$E$62:WSH62))</f>
        <v>0</v>
      </c>
      <c r="WSK62" s="962">
        <f>MIN(WSK60*$C$62,'Sources and Uses Budget'!$J$99-SUM('15 Year Pro Forma'!$E$62:WSJ62))</f>
        <v>0</v>
      </c>
      <c r="WSM62" s="962">
        <f>MIN(WSM60*$C$62,'Sources and Uses Budget'!$J$99-SUM('15 Year Pro Forma'!$E$62:WSL62))</f>
        <v>0</v>
      </c>
      <c r="WSO62" s="962">
        <f>MIN(WSO60*$C$62,'Sources and Uses Budget'!$J$99-SUM('15 Year Pro Forma'!$E$62:WSN62))</f>
        <v>0</v>
      </c>
      <c r="WSQ62" s="962">
        <f>MIN(WSQ60*$C$62,'Sources and Uses Budget'!$J$99-SUM('15 Year Pro Forma'!$E$62:WSP62))</f>
        <v>0</v>
      </c>
      <c r="WSS62" s="962">
        <f>MIN(WSS60*$C$62,'Sources and Uses Budget'!$J$99-SUM('15 Year Pro Forma'!$E$62:WSR62))</f>
        <v>0</v>
      </c>
      <c r="WSU62" s="962">
        <f>MIN(WSU60*$C$62,'Sources and Uses Budget'!$J$99-SUM('15 Year Pro Forma'!$E$62:WST62))</f>
        <v>0</v>
      </c>
      <c r="WSW62" s="962">
        <f>MIN(WSW60*$C$62,'Sources and Uses Budget'!$J$99-SUM('15 Year Pro Forma'!$E$62:WSV62))</f>
        <v>0</v>
      </c>
      <c r="WSY62" s="962">
        <f>MIN(WSY60*$C$62,'Sources and Uses Budget'!$J$99-SUM('15 Year Pro Forma'!$E$62:WSX62))</f>
        <v>0</v>
      </c>
      <c r="WTA62" s="962">
        <f>MIN(WTA60*$C$62,'Sources and Uses Budget'!$J$99-SUM('15 Year Pro Forma'!$E$62:WSZ62))</f>
        <v>0</v>
      </c>
      <c r="WTC62" s="962">
        <f>MIN(WTC60*$C$62,'Sources and Uses Budget'!$J$99-SUM('15 Year Pro Forma'!$E$62:WTB62))</f>
        <v>0</v>
      </c>
      <c r="WTE62" s="962">
        <f>MIN(WTE60*$C$62,'Sources and Uses Budget'!$J$99-SUM('15 Year Pro Forma'!$E$62:WTD62))</f>
        <v>0</v>
      </c>
      <c r="WTG62" s="962">
        <f>MIN(WTG60*$C$62,'Sources and Uses Budget'!$J$99-SUM('15 Year Pro Forma'!$E$62:WTF62))</f>
        <v>0</v>
      </c>
      <c r="WTI62" s="962">
        <f>MIN(WTI60*$C$62,'Sources and Uses Budget'!$J$99-SUM('15 Year Pro Forma'!$E$62:WTH62))</f>
        <v>0</v>
      </c>
      <c r="WTK62" s="962">
        <f>MIN(WTK60*$C$62,'Sources and Uses Budget'!$J$99-SUM('15 Year Pro Forma'!$E$62:WTJ62))</f>
        <v>0</v>
      </c>
      <c r="WTM62" s="962">
        <f>MIN(WTM60*$C$62,'Sources and Uses Budget'!$J$99-SUM('15 Year Pro Forma'!$E$62:WTL62))</f>
        <v>0</v>
      </c>
      <c r="WTO62" s="962">
        <f>MIN(WTO60*$C$62,'Sources and Uses Budget'!$J$99-SUM('15 Year Pro Forma'!$E$62:WTN62))</f>
        <v>0</v>
      </c>
      <c r="WTQ62" s="962">
        <f>MIN(WTQ60*$C$62,'Sources and Uses Budget'!$J$99-SUM('15 Year Pro Forma'!$E$62:WTP62))</f>
        <v>0</v>
      </c>
      <c r="WTS62" s="962">
        <f>MIN(WTS60*$C$62,'Sources and Uses Budget'!$J$99-SUM('15 Year Pro Forma'!$E$62:WTR62))</f>
        <v>0</v>
      </c>
      <c r="WTU62" s="962">
        <f>MIN(WTU60*$C$62,'Sources and Uses Budget'!$J$99-SUM('15 Year Pro Forma'!$E$62:WTT62))</f>
        <v>0</v>
      </c>
      <c r="WTW62" s="962">
        <f>MIN(WTW60*$C$62,'Sources and Uses Budget'!$J$99-SUM('15 Year Pro Forma'!$E$62:WTV62))</f>
        <v>0</v>
      </c>
      <c r="WTY62" s="962">
        <f>MIN(WTY60*$C$62,'Sources and Uses Budget'!$J$99-SUM('15 Year Pro Forma'!$E$62:WTX62))</f>
        <v>0</v>
      </c>
      <c r="WUA62" s="962">
        <f>MIN(WUA60*$C$62,'Sources and Uses Budget'!$J$99-SUM('15 Year Pro Forma'!$E$62:WTZ62))</f>
        <v>0</v>
      </c>
      <c r="WUC62" s="962">
        <f>MIN(WUC60*$C$62,'Sources and Uses Budget'!$J$99-SUM('15 Year Pro Forma'!$E$62:WUB62))</f>
        <v>0</v>
      </c>
      <c r="WUE62" s="962">
        <f>MIN(WUE60*$C$62,'Sources and Uses Budget'!$J$99-SUM('15 Year Pro Forma'!$E$62:WUD62))</f>
        <v>0</v>
      </c>
      <c r="WUG62" s="962">
        <f>MIN(WUG60*$C$62,'Sources and Uses Budget'!$J$99-SUM('15 Year Pro Forma'!$E$62:WUF62))</f>
        <v>0</v>
      </c>
      <c r="WUI62" s="962">
        <f>MIN(WUI60*$C$62,'Sources and Uses Budget'!$J$99-SUM('15 Year Pro Forma'!$E$62:WUH62))</f>
        <v>0</v>
      </c>
      <c r="WUK62" s="962">
        <f>MIN(WUK60*$C$62,'Sources and Uses Budget'!$J$99-SUM('15 Year Pro Forma'!$E$62:WUJ62))</f>
        <v>0</v>
      </c>
      <c r="WUM62" s="962">
        <f>MIN(WUM60*$C$62,'Sources and Uses Budget'!$J$99-SUM('15 Year Pro Forma'!$E$62:WUL62))</f>
        <v>0</v>
      </c>
      <c r="WUO62" s="962">
        <f>MIN(WUO60*$C$62,'Sources and Uses Budget'!$J$99-SUM('15 Year Pro Forma'!$E$62:WUN62))</f>
        <v>0</v>
      </c>
      <c r="WUQ62" s="962">
        <f>MIN(WUQ60*$C$62,'Sources and Uses Budget'!$J$99-SUM('15 Year Pro Forma'!$E$62:WUP62))</f>
        <v>0</v>
      </c>
      <c r="WUS62" s="962">
        <f>MIN(WUS60*$C$62,'Sources and Uses Budget'!$J$99-SUM('15 Year Pro Forma'!$E$62:WUR62))</f>
        <v>0</v>
      </c>
      <c r="WUU62" s="962">
        <f>MIN(WUU60*$C$62,'Sources and Uses Budget'!$J$99-SUM('15 Year Pro Forma'!$E$62:WUT62))</f>
        <v>0</v>
      </c>
      <c r="WUW62" s="962">
        <f>MIN(WUW60*$C$62,'Sources and Uses Budget'!$J$99-SUM('15 Year Pro Forma'!$E$62:WUV62))</f>
        <v>0</v>
      </c>
      <c r="WUY62" s="962">
        <f>MIN(WUY60*$C$62,'Sources and Uses Budget'!$J$99-SUM('15 Year Pro Forma'!$E$62:WUX62))</f>
        <v>0</v>
      </c>
      <c r="WVA62" s="962">
        <f>MIN(WVA60*$C$62,'Sources and Uses Budget'!$J$99-SUM('15 Year Pro Forma'!$E$62:WUZ62))</f>
        <v>0</v>
      </c>
      <c r="WVC62" s="962">
        <f>MIN(WVC60*$C$62,'Sources and Uses Budget'!$J$99-SUM('15 Year Pro Forma'!$E$62:WVB62))</f>
        <v>0</v>
      </c>
      <c r="WVE62" s="962">
        <f>MIN(WVE60*$C$62,'Sources and Uses Budget'!$J$99-SUM('15 Year Pro Forma'!$E$62:WVD62))</f>
        <v>0</v>
      </c>
      <c r="WVG62" s="962">
        <f>MIN(WVG60*$C$62,'Sources and Uses Budget'!$J$99-SUM('15 Year Pro Forma'!$E$62:WVF62))</f>
        <v>0</v>
      </c>
      <c r="WVI62" s="962">
        <f>MIN(WVI60*$C$62,'Sources and Uses Budget'!$J$99-SUM('15 Year Pro Forma'!$E$62:WVH62))</f>
        <v>0</v>
      </c>
      <c r="WVK62" s="962">
        <f>MIN(WVK60*$C$62,'Sources and Uses Budget'!$J$99-SUM('15 Year Pro Forma'!$E$62:WVJ62))</f>
        <v>0</v>
      </c>
      <c r="WVM62" s="962">
        <f>MIN(WVM60*$C$62,'Sources and Uses Budget'!$J$99-SUM('15 Year Pro Forma'!$E$62:WVL62))</f>
        <v>0</v>
      </c>
      <c r="WVO62" s="962">
        <f>MIN(WVO60*$C$62,'Sources and Uses Budget'!$J$99-SUM('15 Year Pro Forma'!$E$62:WVN62))</f>
        <v>0</v>
      </c>
      <c r="WVQ62" s="962">
        <f>MIN(WVQ60*$C$62,'Sources and Uses Budget'!$J$99-SUM('15 Year Pro Forma'!$E$62:WVP62))</f>
        <v>0</v>
      </c>
      <c r="WVS62" s="962">
        <f>MIN(WVS60*$C$62,'Sources and Uses Budget'!$J$99-SUM('15 Year Pro Forma'!$E$62:WVR62))</f>
        <v>0</v>
      </c>
      <c r="WVU62" s="962">
        <f>MIN(WVU60*$C$62,'Sources and Uses Budget'!$J$99-SUM('15 Year Pro Forma'!$E$62:WVT62))</f>
        <v>0</v>
      </c>
      <c r="WVW62" s="962">
        <f>MIN(WVW60*$C$62,'Sources and Uses Budget'!$J$99-SUM('15 Year Pro Forma'!$E$62:WVV62))</f>
        <v>0</v>
      </c>
      <c r="WVY62" s="962">
        <f>MIN(WVY60*$C$62,'Sources and Uses Budget'!$J$99-SUM('15 Year Pro Forma'!$E$62:WVX62))</f>
        <v>0</v>
      </c>
      <c r="WWA62" s="962">
        <f>MIN(WWA60*$C$62,'Sources and Uses Budget'!$J$99-SUM('15 Year Pro Forma'!$E$62:WVZ62))</f>
        <v>0</v>
      </c>
      <c r="WWC62" s="962">
        <f>MIN(WWC60*$C$62,'Sources and Uses Budget'!$J$99-SUM('15 Year Pro Forma'!$E$62:WWB62))</f>
        <v>0</v>
      </c>
      <c r="WWE62" s="962">
        <f>MIN(WWE60*$C$62,'Sources and Uses Budget'!$J$99-SUM('15 Year Pro Forma'!$E$62:WWD62))</f>
        <v>0</v>
      </c>
      <c r="WWG62" s="962">
        <f>MIN(WWG60*$C$62,'Sources and Uses Budget'!$J$99-SUM('15 Year Pro Forma'!$E$62:WWF62))</f>
        <v>0</v>
      </c>
      <c r="WWI62" s="962">
        <f>MIN(WWI60*$C$62,'Sources and Uses Budget'!$J$99-SUM('15 Year Pro Forma'!$E$62:WWH62))</f>
        <v>0</v>
      </c>
      <c r="WWK62" s="962">
        <f>MIN(WWK60*$C$62,'Sources and Uses Budget'!$J$99-SUM('15 Year Pro Forma'!$E$62:WWJ62))</f>
        <v>0</v>
      </c>
      <c r="WWM62" s="962">
        <f>MIN(WWM60*$C$62,'Sources and Uses Budget'!$J$99-SUM('15 Year Pro Forma'!$E$62:WWL62))</f>
        <v>0</v>
      </c>
      <c r="WWO62" s="962">
        <f>MIN(WWO60*$C$62,'Sources and Uses Budget'!$J$99-SUM('15 Year Pro Forma'!$E$62:WWN62))</f>
        <v>0</v>
      </c>
      <c r="WWQ62" s="962">
        <f>MIN(WWQ60*$C$62,'Sources and Uses Budget'!$J$99-SUM('15 Year Pro Forma'!$E$62:WWP62))</f>
        <v>0</v>
      </c>
      <c r="WWS62" s="962">
        <f>MIN(WWS60*$C$62,'Sources and Uses Budget'!$J$99-SUM('15 Year Pro Forma'!$E$62:WWR62))</f>
        <v>0</v>
      </c>
      <c r="WWU62" s="962">
        <f>MIN(WWU60*$C$62,'Sources and Uses Budget'!$J$99-SUM('15 Year Pro Forma'!$E$62:WWT62))</f>
        <v>0</v>
      </c>
      <c r="WWW62" s="962">
        <f>MIN(WWW60*$C$62,'Sources and Uses Budget'!$J$99-SUM('15 Year Pro Forma'!$E$62:WWV62))</f>
        <v>0</v>
      </c>
      <c r="WWY62" s="962">
        <f>MIN(WWY60*$C$62,'Sources and Uses Budget'!$J$99-SUM('15 Year Pro Forma'!$E$62:WWX62))</f>
        <v>0</v>
      </c>
      <c r="WXA62" s="962">
        <f>MIN(WXA60*$C$62,'Sources and Uses Budget'!$J$99-SUM('15 Year Pro Forma'!$E$62:WWZ62))</f>
        <v>0</v>
      </c>
      <c r="WXC62" s="962">
        <f>MIN(WXC60*$C$62,'Sources and Uses Budget'!$J$99-SUM('15 Year Pro Forma'!$E$62:WXB62))</f>
        <v>0</v>
      </c>
      <c r="WXE62" s="962">
        <f>MIN(WXE60*$C$62,'Sources and Uses Budget'!$J$99-SUM('15 Year Pro Forma'!$E$62:WXD62))</f>
        <v>0</v>
      </c>
      <c r="WXG62" s="962">
        <f>MIN(WXG60*$C$62,'Sources and Uses Budget'!$J$99-SUM('15 Year Pro Forma'!$E$62:WXF62))</f>
        <v>0</v>
      </c>
      <c r="WXI62" s="962">
        <f>MIN(WXI60*$C$62,'Sources and Uses Budget'!$J$99-SUM('15 Year Pro Forma'!$E$62:WXH62))</f>
        <v>0</v>
      </c>
      <c r="WXK62" s="962">
        <f>MIN(WXK60*$C$62,'Sources and Uses Budget'!$J$99-SUM('15 Year Pro Forma'!$E$62:WXJ62))</f>
        <v>0</v>
      </c>
      <c r="WXM62" s="962">
        <f>MIN(WXM60*$C$62,'Sources and Uses Budget'!$J$99-SUM('15 Year Pro Forma'!$E$62:WXL62))</f>
        <v>0</v>
      </c>
      <c r="WXO62" s="962">
        <f>MIN(WXO60*$C$62,'Sources and Uses Budget'!$J$99-SUM('15 Year Pro Forma'!$E$62:WXN62))</f>
        <v>0</v>
      </c>
      <c r="WXQ62" s="962">
        <f>MIN(WXQ60*$C$62,'Sources and Uses Budget'!$J$99-SUM('15 Year Pro Forma'!$E$62:WXP62))</f>
        <v>0</v>
      </c>
      <c r="WXS62" s="962">
        <f>MIN(WXS60*$C$62,'Sources and Uses Budget'!$J$99-SUM('15 Year Pro Forma'!$E$62:WXR62))</f>
        <v>0</v>
      </c>
      <c r="WXU62" s="962">
        <f>MIN(WXU60*$C$62,'Sources and Uses Budget'!$J$99-SUM('15 Year Pro Forma'!$E$62:WXT62))</f>
        <v>0</v>
      </c>
      <c r="WXW62" s="962">
        <f>MIN(WXW60*$C$62,'Sources and Uses Budget'!$J$99-SUM('15 Year Pro Forma'!$E$62:WXV62))</f>
        <v>0</v>
      </c>
      <c r="WXY62" s="962">
        <f>MIN(WXY60*$C$62,'Sources and Uses Budget'!$J$99-SUM('15 Year Pro Forma'!$E$62:WXX62))</f>
        <v>0</v>
      </c>
      <c r="WYA62" s="962">
        <f>MIN(WYA60*$C$62,'Sources and Uses Budget'!$J$99-SUM('15 Year Pro Forma'!$E$62:WXZ62))</f>
        <v>0</v>
      </c>
      <c r="WYC62" s="962">
        <f>MIN(WYC60*$C$62,'Sources and Uses Budget'!$J$99-SUM('15 Year Pro Forma'!$E$62:WYB62))</f>
        <v>0</v>
      </c>
      <c r="WYE62" s="962">
        <f>MIN(WYE60*$C$62,'Sources and Uses Budget'!$J$99-SUM('15 Year Pro Forma'!$E$62:WYD62))</f>
        <v>0</v>
      </c>
      <c r="WYG62" s="962">
        <f>MIN(WYG60*$C$62,'Sources and Uses Budget'!$J$99-SUM('15 Year Pro Forma'!$E$62:WYF62))</f>
        <v>0</v>
      </c>
      <c r="WYI62" s="962">
        <f>MIN(WYI60*$C$62,'Sources and Uses Budget'!$J$99-SUM('15 Year Pro Forma'!$E$62:WYH62))</f>
        <v>0</v>
      </c>
      <c r="WYK62" s="962">
        <f>MIN(WYK60*$C$62,'Sources and Uses Budget'!$J$99-SUM('15 Year Pro Forma'!$E$62:WYJ62))</f>
        <v>0</v>
      </c>
      <c r="WYM62" s="962">
        <f>MIN(WYM60*$C$62,'Sources and Uses Budget'!$J$99-SUM('15 Year Pro Forma'!$E$62:WYL62))</f>
        <v>0</v>
      </c>
      <c r="WYO62" s="962">
        <f>MIN(WYO60*$C$62,'Sources and Uses Budget'!$J$99-SUM('15 Year Pro Forma'!$E$62:WYN62))</f>
        <v>0</v>
      </c>
      <c r="WYQ62" s="962">
        <f>MIN(WYQ60*$C$62,'Sources and Uses Budget'!$J$99-SUM('15 Year Pro Forma'!$E$62:WYP62))</f>
        <v>0</v>
      </c>
      <c r="WYS62" s="962">
        <f>MIN(WYS60*$C$62,'Sources and Uses Budget'!$J$99-SUM('15 Year Pro Forma'!$E$62:WYR62))</f>
        <v>0</v>
      </c>
      <c r="WYU62" s="962">
        <f>MIN(WYU60*$C$62,'Sources and Uses Budget'!$J$99-SUM('15 Year Pro Forma'!$E$62:WYT62))</f>
        <v>0</v>
      </c>
      <c r="WYW62" s="962">
        <f>MIN(WYW60*$C$62,'Sources and Uses Budget'!$J$99-SUM('15 Year Pro Forma'!$E$62:WYV62))</f>
        <v>0</v>
      </c>
      <c r="WYY62" s="962">
        <f>MIN(WYY60*$C$62,'Sources and Uses Budget'!$J$99-SUM('15 Year Pro Forma'!$E$62:WYX62))</f>
        <v>0</v>
      </c>
      <c r="WZA62" s="962">
        <f>MIN(WZA60*$C$62,'Sources and Uses Budget'!$J$99-SUM('15 Year Pro Forma'!$E$62:WYZ62))</f>
        <v>0</v>
      </c>
      <c r="WZC62" s="962">
        <f>MIN(WZC60*$C$62,'Sources and Uses Budget'!$J$99-SUM('15 Year Pro Forma'!$E$62:WZB62))</f>
        <v>0</v>
      </c>
      <c r="WZE62" s="962">
        <f>MIN(WZE60*$C$62,'Sources and Uses Budget'!$J$99-SUM('15 Year Pro Forma'!$E$62:WZD62))</f>
        <v>0</v>
      </c>
      <c r="WZG62" s="962">
        <f>MIN(WZG60*$C$62,'Sources and Uses Budget'!$J$99-SUM('15 Year Pro Forma'!$E$62:WZF62))</f>
        <v>0</v>
      </c>
      <c r="WZI62" s="962">
        <f>MIN(WZI60*$C$62,'Sources and Uses Budget'!$J$99-SUM('15 Year Pro Forma'!$E$62:WZH62))</f>
        <v>0</v>
      </c>
      <c r="WZK62" s="962">
        <f>MIN(WZK60*$C$62,'Sources and Uses Budget'!$J$99-SUM('15 Year Pro Forma'!$E$62:WZJ62))</f>
        <v>0</v>
      </c>
      <c r="WZM62" s="962">
        <f>MIN(WZM60*$C$62,'Sources and Uses Budget'!$J$99-SUM('15 Year Pro Forma'!$E$62:WZL62))</f>
        <v>0</v>
      </c>
      <c r="WZO62" s="962">
        <f>MIN(WZO60*$C$62,'Sources and Uses Budget'!$J$99-SUM('15 Year Pro Forma'!$E$62:WZN62))</f>
        <v>0</v>
      </c>
      <c r="WZQ62" s="962">
        <f>MIN(WZQ60*$C$62,'Sources and Uses Budget'!$J$99-SUM('15 Year Pro Forma'!$E$62:WZP62))</f>
        <v>0</v>
      </c>
      <c r="WZS62" s="962">
        <f>MIN(WZS60*$C$62,'Sources and Uses Budget'!$J$99-SUM('15 Year Pro Forma'!$E$62:WZR62))</f>
        <v>0</v>
      </c>
      <c r="WZU62" s="962">
        <f>MIN(WZU60*$C$62,'Sources and Uses Budget'!$J$99-SUM('15 Year Pro Forma'!$E$62:WZT62))</f>
        <v>0</v>
      </c>
      <c r="WZW62" s="962">
        <f>MIN(WZW60*$C$62,'Sources and Uses Budget'!$J$99-SUM('15 Year Pro Forma'!$E$62:WZV62))</f>
        <v>0</v>
      </c>
      <c r="WZY62" s="962">
        <f>MIN(WZY60*$C$62,'Sources and Uses Budget'!$J$99-SUM('15 Year Pro Forma'!$E$62:WZX62))</f>
        <v>0</v>
      </c>
      <c r="XAA62" s="962">
        <f>MIN(XAA60*$C$62,'Sources and Uses Budget'!$J$99-SUM('15 Year Pro Forma'!$E$62:WZZ62))</f>
        <v>0</v>
      </c>
      <c r="XAC62" s="962">
        <f>MIN(XAC60*$C$62,'Sources and Uses Budget'!$J$99-SUM('15 Year Pro Forma'!$E$62:XAB62))</f>
        <v>0</v>
      </c>
      <c r="XAE62" s="962">
        <f>MIN(XAE60*$C$62,'Sources and Uses Budget'!$J$99-SUM('15 Year Pro Forma'!$E$62:XAD62))</f>
        <v>0</v>
      </c>
      <c r="XAG62" s="962">
        <f>MIN(XAG60*$C$62,'Sources and Uses Budget'!$J$99-SUM('15 Year Pro Forma'!$E$62:XAF62))</f>
        <v>0</v>
      </c>
      <c r="XAI62" s="962">
        <f>MIN(XAI60*$C$62,'Sources and Uses Budget'!$J$99-SUM('15 Year Pro Forma'!$E$62:XAH62))</f>
        <v>0</v>
      </c>
      <c r="XAK62" s="962">
        <f>MIN(XAK60*$C$62,'Sources and Uses Budget'!$J$99-SUM('15 Year Pro Forma'!$E$62:XAJ62))</f>
        <v>0</v>
      </c>
      <c r="XAM62" s="962">
        <f>MIN(XAM60*$C$62,'Sources and Uses Budget'!$J$99-SUM('15 Year Pro Forma'!$E$62:XAL62))</f>
        <v>0</v>
      </c>
      <c r="XAO62" s="962">
        <f>MIN(XAO60*$C$62,'Sources and Uses Budget'!$J$99-SUM('15 Year Pro Forma'!$E$62:XAN62))</f>
        <v>0</v>
      </c>
      <c r="XAQ62" s="962">
        <f>MIN(XAQ60*$C$62,'Sources and Uses Budget'!$J$99-SUM('15 Year Pro Forma'!$E$62:XAP62))</f>
        <v>0</v>
      </c>
      <c r="XAS62" s="962">
        <f>MIN(XAS60*$C$62,'Sources and Uses Budget'!$J$99-SUM('15 Year Pro Forma'!$E$62:XAR62))</f>
        <v>0</v>
      </c>
      <c r="XAU62" s="962">
        <f>MIN(XAU60*$C$62,'Sources and Uses Budget'!$J$99-SUM('15 Year Pro Forma'!$E$62:XAT62))</f>
        <v>0</v>
      </c>
      <c r="XAW62" s="962">
        <f>MIN(XAW60*$C$62,'Sources and Uses Budget'!$J$99-SUM('15 Year Pro Forma'!$E$62:XAV62))</f>
        <v>0</v>
      </c>
      <c r="XAY62" s="962">
        <f>MIN(XAY60*$C$62,'Sources and Uses Budget'!$J$99-SUM('15 Year Pro Forma'!$E$62:XAX62))</f>
        <v>0</v>
      </c>
      <c r="XBA62" s="962">
        <f>MIN(XBA60*$C$62,'Sources and Uses Budget'!$J$99-SUM('15 Year Pro Forma'!$E$62:XAZ62))</f>
        <v>0</v>
      </c>
      <c r="XBC62" s="962">
        <f>MIN(XBC60*$C$62,'Sources and Uses Budget'!$J$99-SUM('15 Year Pro Forma'!$E$62:XBB62))</f>
        <v>0</v>
      </c>
      <c r="XBE62" s="962">
        <f>MIN(XBE60*$C$62,'Sources and Uses Budget'!$J$99-SUM('15 Year Pro Forma'!$E$62:XBD62))</f>
        <v>0</v>
      </c>
      <c r="XBG62" s="962">
        <f>MIN(XBG60*$C$62,'Sources and Uses Budget'!$J$99-SUM('15 Year Pro Forma'!$E$62:XBF62))</f>
        <v>0</v>
      </c>
      <c r="XBI62" s="962">
        <f>MIN(XBI60*$C$62,'Sources and Uses Budget'!$J$99-SUM('15 Year Pro Forma'!$E$62:XBH62))</f>
        <v>0</v>
      </c>
      <c r="XBK62" s="962">
        <f>MIN(XBK60*$C$62,'Sources and Uses Budget'!$J$99-SUM('15 Year Pro Forma'!$E$62:XBJ62))</f>
        <v>0</v>
      </c>
      <c r="XBM62" s="962">
        <f>MIN(XBM60*$C$62,'Sources and Uses Budget'!$J$99-SUM('15 Year Pro Forma'!$E$62:XBL62))</f>
        <v>0</v>
      </c>
      <c r="XBO62" s="962">
        <f>MIN(XBO60*$C$62,'Sources and Uses Budget'!$J$99-SUM('15 Year Pro Forma'!$E$62:XBN62))</f>
        <v>0</v>
      </c>
      <c r="XBQ62" s="962">
        <f>MIN(XBQ60*$C$62,'Sources and Uses Budget'!$J$99-SUM('15 Year Pro Forma'!$E$62:XBP62))</f>
        <v>0</v>
      </c>
      <c r="XBS62" s="962">
        <f>MIN(XBS60*$C$62,'Sources and Uses Budget'!$J$99-SUM('15 Year Pro Forma'!$E$62:XBR62))</f>
        <v>0</v>
      </c>
      <c r="XBU62" s="962">
        <f>MIN(XBU60*$C$62,'Sources and Uses Budget'!$J$99-SUM('15 Year Pro Forma'!$E$62:XBT62))</f>
        <v>0</v>
      </c>
      <c r="XBW62" s="962">
        <f>MIN(XBW60*$C$62,'Sources and Uses Budget'!$J$99-SUM('15 Year Pro Forma'!$E$62:XBV62))</f>
        <v>0</v>
      </c>
      <c r="XBY62" s="962">
        <f>MIN(XBY60*$C$62,'Sources and Uses Budget'!$J$99-SUM('15 Year Pro Forma'!$E$62:XBX62))</f>
        <v>0</v>
      </c>
      <c r="XCA62" s="962">
        <f>MIN(XCA60*$C$62,'Sources and Uses Budget'!$J$99-SUM('15 Year Pro Forma'!$E$62:XBZ62))</f>
        <v>0</v>
      </c>
      <c r="XCC62" s="962">
        <f>MIN(XCC60*$C$62,'Sources and Uses Budget'!$J$99-SUM('15 Year Pro Forma'!$E$62:XCB62))</f>
        <v>0</v>
      </c>
      <c r="XCE62" s="962">
        <f>MIN(XCE60*$C$62,'Sources and Uses Budget'!$J$99-SUM('15 Year Pro Forma'!$E$62:XCD62))</f>
        <v>0</v>
      </c>
      <c r="XCG62" s="962">
        <f>MIN(XCG60*$C$62,'Sources and Uses Budget'!$J$99-SUM('15 Year Pro Forma'!$E$62:XCF62))</f>
        <v>0</v>
      </c>
      <c r="XCI62" s="962">
        <f>MIN(XCI60*$C$62,'Sources and Uses Budget'!$J$99-SUM('15 Year Pro Forma'!$E$62:XCH62))</f>
        <v>0</v>
      </c>
      <c r="XCK62" s="962">
        <f>MIN(XCK60*$C$62,'Sources and Uses Budget'!$J$99-SUM('15 Year Pro Forma'!$E$62:XCJ62))</f>
        <v>0</v>
      </c>
      <c r="XCM62" s="962">
        <f>MIN(XCM60*$C$62,'Sources and Uses Budget'!$J$99-SUM('15 Year Pro Forma'!$E$62:XCL62))</f>
        <v>0</v>
      </c>
      <c r="XCO62" s="962">
        <f>MIN(XCO60*$C$62,'Sources and Uses Budget'!$J$99-SUM('15 Year Pro Forma'!$E$62:XCN62))</f>
        <v>0</v>
      </c>
      <c r="XCQ62" s="962">
        <f>MIN(XCQ60*$C$62,'Sources and Uses Budget'!$J$99-SUM('15 Year Pro Forma'!$E$62:XCP62))</f>
        <v>0</v>
      </c>
      <c r="XCS62" s="962">
        <f>MIN(XCS60*$C$62,'Sources and Uses Budget'!$J$99-SUM('15 Year Pro Forma'!$E$62:XCR62))</f>
        <v>0</v>
      </c>
      <c r="XCU62" s="962">
        <f>MIN(XCU60*$C$62,'Sources and Uses Budget'!$J$99-SUM('15 Year Pro Forma'!$E$62:XCT62))</f>
        <v>0</v>
      </c>
      <c r="XCW62" s="962">
        <f>MIN(XCW60*$C$62,'Sources and Uses Budget'!$J$99-SUM('15 Year Pro Forma'!$E$62:XCV62))</f>
        <v>0</v>
      </c>
      <c r="XCY62" s="962">
        <f>MIN(XCY60*$C$62,'Sources and Uses Budget'!$J$99-SUM('15 Year Pro Forma'!$E$62:XCX62))</f>
        <v>0</v>
      </c>
      <c r="XDA62" s="962">
        <f>MIN(XDA60*$C$62,'Sources and Uses Budget'!$J$99-SUM('15 Year Pro Forma'!$E$62:XCZ62))</f>
        <v>0</v>
      </c>
      <c r="XDC62" s="962">
        <f>MIN(XDC60*$C$62,'Sources and Uses Budget'!$J$99-SUM('15 Year Pro Forma'!$E$62:XDB62))</f>
        <v>0</v>
      </c>
      <c r="XDE62" s="962">
        <f>MIN(XDE60*$C$62,'Sources and Uses Budget'!$J$99-SUM('15 Year Pro Forma'!$E$62:XDD62))</f>
        <v>0</v>
      </c>
      <c r="XDG62" s="962">
        <f>MIN(XDG60*$C$62,'Sources and Uses Budget'!$J$99-SUM('15 Year Pro Forma'!$E$62:XDF62))</f>
        <v>0</v>
      </c>
      <c r="XDI62" s="962">
        <f>MIN(XDI60*$C$62,'Sources and Uses Budget'!$J$99-SUM('15 Year Pro Forma'!$E$62:XDH62))</f>
        <v>0</v>
      </c>
      <c r="XDK62" s="962">
        <f>MIN(XDK60*$C$62,'Sources and Uses Budget'!$J$99-SUM('15 Year Pro Forma'!$E$62:XDJ62))</f>
        <v>0</v>
      </c>
      <c r="XDM62" s="962">
        <f>MIN(XDM60*$C$62,'Sources and Uses Budget'!$J$99-SUM('15 Year Pro Forma'!$E$62:XDL62))</f>
        <v>0</v>
      </c>
      <c r="XDO62" s="962">
        <f>MIN(XDO60*$C$62,'Sources and Uses Budget'!$J$99-SUM('15 Year Pro Forma'!$E$62:XDN62))</f>
        <v>0</v>
      </c>
      <c r="XDQ62" s="962">
        <f>MIN(XDQ60*$C$62,'Sources and Uses Budget'!$J$99-SUM('15 Year Pro Forma'!$E$62:XDP62))</f>
        <v>0</v>
      </c>
      <c r="XDS62" s="962">
        <f>MIN(XDS60*$C$62,'Sources and Uses Budget'!$J$99-SUM('15 Year Pro Forma'!$E$62:XDR62))</f>
        <v>0</v>
      </c>
      <c r="XDU62" s="962">
        <f>MIN(XDU60*$C$62,'Sources and Uses Budget'!$J$99-SUM('15 Year Pro Forma'!$E$62:XDT62))</f>
        <v>0</v>
      </c>
      <c r="XDW62" s="962">
        <f>MIN(XDW60*$C$62,'Sources and Uses Budget'!$J$99-SUM('15 Year Pro Forma'!$E$62:XDV62))</f>
        <v>0</v>
      </c>
      <c r="XDY62" s="962">
        <f>MIN(XDY60*$C$62,'Sources and Uses Budget'!$J$99-SUM('15 Year Pro Forma'!$E$62:XDX62))</f>
        <v>0</v>
      </c>
      <c r="XEA62" s="962">
        <f>MIN(XEA60*$C$62,'Sources and Uses Budget'!$J$99-SUM('15 Year Pro Forma'!$E$62:XDZ62))</f>
        <v>0</v>
      </c>
      <c r="XEC62" s="962">
        <f>MIN(XEC60*$C$62,'Sources and Uses Budget'!$J$99-SUM('15 Year Pro Forma'!$E$62:XEB62))</f>
        <v>0</v>
      </c>
      <c r="XEE62" s="962">
        <f>MIN(XEE60*$C$62,'Sources and Uses Budget'!$J$99-SUM('15 Year Pro Forma'!$E$62:XED62))</f>
        <v>0</v>
      </c>
      <c r="XEG62" s="962">
        <f>MIN(XEG60*$C$62,'Sources and Uses Budget'!$J$99-SUM('15 Year Pro Forma'!$E$62:XEF62))</f>
        <v>0</v>
      </c>
      <c r="XEI62" s="962">
        <f>MIN(XEI60*$C$62,'Sources and Uses Budget'!$J$99-SUM('15 Year Pro Forma'!$E$62:XEH62))</f>
        <v>0</v>
      </c>
      <c r="XEK62" s="962">
        <f>MIN(XEK60*$C$62,'Sources and Uses Budget'!$J$99-SUM('15 Year Pro Forma'!$E$62:XEJ62))</f>
        <v>0</v>
      </c>
      <c r="XEM62" s="962">
        <f>MIN(XEM60*$C$62,'Sources and Uses Budget'!$J$99-SUM('15 Year Pro Forma'!$E$62:XEL62))</f>
        <v>0</v>
      </c>
      <c r="XEO62" s="962">
        <f>MIN(XEO60*$C$62,'Sources and Uses Budget'!$J$99-SUM('15 Year Pro Forma'!$E$62:XEN62))</f>
        <v>0</v>
      </c>
      <c r="XEQ62" s="962">
        <f>MIN(XEQ60*$C$62,'Sources and Uses Budget'!$J$99-SUM('15 Year Pro Forma'!$E$62:XEP62))</f>
        <v>0</v>
      </c>
      <c r="XES62" s="962">
        <f>MIN(XES60*$C$62,'Sources and Uses Budget'!$J$99-SUM('15 Year Pro Forma'!$E$62:XER62))</f>
        <v>0</v>
      </c>
      <c r="XEU62" s="962">
        <f>MIN(XEU60*$C$62,'Sources and Uses Budget'!$J$99-SUM('15 Year Pro Forma'!$E$62:XET62))</f>
        <v>0</v>
      </c>
      <c r="XEW62" s="962">
        <f>MIN(XEW60*$C$62,'Sources and Uses Budget'!$J$99-SUM('15 Year Pro Forma'!$E$62:XEV62))</f>
        <v>0</v>
      </c>
      <c r="XEY62" s="962">
        <f>MIN(XEY60*$C$62,'Sources and Uses Budget'!$J$99-SUM('15 Year Pro Forma'!$E$62:XEX62))</f>
        <v>0</v>
      </c>
      <c r="XFA62" s="962">
        <f>MIN(XFA60*$C$62,'Sources and Uses Budget'!$J$99-SUM('15 Year Pro Forma'!$E$62:XEZ62))</f>
        <v>0</v>
      </c>
      <c r="XFC62" s="962">
        <f>MIN(XFC60*$C$62,'Sources and Uses Budget'!$J$99-SUM('15 Year Pro Forma'!$E$62:XFB62))</f>
        <v>0</v>
      </c>
    </row>
    <row r="63" spans="1:1023 1025:2047 2049:3071 3073:4095 4097:5119 5121:6143 6145:7167 7169:8191 8193:9215 9217:10239 10241:11263 11265:12287 12289:13311 13313:14335 14337:15359 15361:16383" s="962" customFormat="1">
      <c r="A63" s="2694" t="s">
        <v>2729</v>
      </c>
      <c r="B63" s="2694"/>
      <c r="C63" s="2694"/>
    </row>
    <row r="64" spans="1:1023 1025:2047 2049:3071 3073:4095 4097:5119 5121:6143 6145:7167 7169:8191 8193:9215 9217:10239 10241:11263 11265:12287 12289:13311 13313:14335 14337:15359 15361:16383" s="3" customFormat="1" ht="8.25" customHeight="1">
      <c r="C64" s="961"/>
      <c r="E64" s="960"/>
      <c r="F64" s="960"/>
      <c r="G64" s="960"/>
      <c r="H64" s="960"/>
      <c r="I64" s="960"/>
      <c r="J64" s="960"/>
      <c r="K64" s="960"/>
      <c r="L64" s="960"/>
      <c r="M64" s="960"/>
      <c r="N64" s="960"/>
      <c r="O64" s="960"/>
      <c r="P64" s="960"/>
      <c r="Q64" s="960"/>
      <c r="R64" s="960"/>
      <c r="S64" s="960"/>
      <c r="T64" s="960"/>
      <c r="U64" s="960"/>
      <c r="V64" s="960"/>
      <c r="W64" s="960"/>
      <c r="X64" s="960"/>
      <c r="Y64" s="960"/>
      <c r="Z64" s="960"/>
      <c r="AA64" s="960"/>
      <c r="AB64" s="960"/>
      <c r="AC64" s="960"/>
      <c r="AD64" s="960"/>
      <c r="AE64" s="960"/>
      <c r="AF64" s="960"/>
      <c r="AG64" s="960"/>
      <c r="AH64" s="960"/>
    </row>
    <row r="65" spans="1:1023 1025:2047 2049:3071 3073:4095 4097:5119 5121:6143 6145:7167 7169:8191 8193:9215 9217:10239 10241:11263 11265:12287 12289:13311 13313:14335 14337:15359 15361:16383" s="3" customFormat="1">
      <c r="A65" s="3" t="s">
        <v>861</v>
      </c>
      <c r="C65" s="959">
        <v>0.25</v>
      </c>
      <c r="E65" s="960"/>
      <c r="F65" s="960"/>
      <c r="G65" s="960"/>
      <c r="H65" s="960"/>
      <c r="I65" s="960"/>
      <c r="J65" s="960"/>
      <c r="K65" s="960"/>
      <c r="L65" s="960"/>
      <c r="M65" s="960"/>
      <c r="N65" s="960"/>
      <c r="O65" s="960"/>
      <c r="P65" s="960"/>
      <c r="Q65" s="960"/>
      <c r="R65" s="960"/>
      <c r="S65" s="960"/>
      <c r="T65" s="960"/>
      <c r="U65" s="960"/>
      <c r="V65" s="960"/>
      <c r="W65" s="960"/>
      <c r="X65" s="960"/>
      <c r="Y65" s="960"/>
      <c r="Z65" s="960"/>
      <c r="AA65" s="960"/>
      <c r="AB65" s="960"/>
      <c r="AC65" s="960"/>
      <c r="AD65" s="960"/>
      <c r="AE65" s="960"/>
      <c r="AF65" s="960"/>
      <c r="AG65" s="960"/>
      <c r="AH65" s="960"/>
    </row>
    <row r="66" spans="1:1023 1025:2047 2049:3071 3073:4095 4097:5119 5121:6143 6145:7167 7169:8191 8193:9215 9217:10239 10241:11263 11265:12287 12289:13311 13313:14335 14337:15359 15361:16383" s="962" customFormat="1">
      <c r="A66" s="964" t="s">
        <v>1277</v>
      </c>
      <c r="B66" s="964"/>
      <c r="C66" s="963"/>
      <c r="E66" s="964">
        <f>$E60*$C$65</f>
        <v>44959.885470453417</v>
      </c>
      <c r="G66" s="960">
        <f>MIN(G60-G62,'Sources and Uses Budget'!$G$108-SUM('15 Year Pro Forma'!$E$66:F66))</f>
        <v>52813.328595453408</v>
      </c>
      <c r="I66" s="960">
        <f>MIN(I60-I62,'Sources and Uses Budget'!$G$108-SUM('15 Year Pro Forma'!$E$66:H66))</f>
        <v>60800.201473578316</v>
      </c>
      <c r="K66" s="960">
        <f>MIN(K60-K62,'Sources and Uses Budget'!$G$108-SUM('15 Year Pro Forma'!$E$66:J66))</f>
        <v>68921.64150228136</v>
      </c>
      <c r="M66" s="960">
        <f>MIN(M60-M62,'Sources and Uses Budget'!$G$108-SUM('15 Year Pro Forma'!$E$66:L66))</f>
        <v>77178.737678703765</v>
      </c>
      <c r="O66" s="960">
        <f>MIN(O60-O62,'Sources and Uses Budget'!$G$108-SUM('15 Year Pro Forma'!$E$66:N66))</f>
        <v>85572.526703752636</v>
      </c>
      <c r="Q66" s="960">
        <f>MIN(Q60-Q62,'Sources and Uses Budget'!$G$108-SUM('15 Year Pro Forma'!$E$66:P66))</f>
        <v>94103.988894874055</v>
      </c>
      <c r="S66" s="960">
        <f>MIN(S60-S62,'Sources and Uses Budget'!$G$108-SUM('15 Year Pro Forma'!$E$66:R66))</f>
        <v>102774.04389945802</v>
      </c>
      <c r="U66" s="960">
        <f>MIN(U60-U62,'Sources and Uses Budget'!$G$108-SUM('15 Year Pro Forma'!$E$66:T66))</f>
        <v>111583.54620049184</v>
      </c>
      <c r="W66" s="960">
        <f>MIN(W60-W62,'Sources and Uses Budget'!$G$108-SUM('15 Year Pro Forma'!$E$66:V66))</f>
        <v>120533.2804057477</v>
      </c>
      <c r="Y66" s="960">
        <f>MIN(Y60-Y62,'Sources and Uses Budget'!$G$108-SUM('15 Year Pro Forma'!$E$66:X66))</f>
        <v>129623.95631145791</v>
      </c>
      <c r="AA66" s="960">
        <f>MIN(AA60-AA62,'Sources and Uses Budget'!$G$108-SUM('15 Year Pro Forma'!$E$66:Z66))</f>
        <v>138856.20373106957</v>
      </c>
      <c r="AC66" s="960">
        <f>MIN(AC60-AC62,'Sources and Uses Budget'!$G$108-SUM('15 Year Pro Forma'!$E$66:AB66))</f>
        <v>148230.56707930361</v>
      </c>
      <c r="AE66" s="960">
        <f>MIN(AE60-AE62,'Sources and Uses Budget'!$G$108-SUM('15 Year Pro Forma'!$E$66:AD66))</f>
        <v>157747.49970137165</v>
      </c>
      <c r="AG66" s="960">
        <f>MIN(AG60-AG62,'Sources and Uses Budget'!$G$108-SUM('15 Year Pro Forma'!$E$66:AF66))</f>
        <v>167407.35793679743</v>
      </c>
      <c r="AI66" s="960">
        <f>MIN(AI60-AI62,'Sources and Uses Budget'!AI108-SUM('15 Year Pro Forma'!AG66:AH66))</f>
        <v>-167407.35793679743</v>
      </c>
      <c r="AK66" s="960">
        <f>MIN(AK60-AK62,'Sources and Uses Budget'!AK108-SUM('15 Year Pro Forma'!AI66:AJ66))</f>
        <v>0</v>
      </c>
      <c r="AM66" s="960">
        <f>MIN(AM60-AM62,'Sources and Uses Budget'!AM108-SUM('15 Year Pro Forma'!AK66:AL66))</f>
        <v>0</v>
      </c>
      <c r="AO66" s="960">
        <f>MIN(AO60-AO62,'Sources and Uses Budget'!AO108-SUM('15 Year Pro Forma'!AM66:AN66))</f>
        <v>0</v>
      </c>
      <c r="AQ66" s="960">
        <f>MIN(AQ60-AQ62,'Sources and Uses Budget'!AQ108-SUM('15 Year Pro Forma'!AO66:AP66))</f>
        <v>0</v>
      </c>
      <c r="AS66" s="960">
        <f>MIN(AS60-AS62,'Sources and Uses Budget'!AS108-SUM('15 Year Pro Forma'!AQ66:AR66))</f>
        <v>0</v>
      </c>
      <c r="AU66" s="960">
        <f>MIN(AU60-AU62,'Sources and Uses Budget'!AU108-SUM('15 Year Pro Forma'!AS66:AT66))</f>
        <v>0</v>
      </c>
      <c r="AW66" s="960">
        <f>MIN(AW60-AW62,'Sources and Uses Budget'!AW108-SUM('15 Year Pro Forma'!AU66:AV66))</f>
        <v>0</v>
      </c>
      <c r="AY66" s="960">
        <f>MIN(AY60-AY62,'Sources and Uses Budget'!AY108-SUM('15 Year Pro Forma'!AW66:AX66))</f>
        <v>0</v>
      </c>
      <c r="BA66" s="960">
        <f>MIN(BA60-BA62,'Sources and Uses Budget'!BA108-SUM('15 Year Pro Forma'!AY66:AZ66))</f>
        <v>0</v>
      </c>
      <c r="BC66" s="960">
        <f>MIN(BC60-BC62,'Sources and Uses Budget'!BC108-SUM('15 Year Pro Forma'!BA66:BB66))</f>
        <v>0</v>
      </c>
      <c r="BE66" s="960">
        <f>MIN(BE60-BE62,'Sources and Uses Budget'!BE108-SUM('15 Year Pro Forma'!BC66:BD66))</f>
        <v>0</v>
      </c>
      <c r="BG66" s="960">
        <f>MIN(BG60-BG62,'Sources and Uses Budget'!BG108-SUM('15 Year Pro Forma'!BE66:BF66))</f>
        <v>0</v>
      </c>
      <c r="BI66" s="960">
        <f>MIN(BI60-BI62,'Sources and Uses Budget'!BI108-SUM('15 Year Pro Forma'!BG66:BH66))</f>
        <v>0</v>
      </c>
      <c r="BK66" s="960">
        <f>MIN(BK60-BK62,'Sources and Uses Budget'!BK108-SUM('15 Year Pro Forma'!BI66:BJ66))</f>
        <v>0</v>
      </c>
      <c r="BM66" s="960">
        <f>MIN(BM60-BM62,'Sources and Uses Budget'!BM108-SUM('15 Year Pro Forma'!BK66:BL66))</f>
        <v>0</v>
      </c>
      <c r="BO66" s="960">
        <f>MIN(BO60-BO62,'Sources and Uses Budget'!BO108-SUM('15 Year Pro Forma'!BM66:BN66))</f>
        <v>0</v>
      </c>
      <c r="BQ66" s="960">
        <f>MIN(BQ60-BQ62,'Sources and Uses Budget'!BQ108-SUM('15 Year Pro Forma'!BO66:BP66))</f>
        <v>0</v>
      </c>
      <c r="BS66" s="960">
        <f>MIN(BS60-BS62,'Sources and Uses Budget'!BS108-SUM('15 Year Pro Forma'!BQ66:BR66))</f>
        <v>0</v>
      </c>
      <c r="BU66" s="960">
        <f>MIN(BU60-BU62,'Sources and Uses Budget'!BU108-SUM('15 Year Pro Forma'!BS66:BT66))</f>
        <v>0</v>
      </c>
      <c r="BW66" s="960">
        <f>MIN(BW60-BW62,'Sources and Uses Budget'!BW108-SUM('15 Year Pro Forma'!BU66:BV66))</f>
        <v>0</v>
      </c>
      <c r="BY66" s="960">
        <f>MIN(BY60-BY62,'Sources and Uses Budget'!BY108-SUM('15 Year Pro Forma'!BW66:BX66))</f>
        <v>0</v>
      </c>
      <c r="CA66" s="960">
        <f>MIN(CA60-CA62,'Sources and Uses Budget'!CA108-SUM('15 Year Pro Forma'!BY66:BZ66))</f>
        <v>0</v>
      </c>
      <c r="CC66" s="960">
        <f>MIN(CC60-CC62,'Sources and Uses Budget'!CC108-SUM('15 Year Pro Forma'!CA66:CB66))</f>
        <v>0</v>
      </c>
      <c r="CE66" s="960">
        <f>MIN(CE60-CE62,'Sources and Uses Budget'!CE108-SUM('15 Year Pro Forma'!CC66:CD66))</f>
        <v>0</v>
      </c>
      <c r="CG66" s="960">
        <f>MIN(CG60-CG62,'Sources and Uses Budget'!CG108-SUM('15 Year Pro Forma'!CE66:CF66))</f>
        <v>0</v>
      </c>
      <c r="CI66" s="960">
        <f>MIN(CI60-CI62,'Sources and Uses Budget'!CI108-SUM('15 Year Pro Forma'!CG66:CH66))</f>
        <v>0</v>
      </c>
      <c r="CK66" s="960">
        <f>MIN(CK60-CK62,'Sources and Uses Budget'!CK108-SUM('15 Year Pro Forma'!CI66:CJ66))</f>
        <v>0</v>
      </c>
      <c r="CM66" s="960">
        <f>MIN(CM60-CM62,'Sources and Uses Budget'!CM108-SUM('15 Year Pro Forma'!CK66:CL66))</f>
        <v>0</v>
      </c>
      <c r="CO66" s="960">
        <f>MIN(CO60-CO62,'Sources and Uses Budget'!CO108-SUM('15 Year Pro Forma'!CM66:CN66))</f>
        <v>0</v>
      </c>
      <c r="CQ66" s="960">
        <f>MIN(CQ60-CQ62,'Sources and Uses Budget'!CQ108-SUM('15 Year Pro Forma'!CO66:CP66))</f>
        <v>0</v>
      </c>
      <c r="CS66" s="960">
        <f>MIN(CS60-CS62,'Sources and Uses Budget'!CS108-SUM('15 Year Pro Forma'!CQ66:CR66))</f>
        <v>0</v>
      </c>
      <c r="CU66" s="960">
        <f>MIN(CU60-CU62,'Sources and Uses Budget'!CU108-SUM('15 Year Pro Forma'!CS66:CT66))</f>
        <v>0</v>
      </c>
      <c r="CW66" s="960">
        <f>MIN(CW60-CW62,'Sources and Uses Budget'!CW108-SUM('15 Year Pro Forma'!CU66:CV66))</f>
        <v>0</v>
      </c>
      <c r="CY66" s="960">
        <f>MIN(CY60-CY62,'Sources and Uses Budget'!CY108-SUM('15 Year Pro Forma'!CW66:CX66))</f>
        <v>0</v>
      </c>
      <c r="DA66" s="960">
        <f>MIN(DA60-DA62,'Sources and Uses Budget'!DA108-SUM('15 Year Pro Forma'!CY66:CZ66))</f>
        <v>0</v>
      </c>
      <c r="DC66" s="960">
        <f>MIN(DC60-DC62,'Sources and Uses Budget'!DC108-SUM('15 Year Pro Forma'!DA66:DB66))</f>
        <v>0</v>
      </c>
      <c r="DE66" s="960">
        <f>MIN(DE60-DE62,'Sources and Uses Budget'!DE108-SUM('15 Year Pro Forma'!DC66:DD66))</f>
        <v>0</v>
      </c>
      <c r="DG66" s="960">
        <f>MIN(DG60-DG62,'Sources and Uses Budget'!DG108-SUM('15 Year Pro Forma'!DE66:DF66))</f>
        <v>0</v>
      </c>
      <c r="DI66" s="960">
        <f>MIN(DI60-DI62,'Sources and Uses Budget'!DI108-SUM('15 Year Pro Forma'!DG66:DH66))</f>
        <v>0</v>
      </c>
      <c r="DK66" s="960">
        <f>MIN(DK60-DK62,'Sources and Uses Budget'!DK108-SUM('15 Year Pro Forma'!DI66:DJ66))</f>
        <v>0</v>
      </c>
      <c r="DM66" s="960">
        <f>MIN(DM60-DM62,'Sources and Uses Budget'!DM108-SUM('15 Year Pro Forma'!DK66:DL66))</f>
        <v>0</v>
      </c>
      <c r="DO66" s="960">
        <f>MIN(DO60-DO62,'Sources and Uses Budget'!DO108-SUM('15 Year Pro Forma'!DM66:DN66))</f>
        <v>0</v>
      </c>
      <c r="DQ66" s="960">
        <f>MIN(DQ60-DQ62,'Sources and Uses Budget'!DQ108-SUM('15 Year Pro Forma'!DO66:DP66))</f>
        <v>0</v>
      </c>
      <c r="DS66" s="960">
        <f>MIN(DS60-DS62,'Sources and Uses Budget'!DS108-SUM('15 Year Pro Forma'!DQ66:DR66))</f>
        <v>0</v>
      </c>
      <c r="DU66" s="960">
        <f>MIN(DU60-DU62,'Sources and Uses Budget'!DU108-SUM('15 Year Pro Forma'!DS66:DT66))</f>
        <v>0</v>
      </c>
      <c r="DW66" s="960">
        <f>MIN(DW60-DW62,'Sources and Uses Budget'!DW108-SUM('15 Year Pro Forma'!DU66:DV66))</f>
        <v>0</v>
      </c>
      <c r="DY66" s="960">
        <f>MIN(DY60-DY62,'Sources and Uses Budget'!DY108-SUM('15 Year Pro Forma'!DW66:DX66))</f>
        <v>0</v>
      </c>
      <c r="EA66" s="960">
        <f>MIN(EA60-EA62,'Sources and Uses Budget'!EA108-SUM('15 Year Pro Forma'!DY66:DZ66))</f>
        <v>0</v>
      </c>
      <c r="EC66" s="960">
        <f>MIN(EC60-EC62,'Sources and Uses Budget'!EC108-SUM('15 Year Pro Forma'!EA66:EB66))</f>
        <v>0</v>
      </c>
      <c r="EE66" s="960">
        <f>MIN(EE60-EE62,'Sources and Uses Budget'!EE108-SUM('15 Year Pro Forma'!EC66:ED66))</f>
        <v>0</v>
      </c>
      <c r="EG66" s="960">
        <f>MIN(EG60-EG62,'Sources and Uses Budget'!EG108-SUM('15 Year Pro Forma'!EE66:EF66))</f>
        <v>0</v>
      </c>
      <c r="EI66" s="960">
        <f>MIN(EI60-EI62,'Sources and Uses Budget'!EI108-SUM('15 Year Pro Forma'!EG66:EH66))</f>
        <v>0</v>
      </c>
      <c r="EK66" s="960">
        <f>MIN(EK60-EK62,'Sources and Uses Budget'!EK108-SUM('15 Year Pro Forma'!EI66:EJ66))</f>
        <v>0</v>
      </c>
      <c r="EM66" s="960">
        <f>MIN(EM60-EM62,'Sources and Uses Budget'!EM108-SUM('15 Year Pro Forma'!EK66:EL66))</f>
        <v>0</v>
      </c>
      <c r="EO66" s="960">
        <f>MIN(EO60-EO62,'Sources and Uses Budget'!EO108-SUM('15 Year Pro Forma'!EM66:EN66))</f>
        <v>0</v>
      </c>
      <c r="EQ66" s="960">
        <f>MIN(EQ60-EQ62,'Sources and Uses Budget'!EQ108-SUM('15 Year Pro Forma'!EO66:EP66))</f>
        <v>0</v>
      </c>
      <c r="ES66" s="960">
        <f>MIN(ES60-ES62,'Sources and Uses Budget'!ES108-SUM('15 Year Pro Forma'!EQ66:ER66))</f>
        <v>0</v>
      </c>
      <c r="EU66" s="960">
        <f>MIN(EU60-EU62,'Sources and Uses Budget'!EU108-SUM('15 Year Pro Forma'!ES66:ET66))</f>
        <v>0</v>
      </c>
      <c r="EW66" s="960">
        <f>MIN(EW60-EW62,'Sources and Uses Budget'!EW108-SUM('15 Year Pro Forma'!EU66:EV66))</f>
        <v>0</v>
      </c>
      <c r="EY66" s="960">
        <f>MIN(EY60-EY62,'Sources and Uses Budget'!EY108-SUM('15 Year Pro Forma'!EW66:EX66))</f>
        <v>0</v>
      </c>
      <c r="FA66" s="960">
        <f>MIN(FA60-FA62,'Sources and Uses Budget'!FA108-SUM('15 Year Pro Forma'!EY66:EZ66))</f>
        <v>0</v>
      </c>
      <c r="FC66" s="960">
        <f>MIN(FC60-FC62,'Sources and Uses Budget'!FC108-SUM('15 Year Pro Forma'!FA66:FB66))</f>
        <v>0</v>
      </c>
      <c r="FE66" s="960">
        <f>MIN(FE60-FE62,'Sources and Uses Budget'!FE108-SUM('15 Year Pro Forma'!FC66:FD66))</f>
        <v>0</v>
      </c>
      <c r="FG66" s="960">
        <f>MIN(FG60-FG62,'Sources and Uses Budget'!FG108-SUM('15 Year Pro Forma'!FE66:FF66))</f>
        <v>0</v>
      </c>
      <c r="FI66" s="960">
        <f>MIN(FI60-FI62,'Sources and Uses Budget'!FI108-SUM('15 Year Pro Forma'!FG66:FH66))</f>
        <v>0</v>
      </c>
      <c r="FK66" s="960">
        <f>MIN(FK60-FK62,'Sources and Uses Budget'!FK108-SUM('15 Year Pro Forma'!FI66:FJ66))</f>
        <v>0</v>
      </c>
      <c r="FM66" s="960">
        <f>MIN(FM60-FM62,'Sources and Uses Budget'!FM108-SUM('15 Year Pro Forma'!FK66:FL66))</f>
        <v>0</v>
      </c>
      <c r="FO66" s="960">
        <f>MIN(FO60-FO62,'Sources and Uses Budget'!FO108-SUM('15 Year Pro Forma'!FM66:FN66))</f>
        <v>0</v>
      </c>
      <c r="FQ66" s="960">
        <f>MIN(FQ60-FQ62,'Sources and Uses Budget'!FQ108-SUM('15 Year Pro Forma'!FO66:FP66))</f>
        <v>0</v>
      </c>
      <c r="FS66" s="960">
        <f>MIN(FS60-FS62,'Sources and Uses Budget'!FS108-SUM('15 Year Pro Forma'!FQ66:FR66))</f>
        <v>0</v>
      </c>
      <c r="FU66" s="960">
        <f>MIN(FU60-FU62,'Sources and Uses Budget'!FU108-SUM('15 Year Pro Forma'!FS66:FT66))</f>
        <v>0</v>
      </c>
      <c r="FW66" s="960">
        <f>MIN(FW60-FW62,'Sources and Uses Budget'!FW108-SUM('15 Year Pro Forma'!FU66:FV66))</f>
        <v>0</v>
      </c>
      <c r="FY66" s="960">
        <f>MIN(FY60-FY62,'Sources and Uses Budget'!FY108-SUM('15 Year Pro Forma'!FW66:FX66))</f>
        <v>0</v>
      </c>
      <c r="GA66" s="960">
        <f>MIN(GA60-GA62,'Sources and Uses Budget'!GA108-SUM('15 Year Pro Forma'!FY66:FZ66))</f>
        <v>0</v>
      </c>
      <c r="GC66" s="960">
        <f>MIN(GC60-GC62,'Sources and Uses Budget'!GC108-SUM('15 Year Pro Forma'!GA66:GB66))</f>
        <v>0</v>
      </c>
      <c r="GE66" s="960">
        <f>MIN(GE60-GE62,'Sources and Uses Budget'!GE108-SUM('15 Year Pro Forma'!GC66:GD66))</f>
        <v>0</v>
      </c>
      <c r="GG66" s="960">
        <f>MIN(GG60-GG62,'Sources and Uses Budget'!GG108-SUM('15 Year Pro Forma'!GE66:GF66))</f>
        <v>0</v>
      </c>
      <c r="GI66" s="960">
        <f>MIN(GI60-GI62,'Sources and Uses Budget'!GI108-SUM('15 Year Pro Forma'!GG66:GH66))</f>
        <v>0</v>
      </c>
      <c r="GK66" s="960">
        <f>MIN(GK60-GK62,'Sources and Uses Budget'!GK108-SUM('15 Year Pro Forma'!GI66:GJ66))</f>
        <v>0</v>
      </c>
      <c r="GM66" s="960">
        <f>MIN(GM60-GM62,'Sources and Uses Budget'!GM108-SUM('15 Year Pro Forma'!GK66:GL66))</f>
        <v>0</v>
      </c>
      <c r="GO66" s="960">
        <f>MIN(GO60-GO62,'Sources and Uses Budget'!GO108-SUM('15 Year Pro Forma'!GM66:GN66))</f>
        <v>0</v>
      </c>
      <c r="GQ66" s="960">
        <f>MIN(GQ60-GQ62,'Sources and Uses Budget'!GQ108-SUM('15 Year Pro Forma'!GO66:GP66))</f>
        <v>0</v>
      </c>
      <c r="GS66" s="960">
        <f>MIN(GS60-GS62,'Sources and Uses Budget'!GS108-SUM('15 Year Pro Forma'!GQ66:GR66))</f>
        <v>0</v>
      </c>
      <c r="GU66" s="960">
        <f>MIN(GU60-GU62,'Sources and Uses Budget'!GU108-SUM('15 Year Pro Forma'!GS66:GT66))</f>
        <v>0</v>
      </c>
      <c r="GW66" s="960">
        <f>MIN(GW60-GW62,'Sources and Uses Budget'!GW108-SUM('15 Year Pro Forma'!GU66:GV66))</f>
        <v>0</v>
      </c>
      <c r="GY66" s="960">
        <f>MIN(GY60-GY62,'Sources and Uses Budget'!GY108-SUM('15 Year Pro Forma'!GW66:GX66))</f>
        <v>0</v>
      </c>
      <c r="HA66" s="960">
        <f>MIN(HA60-HA62,'Sources and Uses Budget'!HA108-SUM('15 Year Pro Forma'!GY66:GZ66))</f>
        <v>0</v>
      </c>
      <c r="HC66" s="960">
        <f>MIN(HC60-HC62,'Sources and Uses Budget'!HC108-SUM('15 Year Pro Forma'!HA66:HB66))</f>
        <v>0</v>
      </c>
      <c r="HE66" s="960">
        <f>MIN(HE60-HE62,'Sources and Uses Budget'!HE108-SUM('15 Year Pro Forma'!HC66:HD66))</f>
        <v>0</v>
      </c>
      <c r="HG66" s="960">
        <f>MIN(HG60-HG62,'Sources and Uses Budget'!HG108-SUM('15 Year Pro Forma'!HE66:HF66))</f>
        <v>0</v>
      </c>
      <c r="HI66" s="960">
        <f>MIN(HI60-HI62,'Sources and Uses Budget'!HI108-SUM('15 Year Pro Forma'!HG66:HH66))</f>
        <v>0</v>
      </c>
      <c r="HK66" s="960">
        <f>MIN(HK60-HK62,'Sources and Uses Budget'!HK108-SUM('15 Year Pro Forma'!HI66:HJ66))</f>
        <v>0</v>
      </c>
      <c r="HM66" s="960">
        <f>MIN(HM60-HM62,'Sources and Uses Budget'!HM108-SUM('15 Year Pro Forma'!HK66:HL66))</f>
        <v>0</v>
      </c>
      <c r="HO66" s="960">
        <f>MIN(HO60-HO62,'Sources and Uses Budget'!HO108-SUM('15 Year Pro Forma'!HM66:HN66))</f>
        <v>0</v>
      </c>
      <c r="HQ66" s="960">
        <f>MIN(HQ60-HQ62,'Sources and Uses Budget'!HQ108-SUM('15 Year Pro Forma'!HO66:HP66))</f>
        <v>0</v>
      </c>
      <c r="HS66" s="960">
        <f>MIN(HS60-HS62,'Sources and Uses Budget'!HS108-SUM('15 Year Pro Forma'!HQ66:HR66))</f>
        <v>0</v>
      </c>
      <c r="HU66" s="960">
        <f>MIN(HU60-HU62,'Sources and Uses Budget'!HU108-SUM('15 Year Pro Forma'!HS66:HT66))</f>
        <v>0</v>
      </c>
      <c r="HW66" s="960">
        <f>MIN(HW60-HW62,'Sources and Uses Budget'!HW108-SUM('15 Year Pro Forma'!HU66:HV66))</f>
        <v>0</v>
      </c>
      <c r="HY66" s="960">
        <f>MIN(HY60-HY62,'Sources and Uses Budget'!HY108-SUM('15 Year Pro Forma'!HW66:HX66))</f>
        <v>0</v>
      </c>
      <c r="IA66" s="960">
        <f>MIN(IA60-IA62,'Sources and Uses Budget'!IA108-SUM('15 Year Pro Forma'!HY66:HZ66))</f>
        <v>0</v>
      </c>
      <c r="IC66" s="960">
        <f>MIN(IC60-IC62,'Sources and Uses Budget'!IC108-SUM('15 Year Pro Forma'!IA66:IB66))</f>
        <v>0</v>
      </c>
      <c r="IE66" s="960">
        <f>MIN(IE60-IE62,'Sources and Uses Budget'!IE108-SUM('15 Year Pro Forma'!IC66:ID66))</f>
        <v>0</v>
      </c>
      <c r="IG66" s="960">
        <f>MIN(IG60-IG62,'Sources and Uses Budget'!IG108-SUM('15 Year Pro Forma'!IE66:IF66))</f>
        <v>0</v>
      </c>
      <c r="II66" s="960">
        <f>MIN(II60-II62,'Sources and Uses Budget'!II108-SUM('15 Year Pro Forma'!IG66:IH66))</f>
        <v>0</v>
      </c>
      <c r="IK66" s="960">
        <f>MIN(IK60-IK62,'Sources and Uses Budget'!IK108-SUM('15 Year Pro Forma'!II66:IJ66))</f>
        <v>0</v>
      </c>
      <c r="IM66" s="960">
        <f>MIN(IM60-IM62,'Sources and Uses Budget'!IM108-SUM('15 Year Pro Forma'!IK66:IL66))</f>
        <v>0</v>
      </c>
      <c r="IO66" s="960">
        <f>MIN(IO60-IO62,'Sources and Uses Budget'!IO108-SUM('15 Year Pro Forma'!IM66:IN66))</f>
        <v>0</v>
      </c>
      <c r="IQ66" s="960">
        <f>MIN(IQ60-IQ62,'Sources and Uses Budget'!IQ108-SUM('15 Year Pro Forma'!IO66:IP66))</f>
        <v>0</v>
      </c>
      <c r="IS66" s="960">
        <f>MIN(IS60-IS62,'Sources and Uses Budget'!IS108-SUM('15 Year Pro Forma'!IQ66:IR66))</f>
        <v>0</v>
      </c>
      <c r="IU66" s="960">
        <f>MIN(IU60-IU62,'Sources and Uses Budget'!IU108-SUM('15 Year Pro Forma'!IS66:IT66))</f>
        <v>0</v>
      </c>
      <c r="IW66" s="960">
        <f>MIN(IW60-IW62,'Sources and Uses Budget'!IW108-SUM('15 Year Pro Forma'!IU66:IV66))</f>
        <v>0</v>
      </c>
      <c r="IY66" s="960">
        <f>MIN(IY60-IY62,'Sources and Uses Budget'!IY108-SUM('15 Year Pro Forma'!IW66:IX66))</f>
        <v>0</v>
      </c>
      <c r="JA66" s="960">
        <f>MIN(JA60-JA62,'Sources and Uses Budget'!JA108-SUM('15 Year Pro Forma'!IY66:IZ66))</f>
        <v>0</v>
      </c>
      <c r="JC66" s="960">
        <f>MIN(JC60-JC62,'Sources and Uses Budget'!JC108-SUM('15 Year Pro Forma'!JA66:JB66))</f>
        <v>0</v>
      </c>
      <c r="JE66" s="960">
        <f>MIN(JE60-JE62,'Sources and Uses Budget'!JE108-SUM('15 Year Pro Forma'!JC66:JD66))</f>
        <v>0</v>
      </c>
      <c r="JG66" s="960">
        <f>MIN(JG60-JG62,'Sources and Uses Budget'!JG108-SUM('15 Year Pro Forma'!JE66:JF66))</f>
        <v>0</v>
      </c>
      <c r="JI66" s="960">
        <f>MIN(JI60-JI62,'Sources and Uses Budget'!JI108-SUM('15 Year Pro Forma'!JG66:JH66))</f>
        <v>0</v>
      </c>
      <c r="JK66" s="960">
        <f>MIN(JK60-JK62,'Sources and Uses Budget'!JK108-SUM('15 Year Pro Forma'!JI66:JJ66))</f>
        <v>0</v>
      </c>
      <c r="JM66" s="960">
        <f>MIN(JM60-JM62,'Sources and Uses Budget'!JM108-SUM('15 Year Pro Forma'!JK66:JL66))</f>
        <v>0</v>
      </c>
      <c r="JO66" s="960">
        <f>MIN(JO60-JO62,'Sources and Uses Budget'!JO108-SUM('15 Year Pro Forma'!JM66:JN66))</f>
        <v>0</v>
      </c>
      <c r="JQ66" s="960">
        <f>MIN(JQ60-JQ62,'Sources and Uses Budget'!JQ108-SUM('15 Year Pro Forma'!JO66:JP66))</f>
        <v>0</v>
      </c>
      <c r="JS66" s="960">
        <f>MIN(JS60-JS62,'Sources and Uses Budget'!JS108-SUM('15 Year Pro Forma'!JQ66:JR66))</f>
        <v>0</v>
      </c>
      <c r="JU66" s="960">
        <f>MIN(JU60-JU62,'Sources and Uses Budget'!JU108-SUM('15 Year Pro Forma'!JS66:JT66))</f>
        <v>0</v>
      </c>
      <c r="JW66" s="960">
        <f>MIN(JW60-JW62,'Sources and Uses Budget'!JW108-SUM('15 Year Pro Forma'!JU66:JV66))</f>
        <v>0</v>
      </c>
      <c r="JY66" s="960">
        <f>MIN(JY60-JY62,'Sources and Uses Budget'!JY108-SUM('15 Year Pro Forma'!JW66:JX66))</f>
        <v>0</v>
      </c>
      <c r="KA66" s="960">
        <f>MIN(KA60-KA62,'Sources and Uses Budget'!KA108-SUM('15 Year Pro Forma'!JY66:JZ66))</f>
        <v>0</v>
      </c>
      <c r="KC66" s="960">
        <f>MIN(KC60-KC62,'Sources and Uses Budget'!KC108-SUM('15 Year Pro Forma'!KA66:KB66))</f>
        <v>0</v>
      </c>
      <c r="KE66" s="960">
        <f>MIN(KE60-KE62,'Sources and Uses Budget'!KE108-SUM('15 Year Pro Forma'!KC66:KD66))</f>
        <v>0</v>
      </c>
      <c r="KG66" s="960">
        <f>MIN(KG60-KG62,'Sources and Uses Budget'!KG108-SUM('15 Year Pro Forma'!KE66:KF66))</f>
        <v>0</v>
      </c>
      <c r="KI66" s="960">
        <f>MIN(KI60-KI62,'Sources and Uses Budget'!KI108-SUM('15 Year Pro Forma'!KG66:KH66))</f>
        <v>0</v>
      </c>
      <c r="KK66" s="960">
        <f>MIN(KK60-KK62,'Sources and Uses Budget'!KK108-SUM('15 Year Pro Forma'!KI66:KJ66))</f>
        <v>0</v>
      </c>
      <c r="KM66" s="960">
        <f>MIN(KM60-KM62,'Sources and Uses Budget'!KM108-SUM('15 Year Pro Forma'!KK66:KL66))</f>
        <v>0</v>
      </c>
      <c r="KO66" s="960">
        <f>MIN(KO60-KO62,'Sources and Uses Budget'!KO108-SUM('15 Year Pro Forma'!KM66:KN66))</f>
        <v>0</v>
      </c>
      <c r="KQ66" s="960">
        <f>MIN(KQ60-KQ62,'Sources and Uses Budget'!KQ108-SUM('15 Year Pro Forma'!KO66:KP66))</f>
        <v>0</v>
      </c>
      <c r="KS66" s="960">
        <f>MIN(KS60-KS62,'Sources and Uses Budget'!KS108-SUM('15 Year Pro Forma'!KQ66:KR66))</f>
        <v>0</v>
      </c>
      <c r="KU66" s="960">
        <f>MIN(KU60-KU62,'Sources and Uses Budget'!KU108-SUM('15 Year Pro Forma'!KS66:KT66))</f>
        <v>0</v>
      </c>
      <c r="KW66" s="960">
        <f>MIN(KW60-KW62,'Sources and Uses Budget'!KW108-SUM('15 Year Pro Forma'!KU66:KV66))</f>
        <v>0</v>
      </c>
      <c r="KY66" s="960">
        <f>MIN(KY60-KY62,'Sources and Uses Budget'!KY108-SUM('15 Year Pro Forma'!KW66:KX66))</f>
        <v>0</v>
      </c>
      <c r="LA66" s="960">
        <f>MIN(LA60-LA62,'Sources and Uses Budget'!LA108-SUM('15 Year Pro Forma'!KY66:KZ66))</f>
        <v>0</v>
      </c>
      <c r="LC66" s="960">
        <f>MIN(LC60-LC62,'Sources and Uses Budget'!LC108-SUM('15 Year Pro Forma'!LA66:LB66))</f>
        <v>0</v>
      </c>
      <c r="LE66" s="960">
        <f>MIN(LE60-LE62,'Sources and Uses Budget'!LE108-SUM('15 Year Pro Forma'!LC66:LD66))</f>
        <v>0</v>
      </c>
      <c r="LG66" s="960">
        <f>MIN(LG60-LG62,'Sources and Uses Budget'!LG108-SUM('15 Year Pro Forma'!LE66:LF66))</f>
        <v>0</v>
      </c>
      <c r="LI66" s="960">
        <f>MIN(LI60-LI62,'Sources and Uses Budget'!LI108-SUM('15 Year Pro Forma'!LG66:LH66))</f>
        <v>0</v>
      </c>
      <c r="LK66" s="960">
        <f>MIN(LK60-LK62,'Sources and Uses Budget'!LK108-SUM('15 Year Pro Forma'!LI66:LJ66))</f>
        <v>0</v>
      </c>
      <c r="LM66" s="960">
        <f>MIN(LM60-LM62,'Sources and Uses Budget'!LM108-SUM('15 Year Pro Forma'!LK66:LL66))</f>
        <v>0</v>
      </c>
      <c r="LO66" s="960">
        <f>MIN(LO60-LO62,'Sources and Uses Budget'!LO108-SUM('15 Year Pro Forma'!LM66:LN66))</f>
        <v>0</v>
      </c>
      <c r="LQ66" s="960">
        <f>MIN(LQ60-LQ62,'Sources and Uses Budget'!LQ108-SUM('15 Year Pro Forma'!LO66:LP66))</f>
        <v>0</v>
      </c>
      <c r="LS66" s="960">
        <f>MIN(LS60-LS62,'Sources and Uses Budget'!LS108-SUM('15 Year Pro Forma'!LQ66:LR66))</f>
        <v>0</v>
      </c>
      <c r="LU66" s="960">
        <f>MIN(LU60-LU62,'Sources and Uses Budget'!LU108-SUM('15 Year Pro Forma'!LS66:LT66))</f>
        <v>0</v>
      </c>
      <c r="LW66" s="960">
        <f>MIN(LW60-LW62,'Sources and Uses Budget'!LW108-SUM('15 Year Pro Forma'!LU66:LV66))</f>
        <v>0</v>
      </c>
      <c r="LY66" s="960">
        <f>MIN(LY60-LY62,'Sources and Uses Budget'!LY108-SUM('15 Year Pro Forma'!LW66:LX66))</f>
        <v>0</v>
      </c>
      <c r="MA66" s="960">
        <f>MIN(MA60-MA62,'Sources and Uses Budget'!MA108-SUM('15 Year Pro Forma'!LY66:LZ66))</f>
        <v>0</v>
      </c>
      <c r="MC66" s="960">
        <f>MIN(MC60-MC62,'Sources and Uses Budget'!MC108-SUM('15 Year Pro Forma'!MA66:MB66))</f>
        <v>0</v>
      </c>
      <c r="ME66" s="960">
        <f>MIN(ME60-ME62,'Sources and Uses Budget'!ME108-SUM('15 Year Pro Forma'!MC66:MD66))</f>
        <v>0</v>
      </c>
      <c r="MG66" s="960">
        <f>MIN(MG60-MG62,'Sources and Uses Budget'!MG108-SUM('15 Year Pro Forma'!ME66:MF66))</f>
        <v>0</v>
      </c>
      <c r="MI66" s="960">
        <f>MIN(MI60-MI62,'Sources and Uses Budget'!MI108-SUM('15 Year Pro Forma'!MG66:MH66))</f>
        <v>0</v>
      </c>
      <c r="MK66" s="960">
        <f>MIN(MK60-MK62,'Sources and Uses Budget'!MK108-SUM('15 Year Pro Forma'!MI66:MJ66))</f>
        <v>0</v>
      </c>
      <c r="MM66" s="960">
        <f>MIN(MM60-MM62,'Sources and Uses Budget'!MM108-SUM('15 Year Pro Forma'!MK66:ML66))</f>
        <v>0</v>
      </c>
      <c r="MO66" s="960">
        <f>MIN(MO60-MO62,'Sources and Uses Budget'!MO108-SUM('15 Year Pro Forma'!MM66:MN66))</f>
        <v>0</v>
      </c>
      <c r="MQ66" s="960">
        <f>MIN(MQ60-MQ62,'Sources and Uses Budget'!MQ108-SUM('15 Year Pro Forma'!MO66:MP66))</f>
        <v>0</v>
      </c>
      <c r="MS66" s="960">
        <f>MIN(MS60-MS62,'Sources and Uses Budget'!MS108-SUM('15 Year Pro Forma'!MQ66:MR66))</f>
        <v>0</v>
      </c>
      <c r="MU66" s="960">
        <f>MIN(MU60-MU62,'Sources and Uses Budget'!MU108-SUM('15 Year Pro Forma'!MS66:MT66))</f>
        <v>0</v>
      </c>
      <c r="MW66" s="960">
        <f>MIN(MW60-MW62,'Sources and Uses Budget'!MW108-SUM('15 Year Pro Forma'!MU66:MV66))</f>
        <v>0</v>
      </c>
      <c r="MY66" s="960">
        <f>MIN(MY60-MY62,'Sources and Uses Budget'!MY108-SUM('15 Year Pro Forma'!MW66:MX66))</f>
        <v>0</v>
      </c>
      <c r="NA66" s="960">
        <f>MIN(NA60-NA62,'Sources and Uses Budget'!NA108-SUM('15 Year Pro Forma'!MY66:MZ66))</f>
        <v>0</v>
      </c>
      <c r="NC66" s="960">
        <f>MIN(NC60-NC62,'Sources and Uses Budget'!NC108-SUM('15 Year Pro Forma'!NA66:NB66))</f>
        <v>0</v>
      </c>
      <c r="NE66" s="960">
        <f>MIN(NE60-NE62,'Sources and Uses Budget'!NE108-SUM('15 Year Pro Forma'!NC66:ND66))</f>
        <v>0</v>
      </c>
      <c r="NG66" s="960">
        <f>MIN(NG60-NG62,'Sources and Uses Budget'!NG108-SUM('15 Year Pro Forma'!NE66:NF66))</f>
        <v>0</v>
      </c>
      <c r="NI66" s="960">
        <f>MIN(NI60-NI62,'Sources and Uses Budget'!NI108-SUM('15 Year Pro Forma'!NG66:NH66))</f>
        <v>0</v>
      </c>
      <c r="NK66" s="960">
        <f>MIN(NK60-NK62,'Sources and Uses Budget'!NK108-SUM('15 Year Pro Forma'!NI66:NJ66))</f>
        <v>0</v>
      </c>
      <c r="NM66" s="960">
        <f>MIN(NM60-NM62,'Sources and Uses Budget'!NM108-SUM('15 Year Pro Forma'!NK66:NL66))</f>
        <v>0</v>
      </c>
      <c r="NO66" s="960">
        <f>MIN(NO60-NO62,'Sources and Uses Budget'!NO108-SUM('15 Year Pro Forma'!NM66:NN66))</f>
        <v>0</v>
      </c>
      <c r="NQ66" s="960">
        <f>MIN(NQ60-NQ62,'Sources and Uses Budget'!NQ108-SUM('15 Year Pro Forma'!NO66:NP66))</f>
        <v>0</v>
      </c>
      <c r="NS66" s="960">
        <f>MIN(NS60-NS62,'Sources and Uses Budget'!NS108-SUM('15 Year Pro Forma'!NQ66:NR66))</f>
        <v>0</v>
      </c>
      <c r="NU66" s="960">
        <f>MIN(NU60-NU62,'Sources and Uses Budget'!NU108-SUM('15 Year Pro Forma'!NS66:NT66))</f>
        <v>0</v>
      </c>
      <c r="NW66" s="960">
        <f>MIN(NW60-NW62,'Sources and Uses Budget'!NW108-SUM('15 Year Pro Forma'!NU66:NV66))</f>
        <v>0</v>
      </c>
      <c r="NY66" s="960">
        <f>MIN(NY60-NY62,'Sources and Uses Budget'!NY108-SUM('15 Year Pro Forma'!NW66:NX66))</f>
        <v>0</v>
      </c>
      <c r="OA66" s="960">
        <f>MIN(OA60-OA62,'Sources and Uses Budget'!OA108-SUM('15 Year Pro Forma'!NY66:NZ66))</f>
        <v>0</v>
      </c>
      <c r="OC66" s="960">
        <f>MIN(OC60-OC62,'Sources and Uses Budget'!OC108-SUM('15 Year Pro Forma'!OA66:OB66))</f>
        <v>0</v>
      </c>
      <c r="OE66" s="960">
        <f>MIN(OE60-OE62,'Sources and Uses Budget'!OE108-SUM('15 Year Pro Forma'!OC66:OD66))</f>
        <v>0</v>
      </c>
      <c r="OG66" s="960">
        <f>MIN(OG60-OG62,'Sources and Uses Budget'!OG108-SUM('15 Year Pro Forma'!OE66:OF66))</f>
        <v>0</v>
      </c>
      <c r="OI66" s="960">
        <f>MIN(OI60-OI62,'Sources and Uses Budget'!OI108-SUM('15 Year Pro Forma'!OG66:OH66))</f>
        <v>0</v>
      </c>
      <c r="OK66" s="960">
        <f>MIN(OK60-OK62,'Sources and Uses Budget'!OK108-SUM('15 Year Pro Forma'!OI66:OJ66))</f>
        <v>0</v>
      </c>
      <c r="OM66" s="960">
        <f>MIN(OM60-OM62,'Sources and Uses Budget'!OM108-SUM('15 Year Pro Forma'!OK66:OL66))</f>
        <v>0</v>
      </c>
      <c r="OO66" s="960">
        <f>MIN(OO60-OO62,'Sources and Uses Budget'!OO108-SUM('15 Year Pro Forma'!OM66:ON66))</f>
        <v>0</v>
      </c>
      <c r="OQ66" s="960">
        <f>MIN(OQ60-OQ62,'Sources and Uses Budget'!OQ108-SUM('15 Year Pro Forma'!OO66:OP66))</f>
        <v>0</v>
      </c>
      <c r="OS66" s="960">
        <f>MIN(OS60-OS62,'Sources and Uses Budget'!OS108-SUM('15 Year Pro Forma'!OQ66:OR66))</f>
        <v>0</v>
      </c>
      <c r="OU66" s="960">
        <f>MIN(OU60-OU62,'Sources and Uses Budget'!OU108-SUM('15 Year Pro Forma'!OS66:OT66))</f>
        <v>0</v>
      </c>
      <c r="OW66" s="960">
        <f>MIN(OW60-OW62,'Sources and Uses Budget'!OW108-SUM('15 Year Pro Forma'!OU66:OV66))</f>
        <v>0</v>
      </c>
      <c r="OY66" s="960">
        <f>MIN(OY60-OY62,'Sources and Uses Budget'!OY108-SUM('15 Year Pro Forma'!OW66:OX66))</f>
        <v>0</v>
      </c>
      <c r="PA66" s="960">
        <f>MIN(PA60-PA62,'Sources and Uses Budget'!PA108-SUM('15 Year Pro Forma'!OY66:OZ66))</f>
        <v>0</v>
      </c>
      <c r="PC66" s="960">
        <f>MIN(PC60-PC62,'Sources and Uses Budget'!PC108-SUM('15 Year Pro Forma'!PA66:PB66))</f>
        <v>0</v>
      </c>
      <c r="PE66" s="960">
        <f>MIN(PE60-PE62,'Sources and Uses Budget'!PE108-SUM('15 Year Pro Forma'!PC66:PD66))</f>
        <v>0</v>
      </c>
      <c r="PG66" s="960">
        <f>MIN(PG60-PG62,'Sources and Uses Budget'!PG108-SUM('15 Year Pro Forma'!PE66:PF66))</f>
        <v>0</v>
      </c>
      <c r="PI66" s="960">
        <f>MIN(PI60-PI62,'Sources and Uses Budget'!PI108-SUM('15 Year Pro Forma'!PG66:PH66))</f>
        <v>0</v>
      </c>
      <c r="PK66" s="960">
        <f>MIN(PK60-PK62,'Sources and Uses Budget'!PK108-SUM('15 Year Pro Forma'!PI66:PJ66))</f>
        <v>0</v>
      </c>
      <c r="PM66" s="960">
        <f>MIN(PM60-PM62,'Sources and Uses Budget'!PM108-SUM('15 Year Pro Forma'!PK66:PL66))</f>
        <v>0</v>
      </c>
      <c r="PO66" s="960">
        <f>MIN(PO60-PO62,'Sources and Uses Budget'!PO108-SUM('15 Year Pro Forma'!PM66:PN66))</f>
        <v>0</v>
      </c>
      <c r="PQ66" s="960">
        <f>MIN(PQ60-PQ62,'Sources and Uses Budget'!PQ108-SUM('15 Year Pro Forma'!PO66:PP66))</f>
        <v>0</v>
      </c>
      <c r="PS66" s="960">
        <f>MIN(PS60-PS62,'Sources and Uses Budget'!PS108-SUM('15 Year Pro Forma'!PQ66:PR66))</f>
        <v>0</v>
      </c>
      <c r="PU66" s="960">
        <f>MIN(PU60-PU62,'Sources and Uses Budget'!PU108-SUM('15 Year Pro Forma'!PS66:PT66))</f>
        <v>0</v>
      </c>
      <c r="PW66" s="960">
        <f>MIN(PW60-PW62,'Sources and Uses Budget'!PW108-SUM('15 Year Pro Forma'!PU66:PV66))</f>
        <v>0</v>
      </c>
      <c r="PY66" s="960">
        <f>MIN(PY60-PY62,'Sources and Uses Budget'!PY108-SUM('15 Year Pro Forma'!PW66:PX66))</f>
        <v>0</v>
      </c>
      <c r="QA66" s="960">
        <f>MIN(QA60-QA62,'Sources and Uses Budget'!QA108-SUM('15 Year Pro Forma'!PY66:PZ66))</f>
        <v>0</v>
      </c>
      <c r="QC66" s="960">
        <f>MIN(QC60-QC62,'Sources and Uses Budget'!QC108-SUM('15 Year Pro Forma'!QA66:QB66))</f>
        <v>0</v>
      </c>
      <c r="QE66" s="960">
        <f>MIN(QE60-QE62,'Sources and Uses Budget'!QE108-SUM('15 Year Pro Forma'!QC66:QD66))</f>
        <v>0</v>
      </c>
      <c r="QG66" s="960">
        <f>MIN(QG60-QG62,'Sources and Uses Budget'!QG108-SUM('15 Year Pro Forma'!QE66:QF66))</f>
        <v>0</v>
      </c>
      <c r="QI66" s="960">
        <f>MIN(QI60-QI62,'Sources and Uses Budget'!QI108-SUM('15 Year Pro Forma'!QG66:QH66))</f>
        <v>0</v>
      </c>
      <c r="QK66" s="960">
        <f>MIN(QK60-QK62,'Sources and Uses Budget'!QK108-SUM('15 Year Pro Forma'!QI66:QJ66))</f>
        <v>0</v>
      </c>
      <c r="QM66" s="960">
        <f>MIN(QM60-QM62,'Sources and Uses Budget'!QM108-SUM('15 Year Pro Forma'!QK66:QL66))</f>
        <v>0</v>
      </c>
      <c r="QO66" s="960">
        <f>MIN(QO60-QO62,'Sources and Uses Budget'!QO108-SUM('15 Year Pro Forma'!QM66:QN66))</f>
        <v>0</v>
      </c>
      <c r="QQ66" s="960">
        <f>MIN(QQ60-QQ62,'Sources and Uses Budget'!QQ108-SUM('15 Year Pro Forma'!QO66:QP66))</f>
        <v>0</v>
      </c>
      <c r="QS66" s="960">
        <f>MIN(QS60-QS62,'Sources and Uses Budget'!QS108-SUM('15 Year Pro Forma'!QQ66:QR66))</f>
        <v>0</v>
      </c>
      <c r="QU66" s="960">
        <f>MIN(QU60-QU62,'Sources and Uses Budget'!QU108-SUM('15 Year Pro Forma'!QS66:QT66))</f>
        <v>0</v>
      </c>
      <c r="QW66" s="960">
        <f>MIN(QW60-QW62,'Sources and Uses Budget'!QW108-SUM('15 Year Pro Forma'!QU66:QV66))</f>
        <v>0</v>
      </c>
      <c r="QY66" s="960">
        <f>MIN(QY60-QY62,'Sources and Uses Budget'!QY108-SUM('15 Year Pro Forma'!QW66:QX66))</f>
        <v>0</v>
      </c>
      <c r="RA66" s="960">
        <f>MIN(RA60-RA62,'Sources and Uses Budget'!RA108-SUM('15 Year Pro Forma'!QY66:QZ66))</f>
        <v>0</v>
      </c>
      <c r="RC66" s="960">
        <f>MIN(RC60-RC62,'Sources and Uses Budget'!RC108-SUM('15 Year Pro Forma'!RA66:RB66))</f>
        <v>0</v>
      </c>
      <c r="RE66" s="960">
        <f>MIN(RE60-RE62,'Sources and Uses Budget'!RE108-SUM('15 Year Pro Forma'!RC66:RD66))</f>
        <v>0</v>
      </c>
      <c r="RG66" s="960">
        <f>MIN(RG60-RG62,'Sources and Uses Budget'!RG108-SUM('15 Year Pro Forma'!RE66:RF66))</f>
        <v>0</v>
      </c>
      <c r="RI66" s="960">
        <f>MIN(RI60-RI62,'Sources and Uses Budget'!RI108-SUM('15 Year Pro Forma'!RG66:RH66))</f>
        <v>0</v>
      </c>
      <c r="RK66" s="960">
        <f>MIN(RK60-RK62,'Sources and Uses Budget'!RK108-SUM('15 Year Pro Forma'!RI66:RJ66))</f>
        <v>0</v>
      </c>
      <c r="RM66" s="960">
        <f>MIN(RM60-RM62,'Sources and Uses Budget'!RM108-SUM('15 Year Pro Forma'!RK66:RL66))</f>
        <v>0</v>
      </c>
      <c r="RO66" s="960">
        <f>MIN(RO60-RO62,'Sources and Uses Budget'!RO108-SUM('15 Year Pro Forma'!RM66:RN66))</f>
        <v>0</v>
      </c>
      <c r="RQ66" s="960">
        <f>MIN(RQ60-RQ62,'Sources and Uses Budget'!RQ108-SUM('15 Year Pro Forma'!RO66:RP66))</f>
        <v>0</v>
      </c>
      <c r="RS66" s="960">
        <f>MIN(RS60-RS62,'Sources and Uses Budget'!RS108-SUM('15 Year Pro Forma'!RQ66:RR66))</f>
        <v>0</v>
      </c>
      <c r="RU66" s="960">
        <f>MIN(RU60-RU62,'Sources and Uses Budget'!RU108-SUM('15 Year Pro Forma'!RS66:RT66))</f>
        <v>0</v>
      </c>
      <c r="RW66" s="960">
        <f>MIN(RW60-RW62,'Sources and Uses Budget'!RW108-SUM('15 Year Pro Forma'!RU66:RV66))</f>
        <v>0</v>
      </c>
      <c r="RY66" s="960">
        <f>MIN(RY60-RY62,'Sources and Uses Budget'!RY108-SUM('15 Year Pro Forma'!RW66:RX66))</f>
        <v>0</v>
      </c>
      <c r="SA66" s="960">
        <f>MIN(SA60-SA62,'Sources and Uses Budget'!SA108-SUM('15 Year Pro Forma'!RY66:RZ66))</f>
        <v>0</v>
      </c>
      <c r="SC66" s="960">
        <f>MIN(SC60-SC62,'Sources and Uses Budget'!SC108-SUM('15 Year Pro Forma'!SA66:SB66))</f>
        <v>0</v>
      </c>
      <c r="SE66" s="960">
        <f>MIN(SE60-SE62,'Sources and Uses Budget'!SE108-SUM('15 Year Pro Forma'!SC66:SD66))</f>
        <v>0</v>
      </c>
      <c r="SG66" s="960">
        <f>MIN(SG60-SG62,'Sources and Uses Budget'!SG108-SUM('15 Year Pro Forma'!SE66:SF66))</f>
        <v>0</v>
      </c>
      <c r="SI66" s="960">
        <f>MIN(SI60-SI62,'Sources and Uses Budget'!SI108-SUM('15 Year Pro Forma'!SG66:SH66))</f>
        <v>0</v>
      </c>
      <c r="SK66" s="960">
        <f>MIN(SK60-SK62,'Sources and Uses Budget'!SK108-SUM('15 Year Pro Forma'!SI66:SJ66))</f>
        <v>0</v>
      </c>
      <c r="SM66" s="960">
        <f>MIN(SM60-SM62,'Sources and Uses Budget'!SM108-SUM('15 Year Pro Forma'!SK66:SL66))</f>
        <v>0</v>
      </c>
      <c r="SO66" s="960">
        <f>MIN(SO60-SO62,'Sources and Uses Budget'!SO108-SUM('15 Year Pro Forma'!SM66:SN66))</f>
        <v>0</v>
      </c>
      <c r="SQ66" s="960">
        <f>MIN(SQ60-SQ62,'Sources and Uses Budget'!SQ108-SUM('15 Year Pro Forma'!SO66:SP66))</f>
        <v>0</v>
      </c>
      <c r="SS66" s="960">
        <f>MIN(SS60-SS62,'Sources and Uses Budget'!SS108-SUM('15 Year Pro Forma'!SQ66:SR66))</f>
        <v>0</v>
      </c>
      <c r="SU66" s="960">
        <f>MIN(SU60-SU62,'Sources and Uses Budget'!SU108-SUM('15 Year Pro Forma'!SS66:ST66))</f>
        <v>0</v>
      </c>
      <c r="SW66" s="960">
        <f>MIN(SW60-SW62,'Sources and Uses Budget'!SW108-SUM('15 Year Pro Forma'!SU66:SV66))</f>
        <v>0</v>
      </c>
      <c r="SY66" s="960">
        <f>MIN(SY60-SY62,'Sources and Uses Budget'!SY108-SUM('15 Year Pro Forma'!SW66:SX66))</f>
        <v>0</v>
      </c>
      <c r="TA66" s="960">
        <f>MIN(TA60-TA62,'Sources and Uses Budget'!TA108-SUM('15 Year Pro Forma'!SY66:SZ66))</f>
        <v>0</v>
      </c>
      <c r="TC66" s="960">
        <f>MIN(TC60-TC62,'Sources and Uses Budget'!TC108-SUM('15 Year Pro Forma'!TA66:TB66))</f>
        <v>0</v>
      </c>
      <c r="TE66" s="960">
        <f>MIN(TE60-TE62,'Sources and Uses Budget'!TE108-SUM('15 Year Pro Forma'!TC66:TD66))</f>
        <v>0</v>
      </c>
      <c r="TG66" s="960">
        <f>MIN(TG60-TG62,'Sources and Uses Budget'!TG108-SUM('15 Year Pro Forma'!TE66:TF66))</f>
        <v>0</v>
      </c>
      <c r="TI66" s="960">
        <f>MIN(TI60-TI62,'Sources and Uses Budget'!TI108-SUM('15 Year Pro Forma'!TG66:TH66))</f>
        <v>0</v>
      </c>
      <c r="TK66" s="960">
        <f>MIN(TK60-TK62,'Sources and Uses Budget'!TK108-SUM('15 Year Pro Forma'!TI66:TJ66))</f>
        <v>0</v>
      </c>
      <c r="TM66" s="960">
        <f>MIN(TM60-TM62,'Sources and Uses Budget'!TM108-SUM('15 Year Pro Forma'!TK66:TL66))</f>
        <v>0</v>
      </c>
      <c r="TO66" s="960">
        <f>MIN(TO60-TO62,'Sources and Uses Budget'!TO108-SUM('15 Year Pro Forma'!TM66:TN66))</f>
        <v>0</v>
      </c>
      <c r="TQ66" s="960">
        <f>MIN(TQ60-TQ62,'Sources and Uses Budget'!TQ108-SUM('15 Year Pro Forma'!TO66:TP66))</f>
        <v>0</v>
      </c>
      <c r="TS66" s="960">
        <f>MIN(TS60-TS62,'Sources and Uses Budget'!TS108-SUM('15 Year Pro Forma'!TQ66:TR66))</f>
        <v>0</v>
      </c>
      <c r="TU66" s="960">
        <f>MIN(TU60-TU62,'Sources and Uses Budget'!TU108-SUM('15 Year Pro Forma'!TS66:TT66))</f>
        <v>0</v>
      </c>
      <c r="TW66" s="960">
        <f>MIN(TW60-TW62,'Sources and Uses Budget'!TW108-SUM('15 Year Pro Forma'!TU66:TV66))</f>
        <v>0</v>
      </c>
      <c r="TY66" s="960">
        <f>MIN(TY60-TY62,'Sources and Uses Budget'!TY108-SUM('15 Year Pro Forma'!TW66:TX66))</f>
        <v>0</v>
      </c>
      <c r="UA66" s="960">
        <f>MIN(UA60-UA62,'Sources and Uses Budget'!UA108-SUM('15 Year Pro Forma'!TY66:TZ66))</f>
        <v>0</v>
      </c>
      <c r="UC66" s="960">
        <f>MIN(UC60-UC62,'Sources and Uses Budget'!UC108-SUM('15 Year Pro Forma'!UA66:UB66))</f>
        <v>0</v>
      </c>
      <c r="UE66" s="960">
        <f>MIN(UE60-UE62,'Sources and Uses Budget'!UE108-SUM('15 Year Pro Forma'!UC66:UD66))</f>
        <v>0</v>
      </c>
      <c r="UG66" s="960">
        <f>MIN(UG60-UG62,'Sources and Uses Budget'!UG108-SUM('15 Year Pro Forma'!UE66:UF66))</f>
        <v>0</v>
      </c>
      <c r="UI66" s="960">
        <f>MIN(UI60-UI62,'Sources and Uses Budget'!UI108-SUM('15 Year Pro Forma'!UG66:UH66))</f>
        <v>0</v>
      </c>
      <c r="UK66" s="960">
        <f>MIN(UK60-UK62,'Sources and Uses Budget'!UK108-SUM('15 Year Pro Forma'!UI66:UJ66))</f>
        <v>0</v>
      </c>
      <c r="UM66" s="960">
        <f>MIN(UM60-UM62,'Sources and Uses Budget'!UM108-SUM('15 Year Pro Forma'!UK66:UL66))</f>
        <v>0</v>
      </c>
      <c r="UO66" s="960">
        <f>MIN(UO60-UO62,'Sources and Uses Budget'!UO108-SUM('15 Year Pro Forma'!UM66:UN66))</f>
        <v>0</v>
      </c>
      <c r="UQ66" s="960">
        <f>MIN(UQ60-UQ62,'Sources and Uses Budget'!UQ108-SUM('15 Year Pro Forma'!UO66:UP66))</f>
        <v>0</v>
      </c>
      <c r="US66" s="960">
        <f>MIN(US60-US62,'Sources and Uses Budget'!US108-SUM('15 Year Pro Forma'!UQ66:UR66))</f>
        <v>0</v>
      </c>
      <c r="UU66" s="960">
        <f>MIN(UU60-UU62,'Sources and Uses Budget'!UU108-SUM('15 Year Pro Forma'!US66:UT66))</f>
        <v>0</v>
      </c>
      <c r="UW66" s="960">
        <f>MIN(UW60-UW62,'Sources and Uses Budget'!UW108-SUM('15 Year Pro Forma'!UU66:UV66))</f>
        <v>0</v>
      </c>
      <c r="UY66" s="960">
        <f>MIN(UY60-UY62,'Sources and Uses Budget'!UY108-SUM('15 Year Pro Forma'!UW66:UX66))</f>
        <v>0</v>
      </c>
      <c r="VA66" s="960">
        <f>MIN(VA60-VA62,'Sources and Uses Budget'!VA108-SUM('15 Year Pro Forma'!UY66:UZ66))</f>
        <v>0</v>
      </c>
      <c r="VC66" s="960">
        <f>MIN(VC60-VC62,'Sources and Uses Budget'!VC108-SUM('15 Year Pro Forma'!VA66:VB66))</f>
        <v>0</v>
      </c>
      <c r="VE66" s="960">
        <f>MIN(VE60-VE62,'Sources and Uses Budget'!VE108-SUM('15 Year Pro Forma'!VC66:VD66))</f>
        <v>0</v>
      </c>
      <c r="VG66" s="960">
        <f>MIN(VG60-VG62,'Sources and Uses Budget'!VG108-SUM('15 Year Pro Forma'!VE66:VF66))</f>
        <v>0</v>
      </c>
      <c r="VI66" s="960">
        <f>MIN(VI60-VI62,'Sources and Uses Budget'!VI108-SUM('15 Year Pro Forma'!VG66:VH66))</f>
        <v>0</v>
      </c>
      <c r="VK66" s="960">
        <f>MIN(VK60-VK62,'Sources and Uses Budget'!VK108-SUM('15 Year Pro Forma'!VI66:VJ66))</f>
        <v>0</v>
      </c>
      <c r="VM66" s="960">
        <f>MIN(VM60-VM62,'Sources and Uses Budget'!VM108-SUM('15 Year Pro Forma'!VK66:VL66))</f>
        <v>0</v>
      </c>
      <c r="VO66" s="960">
        <f>MIN(VO60-VO62,'Sources and Uses Budget'!VO108-SUM('15 Year Pro Forma'!VM66:VN66))</f>
        <v>0</v>
      </c>
      <c r="VQ66" s="960">
        <f>MIN(VQ60-VQ62,'Sources and Uses Budget'!VQ108-SUM('15 Year Pro Forma'!VO66:VP66))</f>
        <v>0</v>
      </c>
      <c r="VS66" s="960">
        <f>MIN(VS60-VS62,'Sources and Uses Budget'!VS108-SUM('15 Year Pro Forma'!VQ66:VR66))</f>
        <v>0</v>
      </c>
      <c r="VU66" s="960">
        <f>MIN(VU60-VU62,'Sources and Uses Budget'!VU108-SUM('15 Year Pro Forma'!VS66:VT66))</f>
        <v>0</v>
      </c>
      <c r="VW66" s="960">
        <f>MIN(VW60-VW62,'Sources and Uses Budget'!VW108-SUM('15 Year Pro Forma'!VU66:VV66))</f>
        <v>0</v>
      </c>
      <c r="VY66" s="960">
        <f>MIN(VY60-VY62,'Sources and Uses Budget'!VY108-SUM('15 Year Pro Forma'!VW66:VX66))</f>
        <v>0</v>
      </c>
      <c r="WA66" s="960">
        <f>MIN(WA60-WA62,'Sources and Uses Budget'!WA108-SUM('15 Year Pro Forma'!VY66:VZ66))</f>
        <v>0</v>
      </c>
      <c r="WC66" s="960">
        <f>MIN(WC60-WC62,'Sources and Uses Budget'!WC108-SUM('15 Year Pro Forma'!WA66:WB66))</f>
        <v>0</v>
      </c>
      <c r="WE66" s="960">
        <f>MIN(WE60-WE62,'Sources and Uses Budget'!WE108-SUM('15 Year Pro Forma'!WC66:WD66))</f>
        <v>0</v>
      </c>
      <c r="WG66" s="960">
        <f>MIN(WG60-WG62,'Sources and Uses Budget'!WG108-SUM('15 Year Pro Forma'!WE66:WF66))</f>
        <v>0</v>
      </c>
      <c r="WI66" s="960">
        <f>MIN(WI60-WI62,'Sources and Uses Budget'!WI108-SUM('15 Year Pro Forma'!WG66:WH66))</f>
        <v>0</v>
      </c>
      <c r="WK66" s="960">
        <f>MIN(WK60-WK62,'Sources and Uses Budget'!WK108-SUM('15 Year Pro Forma'!WI66:WJ66))</f>
        <v>0</v>
      </c>
      <c r="WM66" s="960">
        <f>MIN(WM60-WM62,'Sources and Uses Budget'!WM108-SUM('15 Year Pro Forma'!WK66:WL66))</f>
        <v>0</v>
      </c>
      <c r="WO66" s="960">
        <f>MIN(WO60-WO62,'Sources and Uses Budget'!WO108-SUM('15 Year Pro Forma'!WM66:WN66))</f>
        <v>0</v>
      </c>
      <c r="WQ66" s="960">
        <f>MIN(WQ60-WQ62,'Sources and Uses Budget'!WQ108-SUM('15 Year Pro Forma'!WO66:WP66))</f>
        <v>0</v>
      </c>
      <c r="WS66" s="960">
        <f>MIN(WS60-WS62,'Sources and Uses Budget'!WS108-SUM('15 Year Pro Forma'!WQ66:WR66))</f>
        <v>0</v>
      </c>
      <c r="WU66" s="960">
        <f>MIN(WU60-WU62,'Sources and Uses Budget'!WU108-SUM('15 Year Pro Forma'!WS66:WT66))</f>
        <v>0</v>
      </c>
      <c r="WW66" s="960">
        <f>MIN(WW60-WW62,'Sources and Uses Budget'!WW108-SUM('15 Year Pro Forma'!WU66:WV66))</f>
        <v>0</v>
      </c>
      <c r="WY66" s="960">
        <f>MIN(WY60-WY62,'Sources and Uses Budget'!WY108-SUM('15 Year Pro Forma'!WW66:WX66))</f>
        <v>0</v>
      </c>
      <c r="XA66" s="960">
        <f>MIN(XA60-XA62,'Sources and Uses Budget'!XA108-SUM('15 Year Pro Forma'!WY66:WZ66))</f>
        <v>0</v>
      </c>
      <c r="XC66" s="960">
        <f>MIN(XC60-XC62,'Sources and Uses Budget'!XC108-SUM('15 Year Pro Forma'!XA66:XB66))</f>
        <v>0</v>
      </c>
      <c r="XE66" s="960">
        <f>MIN(XE60-XE62,'Sources and Uses Budget'!XE108-SUM('15 Year Pro Forma'!XC66:XD66))</f>
        <v>0</v>
      </c>
      <c r="XG66" s="960">
        <f>MIN(XG60-XG62,'Sources and Uses Budget'!XG108-SUM('15 Year Pro Forma'!XE66:XF66))</f>
        <v>0</v>
      </c>
      <c r="XI66" s="960">
        <f>MIN(XI60-XI62,'Sources and Uses Budget'!XI108-SUM('15 Year Pro Forma'!XG66:XH66))</f>
        <v>0</v>
      </c>
      <c r="XK66" s="960">
        <f>MIN(XK60-XK62,'Sources and Uses Budget'!XK108-SUM('15 Year Pro Forma'!XI66:XJ66))</f>
        <v>0</v>
      </c>
      <c r="XM66" s="960">
        <f>MIN(XM60-XM62,'Sources and Uses Budget'!XM108-SUM('15 Year Pro Forma'!XK66:XL66))</f>
        <v>0</v>
      </c>
      <c r="XO66" s="960">
        <f>MIN(XO60-XO62,'Sources and Uses Budget'!XO108-SUM('15 Year Pro Forma'!XM66:XN66))</f>
        <v>0</v>
      </c>
      <c r="XQ66" s="960">
        <f>MIN(XQ60-XQ62,'Sources and Uses Budget'!XQ108-SUM('15 Year Pro Forma'!XO66:XP66))</f>
        <v>0</v>
      </c>
      <c r="XS66" s="960">
        <f>MIN(XS60-XS62,'Sources and Uses Budget'!XS108-SUM('15 Year Pro Forma'!XQ66:XR66))</f>
        <v>0</v>
      </c>
      <c r="XU66" s="960">
        <f>MIN(XU60-XU62,'Sources and Uses Budget'!XU108-SUM('15 Year Pro Forma'!XS66:XT66))</f>
        <v>0</v>
      </c>
      <c r="XW66" s="960">
        <f>MIN(XW60-XW62,'Sources and Uses Budget'!XW108-SUM('15 Year Pro Forma'!XU66:XV66))</f>
        <v>0</v>
      </c>
      <c r="XY66" s="960">
        <f>MIN(XY60-XY62,'Sources and Uses Budget'!XY108-SUM('15 Year Pro Forma'!XW66:XX66))</f>
        <v>0</v>
      </c>
      <c r="YA66" s="960">
        <f>MIN(YA60-YA62,'Sources and Uses Budget'!YA108-SUM('15 Year Pro Forma'!XY66:XZ66))</f>
        <v>0</v>
      </c>
      <c r="YC66" s="960">
        <f>MIN(YC60-YC62,'Sources and Uses Budget'!YC108-SUM('15 Year Pro Forma'!YA66:YB66))</f>
        <v>0</v>
      </c>
      <c r="YE66" s="960">
        <f>MIN(YE60-YE62,'Sources and Uses Budget'!YE108-SUM('15 Year Pro Forma'!YC66:YD66))</f>
        <v>0</v>
      </c>
      <c r="YG66" s="960">
        <f>MIN(YG60-YG62,'Sources and Uses Budget'!YG108-SUM('15 Year Pro Forma'!YE66:YF66))</f>
        <v>0</v>
      </c>
      <c r="YI66" s="960">
        <f>MIN(YI60-YI62,'Sources and Uses Budget'!YI108-SUM('15 Year Pro Forma'!YG66:YH66))</f>
        <v>0</v>
      </c>
      <c r="YK66" s="960">
        <f>MIN(YK60-YK62,'Sources and Uses Budget'!YK108-SUM('15 Year Pro Forma'!YI66:YJ66))</f>
        <v>0</v>
      </c>
      <c r="YM66" s="960">
        <f>MIN(YM60-YM62,'Sources and Uses Budget'!YM108-SUM('15 Year Pro Forma'!YK66:YL66))</f>
        <v>0</v>
      </c>
      <c r="YO66" s="960">
        <f>MIN(YO60-YO62,'Sources and Uses Budget'!YO108-SUM('15 Year Pro Forma'!YM66:YN66))</f>
        <v>0</v>
      </c>
      <c r="YQ66" s="960">
        <f>MIN(YQ60-YQ62,'Sources and Uses Budget'!YQ108-SUM('15 Year Pro Forma'!YO66:YP66))</f>
        <v>0</v>
      </c>
      <c r="YS66" s="960">
        <f>MIN(YS60-YS62,'Sources and Uses Budget'!YS108-SUM('15 Year Pro Forma'!YQ66:YR66))</f>
        <v>0</v>
      </c>
      <c r="YU66" s="960">
        <f>MIN(YU60-YU62,'Sources and Uses Budget'!YU108-SUM('15 Year Pro Forma'!YS66:YT66))</f>
        <v>0</v>
      </c>
      <c r="YW66" s="960">
        <f>MIN(YW60-YW62,'Sources and Uses Budget'!YW108-SUM('15 Year Pro Forma'!YU66:YV66))</f>
        <v>0</v>
      </c>
      <c r="YY66" s="960">
        <f>MIN(YY60-YY62,'Sources and Uses Budget'!YY108-SUM('15 Year Pro Forma'!YW66:YX66))</f>
        <v>0</v>
      </c>
      <c r="ZA66" s="960">
        <f>MIN(ZA60-ZA62,'Sources and Uses Budget'!ZA108-SUM('15 Year Pro Forma'!YY66:YZ66))</f>
        <v>0</v>
      </c>
      <c r="ZC66" s="960">
        <f>MIN(ZC60-ZC62,'Sources and Uses Budget'!ZC108-SUM('15 Year Pro Forma'!ZA66:ZB66))</f>
        <v>0</v>
      </c>
      <c r="ZE66" s="960">
        <f>MIN(ZE60-ZE62,'Sources and Uses Budget'!ZE108-SUM('15 Year Pro Forma'!ZC66:ZD66))</f>
        <v>0</v>
      </c>
      <c r="ZG66" s="960">
        <f>MIN(ZG60-ZG62,'Sources and Uses Budget'!ZG108-SUM('15 Year Pro Forma'!ZE66:ZF66))</f>
        <v>0</v>
      </c>
      <c r="ZI66" s="960">
        <f>MIN(ZI60-ZI62,'Sources and Uses Budget'!ZI108-SUM('15 Year Pro Forma'!ZG66:ZH66))</f>
        <v>0</v>
      </c>
      <c r="ZK66" s="960">
        <f>MIN(ZK60-ZK62,'Sources and Uses Budget'!ZK108-SUM('15 Year Pro Forma'!ZI66:ZJ66))</f>
        <v>0</v>
      </c>
      <c r="ZM66" s="960">
        <f>MIN(ZM60-ZM62,'Sources and Uses Budget'!ZM108-SUM('15 Year Pro Forma'!ZK66:ZL66))</f>
        <v>0</v>
      </c>
      <c r="ZO66" s="960">
        <f>MIN(ZO60-ZO62,'Sources and Uses Budget'!ZO108-SUM('15 Year Pro Forma'!ZM66:ZN66))</f>
        <v>0</v>
      </c>
      <c r="ZQ66" s="960">
        <f>MIN(ZQ60-ZQ62,'Sources and Uses Budget'!ZQ108-SUM('15 Year Pro Forma'!ZO66:ZP66))</f>
        <v>0</v>
      </c>
      <c r="ZS66" s="960">
        <f>MIN(ZS60-ZS62,'Sources and Uses Budget'!ZS108-SUM('15 Year Pro Forma'!ZQ66:ZR66))</f>
        <v>0</v>
      </c>
      <c r="ZU66" s="960">
        <f>MIN(ZU60-ZU62,'Sources and Uses Budget'!ZU108-SUM('15 Year Pro Forma'!ZS66:ZT66))</f>
        <v>0</v>
      </c>
      <c r="ZW66" s="960">
        <f>MIN(ZW60-ZW62,'Sources and Uses Budget'!ZW108-SUM('15 Year Pro Forma'!ZU66:ZV66))</f>
        <v>0</v>
      </c>
      <c r="ZY66" s="960">
        <f>MIN(ZY60-ZY62,'Sources and Uses Budget'!ZY108-SUM('15 Year Pro Forma'!ZW66:ZX66))</f>
        <v>0</v>
      </c>
      <c r="AAA66" s="960">
        <f>MIN(AAA60-AAA62,'Sources and Uses Budget'!AAA108-SUM('15 Year Pro Forma'!ZY66:ZZ66))</f>
        <v>0</v>
      </c>
      <c r="AAC66" s="960">
        <f>MIN(AAC60-AAC62,'Sources and Uses Budget'!AAC108-SUM('15 Year Pro Forma'!AAA66:AAB66))</f>
        <v>0</v>
      </c>
      <c r="AAE66" s="960">
        <f>MIN(AAE60-AAE62,'Sources and Uses Budget'!AAE108-SUM('15 Year Pro Forma'!AAC66:AAD66))</f>
        <v>0</v>
      </c>
      <c r="AAG66" s="960">
        <f>MIN(AAG60-AAG62,'Sources and Uses Budget'!AAG108-SUM('15 Year Pro Forma'!AAE66:AAF66))</f>
        <v>0</v>
      </c>
      <c r="AAI66" s="960">
        <f>MIN(AAI60-AAI62,'Sources and Uses Budget'!AAI108-SUM('15 Year Pro Forma'!AAG66:AAH66))</f>
        <v>0</v>
      </c>
      <c r="AAK66" s="960">
        <f>MIN(AAK60-AAK62,'Sources and Uses Budget'!AAK108-SUM('15 Year Pro Forma'!AAI66:AAJ66))</f>
        <v>0</v>
      </c>
      <c r="AAM66" s="960">
        <f>MIN(AAM60-AAM62,'Sources and Uses Budget'!AAM108-SUM('15 Year Pro Forma'!AAK66:AAL66))</f>
        <v>0</v>
      </c>
      <c r="AAO66" s="960">
        <f>MIN(AAO60-AAO62,'Sources and Uses Budget'!AAO108-SUM('15 Year Pro Forma'!AAM66:AAN66))</f>
        <v>0</v>
      </c>
      <c r="AAQ66" s="960">
        <f>MIN(AAQ60-AAQ62,'Sources and Uses Budget'!AAQ108-SUM('15 Year Pro Forma'!AAO66:AAP66))</f>
        <v>0</v>
      </c>
      <c r="AAS66" s="960">
        <f>MIN(AAS60-AAS62,'Sources and Uses Budget'!AAS108-SUM('15 Year Pro Forma'!AAQ66:AAR66))</f>
        <v>0</v>
      </c>
      <c r="AAU66" s="960">
        <f>MIN(AAU60-AAU62,'Sources and Uses Budget'!AAU108-SUM('15 Year Pro Forma'!AAS66:AAT66))</f>
        <v>0</v>
      </c>
      <c r="AAW66" s="960">
        <f>MIN(AAW60-AAW62,'Sources and Uses Budget'!AAW108-SUM('15 Year Pro Forma'!AAU66:AAV66))</f>
        <v>0</v>
      </c>
      <c r="AAY66" s="960">
        <f>MIN(AAY60-AAY62,'Sources and Uses Budget'!AAY108-SUM('15 Year Pro Forma'!AAW66:AAX66))</f>
        <v>0</v>
      </c>
      <c r="ABA66" s="960">
        <f>MIN(ABA60-ABA62,'Sources and Uses Budget'!ABA108-SUM('15 Year Pro Forma'!AAY66:AAZ66))</f>
        <v>0</v>
      </c>
      <c r="ABC66" s="960">
        <f>MIN(ABC60-ABC62,'Sources and Uses Budget'!ABC108-SUM('15 Year Pro Forma'!ABA66:ABB66))</f>
        <v>0</v>
      </c>
      <c r="ABE66" s="960">
        <f>MIN(ABE60-ABE62,'Sources and Uses Budget'!ABE108-SUM('15 Year Pro Forma'!ABC66:ABD66))</f>
        <v>0</v>
      </c>
      <c r="ABG66" s="960">
        <f>MIN(ABG60-ABG62,'Sources and Uses Budget'!ABG108-SUM('15 Year Pro Forma'!ABE66:ABF66))</f>
        <v>0</v>
      </c>
      <c r="ABI66" s="960">
        <f>MIN(ABI60-ABI62,'Sources and Uses Budget'!ABI108-SUM('15 Year Pro Forma'!ABG66:ABH66))</f>
        <v>0</v>
      </c>
      <c r="ABK66" s="960">
        <f>MIN(ABK60-ABK62,'Sources and Uses Budget'!ABK108-SUM('15 Year Pro Forma'!ABI66:ABJ66))</f>
        <v>0</v>
      </c>
      <c r="ABM66" s="960">
        <f>MIN(ABM60-ABM62,'Sources and Uses Budget'!ABM108-SUM('15 Year Pro Forma'!ABK66:ABL66))</f>
        <v>0</v>
      </c>
      <c r="ABO66" s="960">
        <f>MIN(ABO60-ABO62,'Sources and Uses Budget'!ABO108-SUM('15 Year Pro Forma'!ABM66:ABN66))</f>
        <v>0</v>
      </c>
      <c r="ABQ66" s="960">
        <f>MIN(ABQ60-ABQ62,'Sources and Uses Budget'!ABQ108-SUM('15 Year Pro Forma'!ABO66:ABP66))</f>
        <v>0</v>
      </c>
      <c r="ABS66" s="960">
        <f>MIN(ABS60-ABS62,'Sources and Uses Budget'!ABS108-SUM('15 Year Pro Forma'!ABQ66:ABR66))</f>
        <v>0</v>
      </c>
      <c r="ABU66" s="960">
        <f>MIN(ABU60-ABU62,'Sources and Uses Budget'!ABU108-SUM('15 Year Pro Forma'!ABS66:ABT66))</f>
        <v>0</v>
      </c>
      <c r="ABW66" s="960">
        <f>MIN(ABW60-ABW62,'Sources and Uses Budget'!ABW108-SUM('15 Year Pro Forma'!ABU66:ABV66))</f>
        <v>0</v>
      </c>
      <c r="ABY66" s="960">
        <f>MIN(ABY60-ABY62,'Sources and Uses Budget'!ABY108-SUM('15 Year Pro Forma'!ABW66:ABX66))</f>
        <v>0</v>
      </c>
      <c r="ACA66" s="960">
        <f>MIN(ACA60-ACA62,'Sources and Uses Budget'!ACA108-SUM('15 Year Pro Forma'!ABY66:ABZ66))</f>
        <v>0</v>
      </c>
      <c r="ACC66" s="960">
        <f>MIN(ACC60-ACC62,'Sources and Uses Budget'!ACC108-SUM('15 Year Pro Forma'!ACA66:ACB66))</f>
        <v>0</v>
      </c>
      <c r="ACE66" s="960">
        <f>MIN(ACE60-ACE62,'Sources and Uses Budget'!ACE108-SUM('15 Year Pro Forma'!ACC66:ACD66))</f>
        <v>0</v>
      </c>
      <c r="ACG66" s="960">
        <f>MIN(ACG60-ACG62,'Sources and Uses Budget'!ACG108-SUM('15 Year Pro Forma'!ACE66:ACF66))</f>
        <v>0</v>
      </c>
      <c r="ACI66" s="960">
        <f>MIN(ACI60-ACI62,'Sources and Uses Budget'!ACI108-SUM('15 Year Pro Forma'!ACG66:ACH66))</f>
        <v>0</v>
      </c>
      <c r="ACK66" s="960">
        <f>MIN(ACK60-ACK62,'Sources and Uses Budget'!ACK108-SUM('15 Year Pro Forma'!ACI66:ACJ66))</f>
        <v>0</v>
      </c>
      <c r="ACM66" s="960">
        <f>MIN(ACM60-ACM62,'Sources and Uses Budget'!ACM108-SUM('15 Year Pro Forma'!ACK66:ACL66))</f>
        <v>0</v>
      </c>
      <c r="ACO66" s="960">
        <f>MIN(ACO60-ACO62,'Sources and Uses Budget'!ACO108-SUM('15 Year Pro Forma'!ACM66:ACN66))</f>
        <v>0</v>
      </c>
      <c r="ACQ66" s="960">
        <f>MIN(ACQ60-ACQ62,'Sources and Uses Budget'!ACQ108-SUM('15 Year Pro Forma'!ACO66:ACP66))</f>
        <v>0</v>
      </c>
      <c r="ACS66" s="960">
        <f>MIN(ACS60-ACS62,'Sources and Uses Budget'!ACS108-SUM('15 Year Pro Forma'!ACQ66:ACR66))</f>
        <v>0</v>
      </c>
      <c r="ACU66" s="960">
        <f>MIN(ACU60-ACU62,'Sources and Uses Budget'!ACU108-SUM('15 Year Pro Forma'!ACS66:ACT66))</f>
        <v>0</v>
      </c>
      <c r="ACW66" s="960">
        <f>MIN(ACW60-ACW62,'Sources and Uses Budget'!ACW108-SUM('15 Year Pro Forma'!ACU66:ACV66))</f>
        <v>0</v>
      </c>
      <c r="ACY66" s="960">
        <f>MIN(ACY60-ACY62,'Sources and Uses Budget'!ACY108-SUM('15 Year Pro Forma'!ACW66:ACX66))</f>
        <v>0</v>
      </c>
      <c r="ADA66" s="960">
        <f>MIN(ADA60-ADA62,'Sources and Uses Budget'!ADA108-SUM('15 Year Pro Forma'!ACY66:ACZ66))</f>
        <v>0</v>
      </c>
      <c r="ADC66" s="960">
        <f>MIN(ADC60-ADC62,'Sources and Uses Budget'!ADC108-SUM('15 Year Pro Forma'!ADA66:ADB66))</f>
        <v>0</v>
      </c>
      <c r="ADE66" s="960">
        <f>MIN(ADE60-ADE62,'Sources and Uses Budget'!ADE108-SUM('15 Year Pro Forma'!ADC66:ADD66))</f>
        <v>0</v>
      </c>
      <c r="ADG66" s="960">
        <f>MIN(ADG60-ADG62,'Sources and Uses Budget'!ADG108-SUM('15 Year Pro Forma'!ADE66:ADF66))</f>
        <v>0</v>
      </c>
      <c r="ADI66" s="960">
        <f>MIN(ADI60-ADI62,'Sources and Uses Budget'!ADI108-SUM('15 Year Pro Forma'!ADG66:ADH66))</f>
        <v>0</v>
      </c>
      <c r="ADK66" s="960">
        <f>MIN(ADK60-ADK62,'Sources and Uses Budget'!ADK108-SUM('15 Year Pro Forma'!ADI66:ADJ66))</f>
        <v>0</v>
      </c>
      <c r="ADM66" s="960">
        <f>MIN(ADM60-ADM62,'Sources and Uses Budget'!ADM108-SUM('15 Year Pro Forma'!ADK66:ADL66))</f>
        <v>0</v>
      </c>
      <c r="ADO66" s="960">
        <f>MIN(ADO60-ADO62,'Sources and Uses Budget'!ADO108-SUM('15 Year Pro Forma'!ADM66:ADN66))</f>
        <v>0</v>
      </c>
      <c r="ADQ66" s="960">
        <f>MIN(ADQ60-ADQ62,'Sources and Uses Budget'!ADQ108-SUM('15 Year Pro Forma'!ADO66:ADP66))</f>
        <v>0</v>
      </c>
      <c r="ADS66" s="960">
        <f>MIN(ADS60-ADS62,'Sources and Uses Budget'!ADS108-SUM('15 Year Pro Forma'!ADQ66:ADR66))</f>
        <v>0</v>
      </c>
      <c r="ADU66" s="960">
        <f>MIN(ADU60-ADU62,'Sources and Uses Budget'!ADU108-SUM('15 Year Pro Forma'!ADS66:ADT66))</f>
        <v>0</v>
      </c>
      <c r="ADW66" s="960">
        <f>MIN(ADW60-ADW62,'Sources and Uses Budget'!ADW108-SUM('15 Year Pro Forma'!ADU66:ADV66))</f>
        <v>0</v>
      </c>
      <c r="ADY66" s="960">
        <f>MIN(ADY60-ADY62,'Sources and Uses Budget'!ADY108-SUM('15 Year Pro Forma'!ADW66:ADX66))</f>
        <v>0</v>
      </c>
      <c r="AEA66" s="960">
        <f>MIN(AEA60-AEA62,'Sources and Uses Budget'!AEA108-SUM('15 Year Pro Forma'!ADY66:ADZ66))</f>
        <v>0</v>
      </c>
      <c r="AEC66" s="960">
        <f>MIN(AEC60-AEC62,'Sources and Uses Budget'!AEC108-SUM('15 Year Pro Forma'!AEA66:AEB66))</f>
        <v>0</v>
      </c>
      <c r="AEE66" s="960">
        <f>MIN(AEE60-AEE62,'Sources and Uses Budget'!AEE108-SUM('15 Year Pro Forma'!AEC66:AED66))</f>
        <v>0</v>
      </c>
      <c r="AEG66" s="960">
        <f>MIN(AEG60-AEG62,'Sources and Uses Budget'!AEG108-SUM('15 Year Pro Forma'!AEE66:AEF66))</f>
        <v>0</v>
      </c>
      <c r="AEI66" s="960">
        <f>MIN(AEI60-AEI62,'Sources and Uses Budget'!AEI108-SUM('15 Year Pro Forma'!AEG66:AEH66))</f>
        <v>0</v>
      </c>
      <c r="AEK66" s="960">
        <f>MIN(AEK60-AEK62,'Sources and Uses Budget'!AEK108-SUM('15 Year Pro Forma'!AEI66:AEJ66))</f>
        <v>0</v>
      </c>
      <c r="AEM66" s="960">
        <f>MIN(AEM60-AEM62,'Sources and Uses Budget'!AEM108-SUM('15 Year Pro Forma'!AEK66:AEL66))</f>
        <v>0</v>
      </c>
      <c r="AEO66" s="960">
        <f>MIN(AEO60-AEO62,'Sources and Uses Budget'!AEO108-SUM('15 Year Pro Forma'!AEM66:AEN66))</f>
        <v>0</v>
      </c>
      <c r="AEQ66" s="960">
        <f>MIN(AEQ60-AEQ62,'Sources and Uses Budget'!AEQ108-SUM('15 Year Pro Forma'!AEO66:AEP66))</f>
        <v>0</v>
      </c>
      <c r="AES66" s="960">
        <f>MIN(AES60-AES62,'Sources and Uses Budget'!AES108-SUM('15 Year Pro Forma'!AEQ66:AER66))</f>
        <v>0</v>
      </c>
      <c r="AEU66" s="960">
        <f>MIN(AEU60-AEU62,'Sources and Uses Budget'!AEU108-SUM('15 Year Pro Forma'!AES66:AET66))</f>
        <v>0</v>
      </c>
      <c r="AEW66" s="960">
        <f>MIN(AEW60-AEW62,'Sources and Uses Budget'!AEW108-SUM('15 Year Pro Forma'!AEU66:AEV66))</f>
        <v>0</v>
      </c>
      <c r="AEY66" s="960">
        <f>MIN(AEY60-AEY62,'Sources and Uses Budget'!AEY108-SUM('15 Year Pro Forma'!AEW66:AEX66))</f>
        <v>0</v>
      </c>
      <c r="AFA66" s="960">
        <f>MIN(AFA60-AFA62,'Sources and Uses Budget'!AFA108-SUM('15 Year Pro Forma'!AEY66:AEZ66))</f>
        <v>0</v>
      </c>
      <c r="AFC66" s="960">
        <f>MIN(AFC60-AFC62,'Sources and Uses Budget'!AFC108-SUM('15 Year Pro Forma'!AFA66:AFB66))</f>
        <v>0</v>
      </c>
      <c r="AFE66" s="960">
        <f>MIN(AFE60-AFE62,'Sources and Uses Budget'!AFE108-SUM('15 Year Pro Forma'!AFC66:AFD66))</f>
        <v>0</v>
      </c>
      <c r="AFG66" s="960">
        <f>MIN(AFG60-AFG62,'Sources and Uses Budget'!AFG108-SUM('15 Year Pro Forma'!AFE66:AFF66))</f>
        <v>0</v>
      </c>
      <c r="AFI66" s="960">
        <f>MIN(AFI60-AFI62,'Sources and Uses Budget'!AFI108-SUM('15 Year Pro Forma'!AFG66:AFH66))</f>
        <v>0</v>
      </c>
      <c r="AFK66" s="960">
        <f>MIN(AFK60-AFK62,'Sources and Uses Budget'!AFK108-SUM('15 Year Pro Forma'!AFI66:AFJ66))</f>
        <v>0</v>
      </c>
      <c r="AFM66" s="960">
        <f>MIN(AFM60-AFM62,'Sources and Uses Budget'!AFM108-SUM('15 Year Pro Forma'!AFK66:AFL66))</f>
        <v>0</v>
      </c>
      <c r="AFO66" s="960">
        <f>MIN(AFO60-AFO62,'Sources and Uses Budget'!AFO108-SUM('15 Year Pro Forma'!AFM66:AFN66))</f>
        <v>0</v>
      </c>
      <c r="AFQ66" s="960">
        <f>MIN(AFQ60-AFQ62,'Sources and Uses Budget'!AFQ108-SUM('15 Year Pro Forma'!AFO66:AFP66))</f>
        <v>0</v>
      </c>
      <c r="AFS66" s="960">
        <f>MIN(AFS60-AFS62,'Sources and Uses Budget'!AFS108-SUM('15 Year Pro Forma'!AFQ66:AFR66))</f>
        <v>0</v>
      </c>
      <c r="AFU66" s="960">
        <f>MIN(AFU60-AFU62,'Sources and Uses Budget'!AFU108-SUM('15 Year Pro Forma'!AFS66:AFT66))</f>
        <v>0</v>
      </c>
      <c r="AFW66" s="960">
        <f>MIN(AFW60-AFW62,'Sources and Uses Budget'!AFW108-SUM('15 Year Pro Forma'!AFU66:AFV66))</f>
        <v>0</v>
      </c>
      <c r="AFY66" s="960">
        <f>MIN(AFY60-AFY62,'Sources and Uses Budget'!AFY108-SUM('15 Year Pro Forma'!AFW66:AFX66))</f>
        <v>0</v>
      </c>
      <c r="AGA66" s="960">
        <f>MIN(AGA60-AGA62,'Sources and Uses Budget'!AGA108-SUM('15 Year Pro Forma'!AFY66:AFZ66))</f>
        <v>0</v>
      </c>
      <c r="AGC66" s="960">
        <f>MIN(AGC60-AGC62,'Sources and Uses Budget'!AGC108-SUM('15 Year Pro Forma'!AGA66:AGB66))</f>
        <v>0</v>
      </c>
      <c r="AGE66" s="960">
        <f>MIN(AGE60-AGE62,'Sources and Uses Budget'!AGE108-SUM('15 Year Pro Forma'!AGC66:AGD66))</f>
        <v>0</v>
      </c>
      <c r="AGG66" s="960">
        <f>MIN(AGG60-AGG62,'Sources and Uses Budget'!AGG108-SUM('15 Year Pro Forma'!AGE66:AGF66))</f>
        <v>0</v>
      </c>
      <c r="AGI66" s="960">
        <f>MIN(AGI60-AGI62,'Sources and Uses Budget'!AGI108-SUM('15 Year Pro Forma'!AGG66:AGH66))</f>
        <v>0</v>
      </c>
      <c r="AGK66" s="960">
        <f>MIN(AGK60-AGK62,'Sources and Uses Budget'!AGK108-SUM('15 Year Pro Forma'!AGI66:AGJ66))</f>
        <v>0</v>
      </c>
      <c r="AGM66" s="960">
        <f>MIN(AGM60-AGM62,'Sources and Uses Budget'!AGM108-SUM('15 Year Pro Forma'!AGK66:AGL66))</f>
        <v>0</v>
      </c>
      <c r="AGO66" s="960">
        <f>MIN(AGO60-AGO62,'Sources and Uses Budget'!AGO108-SUM('15 Year Pro Forma'!AGM66:AGN66))</f>
        <v>0</v>
      </c>
      <c r="AGQ66" s="960">
        <f>MIN(AGQ60-AGQ62,'Sources and Uses Budget'!AGQ108-SUM('15 Year Pro Forma'!AGO66:AGP66))</f>
        <v>0</v>
      </c>
      <c r="AGS66" s="960">
        <f>MIN(AGS60-AGS62,'Sources and Uses Budget'!AGS108-SUM('15 Year Pro Forma'!AGQ66:AGR66))</f>
        <v>0</v>
      </c>
      <c r="AGU66" s="960">
        <f>MIN(AGU60-AGU62,'Sources and Uses Budget'!AGU108-SUM('15 Year Pro Forma'!AGS66:AGT66))</f>
        <v>0</v>
      </c>
      <c r="AGW66" s="960">
        <f>MIN(AGW60-AGW62,'Sources and Uses Budget'!AGW108-SUM('15 Year Pro Forma'!AGU66:AGV66))</f>
        <v>0</v>
      </c>
      <c r="AGY66" s="960">
        <f>MIN(AGY60-AGY62,'Sources and Uses Budget'!AGY108-SUM('15 Year Pro Forma'!AGW66:AGX66))</f>
        <v>0</v>
      </c>
      <c r="AHA66" s="960">
        <f>MIN(AHA60-AHA62,'Sources and Uses Budget'!AHA108-SUM('15 Year Pro Forma'!AGY66:AGZ66))</f>
        <v>0</v>
      </c>
      <c r="AHC66" s="960">
        <f>MIN(AHC60-AHC62,'Sources and Uses Budget'!AHC108-SUM('15 Year Pro Forma'!AHA66:AHB66))</f>
        <v>0</v>
      </c>
      <c r="AHE66" s="960">
        <f>MIN(AHE60-AHE62,'Sources and Uses Budget'!AHE108-SUM('15 Year Pro Forma'!AHC66:AHD66))</f>
        <v>0</v>
      </c>
      <c r="AHG66" s="960">
        <f>MIN(AHG60-AHG62,'Sources and Uses Budget'!AHG108-SUM('15 Year Pro Forma'!AHE66:AHF66))</f>
        <v>0</v>
      </c>
      <c r="AHI66" s="960">
        <f>MIN(AHI60-AHI62,'Sources and Uses Budget'!AHI108-SUM('15 Year Pro Forma'!AHG66:AHH66))</f>
        <v>0</v>
      </c>
      <c r="AHK66" s="960">
        <f>MIN(AHK60-AHK62,'Sources and Uses Budget'!AHK108-SUM('15 Year Pro Forma'!AHI66:AHJ66))</f>
        <v>0</v>
      </c>
      <c r="AHM66" s="960">
        <f>MIN(AHM60-AHM62,'Sources and Uses Budget'!AHM108-SUM('15 Year Pro Forma'!AHK66:AHL66))</f>
        <v>0</v>
      </c>
      <c r="AHO66" s="960">
        <f>MIN(AHO60-AHO62,'Sources and Uses Budget'!AHO108-SUM('15 Year Pro Forma'!AHM66:AHN66))</f>
        <v>0</v>
      </c>
      <c r="AHQ66" s="960">
        <f>MIN(AHQ60-AHQ62,'Sources and Uses Budget'!AHQ108-SUM('15 Year Pro Forma'!AHO66:AHP66))</f>
        <v>0</v>
      </c>
      <c r="AHS66" s="960">
        <f>MIN(AHS60-AHS62,'Sources and Uses Budget'!AHS108-SUM('15 Year Pro Forma'!AHQ66:AHR66))</f>
        <v>0</v>
      </c>
      <c r="AHU66" s="960">
        <f>MIN(AHU60-AHU62,'Sources and Uses Budget'!AHU108-SUM('15 Year Pro Forma'!AHS66:AHT66))</f>
        <v>0</v>
      </c>
      <c r="AHW66" s="960">
        <f>MIN(AHW60-AHW62,'Sources and Uses Budget'!AHW108-SUM('15 Year Pro Forma'!AHU66:AHV66))</f>
        <v>0</v>
      </c>
      <c r="AHY66" s="960">
        <f>MIN(AHY60-AHY62,'Sources and Uses Budget'!AHY108-SUM('15 Year Pro Forma'!AHW66:AHX66))</f>
        <v>0</v>
      </c>
      <c r="AIA66" s="960">
        <f>MIN(AIA60-AIA62,'Sources and Uses Budget'!AIA108-SUM('15 Year Pro Forma'!AHY66:AHZ66))</f>
        <v>0</v>
      </c>
      <c r="AIC66" s="960">
        <f>MIN(AIC60-AIC62,'Sources and Uses Budget'!AIC108-SUM('15 Year Pro Forma'!AIA66:AIB66))</f>
        <v>0</v>
      </c>
      <c r="AIE66" s="960">
        <f>MIN(AIE60-AIE62,'Sources and Uses Budget'!AIE108-SUM('15 Year Pro Forma'!AIC66:AID66))</f>
        <v>0</v>
      </c>
      <c r="AIG66" s="960">
        <f>MIN(AIG60-AIG62,'Sources and Uses Budget'!AIG108-SUM('15 Year Pro Forma'!AIE66:AIF66))</f>
        <v>0</v>
      </c>
      <c r="AII66" s="960">
        <f>MIN(AII60-AII62,'Sources and Uses Budget'!AII108-SUM('15 Year Pro Forma'!AIG66:AIH66))</f>
        <v>0</v>
      </c>
      <c r="AIK66" s="960">
        <f>MIN(AIK60-AIK62,'Sources and Uses Budget'!AIK108-SUM('15 Year Pro Forma'!AII66:AIJ66))</f>
        <v>0</v>
      </c>
      <c r="AIM66" s="960">
        <f>MIN(AIM60-AIM62,'Sources and Uses Budget'!AIM108-SUM('15 Year Pro Forma'!AIK66:AIL66))</f>
        <v>0</v>
      </c>
      <c r="AIO66" s="960">
        <f>MIN(AIO60-AIO62,'Sources and Uses Budget'!AIO108-SUM('15 Year Pro Forma'!AIM66:AIN66))</f>
        <v>0</v>
      </c>
      <c r="AIQ66" s="960">
        <f>MIN(AIQ60-AIQ62,'Sources and Uses Budget'!AIQ108-SUM('15 Year Pro Forma'!AIO66:AIP66))</f>
        <v>0</v>
      </c>
      <c r="AIS66" s="960">
        <f>MIN(AIS60-AIS62,'Sources and Uses Budget'!AIS108-SUM('15 Year Pro Forma'!AIQ66:AIR66))</f>
        <v>0</v>
      </c>
      <c r="AIU66" s="960">
        <f>MIN(AIU60-AIU62,'Sources and Uses Budget'!AIU108-SUM('15 Year Pro Forma'!AIS66:AIT66))</f>
        <v>0</v>
      </c>
      <c r="AIW66" s="960">
        <f>MIN(AIW60-AIW62,'Sources and Uses Budget'!AIW108-SUM('15 Year Pro Forma'!AIU66:AIV66))</f>
        <v>0</v>
      </c>
      <c r="AIY66" s="960">
        <f>MIN(AIY60-AIY62,'Sources and Uses Budget'!AIY108-SUM('15 Year Pro Forma'!AIW66:AIX66))</f>
        <v>0</v>
      </c>
      <c r="AJA66" s="960">
        <f>MIN(AJA60-AJA62,'Sources and Uses Budget'!AJA108-SUM('15 Year Pro Forma'!AIY66:AIZ66))</f>
        <v>0</v>
      </c>
      <c r="AJC66" s="960">
        <f>MIN(AJC60-AJC62,'Sources and Uses Budget'!AJC108-SUM('15 Year Pro Forma'!AJA66:AJB66))</f>
        <v>0</v>
      </c>
      <c r="AJE66" s="960">
        <f>MIN(AJE60-AJE62,'Sources and Uses Budget'!AJE108-SUM('15 Year Pro Forma'!AJC66:AJD66))</f>
        <v>0</v>
      </c>
      <c r="AJG66" s="960">
        <f>MIN(AJG60-AJG62,'Sources and Uses Budget'!AJG108-SUM('15 Year Pro Forma'!AJE66:AJF66))</f>
        <v>0</v>
      </c>
      <c r="AJI66" s="960">
        <f>MIN(AJI60-AJI62,'Sources and Uses Budget'!AJI108-SUM('15 Year Pro Forma'!AJG66:AJH66))</f>
        <v>0</v>
      </c>
      <c r="AJK66" s="960">
        <f>MIN(AJK60-AJK62,'Sources and Uses Budget'!AJK108-SUM('15 Year Pro Forma'!AJI66:AJJ66))</f>
        <v>0</v>
      </c>
      <c r="AJM66" s="960">
        <f>MIN(AJM60-AJM62,'Sources and Uses Budget'!AJM108-SUM('15 Year Pro Forma'!AJK66:AJL66))</f>
        <v>0</v>
      </c>
      <c r="AJO66" s="960">
        <f>MIN(AJO60-AJO62,'Sources and Uses Budget'!AJO108-SUM('15 Year Pro Forma'!AJM66:AJN66))</f>
        <v>0</v>
      </c>
      <c r="AJQ66" s="960">
        <f>MIN(AJQ60-AJQ62,'Sources and Uses Budget'!AJQ108-SUM('15 Year Pro Forma'!AJO66:AJP66))</f>
        <v>0</v>
      </c>
      <c r="AJS66" s="960">
        <f>MIN(AJS60-AJS62,'Sources and Uses Budget'!AJS108-SUM('15 Year Pro Forma'!AJQ66:AJR66))</f>
        <v>0</v>
      </c>
      <c r="AJU66" s="960">
        <f>MIN(AJU60-AJU62,'Sources and Uses Budget'!AJU108-SUM('15 Year Pro Forma'!AJS66:AJT66))</f>
        <v>0</v>
      </c>
      <c r="AJW66" s="960">
        <f>MIN(AJW60-AJW62,'Sources and Uses Budget'!AJW108-SUM('15 Year Pro Forma'!AJU66:AJV66))</f>
        <v>0</v>
      </c>
      <c r="AJY66" s="960">
        <f>MIN(AJY60-AJY62,'Sources and Uses Budget'!AJY108-SUM('15 Year Pro Forma'!AJW66:AJX66))</f>
        <v>0</v>
      </c>
      <c r="AKA66" s="960">
        <f>MIN(AKA60-AKA62,'Sources and Uses Budget'!AKA108-SUM('15 Year Pro Forma'!AJY66:AJZ66))</f>
        <v>0</v>
      </c>
      <c r="AKC66" s="960">
        <f>MIN(AKC60-AKC62,'Sources and Uses Budget'!AKC108-SUM('15 Year Pro Forma'!AKA66:AKB66))</f>
        <v>0</v>
      </c>
      <c r="AKE66" s="960">
        <f>MIN(AKE60-AKE62,'Sources and Uses Budget'!AKE108-SUM('15 Year Pro Forma'!AKC66:AKD66))</f>
        <v>0</v>
      </c>
      <c r="AKG66" s="960">
        <f>MIN(AKG60-AKG62,'Sources and Uses Budget'!AKG108-SUM('15 Year Pro Forma'!AKE66:AKF66))</f>
        <v>0</v>
      </c>
      <c r="AKI66" s="960">
        <f>MIN(AKI60-AKI62,'Sources and Uses Budget'!AKI108-SUM('15 Year Pro Forma'!AKG66:AKH66))</f>
        <v>0</v>
      </c>
      <c r="AKK66" s="960">
        <f>MIN(AKK60-AKK62,'Sources and Uses Budget'!AKK108-SUM('15 Year Pro Forma'!AKI66:AKJ66))</f>
        <v>0</v>
      </c>
      <c r="AKM66" s="960">
        <f>MIN(AKM60-AKM62,'Sources and Uses Budget'!AKM108-SUM('15 Year Pro Forma'!AKK66:AKL66))</f>
        <v>0</v>
      </c>
      <c r="AKO66" s="960">
        <f>MIN(AKO60-AKO62,'Sources and Uses Budget'!AKO108-SUM('15 Year Pro Forma'!AKM66:AKN66))</f>
        <v>0</v>
      </c>
      <c r="AKQ66" s="960">
        <f>MIN(AKQ60-AKQ62,'Sources and Uses Budget'!AKQ108-SUM('15 Year Pro Forma'!AKO66:AKP66))</f>
        <v>0</v>
      </c>
      <c r="AKS66" s="960">
        <f>MIN(AKS60-AKS62,'Sources and Uses Budget'!AKS108-SUM('15 Year Pro Forma'!AKQ66:AKR66))</f>
        <v>0</v>
      </c>
      <c r="AKU66" s="960">
        <f>MIN(AKU60-AKU62,'Sources and Uses Budget'!AKU108-SUM('15 Year Pro Forma'!AKS66:AKT66))</f>
        <v>0</v>
      </c>
      <c r="AKW66" s="960">
        <f>MIN(AKW60-AKW62,'Sources and Uses Budget'!AKW108-SUM('15 Year Pro Forma'!AKU66:AKV66))</f>
        <v>0</v>
      </c>
      <c r="AKY66" s="960">
        <f>MIN(AKY60-AKY62,'Sources and Uses Budget'!AKY108-SUM('15 Year Pro Forma'!AKW66:AKX66))</f>
        <v>0</v>
      </c>
      <c r="ALA66" s="960">
        <f>MIN(ALA60-ALA62,'Sources and Uses Budget'!ALA108-SUM('15 Year Pro Forma'!AKY66:AKZ66))</f>
        <v>0</v>
      </c>
      <c r="ALC66" s="960">
        <f>MIN(ALC60-ALC62,'Sources and Uses Budget'!ALC108-SUM('15 Year Pro Forma'!ALA66:ALB66))</f>
        <v>0</v>
      </c>
      <c r="ALE66" s="960">
        <f>MIN(ALE60-ALE62,'Sources and Uses Budget'!ALE108-SUM('15 Year Pro Forma'!ALC66:ALD66))</f>
        <v>0</v>
      </c>
      <c r="ALG66" s="960">
        <f>MIN(ALG60-ALG62,'Sources and Uses Budget'!ALG108-SUM('15 Year Pro Forma'!ALE66:ALF66))</f>
        <v>0</v>
      </c>
      <c r="ALI66" s="960">
        <f>MIN(ALI60-ALI62,'Sources and Uses Budget'!ALI108-SUM('15 Year Pro Forma'!ALG66:ALH66))</f>
        <v>0</v>
      </c>
      <c r="ALK66" s="960">
        <f>MIN(ALK60-ALK62,'Sources and Uses Budget'!ALK108-SUM('15 Year Pro Forma'!ALI66:ALJ66))</f>
        <v>0</v>
      </c>
      <c r="ALM66" s="960">
        <f>MIN(ALM60-ALM62,'Sources and Uses Budget'!ALM108-SUM('15 Year Pro Forma'!ALK66:ALL66))</f>
        <v>0</v>
      </c>
      <c r="ALO66" s="960">
        <f>MIN(ALO60-ALO62,'Sources and Uses Budget'!ALO108-SUM('15 Year Pro Forma'!ALM66:ALN66))</f>
        <v>0</v>
      </c>
      <c r="ALQ66" s="960">
        <f>MIN(ALQ60-ALQ62,'Sources and Uses Budget'!ALQ108-SUM('15 Year Pro Forma'!ALO66:ALP66))</f>
        <v>0</v>
      </c>
      <c r="ALS66" s="960">
        <f>MIN(ALS60-ALS62,'Sources and Uses Budget'!ALS108-SUM('15 Year Pro Forma'!ALQ66:ALR66))</f>
        <v>0</v>
      </c>
      <c r="ALU66" s="960">
        <f>MIN(ALU60-ALU62,'Sources and Uses Budget'!ALU108-SUM('15 Year Pro Forma'!ALS66:ALT66))</f>
        <v>0</v>
      </c>
      <c r="ALW66" s="960">
        <f>MIN(ALW60-ALW62,'Sources and Uses Budget'!ALW108-SUM('15 Year Pro Forma'!ALU66:ALV66))</f>
        <v>0</v>
      </c>
      <c r="ALY66" s="960">
        <f>MIN(ALY60-ALY62,'Sources and Uses Budget'!ALY108-SUM('15 Year Pro Forma'!ALW66:ALX66))</f>
        <v>0</v>
      </c>
      <c r="AMA66" s="960">
        <f>MIN(AMA60-AMA62,'Sources and Uses Budget'!AMA108-SUM('15 Year Pro Forma'!ALY66:ALZ66))</f>
        <v>0</v>
      </c>
      <c r="AMC66" s="960">
        <f>MIN(AMC60-AMC62,'Sources and Uses Budget'!AMC108-SUM('15 Year Pro Forma'!AMA66:AMB66))</f>
        <v>0</v>
      </c>
      <c r="AME66" s="960">
        <f>MIN(AME60-AME62,'Sources and Uses Budget'!AME108-SUM('15 Year Pro Forma'!AMC66:AMD66))</f>
        <v>0</v>
      </c>
      <c r="AMG66" s="960">
        <f>MIN(AMG60-AMG62,'Sources and Uses Budget'!AMG108-SUM('15 Year Pro Forma'!AME66:AMF66))</f>
        <v>0</v>
      </c>
      <c r="AMI66" s="960">
        <f>MIN(AMI60-AMI62,'Sources and Uses Budget'!AMI108-SUM('15 Year Pro Forma'!AMG66:AMH66))</f>
        <v>0</v>
      </c>
      <c r="AMK66" s="960">
        <f>MIN(AMK60-AMK62,'Sources and Uses Budget'!AMK108-SUM('15 Year Pro Forma'!AMI66:AMJ66))</f>
        <v>0</v>
      </c>
      <c r="AMM66" s="960">
        <f>MIN(AMM60-AMM62,'Sources and Uses Budget'!AMM108-SUM('15 Year Pro Forma'!AMK66:AML66))</f>
        <v>0</v>
      </c>
      <c r="AMO66" s="960">
        <f>MIN(AMO60-AMO62,'Sources and Uses Budget'!AMO108-SUM('15 Year Pro Forma'!AMM66:AMN66))</f>
        <v>0</v>
      </c>
      <c r="AMQ66" s="960">
        <f>MIN(AMQ60-AMQ62,'Sources and Uses Budget'!AMQ108-SUM('15 Year Pro Forma'!AMO66:AMP66))</f>
        <v>0</v>
      </c>
      <c r="AMS66" s="960">
        <f>MIN(AMS60-AMS62,'Sources and Uses Budget'!AMS108-SUM('15 Year Pro Forma'!AMQ66:AMR66))</f>
        <v>0</v>
      </c>
      <c r="AMU66" s="960">
        <f>MIN(AMU60-AMU62,'Sources and Uses Budget'!AMU108-SUM('15 Year Pro Forma'!AMS66:AMT66))</f>
        <v>0</v>
      </c>
      <c r="AMW66" s="960">
        <f>MIN(AMW60-AMW62,'Sources and Uses Budget'!AMW108-SUM('15 Year Pro Forma'!AMU66:AMV66))</f>
        <v>0</v>
      </c>
      <c r="AMY66" s="960">
        <f>MIN(AMY60-AMY62,'Sources and Uses Budget'!AMY108-SUM('15 Year Pro Forma'!AMW66:AMX66))</f>
        <v>0</v>
      </c>
      <c r="ANA66" s="960">
        <f>MIN(ANA60-ANA62,'Sources and Uses Budget'!ANA108-SUM('15 Year Pro Forma'!AMY66:AMZ66))</f>
        <v>0</v>
      </c>
      <c r="ANC66" s="960">
        <f>MIN(ANC60-ANC62,'Sources and Uses Budget'!ANC108-SUM('15 Year Pro Forma'!ANA66:ANB66))</f>
        <v>0</v>
      </c>
      <c r="ANE66" s="960">
        <f>MIN(ANE60-ANE62,'Sources and Uses Budget'!ANE108-SUM('15 Year Pro Forma'!ANC66:AND66))</f>
        <v>0</v>
      </c>
      <c r="ANG66" s="960">
        <f>MIN(ANG60-ANG62,'Sources and Uses Budget'!ANG108-SUM('15 Year Pro Forma'!ANE66:ANF66))</f>
        <v>0</v>
      </c>
      <c r="ANI66" s="960">
        <f>MIN(ANI60-ANI62,'Sources and Uses Budget'!ANI108-SUM('15 Year Pro Forma'!ANG66:ANH66))</f>
        <v>0</v>
      </c>
      <c r="ANK66" s="960">
        <f>MIN(ANK60-ANK62,'Sources and Uses Budget'!ANK108-SUM('15 Year Pro Forma'!ANI66:ANJ66))</f>
        <v>0</v>
      </c>
      <c r="ANM66" s="960">
        <f>MIN(ANM60-ANM62,'Sources and Uses Budget'!ANM108-SUM('15 Year Pro Forma'!ANK66:ANL66))</f>
        <v>0</v>
      </c>
      <c r="ANO66" s="960">
        <f>MIN(ANO60-ANO62,'Sources and Uses Budget'!ANO108-SUM('15 Year Pro Forma'!ANM66:ANN66))</f>
        <v>0</v>
      </c>
      <c r="ANQ66" s="960">
        <f>MIN(ANQ60-ANQ62,'Sources and Uses Budget'!ANQ108-SUM('15 Year Pro Forma'!ANO66:ANP66))</f>
        <v>0</v>
      </c>
      <c r="ANS66" s="960">
        <f>MIN(ANS60-ANS62,'Sources and Uses Budget'!ANS108-SUM('15 Year Pro Forma'!ANQ66:ANR66))</f>
        <v>0</v>
      </c>
      <c r="ANU66" s="960">
        <f>MIN(ANU60-ANU62,'Sources and Uses Budget'!ANU108-SUM('15 Year Pro Forma'!ANS66:ANT66))</f>
        <v>0</v>
      </c>
      <c r="ANW66" s="960">
        <f>MIN(ANW60-ANW62,'Sources and Uses Budget'!ANW108-SUM('15 Year Pro Forma'!ANU66:ANV66))</f>
        <v>0</v>
      </c>
      <c r="ANY66" s="960">
        <f>MIN(ANY60-ANY62,'Sources and Uses Budget'!ANY108-SUM('15 Year Pro Forma'!ANW66:ANX66))</f>
        <v>0</v>
      </c>
      <c r="AOA66" s="960">
        <f>MIN(AOA60-AOA62,'Sources and Uses Budget'!AOA108-SUM('15 Year Pro Forma'!ANY66:ANZ66))</f>
        <v>0</v>
      </c>
      <c r="AOC66" s="960">
        <f>MIN(AOC60-AOC62,'Sources and Uses Budget'!AOC108-SUM('15 Year Pro Forma'!AOA66:AOB66))</f>
        <v>0</v>
      </c>
      <c r="AOE66" s="960">
        <f>MIN(AOE60-AOE62,'Sources and Uses Budget'!AOE108-SUM('15 Year Pro Forma'!AOC66:AOD66))</f>
        <v>0</v>
      </c>
      <c r="AOG66" s="960">
        <f>MIN(AOG60-AOG62,'Sources and Uses Budget'!AOG108-SUM('15 Year Pro Forma'!AOE66:AOF66))</f>
        <v>0</v>
      </c>
      <c r="AOI66" s="960">
        <f>MIN(AOI60-AOI62,'Sources and Uses Budget'!AOI108-SUM('15 Year Pro Forma'!AOG66:AOH66))</f>
        <v>0</v>
      </c>
      <c r="AOK66" s="960">
        <f>MIN(AOK60-AOK62,'Sources and Uses Budget'!AOK108-SUM('15 Year Pro Forma'!AOI66:AOJ66))</f>
        <v>0</v>
      </c>
      <c r="AOM66" s="960">
        <f>MIN(AOM60-AOM62,'Sources and Uses Budget'!AOM108-SUM('15 Year Pro Forma'!AOK66:AOL66))</f>
        <v>0</v>
      </c>
      <c r="AOO66" s="960">
        <f>MIN(AOO60-AOO62,'Sources and Uses Budget'!AOO108-SUM('15 Year Pro Forma'!AOM66:AON66))</f>
        <v>0</v>
      </c>
      <c r="AOQ66" s="960">
        <f>MIN(AOQ60-AOQ62,'Sources and Uses Budget'!AOQ108-SUM('15 Year Pro Forma'!AOO66:AOP66))</f>
        <v>0</v>
      </c>
      <c r="AOS66" s="960">
        <f>MIN(AOS60-AOS62,'Sources and Uses Budget'!AOS108-SUM('15 Year Pro Forma'!AOQ66:AOR66))</f>
        <v>0</v>
      </c>
      <c r="AOU66" s="960">
        <f>MIN(AOU60-AOU62,'Sources and Uses Budget'!AOU108-SUM('15 Year Pro Forma'!AOS66:AOT66))</f>
        <v>0</v>
      </c>
      <c r="AOW66" s="960">
        <f>MIN(AOW60-AOW62,'Sources and Uses Budget'!AOW108-SUM('15 Year Pro Forma'!AOU66:AOV66))</f>
        <v>0</v>
      </c>
      <c r="AOY66" s="960">
        <f>MIN(AOY60-AOY62,'Sources and Uses Budget'!AOY108-SUM('15 Year Pro Forma'!AOW66:AOX66))</f>
        <v>0</v>
      </c>
      <c r="APA66" s="960">
        <f>MIN(APA60-APA62,'Sources and Uses Budget'!APA108-SUM('15 Year Pro Forma'!AOY66:AOZ66))</f>
        <v>0</v>
      </c>
      <c r="APC66" s="960">
        <f>MIN(APC60-APC62,'Sources and Uses Budget'!APC108-SUM('15 Year Pro Forma'!APA66:APB66))</f>
        <v>0</v>
      </c>
      <c r="APE66" s="960">
        <f>MIN(APE60-APE62,'Sources and Uses Budget'!APE108-SUM('15 Year Pro Forma'!APC66:APD66))</f>
        <v>0</v>
      </c>
      <c r="APG66" s="960">
        <f>MIN(APG60-APG62,'Sources and Uses Budget'!APG108-SUM('15 Year Pro Forma'!APE66:APF66))</f>
        <v>0</v>
      </c>
      <c r="API66" s="960">
        <f>MIN(API60-API62,'Sources and Uses Budget'!API108-SUM('15 Year Pro Forma'!APG66:APH66))</f>
        <v>0</v>
      </c>
      <c r="APK66" s="960">
        <f>MIN(APK60-APK62,'Sources and Uses Budget'!APK108-SUM('15 Year Pro Forma'!API66:APJ66))</f>
        <v>0</v>
      </c>
      <c r="APM66" s="960">
        <f>MIN(APM60-APM62,'Sources and Uses Budget'!APM108-SUM('15 Year Pro Forma'!APK66:APL66))</f>
        <v>0</v>
      </c>
      <c r="APO66" s="960">
        <f>MIN(APO60-APO62,'Sources and Uses Budget'!APO108-SUM('15 Year Pro Forma'!APM66:APN66))</f>
        <v>0</v>
      </c>
      <c r="APQ66" s="960">
        <f>MIN(APQ60-APQ62,'Sources and Uses Budget'!APQ108-SUM('15 Year Pro Forma'!APO66:APP66))</f>
        <v>0</v>
      </c>
      <c r="APS66" s="960">
        <f>MIN(APS60-APS62,'Sources and Uses Budget'!APS108-SUM('15 Year Pro Forma'!APQ66:APR66))</f>
        <v>0</v>
      </c>
      <c r="APU66" s="960">
        <f>MIN(APU60-APU62,'Sources and Uses Budget'!APU108-SUM('15 Year Pro Forma'!APS66:APT66))</f>
        <v>0</v>
      </c>
      <c r="APW66" s="960">
        <f>MIN(APW60-APW62,'Sources and Uses Budget'!APW108-SUM('15 Year Pro Forma'!APU66:APV66))</f>
        <v>0</v>
      </c>
      <c r="APY66" s="960">
        <f>MIN(APY60-APY62,'Sources and Uses Budget'!APY108-SUM('15 Year Pro Forma'!APW66:APX66))</f>
        <v>0</v>
      </c>
      <c r="AQA66" s="960">
        <f>MIN(AQA60-AQA62,'Sources and Uses Budget'!AQA108-SUM('15 Year Pro Forma'!APY66:APZ66))</f>
        <v>0</v>
      </c>
      <c r="AQC66" s="960">
        <f>MIN(AQC60-AQC62,'Sources and Uses Budget'!AQC108-SUM('15 Year Pro Forma'!AQA66:AQB66))</f>
        <v>0</v>
      </c>
      <c r="AQE66" s="960">
        <f>MIN(AQE60-AQE62,'Sources and Uses Budget'!AQE108-SUM('15 Year Pro Forma'!AQC66:AQD66))</f>
        <v>0</v>
      </c>
      <c r="AQG66" s="960">
        <f>MIN(AQG60-AQG62,'Sources and Uses Budget'!AQG108-SUM('15 Year Pro Forma'!AQE66:AQF66))</f>
        <v>0</v>
      </c>
      <c r="AQI66" s="960">
        <f>MIN(AQI60-AQI62,'Sources and Uses Budget'!AQI108-SUM('15 Year Pro Forma'!AQG66:AQH66))</f>
        <v>0</v>
      </c>
      <c r="AQK66" s="960">
        <f>MIN(AQK60-AQK62,'Sources and Uses Budget'!AQK108-SUM('15 Year Pro Forma'!AQI66:AQJ66))</f>
        <v>0</v>
      </c>
      <c r="AQM66" s="960">
        <f>MIN(AQM60-AQM62,'Sources and Uses Budget'!AQM108-SUM('15 Year Pro Forma'!AQK66:AQL66))</f>
        <v>0</v>
      </c>
      <c r="AQO66" s="960">
        <f>MIN(AQO60-AQO62,'Sources and Uses Budget'!AQO108-SUM('15 Year Pro Forma'!AQM66:AQN66))</f>
        <v>0</v>
      </c>
      <c r="AQQ66" s="960">
        <f>MIN(AQQ60-AQQ62,'Sources and Uses Budget'!AQQ108-SUM('15 Year Pro Forma'!AQO66:AQP66))</f>
        <v>0</v>
      </c>
      <c r="AQS66" s="960">
        <f>MIN(AQS60-AQS62,'Sources and Uses Budget'!AQS108-SUM('15 Year Pro Forma'!AQQ66:AQR66))</f>
        <v>0</v>
      </c>
      <c r="AQU66" s="960">
        <f>MIN(AQU60-AQU62,'Sources and Uses Budget'!AQU108-SUM('15 Year Pro Forma'!AQS66:AQT66))</f>
        <v>0</v>
      </c>
      <c r="AQW66" s="960">
        <f>MIN(AQW60-AQW62,'Sources and Uses Budget'!AQW108-SUM('15 Year Pro Forma'!AQU66:AQV66))</f>
        <v>0</v>
      </c>
      <c r="AQY66" s="960">
        <f>MIN(AQY60-AQY62,'Sources and Uses Budget'!AQY108-SUM('15 Year Pro Forma'!AQW66:AQX66))</f>
        <v>0</v>
      </c>
      <c r="ARA66" s="960">
        <f>MIN(ARA60-ARA62,'Sources and Uses Budget'!ARA108-SUM('15 Year Pro Forma'!AQY66:AQZ66))</f>
        <v>0</v>
      </c>
      <c r="ARC66" s="960">
        <f>MIN(ARC60-ARC62,'Sources and Uses Budget'!ARC108-SUM('15 Year Pro Forma'!ARA66:ARB66))</f>
        <v>0</v>
      </c>
      <c r="ARE66" s="960">
        <f>MIN(ARE60-ARE62,'Sources and Uses Budget'!ARE108-SUM('15 Year Pro Forma'!ARC66:ARD66))</f>
        <v>0</v>
      </c>
      <c r="ARG66" s="960">
        <f>MIN(ARG60-ARG62,'Sources and Uses Budget'!ARG108-SUM('15 Year Pro Forma'!ARE66:ARF66))</f>
        <v>0</v>
      </c>
      <c r="ARI66" s="960">
        <f>MIN(ARI60-ARI62,'Sources and Uses Budget'!ARI108-SUM('15 Year Pro Forma'!ARG66:ARH66))</f>
        <v>0</v>
      </c>
      <c r="ARK66" s="960">
        <f>MIN(ARK60-ARK62,'Sources and Uses Budget'!ARK108-SUM('15 Year Pro Forma'!ARI66:ARJ66))</f>
        <v>0</v>
      </c>
      <c r="ARM66" s="960">
        <f>MIN(ARM60-ARM62,'Sources and Uses Budget'!ARM108-SUM('15 Year Pro Forma'!ARK66:ARL66))</f>
        <v>0</v>
      </c>
      <c r="ARO66" s="960">
        <f>MIN(ARO60-ARO62,'Sources and Uses Budget'!ARO108-SUM('15 Year Pro Forma'!ARM66:ARN66))</f>
        <v>0</v>
      </c>
      <c r="ARQ66" s="960">
        <f>MIN(ARQ60-ARQ62,'Sources and Uses Budget'!ARQ108-SUM('15 Year Pro Forma'!ARO66:ARP66))</f>
        <v>0</v>
      </c>
      <c r="ARS66" s="960">
        <f>MIN(ARS60-ARS62,'Sources and Uses Budget'!ARS108-SUM('15 Year Pro Forma'!ARQ66:ARR66))</f>
        <v>0</v>
      </c>
      <c r="ARU66" s="960">
        <f>MIN(ARU60-ARU62,'Sources and Uses Budget'!ARU108-SUM('15 Year Pro Forma'!ARS66:ART66))</f>
        <v>0</v>
      </c>
      <c r="ARW66" s="960">
        <f>MIN(ARW60-ARW62,'Sources and Uses Budget'!ARW108-SUM('15 Year Pro Forma'!ARU66:ARV66))</f>
        <v>0</v>
      </c>
      <c r="ARY66" s="960">
        <f>MIN(ARY60-ARY62,'Sources and Uses Budget'!ARY108-SUM('15 Year Pro Forma'!ARW66:ARX66))</f>
        <v>0</v>
      </c>
      <c r="ASA66" s="960">
        <f>MIN(ASA60-ASA62,'Sources and Uses Budget'!ASA108-SUM('15 Year Pro Forma'!ARY66:ARZ66))</f>
        <v>0</v>
      </c>
      <c r="ASC66" s="960">
        <f>MIN(ASC60-ASC62,'Sources and Uses Budget'!ASC108-SUM('15 Year Pro Forma'!ASA66:ASB66))</f>
        <v>0</v>
      </c>
      <c r="ASE66" s="960">
        <f>MIN(ASE60-ASE62,'Sources and Uses Budget'!ASE108-SUM('15 Year Pro Forma'!ASC66:ASD66))</f>
        <v>0</v>
      </c>
      <c r="ASG66" s="960">
        <f>MIN(ASG60-ASG62,'Sources and Uses Budget'!ASG108-SUM('15 Year Pro Forma'!ASE66:ASF66))</f>
        <v>0</v>
      </c>
      <c r="ASI66" s="960">
        <f>MIN(ASI60-ASI62,'Sources and Uses Budget'!ASI108-SUM('15 Year Pro Forma'!ASG66:ASH66))</f>
        <v>0</v>
      </c>
      <c r="ASK66" s="960">
        <f>MIN(ASK60-ASK62,'Sources and Uses Budget'!ASK108-SUM('15 Year Pro Forma'!ASI66:ASJ66))</f>
        <v>0</v>
      </c>
      <c r="ASM66" s="960">
        <f>MIN(ASM60-ASM62,'Sources and Uses Budget'!ASM108-SUM('15 Year Pro Forma'!ASK66:ASL66))</f>
        <v>0</v>
      </c>
      <c r="ASO66" s="960">
        <f>MIN(ASO60-ASO62,'Sources and Uses Budget'!ASO108-SUM('15 Year Pro Forma'!ASM66:ASN66))</f>
        <v>0</v>
      </c>
      <c r="ASQ66" s="960">
        <f>MIN(ASQ60-ASQ62,'Sources and Uses Budget'!ASQ108-SUM('15 Year Pro Forma'!ASO66:ASP66))</f>
        <v>0</v>
      </c>
      <c r="ASS66" s="960">
        <f>MIN(ASS60-ASS62,'Sources and Uses Budget'!ASS108-SUM('15 Year Pro Forma'!ASQ66:ASR66))</f>
        <v>0</v>
      </c>
      <c r="ASU66" s="960">
        <f>MIN(ASU60-ASU62,'Sources and Uses Budget'!ASU108-SUM('15 Year Pro Forma'!ASS66:AST66))</f>
        <v>0</v>
      </c>
      <c r="ASW66" s="960">
        <f>MIN(ASW60-ASW62,'Sources and Uses Budget'!ASW108-SUM('15 Year Pro Forma'!ASU66:ASV66))</f>
        <v>0</v>
      </c>
      <c r="ASY66" s="960">
        <f>MIN(ASY60-ASY62,'Sources and Uses Budget'!ASY108-SUM('15 Year Pro Forma'!ASW66:ASX66))</f>
        <v>0</v>
      </c>
      <c r="ATA66" s="960">
        <f>MIN(ATA60-ATA62,'Sources and Uses Budget'!ATA108-SUM('15 Year Pro Forma'!ASY66:ASZ66))</f>
        <v>0</v>
      </c>
      <c r="ATC66" s="960">
        <f>MIN(ATC60-ATC62,'Sources and Uses Budget'!ATC108-SUM('15 Year Pro Forma'!ATA66:ATB66))</f>
        <v>0</v>
      </c>
      <c r="ATE66" s="960">
        <f>MIN(ATE60-ATE62,'Sources and Uses Budget'!ATE108-SUM('15 Year Pro Forma'!ATC66:ATD66))</f>
        <v>0</v>
      </c>
      <c r="ATG66" s="960">
        <f>MIN(ATG60-ATG62,'Sources and Uses Budget'!ATG108-SUM('15 Year Pro Forma'!ATE66:ATF66))</f>
        <v>0</v>
      </c>
      <c r="ATI66" s="960">
        <f>MIN(ATI60-ATI62,'Sources and Uses Budget'!ATI108-SUM('15 Year Pro Forma'!ATG66:ATH66))</f>
        <v>0</v>
      </c>
      <c r="ATK66" s="960">
        <f>MIN(ATK60-ATK62,'Sources and Uses Budget'!ATK108-SUM('15 Year Pro Forma'!ATI66:ATJ66))</f>
        <v>0</v>
      </c>
      <c r="ATM66" s="960">
        <f>MIN(ATM60-ATM62,'Sources and Uses Budget'!ATM108-SUM('15 Year Pro Forma'!ATK66:ATL66))</f>
        <v>0</v>
      </c>
      <c r="ATO66" s="960">
        <f>MIN(ATO60-ATO62,'Sources and Uses Budget'!ATO108-SUM('15 Year Pro Forma'!ATM66:ATN66))</f>
        <v>0</v>
      </c>
      <c r="ATQ66" s="960">
        <f>MIN(ATQ60-ATQ62,'Sources and Uses Budget'!ATQ108-SUM('15 Year Pro Forma'!ATO66:ATP66))</f>
        <v>0</v>
      </c>
      <c r="ATS66" s="960">
        <f>MIN(ATS60-ATS62,'Sources and Uses Budget'!ATS108-SUM('15 Year Pro Forma'!ATQ66:ATR66))</f>
        <v>0</v>
      </c>
      <c r="ATU66" s="960">
        <f>MIN(ATU60-ATU62,'Sources and Uses Budget'!ATU108-SUM('15 Year Pro Forma'!ATS66:ATT66))</f>
        <v>0</v>
      </c>
      <c r="ATW66" s="960">
        <f>MIN(ATW60-ATW62,'Sources and Uses Budget'!ATW108-SUM('15 Year Pro Forma'!ATU66:ATV66))</f>
        <v>0</v>
      </c>
      <c r="ATY66" s="960">
        <f>MIN(ATY60-ATY62,'Sources and Uses Budget'!ATY108-SUM('15 Year Pro Forma'!ATW66:ATX66))</f>
        <v>0</v>
      </c>
      <c r="AUA66" s="960">
        <f>MIN(AUA60-AUA62,'Sources and Uses Budget'!AUA108-SUM('15 Year Pro Forma'!ATY66:ATZ66))</f>
        <v>0</v>
      </c>
      <c r="AUC66" s="960">
        <f>MIN(AUC60-AUC62,'Sources and Uses Budget'!AUC108-SUM('15 Year Pro Forma'!AUA66:AUB66))</f>
        <v>0</v>
      </c>
      <c r="AUE66" s="960">
        <f>MIN(AUE60-AUE62,'Sources and Uses Budget'!AUE108-SUM('15 Year Pro Forma'!AUC66:AUD66))</f>
        <v>0</v>
      </c>
      <c r="AUG66" s="960">
        <f>MIN(AUG60-AUG62,'Sources and Uses Budget'!AUG108-SUM('15 Year Pro Forma'!AUE66:AUF66))</f>
        <v>0</v>
      </c>
      <c r="AUI66" s="960">
        <f>MIN(AUI60-AUI62,'Sources and Uses Budget'!AUI108-SUM('15 Year Pro Forma'!AUG66:AUH66))</f>
        <v>0</v>
      </c>
      <c r="AUK66" s="960">
        <f>MIN(AUK60-AUK62,'Sources and Uses Budget'!AUK108-SUM('15 Year Pro Forma'!AUI66:AUJ66))</f>
        <v>0</v>
      </c>
      <c r="AUM66" s="960">
        <f>MIN(AUM60-AUM62,'Sources and Uses Budget'!AUM108-SUM('15 Year Pro Forma'!AUK66:AUL66))</f>
        <v>0</v>
      </c>
      <c r="AUO66" s="960">
        <f>MIN(AUO60-AUO62,'Sources and Uses Budget'!AUO108-SUM('15 Year Pro Forma'!AUM66:AUN66))</f>
        <v>0</v>
      </c>
      <c r="AUQ66" s="960">
        <f>MIN(AUQ60-AUQ62,'Sources and Uses Budget'!AUQ108-SUM('15 Year Pro Forma'!AUO66:AUP66))</f>
        <v>0</v>
      </c>
      <c r="AUS66" s="960">
        <f>MIN(AUS60-AUS62,'Sources and Uses Budget'!AUS108-SUM('15 Year Pro Forma'!AUQ66:AUR66))</f>
        <v>0</v>
      </c>
      <c r="AUU66" s="960">
        <f>MIN(AUU60-AUU62,'Sources and Uses Budget'!AUU108-SUM('15 Year Pro Forma'!AUS66:AUT66))</f>
        <v>0</v>
      </c>
      <c r="AUW66" s="960">
        <f>MIN(AUW60-AUW62,'Sources and Uses Budget'!AUW108-SUM('15 Year Pro Forma'!AUU66:AUV66))</f>
        <v>0</v>
      </c>
      <c r="AUY66" s="960">
        <f>MIN(AUY60-AUY62,'Sources and Uses Budget'!AUY108-SUM('15 Year Pro Forma'!AUW66:AUX66))</f>
        <v>0</v>
      </c>
      <c r="AVA66" s="960">
        <f>MIN(AVA60-AVA62,'Sources and Uses Budget'!AVA108-SUM('15 Year Pro Forma'!AUY66:AUZ66))</f>
        <v>0</v>
      </c>
      <c r="AVC66" s="960">
        <f>MIN(AVC60-AVC62,'Sources and Uses Budget'!AVC108-SUM('15 Year Pro Forma'!AVA66:AVB66))</f>
        <v>0</v>
      </c>
      <c r="AVE66" s="960">
        <f>MIN(AVE60-AVE62,'Sources and Uses Budget'!AVE108-SUM('15 Year Pro Forma'!AVC66:AVD66))</f>
        <v>0</v>
      </c>
      <c r="AVG66" s="960">
        <f>MIN(AVG60-AVG62,'Sources and Uses Budget'!AVG108-SUM('15 Year Pro Forma'!AVE66:AVF66))</f>
        <v>0</v>
      </c>
      <c r="AVI66" s="960">
        <f>MIN(AVI60-AVI62,'Sources and Uses Budget'!AVI108-SUM('15 Year Pro Forma'!AVG66:AVH66))</f>
        <v>0</v>
      </c>
      <c r="AVK66" s="960">
        <f>MIN(AVK60-AVK62,'Sources and Uses Budget'!AVK108-SUM('15 Year Pro Forma'!AVI66:AVJ66))</f>
        <v>0</v>
      </c>
      <c r="AVM66" s="960">
        <f>MIN(AVM60-AVM62,'Sources and Uses Budget'!AVM108-SUM('15 Year Pro Forma'!AVK66:AVL66))</f>
        <v>0</v>
      </c>
      <c r="AVO66" s="960">
        <f>MIN(AVO60-AVO62,'Sources and Uses Budget'!AVO108-SUM('15 Year Pro Forma'!AVM66:AVN66))</f>
        <v>0</v>
      </c>
      <c r="AVQ66" s="960">
        <f>MIN(AVQ60-AVQ62,'Sources and Uses Budget'!AVQ108-SUM('15 Year Pro Forma'!AVO66:AVP66))</f>
        <v>0</v>
      </c>
      <c r="AVS66" s="960">
        <f>MIN(AVS60-AVS62,'Sources and Uses Budget'!AVS108-SUM('15 Year Pro Forma'!AVQ66:AVR66))</f>
        <v>0</v>
      </c>
      <c r="AVU66" s="960">
        <f>MIN(AVU60-AVU62,'Sources and Uses Budget'!AVU108-SUM('15 Year Pro Forma'!AVS66:AVT66))</f>
        <v>0</v>
      </c>
      <c r="AVW66" s="960">
        <f>MIN(AVW60-AVW62,'Sources and Uses Budget'!AVW108-SUM('15 Year Pro Forma'!AVU66:AVV66))</f>
        <v>0</v>
      </c>
      <c r="AVY66" s="960">
        <f>MIN(AVY60-AVY62,'Sources and Uses Budget'!AVY108-SUM('15 Year Pro Forma'!AVW66:AVX66))</f>
        <v>0</v>
      </c>
      <c r="AWA66" s="960">
        <f>MIN(AWA60-AWA62,'Sources and Uses Budget'!AWA108-SUM('15 Year Pro Forma'!AVY66:AVZ66))</f>
        <v>0</v>
      </c>
      <c r="AWC66" s="960">
        <f>MIN(AWC60-AWC62,'Sources and Uses Budget'!AWC108-SUM('15 Year Pro Forma'!AWA66:AWB66))</f>
        <v>0</v>
      </c>
      <c r="AWE66" s="960">
        <f>MIN(AWE60-AWE62,'Sources and Uses Budget'!AWE108-SUM('15 Year Pro Forma'!AWC66:AWD66))</f>
        <v>0</v>
      </c>
      <c r="AWG66" s="960">
        <f>MIN(AWG60-AWG62,'Sources and Uses Budget'!AWG108-SUM('15 Year Pro Forma'!AWE66:AWF66))</f>
        <v>0</v>
      </c>
      <c r="AWI66" s="960">
        <f>MIN(AWI60-AWI62,'Sources and Uses Budget'!AWI108-SUM('15 Year Pro Forma'!AWG66:AWH66))</f>
        <v>0</v>
      </c>
      <c r="AWK66" s="960">
        <f>MIN(AWK60-AWK62,'Sources and Uses Budget'!AWK108-SUM('15 Year Pro Forma'!AWI66:AWJ66))</f>
        <v>0</v>
      </c>
      <c r="AWM66" s="960">
        <f>MIN(AWM60-AWM62,'Sources and Uses Budget'!AWM108-SUM('15 Year Pro Forma'!AWK66:AWL66))</f>
        <v>0</v>
      </c>
      <c r="AWO66" s="960">
        <f>MIN(AWO60-AWO62,'Sources and Uses Budget'!AWO108-SUM('15 Year Pro Forma'!AWM66:AWN66))</f>
        <v>0</v>
      </c>
      <c r="AWQ66" s="960">
        <f>MIN(AWQ60-AWQ62,'Sources and Uses Budget'!AWQ108-SUM('15 Year Pro Forma'!AWO66:AWP66))</f>
        <v>0</v>
      </c>
      <c r="AWS66" s="960">
        <f>MIN(AWS60-AWS62,'Sources and Uses Budget'!AWS108-SUM('15 Year Pro Forma'!AWQ66:AWR66))</f>
        <v>0</v>
      </c>
      <c r="AWU66" s="960">
        <f>MIN(AWU60-AWU62,'Sources and Uses Budget'!AWU108-SUM('15 Year Pro Forma'!AWS66:AWT66))</f>
        <v>0</v>
      </c>
      <c r="AWW66" s="960">
        <f>MIN(AWW60-AWW62,'Sources and Uses Budget'!AWW108-SUM('15 Year Pro Forma'!AWU66:AWV66))</f>
        <v>0</v>
      </c>
      <c r="AWY66" s="960">
        <f>MIN(AWY60-AWY62,'Sources and Uses Budget'!AWY108-SUM('15 Year Pro Forma'!AWW66:AWX66))</f>
        <v>0</v>
      </c>
      <c r="AXA66" s="960">
        <f>MIN(AXA60-AXA62,'Sources and Uses Budget'!AXA108-SUM('15 Year Pro Forma'!AWY66:AWZ66))</f>
        <v>0</v>
      </c>
      <c r="AXC66" s="960">
        <f>MIN(AXC60-AXC62,'Sources and Uses Budget'!AXC108-SUM('15 Year Pro Forma'!AXA66:AXB66))</f>
        <v>0</v>
      </c>
      <c r="AXE66" s="960">
        <f>MIN(AXE60-AXE62,'Sources and Uses Budget'!AXE108-SUM('15 Year Pro Forma'!AXC66:AXD66))</f>
        <v>0</v>
      </c>
      <c r="AXG66" s="960">
        <f>MIN(AXG60-AXG62,'Sources and Uses Budget'!AXG108-SUM('15 Year Pro Forma'!AXE66:AXF66))</f>
        <v>0</v>
      </c>
      <c r="AXI66" s="960">
        <f>MIN(AXI60-AXI62,'Sources and Uses Budget'!AXI108-SUM('15 Year Pro Forma'!AXG66:AXH66))</f>
        <v>0</v>
      </c>
      <c r="AXK66" s="960">
        <f>MIN(AXK60-AXK62,'Sources and Uses Budget'!AXK108-SUM('15 Year Pro Forma'!AXI66:AXJ66))</f>
        <v>0</v>
      </c>
      <c r="AXM66" s="960">
        <f>MIN(AXM60-AXM62,'Sources and Uses Budget'!AXM108-SUM('15 Year Pro Forma'!AXK66:AXL66))</f>
        <v>0</v>
      </c>
      <c r="AXO66" s="960">
        <f>MIN(AXO60-AXO62,'Sources and Uses Budget'!AXO108-SUM('15 Year Pro Forma'!AXM66:AXN66))</f>
        <v>0</v>
      </c>
      <c r="AXQ66" s="960">
        <f>MIN(AXQ60-AXQ62,'Sources and Uses Budget'!AXQ108-SUM('15 Year Pro Forma'!AXO66:AXP66))</f>
        <v>0</v>
      </c>
      <c r="AXS66" s="960">
        <f>MIN(AXS60-AXS62,'Sources and Uses Budget'!AXS108-SUM('15 Year Pro Forma'!AXQ66:AXR66))</f>
        <v>0</v>
      </c>
      <c r="AXU66" s="960">
        <f>MIN(AXU60-AXU62,'Sources and Uses Budget'!AXU108-SUM('15 Year Pro Forma'!AXS66:AXT66))</f>
        <v>0</v>
      </c>
      <c r="AXW66" s="960">
        <f>MIN(AXW60-AXW62,'Sources and Uses Budget'!AXW108-SUM('15 Year Pro Forma'!AXU66:AXV66))</f>
        <v>0</v>
      </c>
      <c r="AXY66" s="960">
        <f>MIN(AXY60-AXY62,'Sources and Uses Budget'!AXY108-SUM('15 Year Pro Forma'!AXW66:AXX66))</f>
        <v>0</v>
      </c>
      <c r="AYA66" s="960">
        <f>MIN(AYA60-AYA62,'Sources and Uses Budget'!AYA108-SUM('15 Year Pro Forma'!AXY66:AXZ66))</f>
        <v>0</v>
      </c>
      <c r="AYC66" s="960">
        <f>MIN(AYC60-AYC62,'Sources and Uses Budget'!AYC108-SUM('15 Year Pro Forma'!AYA66:AYB66))</f>
        <v>0</v>
      </c>
      <c r="AYE66" s="960">
        <f>MIN(AYE60-AYE62,'Sources and Uses Budget'!AYE108-SUM('15 Year Pro Forma'!AYC66:AYD66))</f>
        <v>0</v>
      </c>
      <c r="AYG66" s="960">
        <f>MIN(AYG60-AYG62,'Sources and Uses Budget'!AYG108-SUM('15 Year Pro Forma'!AYE66:AYF66))</f>
        <v>0</v>
      </c>
      <c r="AYI66" s="960">
        <f>MIN(AYI60-AYI62,'Sources and Uses Budget'!AYI108-SUM('15 Year Pro Forma'!AYG66:AYH66))</f>
        <v>0</v>
      </c>
      <c r="AYK66" s="960">
        <f>MIN(AYK60-AYK62,'Sources and Uses Budget'!AYK108-SUM('15 Year Pro Forma'!AYI66:AYJ66))</f>
        <v>0</v>
      </c>
      <c r="AYM66" s="960">
        <f>MIN(AYM60-AYM62,'Sources and Uses Budget'!AYM108-SUM('15 Year Pro Forma'!AYK66:AYL66))</f>
        <v>0</v>
      </c>
      <c r="AYO66" s="960">
        <f>MIN(AYO60-AYO62,'Sources and Uses Budget'!AYO108-SUM('15 Year Pro Forma'!AYM66:AYN66))</f>
        <v>0</v>
      </c>
      <c r="AYQ66" s="960">
        <f>MIN(AYQ60-AYQ62,'Sources and Uses Budget'!AYQ108-SUM('15 Year Pro Forma'!AYO66:AYP66))</f>
        <v>0</v>
      </c>
      <c r="AYS66" s="960">
        <f>MIN(AYS60-AYS62,'Sources and Uses Budget'!AYS108-SUM('15 Year Pro Forma'!AYQ66:AYR66))</f>
        <v>0</v>
      </c>
      <c r="AYU66" s="960">
        <f>MIN(AYU60-AYU62,'Sources and Uses Budget'!AYU108-SUM('15 Year Pro Forma'!AYS66:AYT66))</f>
        <v>0</v>
      </c>
      <c r="AYW66" s="960">
        <f>MIN(AYW60-AYW62,'Sources and Uses Budget'!AYW108-SUM('15 Year Pro Forma'!AYU66:AYV66))</f>
        <v>0</v>
      </c>
      <c r="AYY66" s="960">
        <f>MIN(AYY60-AYY62,'Sources and Uses Budget'!AYY108-SUM('15 Year Pro Forma'!AYW66:AYX66))</f>
        <v>0</v>
      </c>
      <c r="AZA66" s="960">
        <f>MIN(AZA60-AZA62,'Sources and Uses Budget'!AZA108-SUM('15 Year Pro Forma'!AYY66:AYZ66))</f>
        <v>0</v>
      </c>
      <c r="AZC66" s="960">
        <f>MIN(AZC60-AZC62,'Sources and Uses Budget'!AZC108-SUM('15 Year Pro Forma'!AZA66:AZB66))</f>
        <v>0</v>
      </c>
      <c r="AZE66" s="960">
        <f>MIN(AZE60-AZE62,'Sources and Uses Budget'!AZE108-SUM('15 Year Pro Forma'!AZC66:AZD66))</f>
        <v>0</v>
      </c>
      <c r="AZG66" s="960">
        <f>MIN(AZG60-AZG62,'Sources and Uses Budget'!AZG108-SUM('15 Year Pro Forma'!AZE66:AZF66))</f>
        <v>0</v>
      </c>
      <c r="AZI66" s="960">
        <f>MIN(AZI60-AZI62,'Sources and Uses Budget'!AZI108-SUM('15 Year Pro Forma'!AZG66:AZH66))</f>
        <v>0</v>
      </c>
      <c r="AZK66" s="960">
        <f>MIN(AZK60-AZK62,'Sources and Uses Budget'!AZK108-SUM('15 Year Pro Forma'!AZI66:AZJ66))</f>
        <v>0</v>
      </c>
      <c r="AZM66" s="960">
        <f>MIN(AZM60-AZM62,'Sources and Uses Budget'!AZM108-SUM('15 Year Pro Forma'!AZK66:AZL66))</f>
        <v>0</v>
      </c>
      <c r="AZO66" s="960">
        <f>MIN(AZO60-AZO62,'Sources and Uses Budget'!AZO108-SUM('15 Year Pro Forma'!AZM66:AZN66))</f>
        <v>0</v>
      </c>
      <c r="AZQ66" s="960">
        <f>MIN(AZQ60-AZQ62,'Sources and Uses Budget'!AZQ108-SUM('15 Year Pro Forma'!AZO66:AZP66))</f>
        <v>0</v>
      </c>
      <c r="AZS66" s="960">
        <f>MIN(AZS60-AZS62,'Sources and Uses Budget'!AZS108-SUM('15 Year Pro Forma'!AZQ66:AZR66))</f>
        <v>0</v>
      </c>
      <c r="AZU66" s="960">
        <f>MIN(AZU60-AZU62,'Sources and Uses Budget'!AZU108-SUM('15 Year Pro Forma'!AZS66:AZT66))</f>
        <v>0</v>
      </c>
      <c r="AZW66" s="960">
        <f>MIN(AZW60-AZW62,'Sources and Uses Budget'!AZW108-SUM('15 Year Pro Forma'!AZU66:AZV66))</f>
        <v>0</v>
      </c>
      <c r="AZY66" s="960">
        <f>MIN(AZY60-AZY62,'Sources and Uses Budget'!AZY108-SUM('15 Year Pro Forma'!AZW66:AZX66))</f>
        <v>0</v>
      </c>
      <c r="BAA66" s="960">
        <f>MIN(BAA60-BAA62,'Sources and Uses Budget'!BAA108-SUM('15 Year Pro Forma'!AZY66:AZZ66))</f>
        <v>0</v>
      </c>
      <c r="BAC66" s="960">
        <f>MIN(BAC60-BAC62,'Sources and Uses Budget'!BAC108-SUM('15 Year Pro Forma'!BAA66:BAB66))</f>
        <v>0</v>
      </c>
      <c r="BAE66" s="960">
        <f>MIN(BAE60-BAE62,'Sources and Uses Budget'!BAE108-SUM('15 Year Pro Forma'!BAC66:BAD66))</f>
        <v>0</v>
      </c>
      <c r="BAG66" s="960">
        <f>MIN(BAG60-BAG62,'Sources and Uses Budget'!BAG108-SUM('15 Year Pro Forma'!BAE66:BAF66))</f>
        <v>0</v>
      </c>
      <c r="BAI66" s="960">
        <f>MIN(BAI60-BAI62,'Sources and Uses Budget'!BAI108-SUM('15 Year Pro Forma'!BAG66:BAH66))</f>
        <v>0</v>
      </c>
      <c r="BAK66" s="960">
        <f>MIN(BAK60-BAK62,'Sources and Uses Budget'!BAK108-SUM('15 Year Pro Forma'!BAI66:BAJ66))</f>
        <v>0</v>
      </c>
      <c r="BAM66" s="960">
        <f>MIN(BAM60-BAM62,'Sources and Uses Budget'!BAM108-SUM('15 Year Pro Forma'!BAK66:BAL66))</f>
        <v>0</v>
      </c>
      <c r="BAO66" s="960">
        <f>MIN(BAO60-BAO62,'Sources and Uses Budget'!BAO108-SUM('15 Year Pro Forma'!BAM66:BAN66))</f>
        <v>0</v>
      </c>
      <c r="BAQ66" s="960">
        <f>MIN(BAQ60-BAQ62,'Sources and Uses Budget'!BAQ108-SUM('15 Year Pro Forma'!BAO66:BAP66))</f>
        <v>0</v>
      </c>
      <c r="BAS66" s="960">
        <f>MIN(BAS60-BAS62,'Sources and Uses Budget'!BAS108-SUM('15 Year Pro Forma'!BAQ66:BAR66))</f>
        <v>0</v>
      </c>
      <c r="BAU66" s="960">
        <f>MIN(BAU60-BAU62,'Sources and Uses Budget'!BAU108-SUM('15 Year Pro Forma'!BAS66:BAT66))</f>
        <v>0</v>
      </c>
      <c r="BAW66" s="960">
        <f>MIN(BAW60-BAW62,'Sources and Uses Budget'!BAW108-SUM('15 Year Pro Forma'!BAU66:BAV66))</f>
        <v>0</v>
      </c>
      <c r="BAY66" s="960">
        <f>MIN(BAY60-BAY62,'Sources and Uses Budget'!BAY108-SUM('15 Year Pro Forma'!BAW66:BAX66))</f>
        <v>0</v>
      </c>
      <c r="BBA66" s="960">
        <f>MIN(BBA60-BBA62,'Sources and Uses Budget'!BBA108-SUM('15 Year Pro Forma'!BAY66:BAZ66))</f>
        <v>0</v>
      </c>
      <c r="BBC66" s="960">
        <f>MIN(BBC60-BBC62,'Sources and Uses Budget'!BBC108-SUM('15 Year Pro Forma'!BBA66:BBB66))</f>
        <v>0</v>
      </c>
      <c r="BBE66" s="960">
        <f>MIN(BBE60-BBE62,'Sources and Uses Budget'!BBE108-SUM('15 Year Pro Forma'!BBC66:BBD66))</f>
        <v>0</v>
      </c>
      <c r="BBG66" s="960">
        <f>MIN(BBG60-BBG62,'Sources and Uses Budget'!BBG108-SUM('15 Year Pro Forma'!BBE66:BBF66))</f>
        <v>0</v>
      </c>
      <c r="BBI66" s="960">
        <f>MIN(BBI60-BBI62,'Sources and Uses Budget'!BBI108-SUM('15 Year Pro Forma'!BBG66:BBH66))</f>
        <v>0</v>
      </c>
      <c r="BBK66" s="960">
        <f>MIN(BBK60-BBK62,'Sources and Uses Budget'!BBK108-SUM('15 Year Pro Forma'!BBI66:BBJ66))</f>
        <v>0</v>
      </c>
      <c r="BBM66" s="960">
        <f>MIN(BBM60-BBM62,'Sources and Uses Budget'!BBM108-SUM('15 Year Pro Forma'!BBK66:BBL66))</f>
        <v>0</v>
      </c>
      <c r="BBO66" s="960">
        <f>MIN(BBO60-BBO62,'Sources and Uses Budget'!BBO108-SUM('15 Year Pro Forma'!BBM66:BBN66))</f>
        <v>0</v>
      </c>
      <c r="BBQ66" s="960">
        <f>MIN(BBQ60-BBQ62,'Sources and Uses Budget'!BBQ108-SUM('15 Year Pro Forma'!BBO66:BBP66))</f>
        <v>0</v>
      </c>
      <c r="BBS66" s="960">
        <f>MIN(BBS60-BBS62,'Sources and Uses Budget'!BBS108-SUM('15 Year Pro Forma'!BBQ66:BBR66))</f>
        <v>0</v>
      </c>
      <c r="BBU66" s="960">
        <f>MIN(BBU60-BBU62,'Sources and Uses Budget'!BBU108-SUM('15 Year Pro Forma'!BBS66:BBT66))</f>
        <v>0</v>
      </c>
      <c r="BBW66" s="960">
        <f>MIN(BBW60-BBW62,'Sources and Uses Budget'!BBW108-SUM('15 Year Pro Forma'!BBU66:BBV66))</f>
        <v>0</v>
      </c>
      <c r="BBY66" s="960">
        <f>MIN(BBY60-BBY62,'Sources and Uses Budget'!BBY108-SUM('15 Year Pro Forma'!BBW66:BBX66))</f>
        <v>0</v>
      </c>
      <c r="BCA66" s="960">
        <f>MIN(BCA60-BCA62,'Sources and Uses Budget'!BCA108-SUM('15 Year Pro Forma'!BBY66:BBZ66))</f>
        <v>0</v>
      </c>
      <c r="BCC66" s="960">
        <f>MIN(BCC60-BCC62,'Sources and Uses Budget'!BCC108-SUM('15 Year Pro Forma'!BCA66:BCB66))</f>
        <v>0</v>
      </c>
      <c r="BCE66" s="960">
        <f>MIN(BCE60-BCE62,'Sources and Uses Budget'!BCE108-SUM('15 Year Pro Forma'!BCC66:BCD66))</f>
        <v>0</v>
      </c>
      <c r="BCG66" s="960">
        <f>MIN(BCG60-BCG62,'Sources and Uses Budget'!BCG108-SUM('15 Year Pro Forma'!BCE66:BCF66))</f>
        <v>0</v>
      </c>
      <c r="BCI66" s="960">
        <f>MIN(BCI60-BCI62,'Sources and Uses Budget'!BCI108-SUM('15 Year Pro Forma'!BCG66:BCH66))</f>
        <v>0</v>
      </c>
      <c r="BCK66" s="960">
        <f>MIN(BCK60-BCK62,'Sources and Uses Budget'!BCK108-SUM('15 Year Pro Forma'!BCI66:BCJ66))</f>
        <v>0</v>
      </c>
      <c r="BCM66" s="960">
        <f>MIN(BCM60-BCM62,'Sources and Uses Budget'!BCM108-SUM('15 Year Pro Forma'!BCK66:BCL66))</f>
        <v>0</v>
      </c>
      <c r="BCO66" s="960">
        <f>MIN(BCO60-BCO62,'Sources and Uses Budget'!BCO108-SUM('15 Year Pro Forma'!BCM66:BCN66))</f>
        <v>0</v>
      </c>
      <c r="BCQ66" s="960">
        <f>MIN(BCQ60-BCQ62,'Sources and Uses Budget'!BCQ108-SUM('15 Year Pro Forma'!BCO66:BCP66))</f>
        <v>0</v>
      </c>
      <c r="BCS66" s="960">
        <f>MIN(BCS60-BCS62,'Sources and Uses Budget'!BCS108-SUM('15 Year Pro Forma'!BCQ66:BCR66))</f>
        <v>0</v>
      </c>
      <c r="BCU66" s="960">
        <f>MIN(BCU60-BCU62,'Sources and Uses Budget'!BCU108-SUM('15 Year Pro Forma'!BCS66:BCT66))</f>
        <v>0</v>
      </c>
      <c r="BCW66" s="960">
        <f>MIN(BCW60-BCW62,'Sources and Uses Budget'!BCW108-SUM('15 Year Pro Forma'!BCU66:BCV66))</f>
        <v>0</v>
      </c>
      <c r="BCY66" s="960">
        <f>MIN(BCY60-BCY62,'Sources and Uses Budget'!BCY108-SUM('15 Year Pro Forma'!BCW66:BCX66))</f>
        <v>0</v>
      </c>
      <c r="BDA66" s="960">
        <f>MIN(BDA60-BDA62,'Sources and Uses Budget'!BDA108-SUM('15 Year Pro Forma'!BCY66:BCZ66))</f>
        <v>0</v>
      </c>
      <c r="BDC66" s="960">
        <f>MIN(BDC60-BDC62,'Sources and Uses Budget'!BDC108-SUM('15 Year Pro Forma'!BDA66:BDB66))</f>
        <v>0</v>
      </c>
      <c r="BDE66" s="960">
        <f>MIN(BDE60-BDE62,'Sources and Uses Budget'!BDE108-SUM('15 Year Pro Forma'!BDC66:BDD66))</f>
        <v>0</v>
      </c>
      <c r="BDG66" s="960">
        <f>MIN(BDG60-BDG62,'Sources and Uses Budget'!BDG108-SUM('15 Year Pro Forma'!BDE66:BDF66))</f>
        <v>0</v>
      </c>
      <c r="BDI66" s="960">
        <f>MIN(BDI60-BDI62,'Sources and Uses Budget'!BDI108-SUM('15 Year Pro Forma'!BDG66:BDH66))</f>
        <v>0</v>
      </c>
      <c r="BDK66" s="960">
        <f>MIN(BDK60-BDK62,'Sources and Uses Budget'!BDK108-SUM('15 Year Pro Forma'!BDI66:BDJ66))</f>
        <v>0</v>
      </c>
      <c r="BDM66" s="960">
        <f>MIN(BDM60-BDM62,'Sources and Uses Budget'!BDM108-SUM('15 Year Pro Forma'!BDK66:BDL66))</f>
        <v>0</v>
      </c>
      <c r="BDO66" s="960">
        <f>MIN(BDO60-BDO62,'Sources and Uses Budget'!BDO108-SUM('15 Year Pro Forma'!BDM66:BDN66))</f>
        <v>0</v>
      </c>
      <c r="BDQ66" s="960">
        <f>MIN(BDQ60-BDQ62,'Sources and Uses Budget'!BDQ108-SUM('15 Year Pro Forma'!BDO66:BDP66))</f>
        <v>0</v>
      </c>
      <c r="BDS66" s="960">
        <f>MIN(BDS60-BDS62,'Sources and Uses Budget'!BDS108-SUM('15 Year Pro Forma'!BDQ66:BDR66))</f>
        <v>0</v>
      </c>
      <c r="BDU66" s="960">
        <f>MIN(BDU60-BDU62,'Sources and Uses Budget'!BDU108-SUM('15 Year Pro Forma'!BDS66:BDT66))</f>
        <v>0</v>
      </c>
      <c r="BDW66" s="960">
        <f>MIN(BDW60-BDW62,'Sources and Uses Budget'!BDW108-SUM('15 Year Pro Forma'!BDU66:BDV66))</f>
        <v>0</v>
      </c>
      <c r="BDY66" s="960">
        <f>MIN(BDY60-BDY62,'Sources and Uses Budget'!BDY108-SUM('15 Year Pro Forma'!BDW66:BDX66))</f>
        <v>0</v>
      </c>
      <c r="BEA66" s="960">
        <f>MIN(BEA60-BEA62,'Sources and Uses Budget'!BEA108-SUM('15 Year Pro Forma'!BDY66:BDZ66))</f>
        <v>0</v>
      </c>
      <c r="BEC66" s="960">
        <f>MIN(BEC60-BEC62,'Sources and Uses Budget'!BEC108-SUM('15 Year Pro Forma'!BEA66:BEB66))</f>
        <v>0</v>
      </c>
      <c r="BEE66" s="960">
        <f>MIN(BEE60-BEE62,'Sources and Uses Budget'!BEE108-SUM('15 Year Pro Forma'!BEC66:BED66))</f>
        <v>0</v>
      </c>
      <c r="BEG66" s="960">
        <f>MIN(BEG60-BEG62,'Sources and Uses Budget'!BEG108-SUM('15 Year Pro Forma'!BEE66:BEF66))</f>
        <v>0</v>
      </c>
      <c r="BEI66" s="960">
        <f>MIN(BEI60-BEI62,'Sources and Uses Budget'!BEI108-SUM('15 Year Pro Forma'!BEG66:BEH66))</f>
        <v>0</v>
      </c>
      <c r="BEK66" s="960">
        <f>MIN(BEK60-BEK62,'Sources and Uses Budget'!BEK108-SUM('15 Year Pro Forma'!BEI66:BEJ66))</f>
        <v>0</v>
      </c>
      <c r="BEM66" s="960">
        <f>MIN(BEM60-BEM62,'Sources and Uses Budget'!BEM108-SUM('15 Year Pro Forma'!BEK66:BEL66))</f>
        <v>0</v>
      </c>
      <c r="BEO66" s="960">
        <f>MIN(BEO60-BEO62,'Sources and Uses Budget'!BEO108-SUM('15 Year Pro Forma'!BEM66:BEN66))</f>
        <v>0</v>
      </c>
      <c r="BEQ66" s="960">
        <f>MIN(BEQ60-BEQ62,'Sources and Uses Budget'!BEQ108-SUM('15 Year Pro Forma'!BEO66:BEP66))</f>
        <v>0</v>
      </c>
      <c r="BES66" s="960">
        <f>MIN(BES60-BES62,'Sources and Uses Budget'!BES108-SUM('15 Year Pro Forma'!BEQ66:BER66))</f>
        <v>0</v>
      </c>
      <c r="BEU66" s="960">
        <f>MIN(BEU60-BEU62,'Sources and Uses Budget'!BEU108-SUM('15 Year Pro Forma'!BES66:BET66))</f>
        <v>0</v>
      </c>
      <c r="BEW66" s="960">
        <f>MIN(BEW60-BEW62,'Sources and Uses Budget'!BEW108-SUM('15 Year Pro Forma'!BEU66:BEV66))</f>
        <v>0</v>
      </c>
      <c r="BEY66" s="960">
        <f>MIN(BEY60-BEY62,'Sources and Uses Budget'!BEY108-SUM('15 Year Pro Forma'!BEW66:BEX66))</f>
        <v>0</v>
      </c>
      <c r="BFA66" s="960">
        <f>MIN(BFA60-BFA62,'Sources and Uses Budget'!BFA108-SUM('15 Year Pro Forma'!BEY66:BEZ66))</f>
        <v>0</v>
      </c>
      <c r="BFC66" s="960">
        <f>MIN(BFC60-BFC62,'Sources and Uses Budget'!BFC108-SUM('15 Year Pro Forma'!BFA66:BFB66))</f>
        <v>0</v>
      </c>
      <c r="BFE66" s="960">
        <f>MIN(BFE60-BFE62,'Sources and Uses Budget'!BFE108-SUM('15 Year Pro Forma'!BFC66:BFD66))</f>
        <v>0</v>
      </c>
      <c r="BFG66" s="960">
        <f>MIN(BFG60-BFG62,'Sources and Uses Budget'!BFG108-SUM('15 Year Pro Forma'!BFE66:BFF66))</f>
        <v>0</v>
      </c>
      <c r="BFI66" s="960">
        <f>MIN(BFI60-BFI62,'Sources and Uses Budget'!BFI108-SUM('15 Year Pro Forma'!BFG66:BFH66))</f>
        <v>0</v>
      </c>
      <c r="BFK66" s="960">
        <f>MIN(BFK60-BFK62,'Sources and Uses Budget'!BFK108-SUM('15 Year Pro Forma'!BFI66:BFJ66))</f>
        <v>0</v>
      </c>
      <c r="BFM66" s="960">
        <f>MIN(BFM60-BFM62,'Sources and Uses Budget'!BFM108-SUM('15 Year Pro Forma'!BFK66:BFL66))</f>
        <v>0</v>
      </c>
      <c r="BFO66" s="960">
        <f>MIN(BFO60-BFO62,'Sources and Uses Budget'!BFO108-SUM('15 Year Pro Forma'!BFM66:BFN66))</f>
        <v>0</v>
      </c>
      <c r="BFQ66" s="960">
        <f>MIN(BFQ60-BFQ62,'Sources and Uses Budget'!BFQ108-SUM('15 Year Pro Forma'!BFO66:BFP66))</f>
        <v>0</v>
      </c>
      <c r="BFS66" s="960">
        <f>MIN(BFS60-BFS62,'Sources and Uses Budget'!BFS108-SUM('15 Year Pro Forma'!BFQ66:BFR66))</f>
        <v>0</v>
      </c>
      <c r="BFU66" s="960">
        <f>MIN(BFU60-BFU62,'Sources and Uses Budget'!BFU108-SUM('15 Year Pro Forma'!BFS66:BFT66))</f>
        <v>0</v>
      </c>
      <c r="BFW66" s="960">
        <f>MIN(BFW60-BFW62,'Sources and Uses Budget'!BFW108-SUM('15 Year Pro Forma'!BFU66:BFV66))</f>
        <v>0</v>
      </c>
      <c r="BFY66" s="960">
        <f>MIN(BFY60-BFY62,'Sources and Uses Budget'!BFY108-SUM('15 Year Pro Forma'!BFW66:BFX66))</f>
        <v>0</v>
      </c>
      <c r="BGA66" s="960">
        <f>MIN(BGA60-BGA62,'Sources and Uses Budget'!BGA108-SUM('15 Year Pro Forma'!BFY66:BFZ66))</f>
        <v>0</v>
      </c>
      <c r="BGC66" s="960">
        <f>MIN(BGC60-BGC62,'Sources and Uses Budget'!BGC108-SUM('15 Year Pro Forma'!BGA66:BGB66))</f>
        <v>0</v>
      </c>
      <c r="BGE66" s="960">
        <f>MIN(BGE60-BGE62,'Sources and Uses Budget'!BGE108-SUM('15 Year Pro Forma'!BGC66:BGD66))</f>
        <v>0</v>
      </c>
      <c r="BGG66" s="960">
        <f>MIN(BGG60-BGG62,'Sources and Uses Budget'!BGG108-SUM('15 Year Pro Forma'!BGE66:BGF66))</f>
        <v>0</v>
      </c>
      <c r="BGI66" s="960">
        <f>MIN(BGI60-BGI62,'Sources and Uses Budget'!BGI108-SUM('15 Year Pro Forma'!BGG66:BGH66))</f>
        <v>0</v>
      </c>
      <c r="BGK66" s="960">
        <f>MIN(BGK60-BGK62,'Sources and Uses Budget'!BGK108-SUM('15 Year Pro Forma'!BGI66:BGJ66))</f>
        <v>0</v>
      </c>
      <c r="BGM66" s="960">
        <f>MIN(BGM60-BGM62,'Sources and Uses Budget'!BGM108-SUM('15 Year Pro Forma'!BGK66:BGL66))</f>
        <v>0</v>
      </c>
      <c r="BGO66" s="960">
        <f>MIN(BGO60-BGO62,'Sources and Uses Budget'!BGO108-SUM('15 Year Pro Forma'!BGM66:BGN66))</f>
        <v>0</v>
      </c>
      <c r="BGQ66" s="960">
        <f>MIN(BGQ60-BGQ62,'Sources and Uses Budget'!BGQ108-SUM('15 Year Pro Forma'!BGO66:BGP66))</f>
        <v>0</v>
      </c>
      <c r="BGS66" s="960">
        <f>MIN(BGS60-BGS62,'Sources and Uses Budget'!BGS108-SUM('15 Year Pro Forma'!BGQ66:BGR66))</f>
        <v>0</v>
      </c>
      <c r="BGU66" s="960">
        <f>MIN(BGU60-BGU62,'Sources and Uses Budget'!BGU108-SUM('15 Year Pro Forma'!BGS66:BGT66))</f>
        <v>0</v>
      </c>
      <c r="BGW66" s="960">
        <f>MIN(BGW60-BGW62,'Sources and Uses Budget'!BGW108-SUM('15 Year Pro Forma'!BGU66:BGV66))</f>
        <v>0</v>
      </c>
      <c r="BGY66" s="960">
        <f>MIN(BGY60-BGY62,'Sources and Uses Budget'!BGY108-SUM('15 Year Pro Forma'!BGW66:BGX66))</f>
        <v>0</v>
      </c>
      <c r="BHA66" s="960">
        <f>MIN(BHA60-BHA62,'Sources and Uses Budget'!BHA108-SUM('15 Year Pro Forma'!BGY66:BGZ66))</f>
        <v>0</v>
      </c>
      <c r="BHC66" s="960">
        <f>MIN(BHC60-BHC62,'Sources and Uses Budget'!BHC108-SUM('15 Year Pro Forma'!BHA66:BHB66))</f>
        <v>0</v>
      </c>
      <c r="BHE66" s="960">
        <f>MIN(BHE60-BHE62,'Sources and Uses Budget'!BHE108-SUM('15 Year Pro Forma'!BHC66:BHD66))</f>
        <v>0</v>
      </c>
      <c r="BHG66" s="960">
        <f>MIN(BHG60-BHG62,'Sources and Uses Budget'!BHG108-SUM('15 Year Pro Forma'!BHE66:BHF66))</f>
        <v>0</v>
      </c>
      <c r="BHI66" s="960">
        <f>MIN(BHI60-BHI62,'Sources and Uses Budget'!BHI108-SUM('15 Year Pro Forma'!BHG66:BHH66))</f>
        <v>0</v>
      </c>
      <c r="BHK66" s="960">
        <f>MIN(BHK60-BHK62,'Sources and Uses Budget'!BHK108-SUM('15 Year Pro Forma'!BHI66:BHJ66))</f>
        <v>0</v>
      </c>
      <c r="BHM66" s="960">
        <f>MIN(BHM60-BHM62,'Sources and Uses Budget'!BHM108-SUM('15 Year Pro Forma'!BHK66:BHL66))</f>
        <v>0</v>
      </c>
      <c r="BHO66" s="960">
        <f>MIN(BHO60-BHO62,'Sources and Uses Budget'!BHO108-SUM('15 Year Pro Forma'!BHM66:BHN66))</f>
        <v>0</v>
      </c>
      <c r="BHQ66" s="960">
        <f>MIN(BHQ60-BHQ62,'Sources and Uses Budget'!BHQ108-SUM('15 Year Pro Forma'!BHO66:BHP66))</f>
        <v>0</v>
      </c>
      <c r="BHS66" s="960">
        <f>MIN(BHS60-BHS62,'Sources and Uses Budget'!BHS108-SUM('15 Year Pro Forma'!BHQ66:BHR66))</f>
        <v>0</v>
      </c>
      <c r="BHU66" s="960">
        <f>MIN(BHU60-BHU62,'Sources and Uses Budget'!BHU108-SUM('15 Year Pro Forma'!BHS66:BHT66))</f>
        <v>0</v>
      </c>
      <c r="BHW66" s="960">
        <f>MIN(BHW60-BHW62,'Sources and Uses Budget'!BHW108-SUM('15 Year Pro Forma'!BHU66:BHV66))</f>
        <v>0</v>
      </c>
      <c r="BHY66" s="960">
        <f>MIN(BHY60-BHY62,'Sources and Uses Budget'!BHY108-SUM('15 Year Pro Forma'!BHW66:BHX66))</f>
        <v>0</v>
      </c>
      <c r="BIA66" s="960">
        <f>MIN(BIA60-BIA62,'Sources and Uses Budget'!BIA108-SUM('15 Year Pro Forma'!BHY66:BHZ66))</f>
        <v>0</v>
      </c>
      <c r="BIC66" s="960">
        <f>MIN(BIC60-BIC62,'Sources and Uses Budget'!BIC108-SUM('15 Year Pro Forma'!BIA66:BIB66))</f>
        <v>0</v>
      </c>
      <c r="BIE66" s="960">
        <f>MIN(BIE60-BIE62,'Sources and Uses Budget'!BIE108-SUM('15 Year Pro Forma'!BIC66:BID66))</f>
        <v>0</v>
      </c>
      <c r="BIG66" s="960">
        <f>MIN(BIG60-BIG62,'Sources and Uses Budget'!BIG108-SUM('15 Year Pro Forma'!BIE66:BIF66))</f>
        <v>0</v>
      </c>
      <c r="BII66" s="960">
        <f>MIN(BII60-BII62,'Sources and Uses Budget'!BII108-SUM('15 Year Pro Forma'!BIG66:BIH66))</f>
        <v>0</v>
      </c>
      <c r="BIK66" s="960">
        <f>MIN(BIK60-BIK62,'Sources and Uses Budget'!BIK108-SUM('15 Year Pro Forma'!BII66:BIJ66))</f>
        <v>0</v>
      </c>
      <c r="BIM66" s="960">
        <f>MIN(BIM60-BIM62,'Sources and Uses Budget'!BIM108-SUM('15 Year Pro Forma'!BIK66:BIL66))</f>
        <v>0</v>
      </c>
      <c r="BIO66" s="960">
        <f>MIN(BIO60-BIO62,'Sources and Uses Budget'!BIO108-SUM('15 Year Pro Forma'!BIM66:BIN66))</f>
        <v>0</v>
      </c>
      <c r="BIQ66" s="960">
        <f>MIN(BIQ60-BIQ62,'Sources and Uses Budget'!BIQ108-SUM('15 Year Pro Forma'!BIO66:BIP66))</f>
        <v>0</v>
      </c>
      <c r="BIS66" s="960">
        <f>MIN(BIS60-BIS62,'Sources and Uses Budget'!BIS108-SUM('15 Year Pro Forma'!BIQ66:BIR66))</f>
        <v>0</v>
      </c>
      <c r="BIU66" s="960">
        <f>MIN(BIU60-BIU62,'Sources and Uses Budget'!BIU108-SUM('15 Year Pro Forma'!BIS66:BIT66))</f>
        <v>0</v>
      </c>
      <c r="BIW66" s="960">
        <f>MIN(BIW60-BIW62,'Sources and Uses Budget'!BIW108-SUM('15 Year Pro Forma'!BIU66:BIV66))</f>
        <v>0</v>
      </c>
      <c r="BIY66" s="960">
        <f>MIN(BIY60-BIY62,'Sources and Uses Budget'!BIY108-SUM('15 Year Pro Forma'!BIW66:BIX66))</f>
        <v>0</v>
      </c>
      <c r="BJA66" s="960">
        <f>MIN(BJA60-BJA62,'Sources and Uses Budget'!BJA108-SUM('15 Year Pro Forma'!BIY66:BIZ66))</f>
        <v>0</v>
      </c>
      <c r="BJC66" s="960">
        <f>MIN(BJC60-BJC62,'Sources and Uses Budget'!BJC108-SUM('15 Year Pro Forma'!BJA66:BJB66))</f>
        <v>0</v>
      </c>
      <c r="BJE66" s="960">
        <f>MIN(BJE60-BJE62,'Sources and Uses Budget'!BJE108-SUM('15 Year Pro Forma'!BJC66:BJD66))</f>
        <v>0</v>
      </c>
      <c r="BJG66" s="960">
        <f>MIN(BJG60-BJG62,'Sources and Uses Budget'!BJG108-SUM('15 Year Pro Forma'!BJE66:BJF66))</f>
        <v>0</v>
      </c>
      <c r="BJI66" s="960">
        <f>MIN(BJI60-BJI62,'Sources and Uses Budget'!BJI108-SUM('15 Year Pro Forma'!BJG66:BJH66))</f>
        <v>0</v>
      </c>
      <c r="BJK66" s="960">
        <f>MIN(BJK60-BJK62,'Sources and Uses Budget'!BJK108-SUM('15 Year Pro Forma'!BJI66:BJJ66))</f>
        <v>0</v>
      </c>
      <c r="BJM66" s="960">
        <f>MIN(BJM60-BJM62,'Sources and Uses Budget'!BJM108-SUM('15 Year Pro Forma'!BJK66:BJL66))</f>
        <v>0</v>
      </c>
      <c r="BJO66" s="960">
        <f>MIN(BJO60-BJO62,'Sources and Uses Budget'!BJO108-SUM('15 Year Pro Forma'!BJM66:BJN66))</f>
        <v>0</v>
      </c>
      <c r="BJQ66" s="960">
        <f>MIN(BJQ60-BJQ62,'Sources and Uses Budget'!BJQ108-SUM('15 Year Pro Forma'!BJO66:BJP66))</f>
        <v>0</v>
      </c>
      <c r="BJS66" s="960">
        <f>MIN(BJS60-BJS62,'Sources and Uses Budget'!BJS108-SUM('15 Year Pro Forma'!BJQ66:BJR66))</f>
        <v>0</v>
      </c>
      <c r="BJU66" s="960">
        <f>MIN(BJU60-BJU62,'Sources and Uses Budget'!BJU108-SUM('15 Year Pro Forma'!BJS66:BJT66))</f>
        <v>0</v>
      </c>
      <c r="BJW66" s="960">
        <f>MIN(BJW60-BJW62,'Sources and Uses Budget'!BJW108-SUM('15 Year Pro Forma'!BJU66:BJV66))</f>
        <v>0</v>
      </c>
      <c r="BJY66" s="960">
        <f>MIN(BJY60-BJY62,'Sources and Uses Budget'!BJY108-SUM('15 Year Pro Forma'!BJW66:BJX66))</f>
        <v>0</v>
      </c>
      <c r="BKA66" s="960">
        <f>MIN(BKA60-BKA62,'Sources and Uses Budget'!BKA108-SUM('15 Year Pro Forma'!BJY66:BJZ66))</f>
        <v>0</v>
      </c>
      <c r="BKC66" s="960">
        <f>MIN(BKC60-BKC62,'Sources and Uses Budget'!BKC108-SUM('15 Year Pro Forma'!BKA66:BKB66))</f>
        <v>0</v>
      </c>
      <c r="BKE66" s="960">
        <f>MIN(BKE60-BKE62,'Sources and Uses Budget'!BKE108-SUM('15 Year Pro Forma'!BKC66:BKD66))</f>
        <v>0</v>
      </c>
      <c r="BKG66" s="960">
        <f>MIN(BKG60-BKG62,'Sources and Uses Budget'!BKG108-SUM('15 Year Pro Forma'!BKE66:BKF66))</f>
        <v>0</v>
      </c>
      <c r="BKI66" s="960">
        <f>MIN(BKI60-BKI62,'Sources and Uses Budget'!BKI108-SUM('15 Year Pro Forma'!BKG66:BKH66))</f>
        <v>0</v>
      </c>
      <c r="BKK66" s="960">
        <f>MIN(BKK60-BKK62,'Sources and Uses Budget'!BKK108-SUM('15 Year Pro Forma'!BKI66:BKJ66))</f>
        <v>0</v>
      </c>
      <c r="BKM66" s="960">
        <f>MIN(BKM60-BKM62,'Sources and Uses Budget'!BKM108-SUM('15 Year Pro Forma'!BKK66:BKL66))</f>
        <v>0</v>
      </c>
      <c r="BKO66" s="960">
        <f>MIN(BKO60-BKO62,'Sources and Uses Budget'!BKO108-SUM('15 Year Pro Forma'!BKM66:BKN66))</f>
        <v>0</v>
      </c>
      <c r="BKQ66" s="960">
        <f>MIN(BKQ60-BKQ62,'Sources and Uses Budget'!BKQ108-SUM('15 Year Pro Forma'!BKO66:BKP66))</f>
        <v>0</v>
      </c>
      <c r="BKS66" s="960">
        <f>MIN(BKS60-BKS62,'Sources and Uses Budget'!BKS108-SUM('15 Year Pro Forma'!BKQ66:BKR66))</f>
        <v>0</v>
      </c>
      <c r="BKU66" s="960">
        <f>MIN(BKU60-BKU62,'Sources and Uses Budget'!BKU108-SUM('15 Year Pro Forma'!BKS66:BKT66))</f>
        <v>0</v>
      </c>
      <c r="BKW66" s="960">
        <f>MIN(BKW60-BKW62,'Sources and Uses Budget'!BKW108-SUM('15 Year Pro Forma'!BKU66:BKV66))</f>
        <v>0</v>
      </c>
      <c r="BKY66" s="960">
        <f>MIN(BKY60-BKY62,'Sources and Uses Budget'!BKY108-SUM('15 Year Pro Forma'!BKW66:BKX66))</f>
        <v>0</v>
      </c>
      <c r="BLA66" s="960">
        <f>MIN(BLA60-BLA62,'Sources and Uses Budget'!BLA108-SUM('15 Year Pro Forma'!BKY66:BKZ66))</f>
        <v>0</v>
      </c>
      <c r="BLC66" s="960">
        <f>MIN(BLC60-BLC62,'Sources and Uses Budget'!BLC108-SUM('15 Year Pro Forma'!BLA66:BLB66))</f>
        <v>0</v>
      </c>
      <c r="BLE66" s="960">
        <f>MIN(BLE60-BLE62,'Sources and Uses Budget'!BLE108-SUM('15 Year Pro Forma'!BLC66:BLD66))</f>
        <v>0</v>
      </c>
      <c r="BLG66" s="960">
        <f>MIN(BLG60-BLG62,'Sources and Uses Budget'!BLG108-SUM('15 Year Pro Forma'!BLE66:BLF66))</f>
        <v>0</v>
      </c>
      <c r="BLI66" s="960">
        <f>MIN(BLI60-BLI62,'Sources and Uses Budget'!BLI108-SUM('15 Year Pro Forma'!BLG66:BLH66))</f>
        <v>0</v>
      </c>
      <c r="BLK66" s="960">
        <f>MIN(BLK60-BLK62,'Sources and Uses Budget'!BLK108-SUM('15 Year Pro Forma'!BLI66:BLJ66))</f>
        <v>0</v>
      </c>
      <c r="BLM66" s="960">
        <f>MIN(BLM60-BLM62,'Sources and Uses Budget'!BLM108-SUM('15 Year Pro Forma'!BLK66:BLL66))</f>
        <v>0</v>
      </c>
      <c r="BLO66" s="960">
        <f>MIN(BLO60-BLO62,'Sources and Uses Budget'!BLO108-SUM('15 Year Pro Forma'!BLM66:BLN66))</f>
        <v>0</v>
      </c>
      <c r="BLQ66" s="960">
        <f>MIN(BLQ60-BLQ62,'Sources and Uses Budget'!BLQ108-SUM('15 Year Pro Forma'!BLO66:BLP66))</f>
        <v>0</v>
      </c>
      <c r="BLS66" s="960">
        <f>MIN(BLS60-BLS62,'Sources and Uses Budget'!BLS108-SUM('15 Year Pro Forma'!BLQ66:BLR66))</f>
        <v>0</v>
      </c>
      <c r="BLU66" s="960">
        <f>MIN(BLU60-BLU62,'Sources and Uses Budget'!BLU108-SUM('15 Year Pro Forma'!BLS66:BLT66))</f>
        <v>0</v>
      </c>
      <c r="BLW66" s="960">
        <f>MIN(BLW60-BLW62,'Sources and Uses Budget'!BLW108-SUM('15 Year Pro Forma'!BLU66:BLV66))</f>
        <v>0</v>
      </c>
      <c r="BLY66" s="960">
        <f>MIN(BLY60-BLY62,'Sources and Uses Budget'!BLY108-SUM('15 Year Pro Forma'!BLW66:BLX66))</f>
        <v>0</v>
      </c>
      <c r="BMA66" s="960">
        <f>MIN(BMA60-BMA62,'Sources and Uses Budget'!BMA108-SUM('15 Year Pro Forma'!BLY66:BLZ66))</f>
        <v>0</v>
      </c>
      <c r="BMC66" s="960">
        <f>MIN(BMC60-BMC62,'Sources and Uses Budget'!BMC108-SUM('15 Year Pro Forma'!BMA66:BMB66))</f>
        <v>0</v>
      </c>
      <c r="BME66" s="960">
        <f>MIN(BME60-BME62,'Sources and Uses Budget'!BME108-SUM('15 Year Pro Forma'!BMC66:BMD66))</f>
        <v>0</v>
      </c>
      <c r="BMG66" s="960">
        <f>MIN(BMG60-BMG62,'Sources and Uses Budget'!BMG108-SUM('15 Year Pro Forma'!BME66:BMF66))</f>
        <v>0</v>
      </c>
      <c r="BMI66" s="960">
        <f>MIN(BMI60-BMI62,'Sources and Uses Budget'!BMI108-SUM('15 Year Pro Forma'!BMG66:BMH66))</f>
        <v>0</v>
      </c>
      <c r="BMK66" s="960">
        <f>MIN(BMK60-BMK62,'Sources and Uses Budget'!BMK108-SUM('15 Year Pro Forma'!BMI66:BMJ66))</f>
        <v>0</v>
      </c>
      <c r="BMM66" s="960">
        <f>MIN(BMM60-BMM62,'Sources and Uses Budget'!BMM108-SUM('15 Year Pro Forma'!BMK66:BML66))</f>
        <v>0</v>
      </c>
      <c r="BMO66" s="960">
        <f>MIN(BMO60-BMO62,'Sources and Uses Budget'!BMO108-SUM('15 Year Pro Forma'!BMM66:BMN66))</f>
        <v>0</v>
      </c>
      <c r="BMQ66" s="960">
        <f>MIN(BMQ60-BMQ62,'Sources and Uses Budget'!BMQ108-SUM('15 Year Pro Forma'!BMO66:BMP66))</f>
        <v>0</v>
      </c>
      <c r="BMS66" s="960">
        <f>MIN(BMS60-BMS62,'Sources and Uses Budget'!BMS108-SUM('15 Year Pro Forma'!BMQ66:BMR66))</f>
        <v>0</v>
      </c>
      <c r="BMU66" s="960">
        <f>MIN(BMU60-BMU62,'Sources and Uses Budget'!BMU108-SUM('15 Year Pro Forma'!BMS66:BMT66))</f>
        <v>0</v>
      </c>
      <c r="BMW66" s="960">
        <f>MIN(BMW60-BMW62,'Sources and Uses Budget'!BMW108-SUM('15 Year Pro Forma'!BMU66:BMV66))</f>
        <v>0</v>
      </c>
      <c r="BMY66" s="960">
        <f>MIN(BMY60-BMY62,'Sources and Uses Budget'!BMY108-SUM('15 Year Pro Forma'!BMW66:BMX66))</f>
        <v>0</v>
      </c>
      <c r="BNA66" s="960">
        <f>MIN(BNA60-BNA62,'Sources and Uses Budget'!BNA108-SUM('15 Year Pro Forma'!BMY66:BMZ66))</f>
        <v>0</v>
      </c>
      <c r="BNC66" s="960">
        <f>MIN(BNC60-BNC62,'Sources and Uses Budget'!BNC108-SUM('15 Year Pro Forma'!BNA66:BNB66))</f>
        <v>0</v>
      </c>
      <c r="BNE66" s="960">
        <f>MIN(BNE60-BNE62,'Sources and Uses Budget'!BNE108-SUM('15 Year Pro Forma'!BNC66:BND66))</f>
        <v>0</v>
      </c>
      <c r="BNG66" s="960">
        <f>MIN(BNG60-BNG62,'Sources and Uses Budget'!BNG108-SUM('15 Year Pro Forma'!BNE66:BNF66))</f>
        <v>0</v>
      </c>
      <c r="BNI66" s="960">
        <f>MIN(BNI60-BNI62,'Sources and Uses Budget'!BNI108-SUM('15 Year Pro Forma'!BNG66:BNH66))</f>
        <v>0</v>
      </c>
      <c r="BNK66" s="960">
        <f>MIN(BNK60-BNK62,'Sources and Uses Budget'!BNK108-SUM('15 Year Pro Forma'!BNI66:BNJ66))</f>
        <v>0</v>
      </c>
      <c r="BNM66" s="960">
        <f>MIN(BNM60-BNM62,'Sources and Uses Budget'!BNM108-SUM('15 Year Pro Forma'!BNK66:BNL66))</f>
        <v>0</v>
      </c>
      <c r="BNO66" s="960">
        <f>MIN(BNO60-BNO62,'Sources and Uses Budget'!BNO108-SUM('15 Year Pro Forma'!BNM66:BNN66))</f>
        <v>0</v>
      </c>
      <c r="BNQ66" s="960">
        <f>MIN(BNQ60-BNQ62,'Sources and Uses Budget'!BNQ108-SUM('15 Year Pro Forma'!BNO66:BNP66))</f>
        <v>0</v>
      </c>
      <c r="BNS66" s="960">
        <f>MIN(BNS60-BNS62,'Sources and Uses Budget'!BNS108-SUM('15 Year Pro Forma'!BNQ66:BNR66))</f>
        <v>0</v>
      </c>
      <c r="BNU66" s="960">
        <f>MIN(BNU60-BNU62,'Sources and Uses Budget'!BNU108-SUM('15 Year Pro Forma'!BNS66:BNT66))</f>
        <v>0</v>
      </c>
      <c r="BNW66" s="960">
        <f>MIN(BNW60-BNW62,'Sources and Uses Budget'!BNW108-SUM('15 Year Pro Forma'!BNU66:BNV66))</f>
        <v>0</v>
      </c>
      <c r="BNY66" s="960">
        <f>MIN(BNY60-BNY62,'Sources and Uses Budget'!BNY108-SUM('15 Year Pro Forma'!BNW66:BNX66))</f>
        <v>0</v>
      </c>
      <c r="BOA66" s="960">
        <f>MIN(BOA60-BOA62,'Sources and Uses Budget'!BOA108-SUM('15 Year Pro Forma'!BNY66:BNZ66))</f>
        <v>0</v>
      </c>
      <c r="BOC66" s="960">
        <f>MIN(BOC60-BOC62,'Sources and Uses Budget'!BOC108-SUM('15 Year Pro Forma'!BOA66:BOB66))</f>
        <v>0</v>
      </c>
      <c r="BOE66" s="960">
        <f>MIN(BOE60-BOE62,'Sources and Uses Budget'!BOE108-SUM('15 Year Pro Forma'!BOC66:BOD66))</f>
        <v>0</v>
      </c>
      <c r="BOG66" s="960">
        <f>MIN(BOG60-BOG62,'Sources and Uses Budget'!BOG108-SUM('15 Year Pro Forma'!BOE66:BOF66))</f>
        <v>0</v>
      </c>
      <c r="BOI66" s="960">
        <f>MIN(BOI60-BOI62,'Sources and Uses Budget'!BOI108-SUM('15 Year Pro Forma'!BOG66:BOH66))</f>
        <v>0</v>
      </c>
      <c r="BOK66" s="960">
        <f>MIN(BOK60-BOK62,'Sources and Uses Budget'!BOK108-SUM('15 Year Pro Forma'!BOI66:BOJ66))</f>
        <v>0</v>
      </c>
      <c r="BOM66" s="960">
        <f>MIN(BOM60-BOM62,'Sources and Uses Budget'!BOM108-SUM('15 Year Pro Forma'!BOK66:BOL66))</f>
        <v>0</v>
      </c>
      <c r="BOO66" s="960">
        <f>MIN(BOO60-BOO62,'Sources and Uses Budget'!BOO108-SUM('15 Year Pro Forma'!BOM66:BON66))</f>
        <v>0</v>
      </c>
      <c r="BOQ66" s="960">
        <f>MIN(BOQ60-BOQ62,'Sources and Uses Budget'!BOQ108-SUM('15 Year Pro Forma'!BOO66:BOP66))</f>
        <v>0</v>
      </c>
      <c r="BOS66" s="960">
        <f>MIN(BOS60-BOS62,'Sources and Uses Budget'!BOS108-SUM('15 Year Pro Forma'!BOQ66:BOR66))</f>
        <v>0</v>
      </c>
      <c r="BOU66" s="960">
        <f>MIN(BOU60-BOU62,'Sources and Uses Budget'!BOU108-SUM('15 Year Pro Forma'!BOS66:BOT66))</f>
        <v>0</v>
      </c>
      <c r="BOW66" s="960">
        <f>MIN(BOW60-BOW62,'Sources and Uses Budget'!BOW108-SUM('15 Year Pro Forma'!BOU66:BOV66))</f>
        <v>0</v>
      </c>
      <c r="BOY66" s="960">
        <f>MIN(BOY60-BOY62,'Sources and Uses Budget'!BOY108-SUM('15 Year Pro Forma'!BOW66:BOX66))</f>
        <v>0</v>
      </c>
      <c r="BPA66" s="960">
        <f>MIN(BPA60-BPA62,'Sources and Uses Budget'!BPA108-SUM('15 Year Pro Forma'!BOY66:BOZ66))</f>
        <v>0</v>
      </c>
      <c r="BPC66" s="960">
        <f>MIN(BPC60-BPC62,'Sources and Uses Budget'!BPC108-SUM('15 Year Pro Forma'!BPA66:BPB66))</f>
        <v>0</v>
      </c>
      <c r="BPE66" s="960">
        <f>MIN(BPE60-BPE62,'Sources and Uses Budget'!BPE108-SUM('15 Year Pro Forma'!BPC66:BPD66))</f>
        <v>0</v>
      </c>
      <c r="BPG66" s="960">
        <f>MIN(BPG60-BPG62,'Sources and Uses Budget'!BPG108-SUM('15 Year Pro Forma'!BPE66:BPF66))</f>
        <v>0</v>
      </c>
      <c r="BPI66" s="960">
        <f>MIN(BPI60-BPI62,'Sources and Uses Budget'!BPI108-SUM('15 Year Pro Forma'!BPG66:BPH66))</f>
        <v>0</v>
      </c>
      <c r="BPK66" s="960">
        <f>MIN(BPK60-BPK62,'Sources and Uses Budget'!BPK108-SUM('15 Year Pro Forma'!BPI66:BPJ66))</f>
        <v>0</v>
      </c>
      <c r="BPM66" s="960">
        <f>MIN(BPM60-BPM62,'Sources and Uses Budget'!BPM108-SUM('15 Year Pro Forma'!BPK66:BPL66))</f>
        <v>0</v>
      </c>
      <c r="BPO66" s="960">
        <f>MIN(BPO60-BPO62,'Sources and Uses Budget'!BPO108-SUM('15 Year Pro Forma'!BPM66:BPN66))</f>
        <v>0</v>
      </c>
      <c r="BPQ66" s="960">
        <f>MIN(BPQ60-BPQ62,'Sources and Uses Budget'!BPQ108-SUM('15 Year Pro Forma'!BPO66:BPP66))</f>
        <v>0</v>
      </c>
      <c r="BPS66" s="960">
        <f>MIN(BPS60-BPS62,'Sources and Uses Budget'!BPS108-SUM('15 Year Pro Forma'!BPQ66:BPR66))</f>
        <v>0</v>
      </c>
      <c r="BPU66" s="960">
        <f>MIN(BPU60-BPU62,'Sources and Uses Budget'!BPU108-SUM('15 Year Pro Forma'!BPS66:BPT66))</f>
        <v>0</v>
      </c>
      <c r="BPW66" s="960">
        <f>MIN(BPW60-BPW62,'Sources and Uses Budget'!BPW108-SUM('15 Year Pro Forma'!BPU66:BPV66))</f>
        <v>0</v>
      </c>
      <c r="BPY66" s="960">
        <f>MIN(BPY60-BPY62,'Sources and Uses Budget'!BPY108-SUM('15 Year Pro Forma'!BPW66:BPX66))</f>
        <v>0</v>
      </c>
      <c r="BQA66" s="960">
        <f>MIN(BQA60-BQA62,'Sources and Uses Budget'!BQA108-SUM('15 Year Pro Forma'!BPY66:BPZ66))</f>
        <v>0</v>
      </c>
      <c r="BQC66" s="960">
        <f>MIN(BQC60-BQC62,'Sources and Uses Budget'!BQC108-SUM('15 Year Pro Forma'!BQA66:BQB66))</f>
        <v>0</v>
      </c>
      <c r="BQE66" s="960">
        <f>MIN(BQE60-BQE62,'Sources and Uses Budget'!BQE108-SUM('15 Year Pro Forma'!BQC66:BQD66))</f>
        <v>0</v>
      </c>
      <c r="BQG66" s="960">
        <f>MIN(BQG60-BQG62,'Sources and Uses Budget'!BQG108-SUM('15 Year Pro Forma'!BQE66:BQF66))</f>
        <v>0</v>
      </c>
      <c r="BQI66" s="960">
        <f>MIN(BQI60-BQI62,'Sources and Uses Budget'!BQI108-SUM('15 Year Pro Forma'!BQG66:BQH66))</f>
        <v>0</v>
      </c>
      <c r="BQK66" s="960">
        <f>MIN(BQK60-BQK62,'Sources and Uses Budget'!BQK108-SUM('15 Year Pro Forma'!BQI66:BQJ66))</f>
        <v>0</v>
      </c>
      <c r="BQM66" s="960">
        <f>MIN(BQM60-BQM62,'Sources and Uses Budget'!BQM108-SUM('15 Year Pro Forma'!BQK66:BQL66))</f>
        <v>0</v>
      </c>
      <c r="BQO66" s="960">
        <f>MIN(BQO60-BQO62,'Sources and Uses Budget'!BQO108-SUM('15 Year Pro Forma'!BQM66:BQN66))</f>
        <v>0</v>
      </c>
      <c r="BQQ66" s="960">
        <f>MIN(BQQ60-BQQ62,'Sources and Uses Budget'!BQQ108-SUM('15 Year Pro Forma'!BQO66:BQP66))</f>
        <v>0</v>
      </c>
      <c r="BQS66" s="960">
        <f>MIN(BQS60-BQS62,'Sources and Uses Budget'!BQS108-SUM('15 Year Pro Forma'!BQQ66:BQR66))</f>
        <v>0</v>
      </c>
      <c r="BQU66" s="960">
        <f>MIN(BQU60-BQU62,'Sources and Uses Budget'!BQU108-SUM('15 Year Pro Forma'!BQS66:BQT66))</f>
        <v>0</v>
      </c>
      <c r="BQW66" s="960">
        <f>MIN(BQW60-BQW62,'Sources and Uses Budget'!BQW108-SUM('15 Year Pro Forma'!BQU66:BQV66))</f>
        <v>0</v>
      </c>
      <c r="BQY66" s="960">
        <f>MIN(BQY60-BQY62,'Sources and Uses Budget'!BQY108-SUM('15 Year Pro Forma'!BQW66:BQX66))</f>
        <v>0</v>
      </c>
      <c r="BRA66" s="960">
        <f>MIN(BRA60-BRA62,'Sources and Uses Budget'!BRA108-SUM('15 Year Pro Forma'!BQY66:BQZ66))</f>
        <v>0</v>
      </c>
      <c r="BRC66" s="960">
        <f>MIN(BRC60-BRC62,'Sources and Uses Budget'!BRC108-SUM('15 Year Pro Forma'!BRA66:BRB66))</f>
        <v>0</v>
      </c>
      <c r="BRE66" s="960">
        <f>MIN(BRE60-BRE62,'Sources and Uses Budget'!BRE108-SUM('15 Year Pro Forma'!BRC66:BRD66))</f>
        <v>0</v>
      </c>
      <c r="BRG66" s="960">
        <f>MIN(BRG60-BRG62,'Sources and Uses Budget'!BRG108-SUM('15 Year Pro Forma'!BRE66:BRF66))</f>
        <v>0</v>
      </c>
      <c r="BRI66" s="960">
        <f>MIN(BRI60-BRI62,'Sources and Uses Budget'!BRI108-SUM('15 Year Pro Forma'!BRG66:BRH66))</f>
        <v>0</v>
      </c>
      <c r="BRK66" s="960">
        <f>MIN(BRK60-BRK62,'Sources and Uses Budget'!BRK108-SUM('15 Year Pro Forma'!BRI66:BRJ66))</f>
        <v>0</v>
      </c>
      <c r="BRM66" s="960">
        <f>MIN(BRM60-BRM62,'Sources and Uses Budget'!BRM108-SUM('15 Year Pro Forma'!BRK66:BRL66))</f>
        <v>0</v>
      </c>
      <c r="BRO66" s="960">
        <f>MIN(BRO60-BRO62,'Sources and Uses Budget'!BRO108-SUM('15 Year Pro Forma'!BRM66:BRN66))</f>
        <v>0</v>
      </c>
      <c r="BRQ66" s="960">
        <f>MIN(BRQ60-BRQ62,'Sources and Uses Budget'!BRQ108-SUM('15 Year Pro Forma'!BRO66:BRP66))</f>
        <v>0</v>
      </c>
      <c r="BRS66" s="960">
        <f>MIN(BRS60-BRS62,'Sources and Uses Budget'!BRS108-SUM('15 Year Pro Forma'!BRQ66:BRR66))</f>
        <v>0</v>
      </c>
      <c r="BRU66" s="960">
        <f>MIN(BRU60-BRU62,'Sources and Uses Budget'!BRU108-SUM('15 Year Pro Forma'!BRS66:BRT66))</f>
        <v>0</v>
      </c>
      <c r="BRW66" s="960">
        <f>MIN(BRW60-BRW62,'Sources and Uses Budget'!BRW108-SUM('15 Year Pro Forma'!BRU66:BRV66))</f>
        <v>0</v>
      </c>
      <c r="BRY66" s="960">
        <f>MIN(BRY60-BRY62,'Sources and Uses Budget'!BRY108-SUM('15 Year Pro Forma'!BRW66:BRX66))</f>
        <v>0</v>
      </c>
      <c r="BSA66" s="960">
        <f>MIN(BSA60-BSA62,'Sources and Uses Budget'!BSA108-SUM('15 Year Pro Forma'!BRY66:BRZ66))</f>
        <v>0</v>
      </c>
      <c r="BSC66" s="960">
        <f>MIN(BSC60-BSC62,'Sources and Uses Budget'!BSC108-SUM('15 Year Pro Forma'!BSA66:BSB66))</f>
        <v>0</v>
      </c>
      <c r="BSE66" s="960">
        <f>MIN(BSE60-BSE62,'Sources and Uses Budget'!BSE108-SUM('15 Year Pro Forma'!BSC66:BSD66))</f>
        <v>0</v>
      </c>
      <c r="BSG66" s="960">
        <f>MIN(BSG60-BSG62,'Sources and Uses Budget'!BSG108-SUM('15 Year Pro Forma'!BSE66:BSF66))</f>
        <v>0</v>
      </c>
      <c r="BSI66" s="960">
        <f>MIN(BSI60-BSI62,'Sources and Uses Budget'!BSI108-SUM('15 Year Pro Forma'!BSG66:BSH66))</f>
        <v>0</v>
      </c>
      <c r="BSK66" s="960">
        <f>MIN(BSK60-BSK62,'Sources and Uses Budget'!BSK108-SUM('15 Year Pro Forma'!BSI66:BSJ66))</f>
        <v>0</v>
      </c>
      <c r="BSM66" s="960">
        <f>MIN(BSM60-BSM62,'Sources and Uses Budget'!BSM108-SUM('15 Year Pro Forma'!BSK66:BSL66))</f>
        <v>0</v>
      </c>
      <c r="BSO66" s="960">
        <f>MIN(BSO60-BSO62,'Sources and Uses Budget'!BSO108-SUM('15 Year Pro Forma'!BSM66:BSN66))</f>
        <v>0</v>
      </c>
      <c r="BSQ66" s="960">
        <f>MIN(BSQ60-BSQ62,'Sources and Uses Budget'!BSQ108-SUM('15 Year Pro Forma'!BSO66:BSP66))</f>
        <v>0</v>
      </c>
      <c r="BSS66" s="960">
        <f>MIN(BSS60-BSS62,'Sources and Uses Budget'!BSS108-SUM('15 Year Pro Forma'!BSQ66:BSR66))</f>
        <v>0</v>
      </c>
      <c r="BSU66" s="960">
        <f>MIN(BSU60-BSU62,'Sources and Uses Budget'!BSU108-SUM('15 Year Pro Forma'!BSS66:BST66))</f>
        <v>0</v>
      </c>
      <c r="BSW66" s="960">
        <f>MIN(BSW60-BSW62,'Sources and Uses Budget'!BSW108-SUM('15 Year Pro Forma'!BSU66:BSV66))</f>
        <v>0</v>
      </c>
      <c r="BSY66" s="960">
        <f>MIN(BSY60-BSY62,'Sources and Uses Budget'!BSY108-SUM('15 Year Pro Forma'!BSW66:BSX66))</f>
        <v>0</v>
      </c>
      <c r="BTA66" s="960">
        <f>MIN(BTA60-BTA62,'Sources and Uses Budget'!BTA108-SUM('15 Year Pro Forma'!BSY66:BSZ66))</f>
        <v>0</v>
      </c>
      <c r="BTC66" s="960">
        <f>MIN(BTC60-BTC62,'Sources and Uses Budget'!BTC108-SUM('15 Year Pro Forma'!BTA66:BTB66))</f>
        <v>0</v>
      </c>
      <c r="BTE66" s="960">
        <f>MIN(BTE60-BTE62,'Sources and Uses Budget'!BTE108-SUM('15 Year Pro Forma'!BTC66:BTD66))</f>
        <v>0</v>
      </c>
      <c r="BTG66" s="960">
        <f>MIN(BTG60-BTG62,'Sources and Uses Budget'!BTG108-SUM('15 Year Pro Forma'!BTE66:BTF66))</f>
        <v>0</v>
      </c>
      <c r="BTI66" s="960">
        <f>MIN(BTI60-BTI62,'Sources and Uses Budget'!BTI108-SUM('15 Year Pro Forma'!BTG66:BTH66))</f>
        <v>0</v>
      </c>
      <c r="BTK66" s="960">
        <f>MIN(BTK60-BTK62,'Sources and Uses Budget'!BTK108-SUM('15 Year Pro Forma'!BTI66:BTJ66))</f>
        <v>0</v>
      </c>
      <c r="BTM66" s="960">
        <f>MIN(BTM60-BTM62,'Sources and Uses Budget'!BTM108-SUM('15 Year Pro Forma'!BTK66:BTL66))</f>
        <v>0</v>
      </c>
      <c r="BTO66" s="960">
        <f>MIN(BTO60-BTO62,'Sources and Uses Budget'!BTO108-SUM('15 Year Pro Forma'!BTM66:BTN66))</f>
        <v>0</v>
      </c>
      <c r="BTQ66" s="960">
        <f>MIN(BTQ60-BTQ62,'Sources and Uses Budget'!BTQ108-SUM('15 Year Pro Forma'!BTO66:BTP66))</f>
        <v>0</v>
      </c>
      <c r="BTS66" s="960">
        <f>MIN(BTS60-BTS62,'Sources and Uses Budget'!BTS108-SUM('15 Year Pro Forma'!BTQ66:BTR66))</f>
        <v>0</v>
      </c>
      <c r="BTU66" s="960">
        <f>MIN(BTU60-BTU62,'Sources and Uses Budget'!BTU108-SUM('15 Year Pro Forma'!BTS66:BTT66))</f>
        <v>0</v>
      </c>
      <c r="BTW66" s="960">
        <f>MIN(BTW60-BTW62,'Sources and Uses Budget'!BTW108-SUM('15 Year Pro Forma'!BTU66:BTV66))</f>
        <v>0</v>
      </c>
      <c r="BTY66" s="960">
        <f>MIN(BTY60-BTY62,'Sources and Uses Budget'!BTY108-SUM('15 Year Pro Forma'!BTW66:BTX66))</f>
        <v>0</v>
      </c>
      <c r="BUA66" s="960">
        <f>MIN(BUA60-BUA62,'Sources and Uses Budget'!BUA108-SUM('15 Year Pro Forma'!BTY66:BTZ66))</f>
        <v>0</v>
      </c>
      <c r="BUC66" s="960">
        <f>MIN(BUC60-BUC62,'Sources and Uses Budget'!BUC108-SUM('15 Year Pro Forma'!BUA66:BUB66))</f>
        <v>0</v>
      </c>
      <c r="BUE66" s="960">
        <f>MIN(BUE60-BUE62,'Sources and Uses Budget'!BUE108-SUM('15 Year Pro Forma'!BUC66:BUD66))</f>
        <v>0</v>
      </c>
      <c r="BUG66" s="960">
        <f>MIN(BUG60-BUG62,'Sources and Uses Budget'!BUG108-SUM('15 Year Pro Forma'!BUE66:BUF66))</f>
        <v>0</v>
      </c>
      <c r="BUI66" s="960">
        <f>MIN(BUI60-BUI62,'Sources and Uses Budget'!BUI108-SUM('15 Year Pro Forma'!BUG66:BUH66))</f>
        <v>0</v>
      </c>
      <c r="BUK66" s="960">
        <f>MIN(BUK60-BUK62,'Sources and Uses Budget'!BUK108-SUM('15 Year Pro Forma'!BUI66:BUJ66))</f>
        <v>0</v>
      </c>
      <c r="BUM66" s="960">
        <f>MIN(BUM60-BUM62,'Sources and Uses Budget'!BUM108-SUM('15 Year Pro Forma'!BUK66:BUL66))</f>
        <v>0</v>
      </c>
      <c r="BUO66" s="960">
        <f>MIN(BUO60-BUO62,'Sources and Uses Budget'!BUO108-SUM('15 Year Pro Forma'!BUM66:BUN66))</f>
        <v>0</v>
      </c>
      <c r="BUQ66" s="960">
        <f>MIN(BUQ60-BUQ62,'Sources and Uses Budget'!BUQ108-SUM('15 Year Pro Forma'!BUO66:BUP66))</f>
        <v>0</v>
      </c>
      <c r="BUS66" s="960">
        <f>MIN(BUS60-BUS62,'Sources and Uses Budget'!BUS108-SUM('15 Year Pro Forma'!BUQ66:BUR66))</f>
        <v>0</v>
      </c>
      <c r="BUU66" s="960">
        <f>MIN(BUU60-BUU62,'Sources and Uses Budget'!BUU108-SUM('15 Year Pro Forma'!BUS66:BUT66))</f>
        <v>0</v>
      </c>
      <c r="BUW66" s="960">
        <f>MIN(BUW60-BUW62,'Sources and Uses Budget'!BUW108-SUM('15 Year Pro Forma'!BUU66:BUV66))</f>
        <v>0</v>
      </c>
      <c r="BUY66" s="960">
        <f>MIN(BUY60-BUY62,'Sources and Uses Budget'!BUY108-SUM('15 Year Pro Forma'!BUW66:BUX66))</f>
        <v>0</v>
      </c>
      <c r="BVA66" s="960">
        <f>MIN(BVA60-BVA62,'Sources and Uses Budget'!BVA108-SUM('15 Year Pro Forma'!BUY66:BUZ66))</f>
        <v>0</v>
      </c>
      <c r="BVC66" s="960">
        <f>MIN(BVC60-BVC62,'Sources and Uses Budget'!BVC108-SUM('15 Year Pro Forma'!BVA66:BVB66))</f>
        <v>0</v>
      </c>
      <c r="BVE66" s="960">
        <f>MIN(BVE60-BVE62,'Sources and Uses Budget'!BVE108-SUM('15 Year Pro Forma'!BVC66:BVD66))</f>
        <v>0</v>
      </c>
      <c r="BVG66" s="960">
        <f>MIN(BVG60-BVG62,'Sources and Uses Budget'!BVG108-SUM('15 Year Pro Forma'!BVE66:BVF66))</f>
        <v>0</v>
      </c>
      <c r="BVI66" s="960">
        <f>MIN(BVI60-BVI62,'Sources and Uses Budget'!BVI108-SUM('15 Year Pro Forma'!BVG66:BVH66))</f>
        <v>0</v>
      </c>
      <c r="BVK66" s="960">
        <f>MIN(BVK60-BVK62,'Sources and Uses Budget'!BVK108-SUM('15 Year Pro Forma'!BVI66:BVJ66))</f>
        <v>0</v>
      </c>
      <c r="BVM66" s="960">
        <f>MIN(BVM60-BVM62,'Sources and Uses Budget'!BVM108-SUM('15 Year Pro Forma'!BVK66:BVL66))</f>
        <v>0</v>
      </c>
      <c r="BVO66" s="960">
        <f>MIN(BVO60-BVO62,'Sources and Uses Budget'!BVO108-SUM('15 Year Pro Forma'!BVM66:BVN66))</f>
        <v>0</v>
      </c>
      <c r="BVQ66" s="960">
        <f>MIN(BVQ60-BVQ62,'Sources and Uses Budget'!BVQ108-SUM('15 Year Pro Forma'!BVO66:BVP66))</f>
        <v>0</v>
      </c>
      <c r="BVS66" s="960">
        <f>MIN(BVS60-BVS62,'Sources and Uses Budget'!BVS108-SUM('15 Year Pro Forma'!BVQ66:BVR66))</f>
        <v>0</v>
      </c>
      <c r="BVU66" s="960">
        <f>MIN(BVU60-BVU62,'Sources and Uses Budget'!BVU108-SUM('15 Year Pro Forma'!BVS66:BVT66))</f>
        <v>0</v>
      </c>
      <c r="BVW66" s="960">
        <f>MIN(BVW60-BVW62,'Sources and Uses Budget'!BVW108-SUM('15 Year Pro Forma'!BVU66:BVV66))</f>
        <v>0</v>
      </c>
      <c r="BVY66" s="960">
        <f>MIN(BVY60-BVY62,'Sources and Uses Budget'!BVY108-SUM('15 Year Pro Forma'!BVW66:BVX66))</f>
        <v>0</v>
      </c>
      <c r="BWA66" s="960">
        <f>MIN(BWA60-BWA62,'Sources and Uses Budget'!BWA108-SUM('15 Year Pro Forma'!BVY66:BVZ66))</f>
        <v>0</v>
      </c>
      <c r="BWC66" s="960">
        <f>MIN(BWC60-BWC62,'Sources and Uses Budget'!BWC108-SUM('15 Year Pro Forma'!BWA66:BWB66))</f>
        <v>0</v>
      </c>
      <c r="BWE66" s="960">
        <f>MIN(BWE60-BWE62,'Sources and Uses Budget'!BWE108-SUM('15 Year Pro Forma'!BWC66:BWD66))</f>
        <v>0</v>
      </c>
      <c r="BWG66" s="960">
        <f>MIN(BWG60-BWG62,'Sources and Uses Budget'!BWG108-SUM('15 Year Pro Forma'!BWE66:BWF66))</f>
        <v>0</v>
      </c>
      <c r="BWI66" s="960">
        <f>MIN(BWI60-BWI62,'Sources and Uses Budget'!BWI108-SUM('15 Year Pro Forma'!BWG66:BWH66))</f>
        <v>0</v>
      </c>
      <c r="BWK66" s="960">
        <f>MIN(BWK60-BWK62,'Sources and Uses Budget'!BWK108-SUM('15 Year Pro Forma'!BWI66:BWJ66))</f>
        <v>0</v>
      </c>
      <c r="BWM66" s="960">
        <f>MIN(BWM60-BWM62,'Sources and Uses Budget'!BWM108-SUM('15 Year Pro Forma'!BWK66:BWL66))</f>
        <v>0</v>
      </c>
      <c r="BWO66" s="960">
        <f>MIN(BWO60-BWO62,'Sources and Uses Budget'!BWO108-SUM('15 Year Pro Forma'!BWM66:BWN66))</f>
        <v>0</v>
      </c>
      <c r="BWQ66" s="960">
        <f>MIN(BWQ60-BWQ62,'Sources and Uses Budget'!BWQ108-SUM('15 Year Pro Forma'!BWO66:BWP66))</f>
        <v>0</v>
      </c>
      <c r="BWS66" s="960">
        <f>MIN(BWS60-BWS62,'Sources and Uses Budget'!BWS108-SUM('15 Year Pro Forma'!BWQ66:BWR66))</f>
        <v>0</v>
      </c>
      <c r="BWU66" s="960">
        <f>MIN(BWU60-BWU62,'Sources and Uses Budget'!BWU108-SUM('15 Year Pro Forma'!BWS66:BWT66))</f>
        <v>0</v>
      </c>
      <c r="BWW66" s="960">
        <f>MIN(BWW60-BWW62,'Sources and Uses Budget'!BWW108-SUM('15 Year Pro Forma'!BWU66:BWV66))</f>
        <v>0</v>
      </c>
      <c r="BWY66" s="960">
        <f>MIN(BWY60-BWY62,'Sources and Uses Budget'!BWY108-SUM('15 Year Pro Forma'!BWW66:BWX66))</f>
        <v>0</v>
      </c>
      <c r="BXA66" s="960">
        <f>MIN(BXA60-BXA62,'Sources and Uses Budget'!BXA108-SUM('15 Year Pro Forma'!BWY66:BWZ66))</f>
        <v>0</v>
      </c>
      <c r="BXC66" s="960">
        <f>MIN(BXC60-BXC62,'Sources and Uses Budget'!BXC108-SUM('15 Year Pro Forma'!BXA66:BXB66))</f>
        <v>0</v>
      </c>
      <c r="BXE66" s="960">
        <f>MIN(BXE60-BXE62,'Sources and Uses Budget'!BXE108-SUM('15 Year Pro Forma'!BXC66:BXD66))</f>
        <v>0</v>
      </c>
      <c r="BXG66" s="960">
        <f>MIN(BXG60-BXG62,'Sources and Uses Budget'!BXG108-SUM('15 Year Pro Forma'!BXE66:BXF66))</f>
        <v>0</v>
      </c>
      <c r="BXI66" s="960">
        <f>MIN(BXI60-BXI62,'Sources and Uses Budget'!BXI108-SUM('15 Year Pro Forma'!BXG66:BXH66))</f>
        <v>0</v>
      </c>
      <c r="BXK66" s="960">
        <f>MIN(BXK60-BXK62,'Sources and Uses Budget'!BXK108-SUM('15 Year Pro Forma'!BXI66:BXJ66))</f>
        <v>0</v>
      </c>
      <c r="BXM66" s="960">
        <f>MIN(BXM60-BXM62,'Sources and Uses Budget'!BXM108-SUM('15 Year Pro Forma'!BXK66:BXL66))</f>
        <v>0</v>
      </c>
      <c r="BXO66" s="960">
        <f>MIN(BXO60-BXO62,'Sources and Uses Budget'!BXO108-SUM('15 Year Pro Forma'!BXM66:BXN66))</f>
        <v>0</v>
      </c>
      <c r="BXQ66" s="960">
        <f>MIN(BXQ60-BXQ62,'Sources and Uses Budget'!BXQ108-SUM('15 Year Pro Forma'!BXO66:BXP66))</f>
        <v>0</v>
      </c>
      <c r="BXS66" s="960">
        <f>MIN(BXS60-BXS62,'Sources and Uses Budget'!BXS108-SUM('15 Year Pro Forma'!BXQ66:BXR66))</f>
        <v>0</v>
      </c>
      <c r="BXU66" s="960">
        <f>MIN(BXU60-BXU62,'Sources and Uses Budget'!BXU108-SUM('15 Year Pro Forma'!BXS66:BXT66))</f>
        <v>0</v>
      </c>
      <c r="BXW66" s="960">
        <f>MIN(BXW60-BXW62,'Sources and Uses Budget'!BXW108-SUM('15 Year Pro Forma'!BXU66:BXV66))</f>
        <v>0</v>
      </c>
      <c r="BXY66" s="960">
        <f>MIN(BXY60-BXY62,'Sources and Uses Budget'!BXY108-SUM('15 Year Pro Forma'!BXW66:BXX66))</f>
        <v>0</v>
      </c>
      <c r="BYA66" s="960">
        <f>MIN(BYA60-BYA62,'Sources and Uses Budget'!BYA108-SUM('15 Year Pro Forma'!BXY66:BXZ66))</f>
        <v>0</v>
      </c>
      <c r="BYC66" s="960">
        <f>MIN(BYC60-BYC62,'Sources and Uses Budget'!BYC108-SUM('15 Year Pro Forma'!BYA66:BYB66))</f>
        <v>0</v>
      </c>
      <c r="BYE66" s="960">
        <f>MIN(BYE60-BYE62,'Sources and Uses Budget'!BYE108-SUM('15 Year Pro Forma'!BYC66:BYD66))</f>
        <v>0</v>
      </c>
      <c r="BYG66" s="960">
        <f>MIN(BYG60-BYG62,'Sources and Uses Budget'!BYG108-SUM('15 Year Pro Forma'!BYE66:BYF66))</f>
        <v>0</v>
      </c>
      <c r="BYI66" s="960">
        <f>MIN(BYI60-BYI62,'Sources and Uses Budget'!BYI108-SUM('15 Year Pro Forma'!BYG66:BYH66))</f>
        <v>0</v>
      </c>
      <c r="BYK66" s="960">
        <f>MIN(BYK60-BYK62,'Sources and Uses Budget'!BYK108-SUM('15 Year Pro Forma'!BYI66:BYJ66))</f>
        <v>0</v>
      </c>
      <c r="BYM66" s="960">
        <f>MIN(BYM60-BYM62,'Sources and Uses Budget'!BYM108-SUM('15 Year Pro Forma'!BYK66:BYL66))</f>
        <v>0</v>
      </c>
      <c r="BYO66" s="960">
        <f>MIN(BYO60-BYO62,'Sources and Uses Budget'!BYO108-SUM('15 Year Pro Forma'!BYM66:BYN66))</f>
        <v>0</v>
      </c>
      <c r="BYQ66" s="960">
        <f>MIN(BYQ60-BYQ62,'Sources and Uses Budget'!BYQ108-SUM('15 Year Pro Forma'!BYO66:BYP66))</f>
        <v>0</v>
      </c>
      <c r="BYS66" s="960">
        <f>MIN(BYS60-BYS62,'Sources and Uses Budget'!BYS108-SUM('15 Year Pro Forma'!BYQ66:BYR66))</f>
        <v>0</v>
      </c>
      <c r="BYU66" s="960">
        <f>MIN(BYU60-BYU62,'Sources and Uses Budget'!BYU108-SUM('15 Year Pro Forma'!BYS66:BYT66))</f>
        <v>0</v>
      </c>
      <c r="BYW66" s="960">
        <f>MIN(BYW60-BYW62,'Sources and Uses Budget'!BYW108-SUM('15 Year Pro Forma'!BYU66:BYV66))</f>
        <v>0</v>
      </c>
      <c r="BYY66" s="960">
        <f>MIN(BYY60-BYY62,'Sources and Uses Budget'!BYY108-SUM('15 Year Pro Forma'!BYW66:BYX66))</f>
        <v>0</v>
      </c>
      <c r="BZA66" s="960">
        <f>MIN(BZA60-BZA62,'Sources and Uses Budget'!BZA108-SUM('15 Year Pro Forma'!BYY66:BYZ66))</f>
        <v>0</v>
      </c>
      <c r="BZC66" s="960">
        <f>MIN(BZC60-BZC62,'Sources and Uses Budget'!BZC108-SUM('15 Year Pro Forma'!BZA66:BZB66))</f>
        <v>0</v>
      </c>
      <c r="BZE66" s="960">
        <f>MIN(BZE60-BZE62,'Sources and Uses Budget'!BZE108-SUM('15 Year Pro Forma'!BZC66:BZD66))</f>
        <v>0</v>
      </c>
      <c r="BZG66" s="960">
        <f>MIN(BZG60-BZG62,'Sources and Uses Budget'!BZG108-SUM('15 Year Pro Forma'!BZE66:BZF66))</f>
        <v>0</v>
      </c>
      <c r="BZI66" s="960">
        <f>MIN(BZI60-BZI62,'Sources and Uses Budget'!BZI108-SUM('15 Year Pro Forma'!BZG66:BZH66))</f>
        <v>0</v>
      </c>
      <c r="BZK66" s="960">
        <f>MIN(BZK60-BZK62,'Sources and Uses Budget'!BZK108-SUM('15 Year Pro Forma'!BZI66:BZJ66))</f>
        <v>0</v>
      </c>
      <c r="BZM66" s="960">
        <f>MIN(BZM60-BZM62,'Sources and Uses Budget'!BZM108-SUM('15 Year Pro Forma'!BZK66:BZL66))</f>
        <v>0</v>
      </c>
      <c r="BZO66" s="960">
        <f>MIN(BZO60-BZO62,'Sources and Uses Budget'!BZO108-SUM('15 Year Pro Forma'!BZM66:BZN66))</f>
        <v>0</v>
      </c>
      <c r="BZQ66" s="960">
        <f>MIN(BZQ60-BZQ62,'Sources and Uses Budget'!BZQ108-SUM('15 Year Pro Forma'!BZO66:BZP66))</f>
        <v>0</v>
      </c>
      <c r="BZS66" s="960">
        <f>MIN(BZS60-BZS62,'Sources and Uses Budget'!BZS108-SUM('15 Year Pro Forma'!BZQ66:BZR66))</f>
        <v>0</v>
      </c>
      <c r="BZU66" s="960">
        <f>MIN(BZU60-BZU62,'Sources and Uses Budget'!BZU108-SUM('15 Year Pro Forma'!BZS66:BZT66))</f>
        <v>0</v>
      </c>
      <c r="BZW66" s="960">
        <f>MIN(BZW60-BZW62,'Sources and Uses Budget'!BZW108-SUM('15 Year Pro Forma'!BZU66:BZV66))</f>
        <v>0</v>
      </c>
      <c r="BZY66" s="960">
        <f>MIN(BZY60-BZY62,'Sources and Uses Budget'!BZY108-SUM('15 Year Pro Forma'!BZW66:BZX66))</f>
        <v>0</v>
      </c>
      <c r="CAA66" s="960">
        <f>MIN(CAA60-CAA62,'Sources and Uses Budget'!CAA108-SUM('15 Year Pro Forma'!BZY66:BZZ66))</f>
        <v>0</v>
      </c>
      <c r="CAC66" s="960">
        <f>MIN(CAC60-CAC62,'Sources and Uses Budget'!CAC108-SUM('15 Year Pro Forma'!CAA66:CAB66))</f>
        <v>0</v>
      </c>
      <c r="CAE66" s="960">
        <f>MIN(CAE60-CAE62,'Sources and Uses Budget'!CAE108-SUM('15 Year Pro Forma'!CAC66:CAD66))</f>
        <v>0</v>
      </c>
      <c r="CAG66" s="960">
        <f>MIN(CAG60-CAG62,'Sources and Uses Budget'!CAG108-SUM('15 Year Pro Forma'!CAE66:CAF66))</f>
        <v>0</v>
      </c>
      <c r="CAI66" s="960">
        <f>MIN(CAI60-CAI62,'Sources and Uses Budget'!CAI108-SUM('15 Year Pro Forma'!CAG66:CAH66))</f>
        <v>0</v>
      </c>
      <c r="CAK66" s="960">
        <f>MIN(CAK60-CAK62,'Sources and Uses Budget'!CAK108-SUM('15 Year Pro Forma'!CAI66:CAJ66))</f>
        <v>0</v>
      </c>
      <c r="CAM66" s="960">
        <f>MIN(CAM60-CAM62,'Sources and Uses Budget'!CAM108-SUM('15 Year Pro Forma'!CAK66:CAL66))</f>
        <v>0</v>
      </c>
      <c r="CAO66" s="960">
        <f>MIN(CAO60-CAO62,'Sources and Uses Budget'!CAO108-SUM('15 Year Pro Forma'!CAM66:CAN66))</f>
        <v>0</v>
      </c>
      <c r="CAQ66" s="960">
        <f>MIN(CAQ60-CAQ62,'Sources and Uses Budget'!CAQ108-SUM('15 Year Pro Forma'!CAO66:CAP66))</f>
        <v>0</v>
      </c>
      <c r="CAS66" s="960">
        <f>MIN(CAS60-CAS62,'Sources and Uses Budget'!CAS108-SUM('15 Year Pro Forma'!CAQ66:CAR66))</f>
        <v>0</v>
      </c>
      <c r="CAU66" s="960">
        <f>MIN(CAU60-CAU62,'Sources and Uses Budget'!CAU108-SUM('15 Year Pro Forma'!CAS66:CAT66))</f>
        <v>0</v>
      </c>
      <c r="CAW66" s="960">
        <f>MIN(CAW60-CAW62,'Sources and Uses Budget'!CAW108-SUM('15 Year Pro Forma'!CAU66:CAV66))</f>
        <v>0</v>
      </c>
      <c r="CAY66" s="960">
        <f>MIN(CAY60-CAY62,'Sources and Uses Budget'!CAY108-SUM('15 Year Pro Forma'!CAW66:CAX66))</f>
        <v>0</v>
      </c>
      <c r="CBA66" s="960">
        <f>MIN(CBA60-CBA62,'Sources and Uses Budget'!CBA108-SUM('15 Year Pro Forma'!CAY66:CAZ66))</f>
        <v>0</v>
      </c>
      <c r="CBC66" s="960">
        <f>MIN(CBC60-CBC62,'Sources and Uses Budget'!CBC108-SUM('15 Year Pro Forma'!CBA66:CBB66))</f>
        <v>0</v>
      </c>
      <c r="CBE66" s="960">
        <f>MIN(CBE60-CBE62,'Sources and Uses Budget'!CBE108-SUM('15 Year Pro Forma'!CBC66:CBD66))</f>
        <v>0</v>
      </c>
      <c r="CBG66" s="960">
        <f>MIN(CBG60-CBG62,'Sources and Uses Budget'!CBG108-SUM('15 Year Pro Forma'!CBE66:CBF66))</f>
        <v>0</v>
      </c>
      <c r="CBI66" s="960">
        <f>MIN(CBI60-CBI62,'Sources and Uses Budget'!CBI108-SUM('15 Year Pro Forma'!CBG66:CBH66))</f>
        <v>0</v>
      </c>
      <c r="CBK66" s="960">
        <f>MIN(CBK60-CBK62,'Sources and Uses Budget'!CBK108-SUM('15 Year Pro Forma'!CBI66:CBJ66))</f>
        <v>0</v>
      </c>
      <c r="CBM66" s="960">
        <f>MIN(CBM60-CBM62,'Sources and Uses Budget'!CBM108-SUM('15 Year Pro Forma'!CBK66:CBL66))</f>
        <v>0</v>
      </c>
      <c r="CBO66" s="960">
        <f>MIN(CBO60-CBO62,'Sources and Uses Budget'!CBO108-SUM('15 Year Pro Forma'!CBM66:CBN66))</f>
        <v>0</v>
      </c>
      <c r="CBQ66" s="960">
        <f>MIN(CBQ60-CBQ62,'Sources and Uses Budget'!CBQ108-SUM('15 Year Pro Forma'!CBO66:CBP66))</f>
        <v>0</v>
      </c>
      <c r="CBS66" s="960">
        <f>MIN(CBS60-CBS62,'Sources and Uses Budget'!CBS108-SUM('15 Year Pro Forma'!CBQ66:CBR66))</f>
        <v>0</v>
      </c>
      <c r="CBU66" s="960">
        <f>MIN(CBU60-CBU62,'Sources and Uses Budget'!CBU108-SUM('15 Year Pro Forma'!CBS66:CBT66))</f>
        <v>0</v>
      </c>
      <c r="CBW66" s="960">
        <f>MIN(CBW60-CBW62,'Sources and Uses Budget'!CBW108-SUM('15 Year Pro Forma'!CBU66:CBV66))</f>
        <v>0</v>
      </c>
      <c r="CBY66" s="960">
        <f>MIN(CBY60-CBY62,'Sources and Uses Budget'!CBY108-SUM('15 Year Pro Forma'!CBW66:CBX66))</f>
        <v>0</v>
      </c>
      <c r="CCA66" s="960">
        <f>MIN(CCA60-CCA62,'Sources and Uses Budget'!CCA108-SUM('15 Year Pro Forma'!CBY66:CBZ66))</f>
        <v>0</v>
      </c>
      <c r="CCC66" s="960">
        <f>MIN(CCC60-CCC62,'Sources and Uses Budget'!CCC108-SUM('15 Year Pro Forma'!CCA66:CCB66))</f>
        <v>0</v>
      </c>
      <c r="CCE66" s="960">
        <f>MIN(CCE60-CCE62,'Sources and Uses Budget'!CCE108-SUM('15 Year Pro Forma'!CCC66:CCD66))</f>
        <v>0</v>
      </c>
      <c r="CCG66" s="960">
        <f>MIN(CCG60-CCG62,'Sources and Uses Budget'!CCG108-SUM('15 Year Pro Forma'!CCE66:CCF66))</f>
        <v>0</v>
      </c>
      <c r="CCI66" s="960">
        <f>MIN(CCI60-CCI62,'Sources and Uses Budget'!CCI108-SUM('15 Year Pro Forma'!CCG66:CCH66))</f>
        <v>0</v>
      </c>
      <c r="CCK66" s="960">
        <f>MIN(CCK60-CCK62,'Sources and Uses Budget'!CCK108-SUM('15 Year Pro Forma'!CCI66:CCJ66))</f>
        <v>0</v>
      </c>
      <c r="CCM66" s="960">
        <f>MIN(CCM60-CCM62,'Sources and Uses Budget'!CCM108-SUM('15 Year Pro Forma'!CCK66:CCL66))</f>
        <v>0</v>
      </c>
      <c r="CCO66" s="960">
        <f>MIN(CCO60-CCO62,'Sources and Uses Budget'!CCO108-SUM('15 Year Pro Forma'!CCM66:CCN66))</f>
        <v>0</v>
      </c>
      <c r="CCQ66" s="960">
        <f>MIN(CCQ60-CCQ62,'Sources and Uses Budget'!CCQ108-SUM('15 Year Pro Forma'!CCO66:CCP66))</f>
        <v>0</v>
      </c>
      <c r="CCS66" s="960">
        <f>MIN(CCS60-CCS62,'Sources and Uses Budget'!CCS108-SUM('15 Year Pro Forma'!CCQ66:CCR66))</f>
        <v>0</v>
      </c>
      <c r="CCU66" s="960">
        <f>MIN(CCU60-CCU62,'Sources and Uses Budget'!CCU108-SUM('15 Year Pro Forma'!CCS66:CCT66))</f>
        <v>0</v>
      </c>
      <c r="CCW66" s="960">
        <f>MIN(CCW60-CCW62,'Sources and Uses Budget'!CCW108-SUM('15 Year Pro Forma'!CCU66:CCV66))</f>
        <v>0</v>
      </c>
      <c r="CCY66" s="960">
        <f>MIN(CCY60-CCY62,'Sources and Uses Budget'!CCY108-SUM('15 Year Pro Forma'!CCW66:CCX66))</f>
        <v>0</v>
      </c>
      <c r="CDA66" s="960">
        <f>MIN(CDA60-CDA62,'Sources and Uses Budget'!CDA108-SUM('15 Year Pro Forma'!CCY66:CCZ66))</f>
        <v>0</v>
      </c>
      <c r="CDC66" s="960">
        <f>MIN(CDC60-CDC62,'Sources and Uses Budget'!CDC108-SUM('15 Year Pro Forma'!CDA66:CDB66))</f>
        <v>0</v>
      </c>
      <c r="CDE66" s="960">
        <f>MIN(CDE60-CDE62,'Sources and Uses Budget'!CDE108-SUM('15 Year Pro Forma'!CDC66:CDD66))</f>
        <v>0</v>
      </c>
      <c r="CDG66" s="960">
        <f>MIN(CDG60-CDG62,'Sources and Uses Budget'!CDG108-SUM('15 Year Pro Forma'!CDE66:CDF66))</f>
        <v>0</v>
      </c>
      <c r="CDI66" s="960">
        <f>MIN(CDI60-CDI62,'Sources and Uses Budget'!CDI108-SUM('15 Year Pro Forma'!CDG66:CDH66))</f>
        <v>0</v>
      </c>
      <c r="CDK66" s="960">
        <f>MIN(CDK60-CDK62,'Sources and Uses Budget'!CDK108-SUM('15 Year Pro Forma'!CDI66:CDJ66))</f>
        <v>0</v>
      </c>
      <c r="CDM66" s="960">
        <f>MIN(CDM60-CDM62,'Sources and Uses Budget'!CDM108-SUM('15 Year Pro Forma'!CDK66:CDL66))</f>
        <v>0</v>
      </c>
      <c r="CDO66" s="960">
        <f>MIN(CDO60-CDO62,'Sources and Uses Budget'!CDO108-SUM('15 Year Pro Forma'!CDM66:CDN66))</f>
        <v>0</v>
      </c>
      <c r="CDQ66" s="960">
        <f>MIN(CDQ60-CDQ62,'Sources and Uses Budget'!CDQ108-SUM('15 Year Pro Forma'!CDO66:CDP66))</f>
        <v>0</v>
      </c>
      <c r="CDS66" s="960">
        <f>MIN(CDS60-CDS62,'Sources and Uses Budget'!CDS108-SUM('15 Year Pro Forma'!CDQ66:CDR66))</f>
        <v>0</v>
      </c>
      <c r="CDU66" s="960">
        <f>MIN(CDU60-CDU62,'Sources and Uses Budget'!CDU108-SUM('15 Year Pro Forma'!CDS66:CDT66))</f>
        <v>0</v>
      </c>
      <c r="CDW66" s="960">
        <f>MIN(CDW60-CDW62,'Sources and Uses Budget'!CDW108-SUM('15 Year Pro Forma'!CDU66:CDV66))</f>
        <v>0</v>
      </c>
      <c r="CDY66" s="960">
        <f>MIN(CDY60-CDY62,'Sources and Uses Budget'!CDY108-SUM('15 Year Pro Forma'!CDW66:CDX66))</f>
        <v>0</v>
      </c>
      <c r="CEA66" s="960">
        <f>MIN(CEA60-CEA62,'Sources and Uses Budget'!CEA108-SUM('15 Year Pro Forma'!CDY66:CDZ66))</f>
        <v>0</v>
      </c>
      <c r="CEC66" s="960">
        <f>MIN(CEC60-CEC62,'Sources and Uses Budget'!CEC108-SUM('15 Year Pro Forma'!CEA66:CEB66))</f>
        <v>0</v>
      </c>
      <c r="CEE66" s="960">
        <f>MIN(CEE60-CEE62,'Sources and Uses Budget'!CEE108-SUM('15 Year Pro Forma'!CEC66:CED66))</f>
        <v>0</v>
      </c>
      <c r="CEG66" s="960">
        <f>MIN(CEG60-CEG62,'Sources and Uses Budget'!CEG108-SUM('15 Year Pro Forma'!CEE66:CEF66))</f>
        <v>0</v>
      </c>
      <c r="CEI66" s="960">
        <f>MIN(CEI60-CEI62,'Sources and Uses Budget'!CEI108-SUM('15 Year Pro Forma'!CEG66:CEH66))</f>
        <v>0</v>
      </c>
      <c r="CEK66" s="960">
        <f>MIN(CEK60-CEK62,'Sources and Uses Budget'!CEK108-SUM('15 Year Pro Forma'!CEI66:CEJ66))</f>
        <v>0</v>
      </c>
      <c r="CEM66" s="960">
        <f>MIN(CEM60-CEM62,'Sources and Uses Budget'!CEM108-SUM('15 Year Pro Forma'!CEK66:CEL66))</f>
        <v>0</v>
      </c>
      <c r="CEO66" s="960">
        <f>MIN(CEO60-CEO62,'Sources and Uses Budget'!CEO108-SUM('15 Year Pro Forma'!CEM66:CEN66))</f>
        <v>0</v>
      </c>
      <c r="CEQ66" s="960">
        <f>MIN(CEQ60-CEQ62,'Sources and Uses Budget'!CEQ108-SUM('15 Year Pro Forma'!CEO66:CEP66))</f>
        <v>0</v>
      </c>
      <c r="CES66" s="960">
        <f>MIN(CES60-CES62,'Sources and Uses Budget'!CES108-SUM('15 Year Pro Forma'!CEQ66:CER66))</f>
        <v>0</v>
      </c>
      <c r="CEU66" s="960">
        <f>MIN(CEU60-CEU62,'Sources and Uses Budget'!CEU108-SUM('15 Year Pro Forma'!CES66:CET66))</f>
        <v>0</v>
      </c>
      <c r="CEW66" s="960">
        <f>MIN(CEW60-CEW62,'Sources and Uses Budget'!CEW108-SUM('15 Year Pro Forma'!CEU66:CEV66))</f>
        <v>0</v>
      </c>
      <c r="CEY66" s="960">
        <f>MIN(CEY60-CEY62,'Sources and Uses Budget'!CEY108-SUM('15 Year Pro Forma'!CEW66:CEX66))</f>
        <v>0</v>
      </c>
      <c r="CFA66" s="960">
        <f>MIN(CFA60-CFA62,'Sources and Uses Budget'!CFA108-SUM('15 Year Pro Forma'!CEY66:CEZ66))</f>
        <v>0</v>
      </c>
      <c r="CFC66" s="960">
        <f>MIN(CFC60-CFC62,'Sources and Uses Budget'!CFC108-SUM('15 Year Pro Forma'!CFA66:CFB66))</f>
        <v>0</v>
      </c>
      <c r="CFE66" s="960">
        <f>MIN(CFE60-CFE62,'Sources and Uses Budget'!CFE108-SUM('15 Year Pro Forma'!CFC66:CFD66))</f>
        <v>0</v>
      </c>
      <c r="CFG66" s="960">
        <f>MIN(CFG60-CFG62,'Sources and Uses Budget'!CFG108-SUM('15 Year Pro Forma'!CFE66:CFF66))</f>
        <v>0</v>
      </c>
      <c r="CFI66" s="960">
        <f>MIN(CFI60-CFI62,'Sources and Uses Budget'!CFI108-SUM('15 Year Pro Forma'!CFG66:CFH66))</f>
        <v>0</v>
      </c>
      <c r="CFK66" s="960">
        <f>MIN(CFK60-CFK62,'Sources and Uses Budget'!CFK108-SUM('15 Year Pro Forma'!CFI66:CFJ66))</f>
        <v>0</v>
      </c>
      <c r="CFM66" s="960">
        <f>MIN(CFM60-CFM62,'Sources and Uses Budget'!CFM108-SUM('15 Year Pro Forma'!CFK66:CFL66))</f>
        <v>0</v>
      </c>
      <c r="CFO66" s="960">
        <f>MIN(CFO60-CFO62,'Sources and Uses Budget'!CFO108-SUM('15 Year Pro Forma'!CFM66:CFN66))</f>
        <v>0</v>
      </c>
      <c r="CFQ66" s="960">
        <f>MIN(CFQ60-CFQ62,'Sources and Uses Budget'!CFQ108-SUM('15 Year Pro Forma'!CFO66:CFP66))</f>
        <v>0</v>
      </c>
      <c r="CFS66" s="960">
        <f>MIN(CFS60-CFS62,'Sources and Uses Budget'!CFS108-SUM('15 Year Pro Forma'!CFQ66:CFR66))</f>
        <v>0</v>
      </c>
      <c r="CFU66" s="960">
        <f>MIN(CFU60-CFU62,'Sources and Uses Budget'!CFU108-SUM('15 Year Pro Forma'!CFS66:CFT66))</f>
        <v>0</v>
      </c>
      <c r="CFW66" s="960">
        <f>MIN(CFW60-CFW62,'Sources and Uses Budget'!CFW108-SUM('15 Year Pro Forma'!CFU66:CFV66))</f>
        <v>0</v>
      </c>
      <c r="CFY66" s="960">
        <f>MIN(CFY60-CFY62,'Sources and Uses Budget'!CFY108-SUM('15 Year Pro Forma'!CFW66:CFX66))</f>
        <v>0</v>
      </c>
      <c r="CGA66" s="960">
        <f>MIN(CGA60-CGA62,'Sources and Uses Budget'!CGA108-SUM('15 Year Pro Forma'!CFY66:CFZ66))</f>
        <v>0</v>
      </c>
      <c r="CGC66" s="960">
        <f>MIN(CGC60-CGC62,'Sources and Uses Budget'!CGC108-SUM('15 Year Pro Forma'!CGA66:CGB66))</f>
        <v>0</v>
      </c>
      <c r="CGE66" s="960">
        <f>MIN(CGE60-CGE62,'Sources and Uses Budget'!CGE108-SUM('15 Year Pro Forma'!CGC66:CGD66))</f>
        <v>0</v>
      </c>
      <c r="CGG66" s="960">
        <f>MIN(CGG60-CGG62,'Sources and Uses Budget'!CGG108-SUM('15 Year Pro Forma'!CGE66:CGF66))</f>
        <v>0</v>
      </c>
      <c r="CGI66" s="960">
        <f>MIN(CGI60-CGI62,'Sources and Uses Budget'!CGI108-SUM('15 Year Pro Forma'!CGG66:CGH66))</f>
        <v>0</v>
      </c>
      <c r="CGK66" s="960">
        <f>MIN(CGK60-CGK62,'Sources and Uses Budget'!CGK108-SUM('15 Year Pro Forma'!CGI66:CGJ66))</f>
        <v>0</v>
      </c>
      <c r="CGM66" s="960">
        <f>MIN(CGM60-CGM62,'Sources and Uses Budget'!CGM108-SUM('15 Year Pro Forma'!CGK66:CGL66))</f>
        <v>0</v>
      </c>
      <c r="CGO66" s="960">
        <f>MIN(CGO60-CGO62,'Sources and Uses Budget'!CGO108-SUM('15 Year Pro Forma'!CGM66:CGN66))</f>
        <v>0</v>
      </c>
      <c r="CGQ66" s="960">
        <f>MIN(CGQ60-CGQ62,'Sources and Uses Budget'!CGQ108-SUM('15 Year Pro Forma'!CGO66:CGP66))</f>
        <v>0</v>
      </c>
      <c r="CGS66" s="960">
        <f>MIN(CGS60-CGS62,'Sources and Uses Budget'!CGS108-SUM('15 Year Pro Forma'!CGQ66:CGR66))</f>
        <v>0</v>
      </c>
      <c r="CGU66" s="960">
        <f>MIN(CGU60-CGU62,'Sources and Uses Budget'!CGU108-SUM('15 Year Pro Forma'!CGS66:CGT66))</f>
        <v>0</v>
      </c>
      <c r="CGW66" s="960">
        <f>MIN(CGW60-CGW62,'Sources and Uses Budget'!CGW108-SUM('15 Year Pro Forma'!CGU66:CGV66))</f>
        <v>0</v>
      </c>
      <c r="CGY66" s="960">
        <f>MIN(CGY60-CGY62,'Sources and Uses Budget'!CGY108-SUM('15 Year Pro Forma'!CGW66:CGX66))</f>
        <v>0</v>
      </c>
      <c r="CHA66" s="960">
        <f>MIN(CHA60-CHA62,'Sources and Uses Budget'!CHA108-SUM('15 Year Pro Forma'!CGY66:CGZ66))</f>
        <v>0</v>
      </c>
      <c r="CHC66" s="960">
        <f>MIN(CHC60-CHC62,'Sources and Uses Budget'!CHC108-SUM('15 Year Pro Forma'!CHA66:CHB66))</f>
        <v>0</v>
      </c>
      <c r="CHE66" s="960">
        <f>MIN(CHE60-CHE62,'Sources and Uses Budget'!CHE108-SUM('15 Year Pro Forma'!CHC66:CHD66))</f>
        <v>0</v>
      </c>
      <c r="CHG66" s="960">
        <f>MIN(CHG60-CHG62,'Sources and Uses Budget'!CHG108-SUM('15 Year Pro Forma'!CHE66:CHF66))</f>
        <v>0</v>
      </c>
      <c r="CHI66" s="960">
        <f>MIN(CHI60-CHI62,'Sources and Uses Budget'!CHI108-SUM('15 Year Pro Forma'!CHG66:CHH66))</f>
        <v>0</v>
      </c>
      <c r="CHK66" s="960">
        <f>MIN(CHK60-CHK62,'Sources and Uses Budget'!CHK108-SUM('15 Year Pro Forma'!CHI66:CHJ66))</f>
        <v>0</v>
      </c>
      <c r="CHM66" s="960">
        <f>MIN(CHM60-CHM62,'Sources and Uses Budget'!CHM108-SUM('15 Year Pro Forma'!CHK66:CHL66))</f>
        <v>0</v>
      </c>
      <c r="CHO66" s="960">
        <f>MIN(CHO60-CHO62,'Sources and Uses Budget'!CHO108-SUM('15 Year Pro Forma'!CHM66:CHN66))</f>
        <v>0</v>
      </c>
      <c r="CHQ66" s="960">
        <f>MIN(CHQ60-CHQ62,'Sources and Uses Budget'!CHQ108-SUM('15 Year Pro Forma'!CHO66:CHP66))</f>
        <v>0</v>
      </c>
      <c r="CHS66" s="960">
        <f>MIN(CHS60-CHS62,'Sources and Uses Budget'!CHS108-SUM('15 Year Pro Forma'!CHQ66:CHR66))</f>
        <v>0</v>
      </c>
      <c r="CHU66" s="960">
        <f>MIN(CHU60-CHU62,'Sources and Uses Budget'!CHU108-SUM('15 Year Pro Forma'!CHS66:CHT66))</f>
        <v>0</v>
      </c>
      <c r="CHW66" s="960">
        <f>MIN(CHW60-CHW62,'Sources and Uses Budget'!CHW108-SUM('15 Year Pro Forma'!CHU66:CHV66))</f>
        <v>0</v>
      </c>
      <c r="CHY66" s="960">
        <f>MIN(CHY60-CHY62,'Sources and Uses Budget'!CHY108-SUM('15 Year Pro Forma'!CHW66:CHX66))</f>
        <v>0</v>
      </c>
      <c r="CIA66" s="960">
        <f>MIN(CIA60-CIA62,'Sources and Uses Budget'!CIA108-SUM('15 Year Pro Forma'!CHY66:CHZ66))</f>
        <v>0</v>
      </c>
      <c r="CIC66" s="960">
        <f>MIN(CIC60-CIC62,'Sources and Uses Budget'!CIC108-SUM('15 Year Pro Forma'!CIA66:CIB66))</f>
        <v>0</v>
      </c>
      <c r="CIE66" s="960">
        <f>MIN(CIE60-CIE62,'Sources and Uses Budget'!CIE108-SUM('15 Year Pro Forma'!CIC66:CID66))</f>
        <v>0</v>
      </c>
      <c r="CIG66" s="960">
        <f>MIN(CIG60-CIG62,'Sources and Uses Budget'!CIG108-SUM('15 Year Pro Forma'!CIE66:CIF66))</f>
        <v>0</v>
      </c>
      <c r="CII66" s="960">
        <f>MIN(CII60-CII62,'Sources and Uses Budget'!CII108-SUM('15 Year Pro Forma'!CIG66:CIH66))</f>
        <v>0</v>
      </c>
      <c r="CIK66" s="960">
        <f>MIN(CIK60-CIK62,'Sources and Uses Budget'!CIK108-SUM('15 Year Pro Forma'!CII66:CIJ66))</f>
        <v>0</v>
      </c>
      <c r="CIM66" s="960">
        <f>MIN(CIM60-CIM62,'Sources and Uses Budget'!CIM108-SUM('15 Year Pro Forma'!CIK66:CIL66))</f>
        <v>0</v>
      </c>
      <c r="CIO66" s="960">
        <f>MIN(CIO60-CIO62,'Sources and Uses Budget'!CIO108-SUM('15 Year Pro Forma'!CIM66:CIN66))</f>
        <v>0</v>
      </c>
      <c r="CIQ66" s="960">
        <f>MIN(CIQ60-CIQ62,'Sources and Uses Budget'!CIQ108-SUM('15 Year Pro Forma'!CIO66:CIP66))</f>
        <v>0</v>
      </c>
      <c r="CIS66" s="960">
        <f>MIN(CIS60-CIS62,'Sources and Uses Budget'!CIS108-SUM('15 Year Pro Forma'!CIQ66:CIR66))</f>
        <v>0</v>
      </c>
      <c r="CIU66" s="960">
        <f>MIN(CIU60-CIU62,'Sources and Uses Budget'!CIU108-SUM('15 Year Pro Forma'!CIS66:CIT66))</f>
        <v>0</v>
      </c>
      <c r="CIW66" s="960">
        <f>MIN(CIW60-CIW62,'Sources and Uses Budget'!CIW108-SUM('15 Year Pro Forma'!CIU66:CIV66))</f>
        <v>0</v>
      </c>
      <c r="CIY66" s="960">
        <f>MIN(CIY60-CIY62,'Sources and Uses Budget'!CIY108-SUM('15 Year Pro Forma'!CIW66:CIX66))</f>
        <v>0</v>
      </c>
      <c r="CJA66" s="960">
        <f>MIN(CJA60-CJA62,'Sources and Uses Budget'!CJA108-SUM('15 Year Pro Forma'!CIY66:CIZ66))</f>
        <v>0</v>
      </c>
      <c r="CJC66" s="960">
        <f>MIN(CJC60-CJC62,'Sources and Uses Budget'!CJC108-SUM('15 Year Pro Forma'!CJA66:CJB66))</f>
        <v>0</v>
      </c>
      <c r="CJE66" s="960">
        <f>MIN(CJE60-CJE62,'Sources and Uses Budget'!CJE108-SUM('15 Year Pro Forma'!CJC66:CJD66))</f>
        <v>0</v>
      </c>
      <c r="CJG66" s="960">
        <f>MIN(CJG60-CJG62,'Sources and Uses Budget'!CJG108-SUM('15 Year Pro Forma'!CJE66:CJF66))</f>
        <v>0</v>
      </c>
      <c r="CJI66" s="960">
        <f>MIN(CJI60-CJI62,'Sources and Uses Budget'!CJI108-SUM('15 Year Pro Forma'!CJG66:CJH66))</f>
        <v>0</v>
      </c>
      <c r="CJK66" s="960">
        <f>MIN(CJK60-CJK62,'Sources and Uses Budget'!CJK108-SUM('15 Year Pro Forma'!CJI66:CJJ66))</f>
        <v>0</v>
      </c>
      <c r="CJM66" s="960">
        <f>MIN(CJM60-CJM62,'Sources and Uses Budget'!CJM108-SUM('15 Year Pro Forma'!CJK66:CJL66))</f>
        <v>0</v>
      </c>
      <c r="CJO66" s="960">
        <f>MIN(CJO60-CJO62,'Sources and Uses Budget'!CJO108-SUM('15 Year Pro Forma'!CJM66:CJN66))</f>
        <v>0</v>
      </c>
      <c r="CJQ66" s="960">
        <f>MIN(CJQ60-CJQ62,'Sources and Uses Budget'!CJQ108-SUM('15 Year Pro Forma'!CJO66:CJP66))</f>
        <v>0</v>
      </c>
      <c r="CJS66" s="960">
        <f>MIN(CJS60-CJS62,'Sources and Uses Budget'!CJS108-SUM('15 Year Pro Forma'!CJQ66:CJR66))</f>
        <v>0</v>
      </c>
      <c r="CJU66" s="960">
        <f>MIN(CJU60-CJU62,'Sources and Uses Budget'!CJU108-SUM('15 Year Pro Forma'!CJS66:CJT66))</f>
        <v>0</v>
      </c>
      <c r="CJW66" s="960">
        <f>MIN(CJW60-CJW62,'Sources and Uses Budget'!CJW108-SUM('15 Year Pro Forma'!CJU66:CJV66))</f>
        <v>0</v>
      </c>
      <c r="CJY66" s="960">
        <f>MIN(CJY60-CJY62,'Sources and Uses Budget'!CJY108-SUM('15 Year Pro Forma'!CJW66:CJX66))</f>
        <v>0</v>
      </c>
      <c r="CKA66" s="960">
        <f>MIN(CKA60-CKA62,'Sources and Uses Budget'!CKA108-SUM('15 Year Pro Forma'!CJY66:CJZ66))</f>
        <v>0</v>
      </c>
      <c r="CKC66" s="960">
        <f>MIN(CKC60-CKC62,'Sources and Uses Budget'!CKC108-SUM('15 Year Pro Forma'!CKA66:CKB66))</f>
        <v>0</v>
      </c>
      <c r="CKE66" s="960">
        <f>MIN(CKE60-CKE62,'Sources and Uses Budget'!CKE108-SUM('15 Year Pro Forma'!CKC66:CKD66))</f>
        <v>0</v>
      </c>
      <c r="CKG66" s="960">
        <f>MIN(CKG60-CKG62,'Sources and Uses Budget'!CKG108-SUM('15 Year Pro Forma'!CKE66:CKF66))</f>
        <v>0</v>
      </c>
      <c r="CKI66" s="960">
        <f>MIN(CKI60-CKI62,'Sources and Uses Budget'!CKI108-SUM('15 Year Pro Forma'!CKG66:CKH66))</f>
        <v>0</v>
      </c>
      <c r="CKK66" s="960">
        <f>MIN(CKK60-CKK62,'Sources and Uses Budget'!CKK108-SUM('15 Year Pro Forma'!CKI66:CKJ66))</f>
        <v>0</v>
      </c>
      <c r="CKM66" s="960">
        <f>MIN(CKM60-CKM62,'Sources and Uses Budget'!CKM108-SUM('15 Year Pro Forma'!CKK66:CKL66))</f>
        <v>0</v>
      </c>
      <c r="CKO66" s="960">
        <f>MIN(CKO60-CKO62,'Sources and Uses Budget'!CKO108-SUM('15 Year Pro Forma'!CKM66:CKN66))</f>
        <v>0</v>
      </c>
      <c r="CKQ66" s="960">
        <f>MIN(CKQ60-CKQ62,'Sources and Uses Budget'!CKQ108-SUM('15 Year Pro Forma'!CKO66:CKP66))</f>
        <v>0</v>
      </c>
      <c r="CKS66" s="960">
        <f>MIN(CKS60-CKS62,'Sources and Uses Budget'!CKS108-SUM('15 Year Pro Forma'!CKQ66:CKR66))</f>
        <v>0</v>
      </c>
      <c r="CKU66" s="960">
        <f>MIN(CKU60-CKU62,'Sources and Uses Budget'!CKU108-SUM('15 Year Pro Forma'!CKS66:CKT66))</f>
        <v>0</v>
      </c>
      <c r="CKW66" s="960">
        <f>MIN(CKW60-CKW62,'Sources and Uses Budget'!CKW108-SUM('15 Year Pro Forma'!CKU66:CKV66))</f>
        <v>0</v>
      </c>
      <c r="CKY66" s="960">
        <f>MIN(CKY60-CKY62,'Sources and Uses Budget'!CKY108-SUM('15 Year Pro Forma'!CKW66:CKX66))</f>
        <v>0</v>
      </c>
      <c r="CLA66" s="960">
        <f>MIN(CLA60-CLA62,'Sources and Uses Budget'!CLA108-SUM('15 Year Pro Forma'!CKY66:CKZ66))</f>
        <v>0</v>
      </c>
      <c r="CLC66" s="960">
        <f>MIN(CLC60-CLC62,'Sources and Uses Budget'!CLC108-SUM('15 Year Pro Forma'!CLA66:CLB66))</f>
        <v>0</v>
      </c>
      <c r="CLE66" s="960">
        <f>MIN(CLE60-CLE62,'Sources and Uses Budget'!CLE108-SUM('15 Year Pro Forma'!CLC66:CLD66))</f>
        <v>0</v>
      </c>
      <c r="CLG66" s="960">
        <f>MIN(CLG60-CLG62,'Sources and Uses Budget'!CLG108-SUM('15 Year Pro Forma'!CLE66:CLF66))</f>
        <v>0</v>
      </c>
      <c r="CLI66" s="960">
        <f>MIN(CLI60-CLI62,'Sources and Uses Budget'!CLI108-SUM('15 Year Pro Forma'!CLG66:CLH66))</f>
        <v>0</v>
      </c>
      <c r="CLK66" s="960">
        <f>MIN(CLK60-CLK62,'Sources and Uses Budget'!CLK108-SUM('15 Year Pro Forma'!CLI66:CLJ66))</f>
        <v>0</v>
      </c>
      <c r="CLM66" s="960">
        <f>MIN(CLM60-CLM62,'Sources and Uses Budget'!CLM108-SUM('15 Year Pro Forma'!CLK66:CLL66))</f>
        <v>0</v>
      </c>
      <c r="CLO66" s="960">
        <f>MIN(CLO60-CLO62,'Sources and Uses Budget'!CLO108-SUM('15 Year Pro Forma'!CLM66:CLN66))</f>
        <v>0</v>
      </c>
      <c r="CLQ66" s="960">
        <f>MIN(CLQ60-CLQ62,'Sources and Uses Budget'!CLQ108-SUM('15 Year Pro Forma'!CLO66:CLP66))</f>
        <v>0</v>
      </c>
      <c r="CLS66" s="960">
        <f>MIN(CLS60-CLS62,'Sources and Uses Budget'!CLS108-SUM('15 Year Pro Forma'!CLQ66:CLR66))</f>
        <v>0</v>
      </c>
      <c r="CLU66" s="960">
        <f>MIN(CLU60-CLU62,'Sources and Uses Budget'!CLU108-SUM('15 Year Pro Forma'!CLS66:CLT66))</f>
        <v>0</v>
      </c>
      <c r="CLW66" s="960">
        <f>MIN(CLW60-CLW62,'Sources and Uses Budget'!CLW108-SUM('15 Year Pro Forma'!CLU66:CLV66))</f>
        <v>0</v>
      </c>
      <c r="CLY66" s="960">
        <f>MIN(CLY60-CLY62,'Sources and Uses Budget'!CLY108-SUM('15 Year Pro Forma'!CLW66:CLX66))</f>
        <v>0</v>
      </c>
      <c r="CMA66" s="960">
        <f>MIN(CMA60-CMA62,'Sources and Uses Budget'!CMA108-SUM('15 Year Pro Forma'!CLY66:CLZ66))</f>
        <v>0</v>
      </c>
      <c r="CMC66" s="960">
        <f>MIN(CMC60-CMC62,'Sources and Uses Budget'!CMC108-SUM('15 Year Pro Forma'!CMA66:CMB66))</f>
        <v>0</v>
      </c>
      <c r="CME66" s="960">
        <f>MIN(CME60-CME62,'Sources and Uses Budget'!CME108-SUM('15 Year Pro Forma'!CMC66:CMD66))</f>
        <v>0</v>
      </c>
      <c r="CMG66" s="960">
        <f>MIN(CMG60-CMG62,'Sources and Uses Budget'!CMG108-SUM('15 Year Pro Forma'!CME66:CMF66))</f>
        <v>0</v>
      </c>
      <c r="CMI66" s="960">
        <f>MIN(CMI60-CMI62,'Sources and Uses Budget'!CMI108-SUM('15 Year Pro Forma'!CMG66:CMH66))</f>
        <v>0</v>
      </c>
      <c r="CMK66" s="960">
        <f>MIN(CMK60-CMK62,'Sources and Uses Budget'!CMK108-SUM('15 Year Pro Forma'!CMI66:CMJ66))</f>
        <v>0</v>
      </c>
      <c r="CMM66" s="960">
        <f>MIN(CMM60-CMM62,'Sources and Uses Budget'!CMM108-SUM('15 Year Pro Forma'!CMK66:CML66))</f>
        <v>0</v>
      </c>
      <c r="CMO66" s="960">
        <f>MIN(CMO60-CMO62,'Sources and Uses Budget'!CMO108-SUM('15 Year Pro Forma'!CMM66:CMN66))</f>
        <v>0</v>
      </c>
      <c r="CMQ66" s="960">
        <f>MIN(CMQ60-CMQ62,'Sources and Uses Budget'!CMQ108-SUM('15 Year Pro Forma'!CMO66:CMP66))</f>
        <v>0</v>
      </c>
      <c r="CMS66" s="960">
        <f>MIN(CMS60-CMS62,'Sources and Uses Budget'!CMS108-SUM('15 Year Pro Forma'!CMQ66:CMR66))</f>
        <v>0</v>
      </c>
      <c r="CMU66" s="960">
        <f>MIN(CMU60-CMU62,'Sources and Uses Budget'!CMU108-SUM('15 Year Pro Forma'!CMS66:CMT66))</f>
        <v>0</v>
      </c>
      <c r="CMW66" s="960">
        <f>MIN(CMW60-CMW62,'Sources and Uses Budget'!CMW108-SUM('15 Year Pro Forma'!CMU66:CMV66))</f>
        <v>0</v>
      </c>
      <c r="CMY66" s="960">
        <f>MIN(CMY60-CMY62,'Sources and Uses Budget'!CMY108-SUM('15 Year Pro Forma'!CMW66:CMX66))</f>
        <v>0</v>
      </c>
      <c r="CNA66" s="960">
        <f>MIN(CNA60-CNA62,'Sources and Uses Budget'!CNA108-SUM('15 Year Pro Forma'!CMY66:CMZ66))</f>
        <v>0</v>
      </c>
      <c r="CNC66" s="960">
        <f>MIN(CNC60-CNC62,'Sources and Uses Budget'!CNC108-SUM('15 Year Pro Forma'!CNA66:CNB66))</f>
        <v>0</v>
      </c>
      <c r="CNE66" s="960">
        <f>MIN(CNE60-CNE62,'Sources and Uses Budget'!CNE108-SUM('15 Year Pro Forma'!CNC66:CND66))</f>
        <v>0</v>
      </c>
      <c r="CNG66" s="960">
        <f>MIN(CNG60-CNG62,'Sources and Uses Budget'!CNG108-SUM('15 Year Pro Forma'!CNE66:CNF66))</f>
        <v>0</v>
      </c>
      <c r="CNI66" s="960">
        <f>MIN(CNI60-CNI62,'Sources and Uses Budget'!CNI108-SUM('15 Year Pro Forma'!CNG66:CNH66))</f>
        <v>0</v>
      </c>
      <c r="CNK66" s="960">
        <f>MIN(CNK60-CNK62,'Sources and Uses Budget'!CNK108-SUM('15 Year Pro Forma'!CNI66:CNJ66))</f>
        <v>0</v>
      </c>
      <c r="CNM66" s="960">
        <f>MIN(CNM60-CNM62,'Sources and Uses Budget'!CNM108-SUM('15 Year Pro Forma'!CNK66:CNL66))</f>
        <v>0</v>
      </c>
      <c r="CNO66" s="960">
        <f>MIN(CNO60-CNO62,'Sources and Uses Budget'!CNO108-SUM('15 Year Pro Forma'!CNM66:CNN66))</f>
        <v>0</v>
      </c>
      <c r="CNQ66" s="960">
        <f>MIN(CNQ60-CNQ62,'Sources and Uses Budget'!CNQ108-SUM('15 Year Pro Forma'!CNO66:CNP66))</f>
        <v>0</v>
      </c>
      <c r="CNS66" s="960">
        <f>MIN(CNS60-CNS62,'Sources and Uses Budget'!CNS108-SUM('15 Year Pro Forma'!CNQ66:CNR66))</f>
        <v>0</v>
      </c>
      <c r="CNU66" s="960">
        <f>MIN(CNU60-CNU62,'Sources and Uses Budget'!CNU108-SUM('15 Year Pro Forma'!CNS66:CNT66))</f>
        <v>0</v>
      </c>
      <c r="CNW66" s="960">
        <f>MIN(CNW60-CNW62,'Sources and Uses Budget'!CNW108-SUM('15 Year Pro Forma'!CNU66:CNV66))</f>
        <v>0</v>
      </c>
      <c r="CNY66" s="960">
        <f>MIN(CNY60-CNY62,'Sources and Uses Budget'!CNY108-SUM('15 Year Pro Forma'!CNW66:CNX66))</f>
        <v>0</v>
      </c>
      <c r="COA66" s="960">
        <f>MIN(COA60-COA62,'Sources and Uses Budget'!COA108-SUM('15 Year Pro Forma'!CNY66:CNZ66))</f>
        <v>0</v>
      </c>
      <c r="COC66" s="960">
        <f>MIN(COC60-COC62,'Sources and Uses Budget'!COC108-SUM('15 Year Pro Forma'!COA66:COB66))</f>
        <v>0</v>
      </c>
      <c r="COE66" s="960">
        <f>MIN(COE60-COE62,'Sources and Uses Budget'!COE108-SUM('15 Year Pro Forma'!COC66:COD66))</f>
        <v>0</v>
      </c>
      <c r="COG66" s="960">
        <f>MIN(COG60-COG62,'Sources and Uses Budget'!COG108-SUM('15 Year Pro Forma'!COE66:COF66))</f>
        <v>0</v>
      </c>
      <c r="COI66" s="960">
        <f>MIN(COI60-COI62,'Sources and Uses Budget'!COI108-SUM('15 Year Pro Forma'!COG66:COH66))</f>
        <v>0</v>
      </c>
      <c r="COK66" s="960">
        <f>MIN(COK60-COK62,'Sources and Uses Budget'!COK108-SUM('15 Year Pro Forma'!COI66:COJ66))</f>
        <v>0</v>
      </c>
      <c r="COM66" s="960">
        <f>MIN(COM60-COM62,'Sources and Uses Budget'!COM108-SUM('15 Year Pro Forma'!COK66:COL66))</f>
        <v>0</v>
      </c>
      <c r="COO66" s="960">
        <f>MIN(COO60-COO62,'Sources and Uses Budget'!COO108-SUM('15 Year Pro Forma'!COM66:CON66))</f>
        <v>0</v>
      </c>
      <c r="COQ66" s="960">
        <f>MIN(COQ60-COQ62,'Sources and Uses Budget'!COQ108-SUM('15 Year Pro Forma'!COO66:COP66))</f>
        <v>0</v>
      </c>
      <c r="COS66" s="960">
        <f>MIN(COS60-COS62,'Sources and Uses Budget'!COS108-SUM('15 Year Pro Forma'!COQ66:COR66))</f>
        <v>0</v>
      </c>
      <c r="COU66" s="960">
        <f>MIN(COU60-COU62,'Sources and Uses Budget'!COU108-SUM('15 Year Pro Forma'!COS66:COT66))</f>
        <v>0</v>
      </c>
      <c r="COW66" s="960">
        <f>MIN(COW60-COW62,'Sources and Uses Budget'!COW108-SUM('15 Year Pro Forma'!COU66:COV66))</f>
        <v>0</v>
      </c>
      <c r="COY66" s="960">
        <f>MIN(COY60-COY62,'Sources and Uses Budget'!COY108-SUM('15 Year Pro Forma'!COW66:COX66))</f>
        <v>0</v>
      </c>
      <c r="CPA66" s="960">
        <f>MIN(CPA60-CPA62,'Sources and Uses Budget'!CPA108-SUM('15 Year Pro Forma'!COY66:COZ66))</f>
        <v>0</v>
      </c>
      <c r="CPC66" s="960">
        <f>MIN(CPC60-CPC62,'Sources and Uses Budget'!CPC108-SUM('15 Year Pro Forma'!CPA66:CPB66))</f>
        <v>0</v>
      </c>
      <c r="CPE66" s="960">
        <f>MIN(CPE60-CPE62,'Sources and Uses Budget'!CPE108-SUM('15 Year Pro Forma'!CPC66:CPD66))</f>
        <v>0</v>
      </c>
      <c r="CPG66" s="960">
        <f>MIN(CPG60-CPG62,'Sources and Uses Budget'!CPG108-SUM('15 Year Pro Forma'!CPE66:CPF66))</f>
        <v>0</v>
      </c>
      <c r="CPI66" s="960">
        <f>MIN(CPI60-CPI62,'Sources and Uses Budget'!CPI108-SUM('15 Year Pro Forma'!CPG66:CPH66))</f>
        <v>0</v>
      </c>
      <c r="CPK66" s="960">
        <f>MIN(CPK60-CPK62,'Sources and Uses Budget'!CPK108-SUM('15 Year Pro Forma'!CPI66:CPJ66))</f>
        <v>0</v>
      </c>
      <c r="CPM66" s="960">
        <f>MIN(CPM60-CPM62,'Sources and Uses Budget'!CPM108-SUM('15 Year Pro Forma'!CPK66:CPL66))</f>
        <v>0</v>
      </c>
      <c r="CPO66" s="960">
        <f>MIN(CPO60-CPO62,'Sources and Uses Budget'!CPO108-SUM('15 Year Pro Forma'!CPM66:CPN66))</f>
        <v>0</v>
      </c>
      <c r="CPQ66" s="960">
        <f>MIN(CPQ60-CPQ62,'Sources and Uses Budget'!CPQ108-SUM('15 Year Pro Forma'!CPO66:CPP66))</f>
        <v>0</v>
      </c>
      <c r="CPS66" s="960">
        <f>MIN(CPS60-CPS62,'Sources and Uses Budget'!CPS108-SUM('15 Year Pro Forma'!CPQ66:CPR66))</f>
        <v>0</v>
      </c>
      <c r="CPU66" s="960">
        <f>MIN(CPU60-CPU62,'Sources and Uses Budget'!CPU108-SUM('15 Year Pro Forma'!CPS66:CPT66))</f>
        <v>0</v>
      </c>
      <c r="CPW66" s="960">
        <f>MIN(CPW60-CPW62,'Sources and Uses Budget'!CPW108-SUM('15 Year Pro Forma'!CPU66:CPV66))</f>
        <v>0</v>
      </c>
      <c r="CPY66" s="960">
        <f>MIN(CPY60-CPY62,'Sources and Uses Budget'!CPY108-SUM('15 Year Pro Forma'!CPW66:CPX66))</f>
        <v>0</v>
      </c>
      <c r="CQA66" s="960">
        <f>MIN(CQA60-CQA62,'Sources and Uses Budget'!CQA108-SUM('15 Year Pro Forma'!CPY66:CPZ66))</f>
        <v>0</v>
      </c>
      <c r="CQC66" s="960">
        <f>MIN(CQC60-CQC62,'Sources and Uses Budget'!CQC108-SUM('15 Year Pro Forma'!CQA66:CQB66))</f>
        <v>0</v>
      </c>
      <c r="CQE66" s="960">
        <f>MIN(CQE60-CQE62,'Sources and Uses Budget'!CQE108-SUM('15 Year Pro Forma'!CQC66:CQD66))</f>
        <v>0</v>
      </c>
      <c r="CQG66" s="960">
        <f>MIN(CQG60-CQG62,'Sources and Uses Budget'!CQG108-SUM('15 Year Pro Forma'!CQE66:CQF66))</f>
        <v>0</v>
      </c>
      <c r="CQI66" s="960">
        <f>MIN(CQI60-CQI62,'Sources and Uses Budget'!CQI108-SUM('15 Year Pro Forma'!CQG66:CQH66))</f>
        <v>0</v>
      </c>
      <c r="CQK66" s="960">
        <f>MIN(CQK60-CQK62,'Sources and Uses Budget'!CQK108-SUM('15 Year Pro Forma'!CQI66:CQJ66))</f>
        <v>0</v>
      </c>
      <c r="CQM66" s="960">
        <f>MIN(CQM60-CQM62,'Sources and Uses Budget'!CQM108-SUM('15 Year Pro Forma'!CQK66:CQL66))</f>
        <v>0</v>
      </c>
      <c r="CQO66" s="960">
        <f>MIN(CQO60-CQO62,'Sources and Uses Budget'!CQO108-SUM('15 Year Pro Forma'!CQM66:CQN66))</f>
        <v>0</v>
      </c>
      <c r="CQQ66" s="960">
        <f>MIN(CQQ60-CQQ62,'Sources and Uses Budget'!CQQ108-SUM('15 Year Pro Forma'!CQO66:CQP66))</f>
        <v>0</v>
      </c>
      <c r="CQS66" s="960">
        <f>MIN(CQS60-CQS62,'Sources and Uses Budget'!CQS108-SUM('15 Year Pro Forma'!CQQ66:CQR66))</f>
        <v>0</v>
      </c>
      <c r="CQU66" s="960">
        <f>MIN(CQU60-CQU62,'Sources and Uses Budget'!CQU108-SUM('15 Year Pro Forma'!CQS66:CQT66))</f>
        <v>0</v>
      </c>
      <c r="CQW66" s="960">
        <f>MIN(CQW60-CQW62,'Sources and Uses Budget'!CQW108-SUM('15 Year Pro Forma'!CQU66:CQV66))</f>
        <v>0</v>
      </c>
      <c r="CQY66" s="960">
        <f>MIN(CQY60-CQY62,'Sources and Uses Budget'!CQY108-SUM('15 Year Pro Forma'!CQW66:CQX66))</f>
        <v>0</v>
      </c>
      <c r="CRA66" s="960">
        <f>MIN(CRA60-CRA62,'Sources and Uses Budget'!CRA108-SUM('15 Year Pro Forma'!CQY66:CQZ66))</f>
        <v>0</v>
      </c>
      <c r="CRC66" s="960">
        <f>MIN(CRC60-CRC62,'Sources and Uses Budget'!CRC108-SUM('15 Year Pro Forma'!CRA66:CRB66))</f>
        <v>0</v>
      </c>
      <c r="CRE66" s="960">
        <f>MIN(CRE60-CRE62,'Sources and Uses Budget'!CRE108-SUM('15 Year Pro Forma'!CRC66:CRD66))</f>
        <v>0</v>
      </c>
      <c r="CRG66" s="960">
        <f>MIN(CRG60-CRG62,'Sources and Uses Budget'!CRG108-SUM('15 Year Pro Forma'!CRE66:CRF66))</f>
        <v>0</v>
      </c>
      <c r="CRI66" s="960">
        <f>MIN(CRI60-CRI62,'Sources and Uses Budget'!CRI108-SUM('15 Year Pro Forma'!CRG66:CRH66))</f>
        <v>0</v>
      </c>
      <c r="CRK66" s="960">
        <f>MIN(CRK60-CRK62,'Sources and Uses Budget'!CRK108-SUM('15 Year Pro Forma'!CRI66:CRJ66))</f>
        <v>0</v>
      </c>
      <c r="CRM66" s="960">
        <f>MIN(CRM60-CRM62,'Sources and Uses Budget'!CRM108-SUM('15 Year Pro Forma'!CRK66:CRL66))</f>
        <v>0</v>
      </c>
      <c r="CRO66" s="960">
        <f>MIN(CRO60-CRO62,'Sources and Uses Budget'!CRO108-SUM('15 Year Pro Forma'!CRM66:CRN66))</f>
        <v>0</v>
      </c>
      <c r="CRQ66" s="960">
        <f>MIN(CRQ60-CRQ62,'Sources and Uses Budget'!CRQ108-SUM('15 Year Pro Forma'!CRO66:CRP66))</f>
        <v>0</v>
      </c>
      <c r="CRS66" s="960">
        <f>MIN(CRS60-CRS62,'Sources and Uses Budget'!CRS108-SUM('15 Year Pro Forma'!CRQ66:CRR66))</f>
        <v>0</v>
      </c>
      <c r="CRU66" s="960">
        <f>MIN(CRU60-CRU62,'Sources and Uses Budget'!CRU108-SUM('15 Year Pro Forma'!CRS66:CRT66))</f>
        <v>0</v>
      </c>
      <c r="CRW66" s="960">
        <f>MIN(CRW60-CRW62,'Sources and Uses Budget'!CRW108-SUM('15 Year Pro Forma'!CRU66:CRV66))</f>
        <v>0</v>
      </c>
      <c r="CRY66" s="960">
        <f>MIN(CRY60-CRY62,'Sources and Uses Budget'!CRY108-SUM('15 Year Pro Forma'!CRW66:CRX66))</f>
        <v>0</v>
      </c>
      <c r="CSA66" s="960">
        <f>MIN(CSA60-CSA62,'Sources and Uses Budget'!CSA108-SUM('15 Year Pro Forma'!CRY66:CRZ66))</f>
        <v>0</v>
      </c>
      <c r="CSC66" s="960">
        <f>MIN(CSC60-CSC62,'Sources and Uses Budget'!CSC108-SUM('15 Year Pro Forma'!CSA66:CSB66))</f>
        <v>0</v>
      </c>
      <c r="CSE66" s="960">
        <f>MIN(CSE60-CSE62,'Sources and Uses Budget'!CSE108-SUM('15 Year Pro Forma'!CSC66:CSD66))</f>
        <v>0</v>
      </c>
      <c r="CSG66" s="960">
        <f>MIN(CSG60-CSG62,'Sources and Uses Budget'!CSG108-SUM('15 Year Pro Forma'!CSE66:CSF66))</f>
        <v>0</v>
      </c>
      <c r="CSI66" s="960">
        <f>MIN(CSI60-CSI62,'Sources and Uses Budget'!CSI108-SUM('15 Year Pro Forma'!CSG66:CSH66))</f>
        <v>0</v>
      </c>
      <c r="CSK66" s="960">
        <f>MIN(CSK60-CSK62,'Sources and Uses Budget'!CSK108-SUM('15 Year Pro Forma'!CSI66:CSJ66))</f>
        <v>0</v>
      </c>
      <c r="CSM66" s="960">
        <f>MIN(CSM60-CSM62,'Sources and Uses Budget'!CSM108-SUM('15 Year Pro Forma'!CSK66:CSL66))</f>
        <v>0</v>
      </c>
      <c r="CSO66" s="960">
        <f>MIN(CSO60-CSO62,'Sources and Uses Budget'!CSO108-SUM('15 Year Pro Forma'!CSM66:CSN66))</f>
        <v>0</v>
      </c>
      <c r="CSQ66" s="960">
        <f>MIN(CSQ60-CSQ62,'Sources and Uses Budget'!CSQ108-SUM('15 Year Pro Forma'!CSO66:CSP66))</f>
        <v>0</v>
      </c>
      <c r="CSS66" s="960">
        <f>MIN(CSS60-CSS62,'Sources and Uses Budget'!CSS108-SUM('15 Year Pro Forma'!CSQ66:CSR66))</f>
        <v>0</v>
      </c>
      <c r="CSU66" s="960">
        <f>MIN(CSU60-CSU62,'Sources and Uses Budget'!CSU108-SUM('15 Year Pro Forma'!CSS66:CST66))</f>
        <v>0</v>
      </c>
      <c r="CSW66" s="960">
        <f>MIN(CSW60-CSW62,'Sources and Uses Budget'!CSW108-SUM('15 Year Pro Forma'!CSU66:CSV66))</f>
        <v>0</v>
      </c>
      <c r="CSY66" s="960">
        <f>MIN(CSY60-CSY62,'Sources and Uses Budget'!CSY108-SUM('15 Year Pro Forma'!CSW66:CSX66))</f>
        <v>0</v>
      </c>
      <c r="CTA66" s="960">
        <f>MIN(CTA60-CTA62,'Sources and Uses Budget'!CTA108-SUM('15 Year Pro Forma'!CSY66:CSZ66))</f>
        <v>0</v>
      </c>
      <c r="CTC66" s="960">
        <f>MIN(CTC60-CTC62,'Sources and Uses Budget'!CTC108-SUM('15 Year Pro Forma'!CTA66:CTB66))</f>
        <v>0</v>
      </c>
      <c r="CTE66" s="960">
        <f>MIN(CTE60-CTE62,'Sources and Uses Budget'!CTE108-SUM('15 Year Pro Forma'!CTC66:CTD66))</f>
        <v>0</v>
      </c>
      <c r="CTG66" s="960">
        <f>MIN(CTG60-CTG62,'Sources and Uses Budget'!CTG108-SUM('15 Year Pro Forma'!CTE66:CTF66))</f>
        <v>0</v>
      </c>
      <c r="CTI66" s="960">
        <f>MIN(CTI60-CTI62,'Sources and Uses Budget'!CTI108-SUM('15 Year Pro Forma'!CTG66:CTH66))</f>
        <v>0</v>
      </c>
      <c r="CTK66" s="960">
        <f>MIN(CTK60-CTK62,'Sources and Uses Budget'!CTK108-SUM('15 Year Pro Forma'!CTI66:CTJ66))</f>
        <v>0</v>
      </c>
      <c r="CTM66" s="960">
        <f>MIN(CTM60-CTM62,'Sources and Uses Budget'!CTM108-SUM('15 Year Pro Forma'!CTK66:CTL66))</f>
        <v>0</v>
      </c>
      <c r="CTO66" s="960">
        <f>MIN(CTO60-CTO62,'Sources and Uses Budget'!CTO108-SUM('15 Year Pro Forma'!CTM66:CTN66))</f>
        <v>0</v>
      </c>
      <c r="CTQ66" s="960">
        <f>MIN(CTQ60-CTQ62,'Sources and Uses Budget'!CTQ108-SUM('15 Year Pro Forma'!CTO66:CTP66))</f>
        <v>0</v>
      </c>
      <c r="CTS66" s="960">
        <f>MIN(CTS60-CTS62,'Sources and Uses Budget'!CTS108-SUM('15 Year Pro Forma'!CTQ66:CTR66))</f>
        <v>0</v>
      </c>
      <c r="CTU66" s="960">
        <f>MIN(CTU60-CTU62,'Sources and Uses Budget'!CTU108-SUM('15 Year Pro Forma'!CTS66:CTT66))</f>
        <v>0</v>
      </c>
      <c r="CTW66" s="960">
        <f>MIN(CTW60-CTW62,'Sources and Uses Budget'!CTW108-SUM('15 Year Pro Forma'!CTU66:CTV66))</f>
        <v>0</v>
      </c>
      <c r="CTY66" s="960">
        <f>MIN(CTY60-CTY62,'Sources and Uses Budget'!CTY108-SUM('15 Year Pro Forma'!CTW66:CTX66))</f>
        <v>0</v>
      </c>
      <c r="CUA66" s="960">
        <f>MIN(CUA60-CUA62,'Sources and Uses Budget'!CUA108-SUM('15 Year Pro Forma'!CTY66:CTZ66))</f>
        <v>0</v>
      </c>
      <c r="CUC66" s="960">
        <f>MIN(CUC60-CUC62,'Sources and Uses Budget'!CUC108-SUM('15 Year Pro Forma'!CUA66:CUB66))</f>
        <v>0</v>
      </c>
      <c r="CUE66" s="960">
        <f>MIN(CUE60-CUE62,'Sources and Uses Budget'!CUE108-SUM('15 Year Pro Forma'!CUC66:CUD66))</f>
        <v>0</v>
      </c>
      <c r="CUG66" s="960">
        <f>MIN(CUG60-CUG62,'Sources and Uses Budget'!CUG108-SUM('15 Year Pro Forma'!CUE66:CUF66))</f>
        <v>0</v>
      </c>
      <c r="CUI66" s="960">
        <f>MIN(CUI60-CUI62,'Sources and Uses Budget'!CUI108-SUM('15 Year Pro Forma'!CUG66:CUH66))</f>
        <v>0</v>
      </c>
      <c r="CUK66" s="960">
        <f>MIN(CUK60-CUK62,'Sources and Uses Budget'!CUK108-SUM('15 Year Pro Forma'!CUI66:CUJ66))</f>
        <v>0</v>
      </c>
      <c r="CUM66" s="960">
        <f>MIN(CUM60-CUM62,'Sources and Uses Budget'!CUM108-SUM('15 Year Pro Forma'!CUK66:CUL66))</f>
        <v>0</v>
      </c>
      <c r="CUO66" s="960">
        <f>MIN(CUO60-CUO62,'Sources and Uses Budget'!CUO108-SUM('15 Year Pro Forma'!CUM66:CUN66))</f>
        <v>0</v>
      </c>
      <c r="CUQ66" s="960">
        <f>MIN(CUQ60-CUQ62,'Sources and Uses Budget'!CUQ108-SUM('15 Year Pro Forma'!CUO66:CUP66))</f>
        <v>0</v>
      </c>
      <c r="CUS66" s="960">
        <f>MIN(CUS60-CUS62,'Sources and Uses Budget'!CUS108-SUM('15 Year Pro Forma'!CUQ66:CUR66))</f>
        <v>0</v>
      </c>
      <c r="CUU66" s="960">
        <f>MIN(CUU60-CUU62,'Sources and Uses Budget'!CUU108-SUM('15 Year Pro Forma'!CUS66:CUT66))</f>
        <v>0</v>
      </c>
      <c r="CUW66" s="960">
        <f>MIN(CUW60-CUW62,'Sources and Uses Budget'!CUW108-SUM('15 Year Pro Forma'!CUU66:CUV66))</f>
        <v>0</v>
      </c>
      <c r="CUY66" s="960">
        <f>MIN(CUY60-CUY62,'Sources and Uses Budget'!CUY108-SUM('15 Year Pro Forma'!CUW66:CUX66))</f>
        <v>0</v>
      </c>
      <c r="CVA66" s="960">
        <f>MIN(CVA60-CVA62,'Sources and Uses Budget'!CVA108-SUM('15 Year Pro Forma'!CUY66:CUZ66))</f>
        <v>0</v>
      </c>
      <c r="CVC66" s="960">
        <f>MIN(CVC60-CVC62,'Sources and Uses Budget'!CVC108-SUM('15 Year Pro Forma'!CVA66:CVB66))</f>
        <v>0</v>
      </c>
      <c r="CVE66" s="960">
        <f>MIN(CVE60-CVE62,'Sources and Uses Budget'!CVE108-SUM('15 Year Pro Forma'!CVC66:CVD66))</f>
        <v>0</v>
      </c>
      <c r="CVG66" s="960">
        <f>MIN(CVG60-CVG62,'Sources and Uses Budget'!CVG108-SUM('15 Year Pro Forma'!CVE66:CVF66))</f>
        <v>0</v>
      </c>
      <c r="CVI66" s="960">
        <f>MIN(CVI60-CVI62,'Sources and Uses Budget'!CVI108-SUM('15 Year Pro Forma'!CVG66:CVH66))</f>
        <v>0</v>
      </c>
      <c r="CVK66" s="960">
        <f>MIN(CVK60-CVK62,'Sources and Uses Budget'!CVK108-SUM('15 Year Pro Forma'!CVI66:CVJ66))</f>
        <v>0</v>
      </c>
      <c r="CVM66" s="960">
        <f>MIN(CVM60-CVM62,'Sources and Uses Budget'!CVM108-SUM('15 Year Pro Forma'!CVK66:CVL66))</f>
        <v>0</v>
      </c>
      <c r="CVO66" s="960">
        <f>MIN(CVO60-CVO62,'Sources and Uses Budget'!CVO108-SUM('15 Year Pro Forma'!CVM66:CVN66))</f>
        <v>0</v>
      </c>
      <c r="CVQ66" s="960">
        <f>MIN(CVQ60-CVQ62,'Sources and Uses Budget'!CVQ108-SUM('15 Year Pro Forma'!CVO66:CVP66))</f>
        <v>0</v>
      </c>
      <c r="CVS66" s="960">
        <f>MIN(CVS60-CVS62,'Sources and Uses Budget'!CVS108-SUM('15 Year Pro Forma'!CVQ66:CVR66))</f>
        <v>0</v>
      </c>
      <c r="CVU66" s="960">
        <f>MIN(CVU60-CVU62,'Sources and Uses Budget'!CVU108-SUM('15 Year Pro Forma'!CVS66:CVT66))</f>
        <v>0</v>
      </c>
      <c r="CVW66" s="960">
        <f>MIN(CVW60-CVW62,'Sources and Uses Budget'!CVW108-SUM('15 Year Pro Forma'!CVU66:CVV66))</f>
        <v>0</v>
      </c>
      <c r="CVY66" s="960">
        <f>MIN(CVY60-CVY62,'Sources and Uses Budget'!CVY108-SUM('15 Year Pro Forma'!CVW66:CVX66))</f>
        <v>0</v>
      </c>
      <c r="CWA66" s="960">
        <f>MIN(CWA60-CWA62,'Sources and Uses Budget'!CWA108-SUM('15 Year Pro Forma'!CVY66:CVZ66))</f>
        <v>0</v>
      </c>
      <c r="CWC66" s="960">
        <f>MIN(CWC60-CWC62,'Sources and Uses Budget'!CWC108-SUM('15 Year Pro Forma'!CWA66:CWB66))</f>
        <v>0</v>
      </c>
      <c r="CWE66" s="960">
        <f>MIN(CWE60-CWE62,'Sources and Uses Budget'!CWE108-SUM('15 Year Pro Forma'!CWC66:CWD66))</f>
        <v>0</v>
      </c>
      <c r="CWG66" s="960">
        <f>MIN(CWG60-CWG62,'Sources and Uses Budget'!CWG108-SUM('15 Year Pro Forma'!CWE66:CWF66))</f>
        <v>0</v>
      </c>
      <c r="CWI66" s="960">
        <f>MIN(CWI60-CWI62,'Sources and Uses Budget'!CWI108-SUM('15 Year Pro Forma'!CWG66:CWH66))</f>
        <v>0</v>
      </c>
      <c r="CWK66" s="960">
        <f>MIN(CWK60-CWK62,'Sources and Uses Budget'!CWK108-SUM('15 Year Pro Forma'!CWI66:CWJ66))</f>
        <v>0</v>
      </c>
      <c r="CWM66" s="960">
        <f>MIN(CWM60-CWM62,'Sources and Uses Budget'!CWM108-SUM('15 Year Pro Forma'!CWK66:CWL66))</f>
        <v>0</v>
      </c>
      <c r="CWO66" s="960">
        <f>MIN(CWO60-CWO62,'Sources and Uses Budget'!CWO108-SUM('15 Year Pro Forma'!CWM66:CWN66))</f>
        <v>0</v>
      </c>
      <c r="CWQ66" s="960">
        <f>MIN(CWQ60-CWQ62,'Sources and Uses Budget'!CWQ108-SUM('15 Year Pro Forma'!CWO66:CWP66))</f>
        <v>0</v>
      </c>
      <c r="CWS66" s="960">
        <f>MIN(CWS60-CWS62,'Sources and Uses Budget'!CWS108-SUM('15 Year Pro Forma'!CWQ66:CWR66))</f>
        <v>0</v>
      </c>
      <c r="CWU66" s="960">
        <f>MIN(CWU60-CWU62,'Sources and Uses Budget'!CWU108-SUM('15 Year Pro Forma'!CWS66:CWT66))</f>
        <v>0</v>
      </c>
      <c r="CWW66" s="960">
        <f>MIN(CWW60-CWW62,'Sources and Uses Budget'!CWW108-SUM('15 Year Pro Forma'!CWU66:CWV66))</f>
        <v>0</v>
      </c>
      <c r="CWY66" s="960">
        <f>MIN(CWY60-CWY62,'Sources and Uses Budget'!CWY108-SUM('15 Year Pro Forma'!CWW66:CWX66))</f>
        <v>0</v>
      </c>
      <c r="CXA66" s="960">
        <f>MIN(CXA60-CXA62,'Sources and Uses Budget'!CXA108-SUM('15 Year Pro Forma'!CWY66:CWZ66))</f>
        <v>0</v>
      </c>
      <c r="CXC66" s="960">
        <f>MIN(CXC60-CXC62,'Sources and Uses Budget'!CXC108-SUM('15 Year Pro Forma'!CXA66:CXB66))</f>
        <v>0</v>
      </c>
      <c r="CXE66" s="960">
        <f>MIN(CXE60-CXE62,'Sources and Uses Budget'!CXE108-SUM('15 Year Pro Forma'!CXC66:CXD66))</f>
        <v>0</v>
      </c>
      <c r="CXG66" s="960">
        <f>MIN(CXG60-CXG62,'Sources and Uses Budget'!CXG108-SUM('15 Year Pro Forma'!CXE66:CXF66))</f>
        <v>0</v>
      </c>
      <c r="CXI66" s="960">
        <f>MIN(CXI60-CXI62,'Sources and Uses Budget'!CXI108-SUM('15 Year Pro Forma'!CXG66:CXH66))</f>
        <v>0</v>
      </c>
      <c r="CXK66" s="960">
        <f>MIN(CXK60-CXK62,'Sources and Uses Budget'!CXK108-SUM('15 Year Pro Forma'!CXI66:CXJ66))</f>
        <v>0</v>
      </c>
      <c r="CXM66" s="960">
        <f>MIN(CXM60-CXM62,'Sources and Uses Budget'!CXM108-SUM('15 Year Pro Forma'!CXK66:CXL66))</f>
        <v>0</v>
      </c>
      <c r="CXO66" s="960">
        <f>MIN(CXO60-CXO62,'Sources and Uses Budget'!CXO108-SUM('15 Year Pro Forma'!CXM66:CXN66))</f>
        <v>0</v>
      </c>
      <c r="CXQ66" s="960">
        <f>MIN(CXQ60-CXQ62,'Sources and Uses Budget'!CXQ108-SUM('15 Year Pro Forma'!CXO66:CXP66))</f>
        <v>0</v>
      </c>
      <c r="CXS66" s="960">
        <f>MIN(CXS60-CXS62,'Sources and Uses Budget'!CXS108-SUM('15 Year Pro Forma'!CXQ66:CXR66))</f>
        <v>0</v>
      </c>
      <c r="CXU66" s="960">
        <f>MIN(CXU60-CXU62,'Sources and Uses Budget'!CXU108-SUM('15 Year Pro Forma'!CXS66:CXT66))</f>
        <v>0</v>
      </c>
      <c r="CXW66" s="960">
        <f>MIN(CXW60-CXW62,'Sources and Uses Budget'!CXW108-SUM('15 Year Pro Forma'!CXU66:CXV66))</f>
        <v>0</v>
      </c>
      <c r="CXY66" s="960">
        <f>MIN(CXY60-CXY62,'Sources and Uses Budget'!CXY108-SUM('15 Year Pro Forma'!CXW66:CXX66))</f>
        <v>0</v>
      </c>
      <c r="CYA66" s="960">
        <f>MIN(CYA60-CYA62,'Sources and Uses Budget'!CYA108-SUM('15 Year Pro Forma'!CXY66:CXZ66))</f>
        <v>0</v>
      </c>
      <c r="CYC66" s="960">
        <f>MIN(CYC60-CYC62,'Sources and Uses Budget'!CYC108-SUM('15 Year Pro Forma'!CYA66:CYB66))</f>
        <v>0</v>
      </c>
      <c r="CYE66" s="960">
        <f>MIN(CYE60-CYE62,'Sources and Uses Budget'!CYE108-SUM('15 Year Pro Forma'!CYC66:CYD66))</f>
        <v>0</v>
      </c>
      <c r="CYG66" s="960">
        <f>MIN(CYG60-CYG62,'Sources and Uses Budget'!CYG108-SUM('15 Year Pro Forma'!CYE66:CYF66))</f>
        <v>0</v>
      </c>
      <c r="CYI66" s="960">
        <f>MIN(CYI60-CYI62,'Sources and Uses Budget'!CYI108-SUM('15 Year Pro Forma'!CYG66:CYH66))</f>
        <v>0</v>
      </c>
      <c r="CYK66" s="960">
        <f>MIN(CYK60-CYK62,'Sources and Uses Budget'!CYK108-SUM('15 Year Pro Forma'!CYI66:CYJ66))</f>
        <v>0</v>
      </c>
      <c r="CYM66" s="960">
        <f>MIN(CYM60-CYM62,'Sources and Uses Budget'!CYM108-SUM('15 Year Pro Forma'!CYK66:CYL66))</f>
        <v>0</v>
      </c>
      <c r="CYO66" s="960">
        <f>MIN(CYO60-CYO62,'Sources and Uses Budget'!CYO108-SUM('15 Year Pro Forma'!CYM66:CYN66))</f>
        <v>0</v>
      </c>
      <c r="CYQ66" s="960">
        <f>MIN(CYQ60-CYQ62,'Sources and Uses Budget'!CYQ108-SUM('15 Year Pro Forma'!CYO66:CYP66))</f>
        <v>0</v>
      </c>
      <c r="CYS66" s="960">
        <f>MIN(CYS60-CYS62,'Sources and Uses Budget'!CYS108-SUM('15 Year Pro Forma'!CYQ66:CYR66))</f>
        <v>0</v>
      </c>
      <c r="CYU66" s="960">
        <f>MIN(CYU60-CYU62,'Sources and Uses Budget'!CYU108-SUM('15 Year Pro Forma'!CYS66:CYT66))</f>
        <v>0</v>
      </c>
      <c r="CYW66" s="960">
        <f>MIN(CYW60-CYW62,'Sources and Uses Budget'!CYW108-SUM('15 Year Pro Forma'!CYU66:CYV66))</f>
        <v>0</v>
      </c>
      <c r="CYY66" s="960">
        <f>MIN(CYY60-CYY62,'Sources and Uses Budget'!CYY108-SUM('15 Year Pro Forma'!CYW66:CYX66))</f>
        <v>0</v>
      </c>
      <c r="CZA66" s="960">
        <f>MIN(CZA60-CZA62,'Sources and Uses Budget'!CZA108-SUM('15 Year Pro Forma'!CYY66:CYZ66))</f>
        <v>0</v>
      </c>
      <c r="CZC66" s="960">
        <f>MIN(CZC60-CZC62,'Sources and Uses Budget'!CZC108-SUM('15 Year Pro Forma'!CZA66:CZB66))</f>
        <v>0</v>
      </c>
      <c r="CZE66" s="960">
        <f>MIN(CZE60-CZE62,'Sources and Uses Budget'!CZE108-SUM('15 Year Pro Forma'!CZC66:CZD66))</f>
        <v>0</v>
      </c>
      <c r="CZG66" s="960">
        <f>MIN(CZG60-CZG62,'Sources and Uses Budget'!CZG108-SUM('15 Year Pro Forma'!CZE66:CZF66))</f>
        <v>0</v>
      </c>
      <c r="CZI66" s="960">
        <f>MIN(CZI60-CZI62,'Sources and Uses Budget'!CZI108-SUM('15 Year Pro Forma'!CZG66:CZH66))</f>
        <v>0</v>
      </c>
      <c r="CZK66" s="960">
        <f>MIN(CZK60-CZK62,'Sources and Uses Budget'!CZK108-SUM('15 Year Pro Forma'!CZI66:CZJ66))</f>
        <v>0</v>
      </c>
      <c r="CZM66" s="960">
        <f>MIN(CZM60-CZM62,'Sources and Uses Budget'!CZM108-SUM('15 Year Pro Forma'!CZK66:CZL66))</f>
        <v>0</v>
      </c>
      <c r="CZO66" s="960">
        <f>MIN(CZO60-CZO62,'Sources and Uses Budget'!CZO108-SUM('15 Year Pro Forma'!CZM66:CZN66))</f>
        <v>0</v>
      </c>
      <c r="CZQ66" s="960">
        <f>MIN(CZQ60-CZQ62,'Sources and Uses Budget'!CZQ108-SUM('15 Year Pro Forma'!CZO66:CZP66))</f>
        <v>0</v>
      </c>
      <c r="CZS66" s="960">
        <f>MIN(CZS60-CZS62,'Sources and Uses Budget'!CZS108-SUM('15 Year Pro Forma'!CZQ66:CZR66))</f>
        <v>0</v>
      </c>
      <c r="CZU66" s="960">
        <f>MIN(CZU60-CZU62,'Sources and Uses Budget'!CZU108-SUM('15 Year Pro Forma'!CZS66:CZT66))</f>
        <v>0</v>
      </c>
      <c r="CZW66" s="960">
        <f>MIN(CZW60-CZW62,'Sources and Uses Budget'!CZW108-SUM('15 Year Pro Forma'!CZU66:CZV66))</f>
        <v>0</v>
      </c>
      <c r="CZY66" s="960">
        <f>MIN(CZY60-CZY62,'Sources and Uses Budget'!CZY108-SUM('15 Year Pro Forma'!CZW66:CZX66))</f>
        <v>0</v>
      </c>
      <c r="DAA66" s="960">
        <f>MIN(DAA60-DAA62,'Sources and Uses Budget'!DAA108-SUM('15 Year Pro Forma'!CZY66:CZZ66))</f>
        <v>0</v>
      </c>
      <c r="DAC66" s="960">
        <f>MIN(DAC60-DAC62,'Sources and Uses Budget'!DAC108-SUM('15 Year Pro Forma'!DAA66:DAB66))</f>
        <v>0</v>
      </c>
      <c r="DAE66" s="960">
        <f>MIN(DAE60-DAE62,'Sources and Uses Budget'!DAE108-SUM('15 Year Pro Forma'!DAC66:DAD66))</f>
        <v>0</v>
      </c>
      <c r="DAG66" s="960">
        <f>MIN(DAG60-DAG62,'Sources and Uses Budget'!DAG108-SUM('15 Year Pro Forma'!DAE66:DAF66))</f>
        <v>0</v>
      </c>
      <c r="DAI66" s="960">
        <f>MIN(DAI60-DAI62,'Sources and Uses Budget'!DAI108-SUM('15 Year Pro Forma'!DAG66:DAH66))</f>
        <v>0</v>
      </c>
      <c r="DAK66" s="960">
        <f>MIN(DAK60-DAK62,'Sources and Uses Budget'!DAK108-SUM('15 Year Pro Forma'!DAI66:DAJ66))</f>
        <v>0</v>
      </c>
      <c r="DAM66" s="960">
        <f>MIN(DAM60-DAM62,'Sources and Uses Budget'!DAM108-SUM('15 Year Pro Forma'!DAK66:DAL66))</f>
        <v>0</v>
      </c>
      <c r="DAO66" s="960">
        <f>MIN(DAO60-DAO62,'Sources and Uses Budget'!DAO108-SUM('15 Year Pro Forma'!DAM66:DAN66))</f>
        <v>0</v>
      </c>
      <c r="DAQ66" s="960">
        <f>MIN(DAQ60-DAQ62,'Sources and Uses Budget'!DAQ108-SUM('15 Year Pro Forma'!DAO66:DAP66))</f>
        <v>0</v>
      </c>
      <c r="DAS66" s="960">
        <f>MIN(DAS60-DAS62,'Sources and Uses Budget'!DAS108-SUM('15 Year Pro Forma'!DAQ66:DAR66))</f>
        <v>0</v>
      </c>
      <c r="DAU66" s="960">
        <f>MIN(DAU60-DAU62,'Sources and Uses Budget'!DAU108-SUM('15 Year Pro Forma'!DAS66:DAT66))</f>
        <v>0</v>
      </c>
      <c r="DAW66" s="960">
        <f>MIN(DAW60-DAW62,'Sources and Uses Budget'!DAW108-SUM('15 Year Pro Forma'!DAU66:DAV66))</f>
        <v>0</v>
      </c>
      <c r="DAY66" s="960">
        <f>MIN(DAY60-DAY62,'Sources and Uses Budget'!DAY108-SUM('15 Year Pro Forma'!DAW66:DAX66))</f>
        <v>0</v>
      </c>
      <c r="DBA66" s="960">
        <f>MIN(DBA60-DBA62,'Sources and Uses Budget'!DBA108-SUM('15 Year Pro Forma'!DAY66:DAZ66))</f>
        <v>0</v>
      </c>
      <c r="DBC66" s="960">
        <f>MIN(DBC60-DBC62,'Sources and Uses Budget'!DBC108-SUM('15 Year Pro Forma'!DBA66:DBB66))</f>
        <v>0</v>
      </c>
      <c r="DBE66" s="960">
        <f>MIN(DBE60-DBE62,'Sources and Uses Budget'!DBE108-SUM('15 Year Pro Forma'!DBC66:DBD66))</f>
        <v>0</v>
      </c>
      <c r="DBG66" s="960">
        <f>MIN(DBG60-DBG62,'Sources and Uses Budget'!DBG108-SUM('15 Year Pro Forma'!DBE66:DBF66))</f>
        <v>0</v>
      </c>
      <c r="DBI66" s="960">
        <f>MIN(DBI60-DBI62,'Sources and Uses Budget'!DBI108-SUM('15 Year Pro Forma'!DBG66:DBH66))</f>
        <v>0</v>
      </c>
      <c r="DBK66" s="960">
        <f>MIN(DBK60-DBK62,'Sources and Uses Budget'!DBK108-SUM('15 Year Pro Forma'!DBI66:DBJ66))</f>
        <v>0</v>
      </c>
      <c r="DBM66" s="960">
        <f>MIN(DBM60-DBM62,'Sources and Uses Budget'!DBM108-SUM('15 Year Pro Forma'!DBK66:DBL66))</f>
        <v>0</v>
      </c>
      <c r="DBO66" s="960">
        <f>MIN(DBO60-DBO62,'Sources and Uses Budget'!DBO108-SUM('15 Year Pro Forma'!DBM66:DBN66))</f>
        <v>0</v>
      </c>
      <c r="DBQ66" s="960">
        <f>MIN(DBQ60-DBQ62,'Sources and Uses Budget'!DBQ108-SUM('15 Year Pro Forma'!DBO66:DBP66))</f>
        <v>0</v>
      </c>
      <c r="DBS66" s="960">
        <f>MIN(DBS60-DBS62,'Sources and Uses Budget'!DBS108-SUM('15 Year Pro Forma'!DBQ66:DBR66))</f>
        <v>0</v>
      </c>
      <c r="DBU66" s="960">
        <f>MIN(DBU60-DBU62,'Sources and Uses Budget'!DBU108-SUM('15 Year Pro Forma'!DBS66:DBT66))</f>
        <v>0</v>
      </c>
      <c r="DBW66" s="960">
        <f>MIN(DBW60-DBW62,'Sources and Uses Budget'!DBW108-SUM('15 Year Pro Forma'!DBU66:DBV66))</f>
        <v>0</v>
      </c>
      <c r="DBY66" s="960">
        <f>MIN(DBY60-DBY62,'Sources and Uses Budget'!DBY108-SUM('15 Year Pro Forma'!DBW66:DBX66))</f>
        <v>0</v>
      </c>
      <c r="DCA66" s="960">
        <f>MIN(DCA60-DCA62,'Sources and Uses Budget'!DCA108-SUM('15 Year Pro Forma'!DBY66:DBZ66))</f>
        <v>0</v>
      </c>
      <c r="DCC66" s="960">
        <f>MIN(DCC60-DCC62,'Sources and Uses Budget'!DCC108-SUM('15 Year Pro Forma'!DCA66:DCB66))</f>
        <v>0</v>
      </c>
      <c r="DCE66" s="960">
        <f>MIN(DCE60-DCE62,'Sources and Uses Budget'!DCE108-SUM('15 Year Pro Forma'!DCC66:DCD66))</f>
        <v>0</v>
      </c>
      <c r="DCG66" s="960">
        <f>MIN(DCG60-DCG62,'Sources and Uses Budget'!DCG108-SUM('15 Year Pro Forma'!DCE66:DCF66))</f>
        <v>0</v>
      </c>
      <c r="DCI66" s="960">
        <f>MIN(DCI60-DCI62,'Sources and Uses Budget'!DCI108-SUM('15 Year Pro Forma'!DCG66:DCH66))</f>
        <v>0</v>
      </c>
      <c r="DCK66" s="960">
        <f>MIN(DCK60-DCK62,'Sources and Uses Budget'!DCK108-SUM('15 Year Pro Forma'!DCI66:DCJ66))</f>
        <v>0</v>
      </c>
      <c r="DCM66" s="960">
        <f>MIN(DCM60-DCM62,'Sources and Uses Budget'!DCM108-SUM('15 Year Pro Forma'!DCK66:DCL66))</f>
        <v>0</v>
      </c>
      <c r="DCO66" s="960">
        <f>MIN(DCO60-DCO62,'Sources and Uses Budget'!DCO108-SUM('15 Year Pro Forma'!DCM66:DCN66))</f>
        <v>0</v>
      </c>
      <c r="DCQ66" s="960">
        <f>MIN(DCQ60-DCQ62,'Sources and Uses Budget'!DCQ108-SUM('15 Year Pro Forma'!DCO66:DCP66))</f>
        <v>0</v>
      </c>
      <c r="DCS66" s="960">
        <f>MIN(DCS60-DCS62,'Sources and Uses Budget'!DCS108-SUM('15 Year Pro Forma'!DCQ66:DCR66))</f>
        <v>0</v>
      </c>
      <c r="DCU66" s="960">
        <f>MIN(DCU60-DCU62,'Sources and Uses Budget'!DCU108-SUM('15 Year Pro Forma'!DCS66:DCT66))</f>
        <v>0</v>
      </c>
      <c r="DCW66" s="960">
        <f>MIN(DCW60-DCW62,'Sources and Uses Budget'!DCW108-SUM('15 Year Pro Forma'!DCU66:DCV66))</f>
        <v>0</v>
      </c>
      <c r="DCY66" s="960">
        <f>MIN(DCY60-DCY62,'Sources and Uses Budget'!DCY108-SUM('15 Year Pro Forma'!DCW66:DCX66))</f>
        <v>0</v>
      </c>
      <c r="DDA66" s="960">
        <f>MIN(DDA60-DDA62,'Sources and Uses Budget'!DDA108-SUM('15 Year Pro Forma'!DCY66:DCZ66))</f>
        <v>0</v>
      </c>
      <c r="DDC66" s="960">
        <f>MIN(DDC60-DDC62,'Sources and Uses Budget'!DDC108-SUM('15 Year Pro Forma'!DDA66:DDB66))</f>
        <v>0</v>
      </c>
      <c r="DDE66" s="960">
        <f>MIN(DDE60-DDE62,'Sources and Uses Budget'!DDE108-SUM('15 Year Pro Forma'!DDC66:DDD66))</f>
        <v>0</v>
      </c>
      <c r="DDG66" s="960">
        <f>MIN(DDG60-DDG62,'Sources and Uses Budget'!DDG108-SUM('15 Year Pro Forma'!DDE66:DDF66))</f>
        <v>0</v>
      </c>
      <c r="DDI66" s="960">
        <f>MIN(DDI60-DDI62,'Sources and Uses Budget'!DDI108-SUM('15 Year Pro Forma'!DDG66:DDH66))</f>
        <v>0</v>
      </c>
      <c r="DDK66" s="960">
        <f>MIN(DDK60-DDK62,'Sources and Uses Budget'!DDK108-SUM('15 Year Pro Forma'!DDI66:DDJ66))</f>
        <v>0</v>
      </c>
      <c r="DDM66" s="960">
        <f>MIN(DDM60-DDM62,'Sources and Uses Budget'!DDM108-SUM('15 Year Pro Forma'!DDK66:DDL66))</f>
        <v>0</v>
      </c>
      <c r="DDO66" s="960">
        <f>MIN(DDO60-DDO62,'Sources and Uses Budget'!DDO108-SUM('15 Year Pro Forma'!DDM66:DDN66))</f>
        <v>0</v>
      </c>
      <c r="DDQ66" s="960">
        <f>MIN(DDQ60-DDQ62,'Sources and Uses Budget'!DDQ108-SUM('15 Year Pro Forma'!DDO66:DDP66))</f>
        <v>0</v>
      </c>
      <c r="DDS66" s="960">
        <f>MIN(DDS60-DDS62,'Sources and Uses Budget'!DDS108-SUM('15 Year Pro Forma'!DDQ66:DDR66))</f>
        <v>0</v>
      </c>
      <c r="DDU66" s="960">
        <f>MIN(DDU60-DDU62,'Sources and Uses Budget'!DDU108-SUM('15 Year Pro Forma'!DDS66:DDT66))</f>
        <v>0</v>
      </c>
      <c r="DDW66" s="960">
        <f>MIN(DDW60-DDW62,'Sources and Uses Budget'!DDW108-SUM('15 Year Pro Forma'!DDU66:DDV66))</f>
        <v>0</v>
      </c>
      <c r="DDY66" s="960">
        <f>MIN(DDY60-DDY62,'Sources and Uses Budget'!DDY108-SUM('15 Year Pro Forma'!DDW66:DDX66))</f>
        <v>0</v>
      </c>
      <c r="DEA66" s="960">
        <f>MIN(DEA60-DEA62,'Sources and Uses Budget'!DEA108-SUM('15 Year Pro Forma'!DDY66:DDZ66))</f>
        <v>0</v>
      </c>
      <c r="DEC66" s="960">
        <f>MIN(DEC60-DEC62,'Sources and Uses Budget'!DEC108-SUM('15 Year Pro Forma'!DEA66:DEB66))</f>
        <v>0</v>
      </c>
      <c r="DEE66" s="960">
        <f>MIN(DEE60-DEE62,'Sources and Uses Budget'!DEE108-SUM('15 Year Pro Forma'!DEC66:DED66))</f>
        <v>0</v>
      </c>
      <c r="DEG66" s="960">
        <f>MIN(DEG60-DEG62,'Sources and Uses Budget'!DEG108-SUM('15 Year Pro Forma'!DEE66:DEF66))</f>
        <v>0</v>
      </c>
      <c r="DEI66" s="960">
        <f>MIN(DEI60-DEI62,'Sources and Uses Budget'!DEI108-SUM('15 Year Pro Forma'!DEG66:DEH66))</f>
        <v>0</v>
      </c>
      <c r="DEK66" s="960">
        <f>MIN(DEK60-DEK62,'Sources and Uses Budget'!DEK108-SUM('15 Year Pro Forma'!DEI66:DEJ66))</f>
        <v>0</v>
      </c>
      <c r="DEM66" s="960">
        <f>MIN(DEM60-DEM62,'Sources and Uses Budget'!DEM108-SUM('15 Year Pro Forma'!DEK66:DEL66))</f>
        <v>0</v>
      </c>
      <c r="DEO66" s="960">
        <f>MIN(DEO60-DEO62,'Sources and Uses Budget'!DEO108-SUM('15 Year Pro Forma'!DEM66:DEN66))</f>
        <v>0</v>
      </c>
      <c r="DEQ66" s="960">
        <f>MIN(DEQ60-DEQ62,'Sources and Uses Budget'!DEQ108-SUM('15 Year Pro Forma'!DEO66:DEP66))</f>
        <v>0</v>
      </c>
      <c r="DES66" s="960">
        <f>MIN(DES60-DES62,'Sources and Uses Budget'!DES108-SUM('15 Year Pro Forma'!DEQ66:DER66))</f>
        <v>0</v>
      </c>
      <c r="DEU66" s="960">
        <f>MIN(DEU60-DEU62,'Sources and Uses Budget'!DEU108-SUM('15 Year Pro Forma'!DES66:DET66))</f>
        <v>0</v>
      </c>
      <c r="DEW66" s="960">
        <f>MIN(DEW60-DEW62,'Sources and Uses Budget'!DEW108-SUM('15 Year Pro Forma'!DEU66:DEV66))</f>
        <v>0</v>
      </c>
      <c r="DEY66" s="960">
        <f>MIN(DEY60-DEY62,'Sources and Uses Budget'!DEY108-SUM('15 Year Pro Forma'!DEW66:DEX66))</f>
        <v>0</v>
      </c>
      <c r="DFA66" s="960">
        <f>MIN(DFA60-DFA62,'Sources and Uses Budget'!DFA108-SUM('15 Year Pro Forma'!DEY66:DEZ66))</f>
        <v>0</v>
      </c>
      <c r="DFC66" s="960">
        <f>MIN(DFC60-DFC62,'Sources and Uses Budget'!DFC108-SUM('15 Year Pro Forma'!DFA66:DFB66))</f>
        <v>0</v>
      </c>
      <c r="DFE66" s="960">
        <f>MIN(DFE60-DFE62,'Sources and Uses Budget'!DFE108-SUM('15 Year Pro Forma'!DFC66:DFD66))</f>
        <v>0</v>
      </c>
      <c r="DFG66" s="960">
        <f>MIN(DFG60-DFG62,'Sources and Uses Budget'!DFG108-SUM('15 Year Pro Forma'!DFE66:DFF66))</f>
        <v>0</v>
      </c>
      <c r="DFI66" s="960">
        <f>MIN(DFI60-DFI62,'Sources and Uses Budget'!DFI108-SUM('15 Year Pro Forma'!DFG66:DFH66))</f>
        <v>0</v>
      </c>
      <c r="DFK66" s="960">
        <f>MIN(DFK60-DFK62,'Sources and Uses Budget'!DFK108-SUM('15 Year Pro Forma'!DFI66:DFJ66))</f>
        <v>0</v>
      </c>
      <c r="DFM66" s="960">
        <f>MIN(DFM60-DFM62,'Sources and Uses Budget'!DFM108-SUM('15 Year Pro Forma'!DFK66:DFL66))</f>
        <v>0</v>
      </c>
      <c r="DFO66" s="960">
        <f>MIN(DFO60-DFO62,'Sources and Uses Budget'!DFO108-SUM('15 Year Pro Forma'!DFM66:DFN66))</f>
        <v>0</v>
      </c>
      <c r="DFQ66" s="960">
        <f>MIN(DFQ60-DFQ62,'Sources and Uses Budget'!DFQ108-SUM('15 Year Pro Forma'!DFO66:DFP66))</f>
        <v>0</v>
      </c>
      <c r="DFS66" s="960">
        <f>MIN(DFS60-DFS62,'Sources and Uses Budget'!DFS108-SUM('15 Year Pro Forma'!DFQ66:DFR66))</f>
        <v>0</v>
      </c>
      <c r="DFU66" s="960">
        <f>MIN(DFU60-DFU62,'Sources and Uses Budget'!DFU108-SUM('15 Year Pro Forma'!DFS66:DFT66))</f>
        <v>0</v>
      </c>
      <c r="DFW66" s="960">
        <f>MIN(DFW60-DFW62,'Sources and Uses Budget'!DFW108-SUM('15 Year Pro Forma'!DFU66:DFV66))</f>
        <v>0</v>
      </c>
      <c r="DFY66" s="960">
        <f>MIN(DFY60-DFY62,'Sources and Uses Budget'!DFY108-SUM('15 Year Pro Forma'!DFW66:DFX66))</f>
        <v>0</v>
      </c>
      <c r="DGA66" s="960">
        <f>MIN(DGA60-DGA62,'Sources and Uses Budget'!DGA108-SUM('15 Year Pro Forma'!DFY66:DFZ66))</f>
        <v>0</v>
      </c>
      <c r="DGC66" s="960">
        <f>MIN(DGC60-DGC62,'Sources and Uses Budget'!DGC108-SUM('15 Year Pro Forma'!DGA66:DGB66))</f>
        <v>0</v>
      </c>
      <c r="DGE66" s="960">
        <f>MIN(DGE60-DGE62,'Sources and Uses Budget'!DGE108-SUM('15 Year Pro Forma'!DGC66:DGD66))</f>
        <v>0</v>
      </c>
      <c r="DGG66" s="960">
        <f>MIN(DGG60-DGG62,'Sources and Uses Budget'!DGG108-SUM('15 Year Pro Forma'!DGE66:DGF66))</f>
        <v>0</v>
      </c>
      <c r="DGI66" s="960">
        <f>MIN(DGI60-DGI62,'Sources and Uses Budget'!DGI108-SUM('15 Year Pro Forma'!DGG66:DGH66))</f>
        <v>0</v>
      </c>
      <c r="DGK66" s="960">
        <f>MIN(DGK60-DGK62,'Sources and Uses Budget'!DGK108-SUM('15 Year Pro Forma'!DGI66:DGJ66))</f>
        <v>0</v>
      </c>
      <c r="DGM66" s="960">
        <f>MIN(DGM60-DGM62,'Sources and Uses Budget'!DGM108-SUM('15 Year Pro Forma'!DGK66:DGL66))</f>
        <v>0</v>
      </c>
      <c r="DGO66" s="960">
        <f>MIN(DGO60-DGO62,'Sources and Uses Budget'!DGO108-SUM('15 Year Pro Forma'!DGM66:DGN66))</f>
        <v>0</v>
      </c>
      <c r="DGQ66" s="960">
        <f>MIN(DGQ60-DGQ62,'Sources and Uses Budget'!DGQ108-SUM('15 Year Pro Forma'!DGO66:DGP66))</f>
        <v>0</v>
      </c>
      <c r="DGS66" s="960">
        <f>MIN(DGS60-DGS62,'Sources and Uses Budget'!DGS108-SUM('15 Year Pro Forma'!DGQ66:DGR66))</f>
        <v>0</v>
      </c>
      <c r="DGU66" s="960">
        <f>MIN(DGU60-DGU62,'Sources and Uses Budget'!DGU108-SUM('15 Year Pro Forma'!DGS66:DGT66))</f>
        <v>0</v>
      </c>
      <c r="DGW66" s="960">
        <f>MIN(DGW60-DGW62,'Sources and Uses Budget'!DGW108-SUM('15 Year Pro Forma'!DGU66:DGV66))</f>
        <v>0</v>
      </c>
      <c r="DGY66" s="960">
        <f>MIN(DGY60-DGY62,'Sources and Uses Budget'!DGY108-SUM('15 Year Pro Forma'!DGW66:DGX66))</f>
        <v>0</v>
      </c>
      <c r="DHA66" s="960">
        <f>MIN(DHA60-DHA62,'Sources and Uses Budget'!DHA108-SUM('15 Year Pro Forma'!DGY66:DGZ66))</f>
        <v>0</v>
      </c>
      <c r="DHC66" s="960">
        <f>MIN(DHC60-DHC62,'Sources and Uses Budget'!DHC108-SUM('15 Year Pro Forma'!DHA66:DHB66))</f>
        <v>0</v>
      </c>
      <c r="DHE66" s="960">
        <f>MIN(DHE60-DHE62,'Sources and Uses Budget'!DHE108-SUM('15 Year Pro Forma'!DHC66:DHD66))</f>
        <v>0</v>
      </c>
      <c r="DHG66" s="960">
        <f>MIN(DHG60-DHG62,'Sources and Uses Budget'!DHG108-SUM('15 Year Pro Forma'!DHE66:DHF66))</f>
        <v>0</v>
      </c>
      <c r="DHI66" s="960">
        <f>MIN(DHI60-DHI62,'Sources and Uses Budget'!DHI108-SUM('15 Year Pro Forma'!DHG66:DHH66))</f>
        <v>0</v>
      </c>
      <c r="DHK66" s="960">
        <f>MIN(DHK60-DHK62,'Sources and Uses Budget'!DHK108-SUM('15 Year Pro Forma'!DHI66:DHJ66))</f>
        <v>0</v>
      </c>
      <c r="DHM66" s="960">
        <f>MIN(DHM60-DHM62,'Sources and Uses Budget'!DHM108-SUM('15 Year Pro Forma'!DHK66:DHL66))</f>
        <v>0</v>
      </c>
      <c r="DHO66" s="960">
        <f>MIN(DHO60-DHO62,'Sources and Uses Budget'!DHO108-SUM('15 Year Pro Forma'!DHM66:DHN66))</f>
        <v>0</v>
      </c>
      <c r="DHQ66" s="960">
        <f>MIN(DHQ60-DHQ62,'Sources and Uses Budget'!DHQ108-SUM('15 Year Pro Forma'!DHO66:DHP66))</f>
        <v>0</v>
      </c>
      <c r="DHS66" s="960">
        <f>MIN(DHS60-DHS62,'Sources and Uses Budget'!DHS108-SUM('15 Year Pro Forma'!DHQ66:DHR66))</f>
        <v>0</v>
      </c>
      <c r="DHU66" s="960">
        <f>MIN(DHU60-DHU62,'Sources and Uses Budget'!DHU108-SUM('15 Year Pro Forma'!DHS66:DHT66))</f>
        <v>0</v>
      </c>
      <c r="DHW66" s="960">
        <f>MIN(DHW60-DHW62,'Sources and Uses Budget'!DHW108-SUM('15 Year Pro Forma'!DHU66:DHV66))</f>
        <v>0</v>
      </c>
      <c r="DHY66" s="960">
        <f>MIN(DHY60-DHY62,'Sources and Uses Budget'!DHY108-SUM('15 Year Pro Forma'!DHW66:DHX66))</f>
        <v>0</v>
      </c>
      <c r="DIA66" s="960">
        <f>MIN(DIA60-DIA62,'Sources and Uses Budget'!DIA108-SUM('15 Year Pro Forma'!DHY66:DHZ66))</f>
        <v>0</v>
      </c>
      <c r="DIC66" s="960">
        <f>MIN(DIC60-DIC62,'Sources and Uses Budget'!DIC108-SUM('15 Year Pro Forma'!DIA66:DIB66))</f>
        <v>0</v>
      </c>
      <c r="DIE66" s="960">
        <f>MIN(DIE60-DIE62,'Sources and Uses Budget'!DIE108-SUM('15 Year Pro Forma'!DIC66:DID66))</f>
        <v>0</v>
      </c>
      <c r="DIG66" s="960">
        <f>MIN(DIG60-DIG62,'Sources and Uses Budget'!DIG108-SUM('15 Year Pro Forma'!DIE66:DIF66))</f>
        <v>0</v>
      </c>
      <c r="DII66" s="960">
        <f>MIN(DII60-DII62,'Sources and Uses Budget'!DII108-SUM('15 Year Pro Forma'!DIG66:DIH66))</f>
        <v>0</v>
      </c>
      <c r="DIK66" s="960">
        <f>MIN(DIK60-DIK62,'Sources and Uses Budget'!DIK108-SUM('15 Year Pro Forma'!DII66:DIJ66))</f>
        <v>0</v>
      </c>
      <c r="DIM66" s="960">
        <f>MIN(DIM60-DIM62,'Sources and Uses Budget'!DIM108-SUM('15 Year Pro Forma'!DIK66:DIL66))</f>
        <v>0</v>
      </c>
      <c r="DIO66" s="960">
        <f>MIN(DIO60-DIO62,'Sources and Uses Budget'!DIO108-SUM('15 Year Pro Forma'!DIM66:DIN66))</f>
        <v>0</v>
      </c>
      <c r="DIQ66" s="960">
        <f>MIN(DIQ60-DIQ62,'Sources and Uses Budget'!DIQ108-SUM('15 Year Pro Forma'!DIO66:DIP66))</f>
        <v>0</v>
      </c>
      <c r="DIS66" s="960">
        <f>MIN(DIS60-DIS62,'Sources and Uses Budget'!DIS108-SUM('15 Year Pro Forma'!DIQ66:DIR66))</f>
        <v>0</v>
      </c>
      <c r="DIU66" s="960">
        <f>MIN(DIU60-DIU62,'Sources and Uses Budget'!DIU108-SUM('15 Year Pro Forma'!DIS66:DIT66))</f>
        <v>0</v>
      </c>
      <c r="DIW66" s="960">
        <f>MIN(DIW60-DIW62,'Sources and Uses Budget'!DIW108-SUM('15 Year Pro Forma'!DIU66:DIV66))</f>
        <v>0</v>
      </c>
      <c r="DIY66" s="960">
        <f>MIN(DIY60-DIY62,'Sources and Uses Budget'!DIY108-SUM('15 Year Pro Forma'!DIW66:DIX66))</f>
        <v>0</v>
      </c>
      <c r="DJA66" s="960">
        <f>MIN(DJA60-DJA62,'Sources and Uses Budget'!DJA108-SUM('15 Year Pro Forma'!DIY66:DIZ66))</f>
        <v>0</v>
      </c>
      <c r="DJC66" s="960">
        <f>MIN(DJC60-DJC62,'Sources and Uses Budget'!DJC108-SUM('15 Year Pro Forma'!DJA66:DJB66))</f>
        <v>0</v>
      </c>
      <c r="DJE66" s="960">
        <f>MIN(DJE60-DJE62,'Sources and Uses Budget'!DJE108-SUM('15 Year Pro Forma'!DJC66:DJD66))</f>
        <v>0</v>
      </c>
      <c r="DJG66" s="960">
        <f>MIN(DJG60-DJG62,'Sources and Uses Budget'!DJG108-SUM('15 Year Pro Forma'!DJE66:DJF66))</f>
        <v>0</v>
      </c>
      <c r="DJI66" s="960">
        <f>MIN(DJI60-DJI62,'Sources and Uses Budget'!DJI108-SUM('15 Year Pro Forma'!DJG66:DJH66))</f>
        <v>0</v>
      </c>
      <c r="DJK66" s="960">
        <f>MIN(DJK60-DJK62,'Sources and Uses Budget'!DJK108-SUM('15 Year Pro Forma'!DJI66:DJJ66))</f>
        <v>0</v>
      </c>
      <c r="DJM66" s="960">
        <f>MIN(DJM60-DJM62,'Sources and Uses Budget'!DJM108-SUM('15 Year Pro Forma'!DJK66:DJL66))</f>
        <v>0</v>
      </c>
      <c r="DJO66" s="960">
        <f>MIN(DJO60-DJO62,'Sources and Uses Budget'!DJO108-SUM('15 Year Pro Forma'!DJM66:DJN66))</f>
        <v>0</v>
      </c>
      <c r="DJQ66" s="960">
        <f>MIN(DJQ60-DJQ62,'Sources and Uses Budget'!DJQ108-SUM('15 Year Pro Forma'!DJO66:DJP66))</f>
        <v>0</v>
      </c>
      <c r="DJS66" s="960">
        <f>MIN(DJS60-DJS62,'Sources and Uses Budget'!DJS108-SUM('15 Year Pro Forma'!DJQ66:DJR66))</f>
        <v>0</v>
      </c>
      <c r="DJU66" s="960">
        <f>MIN(DJU60-DJU62,'Sources and Uses Budget'!DJU108-SUM('15 Year Pro Forma'!DJS66:DJT66))</f>
        <v>0</v>
      </c>
      <c r="DJW66" s="960">
        <f>MIN(DJW60-DJW62,'Sources and Uses Budget'!DJW108-SUM('15 Year Pro Forma'!DJU66:DJV66))</f>
        <v>0</v>
      </c>
      <c r="DJY66" s="960">
        <f>MIN(DJY60-DJY62,'Sources and Uses Budget'!DJY108-SUM('15 Year Pro Forma'!DJW66:DJX66))</f>
        <v>0</v>
      </c>
      <c r="DKA66" s="960">
        <f>MIN(DKA60-DKA62,'Sources and Uses Budget'!DKA108-SUM('15 Year Pro Forma'!DJY66:DJZ66))</f>
        <v>0</v>
      </c>
      <c r="DKC66" s="960">
        <f>MIN(DKC60-DKC62,'Sources and Uses Budget'!DKC108-SUM('15 Year Pro Forma'!DKA66:DKB66))</f>
        <v>0</v>
      </c>
      <c r="DKE66" s="960">
        <f>MIN(DKE60-DKE62,'Sources and Uses Budget'!DKE108-SUM('15 Year Pro Forma'!DKC66:DKD66))</f>
        <v>0</v>
      </c>
      <c r="DKG66" s="960">
        <f>MIN(DKG60-DKG62,'Sources and Uses Budget'!DKG108-SUM('15 Year Pro Forma'!DKE66:DKF66))</f>
        <v>0</v>
      </c>
      <c r="DKI66" s="960">
        <f>MIN(DKI60-DKI62,'Sources and Uses Budget'!DKI108-SUM('15 Year Pro Forma'!DKG66:DKH66))</f>
        <v>0</v>
      </c>
      <c r="DKK66" s="960">
        <f>MIN(DKK60-DKK62,'Sources and Uses Budget'!DKK108-SUM('15 Year Pro Forma'!DKI66:DKJ66))</f>
        <v>0</v>
      </c>
      <c r="DKM66" s="960">
        <f>MIN(DKM60-DKM62,'Sources and Uses Budget'!DKM108-SUM('15 Year Pro Forma'!DKK66:DKL66))</f>
        <v>0</v>
      </c>
      <c r="DKO66" s="960">
        <f>MIN(DKO60-DKO62,'Sources and Uses Budget'!DKO108-SUM('15 Year Pro Forma'!DKM66:DKN66))</f>
        <v>0</v>
      </c>
      <c r="DKQ66" s="960">
        <f>MIN(DKQ60-DKQ62,'Sources and Uses Budget'!DKQ108-SUM('15 Year Pro Forma'!DKO66:DKP66))</f>
        <v>0</v>
      </c>
      <c r="DKS66" s="960">
        <f>MIN(DKS60-DKS62,'Sources and Uses Budget'!DKS108-SUM('15 Year Pro Forma'!DKQ66:DKR66))</f>
        <v>0</v>
      </c>
      <c r="DKU66" s="960">
        <f>MIN(DKU60-DKU62,'Sources and Uses Budget'!DKU108-SUM('15 Year Pro Forma'!DKS66:DKT66))</f>
        <v>0</v>
      </c>
      <c r="DKW66" s="960">
        <f>MIN(DKW60-DKW62,'Sources and Uses Budget'!DKW108-SUM('15 Year Pro Forma'!DKU66:DKV66))</f>
        <v>0</v>
      </c>
      <c r="DKY66" s="960">
        <f>MIN(DKY60-DKY62,'Sources and Uses Budget'!DKY108-SUM('15 Year Pro Forma'!DKW66:DKX66))</f>
        <v>0</v>
      </c>
      <c r="DLA66" s="960">
        <f>MIN(DLA60-DLA62,'Sources and Uses Budget'!DLA108-SUM('15 Year Pro Forma'!DKY66:DKZ66))</f>
        <v>0</v>
      </c>
      <c r="DLC66" s="960">
        <f>MIN(DLC60-DLC62,'Sources and Uses Budget'!DLC108-SUM('15 Year Pro Forma'!DLA66:DLB66))</f>
        <v>0</v>
      </c>
      <c r="DLE66" s="960">
        <f>MIN(DLE60-DLE62,'Sources and Uses Budget'!DLE108-SUM('15 Year Pro Forma'!DLC66:DLD66))</f>
        <v>0</v>
      </c>
      <c r="DLG66" s="960">
        <f>MIN(DLG60-DLG62,'Sources and Uses Budget'!DLG108-SUM('15 Year Pro Forma'!DLE66:DLF66))</f>
        <v>0</v>
      </c>
      <c r="DLI66" s="960">
        <f>MIN(DLI60-DLI62,'Sources and Uses Budget'!DLI108-SUM('15 Year Pro Forma'!DLG66:DLH66))</f>
        <v>0</v>
      </c>
      <c r="DLK66" s="960">
        <f>MIN(DLK60-DLK62,'Sources and Uses Budget'!DLK108-SUM('15 Year Pro Forma'!DLI66:DLJ66))</f>
        <v>0</v>
      </c>
      <c r="DLM66" s="960">
        <f>MIN(DLM60-DLM62,'Sources and Uses Budget'!DLM108-SUM('15 Year Pro Forma'!DLK66:DLL66))</f>
        <v>0</v>
      </c>
      <c r="DLO66" s="960">
        <f>MIN(DLO60-DLO62,'Sources and Uses Budget'!DLO108-SUM('15 Year Pro Forma'!DLM66:DLN66))</f>
        <v>0</v>
      </c>
      <c r="DLQ66" s="960">
        <f>MIN(DLQ60-DLQ62,'Sources and Uses Budget'!DLQ108-SUM('15 Year Pro Forma'!DLO66:DLP66))</f>
        <v>0</v>
      </c>
      <c r="DLS66" s="960">
        <f>MIN(DLS60-DLS62,'Sources and Uses Budget'!DLS108-SUM('15 Year Pro Forma'!DLQ66:DLR66))</f>
        <v>0</v>
      </c>
      <c r="DLU66" s="960">
        <f>MIN(DLU60-DLU62,'Sources and Uses Budget'!DLU108-SUM('15 Year Pro Forma'!DLS66:DLT66))</f>
        <v>0</v>
      </c>
      <c r="DLW66" s="960">
        <f>MIN(DLW60-DLW62,'Sources and Uses Budget'!DLW108-SUM('15 Year Pro Forma'!DLU66:DLV66))</f>
        <v>0</v>
      </c>
      <c r="DLY66" s="960">
        <f>MIN(DLY60-DLY62,'Sources and Uses Budget'!DLY108-SUM('15 Year Pro Forma'!DLW66:DLX66))</f>
        <v>0</v>
      </c>
      <c r="DMA66" s="960">
        <f>MIN(DMA60-DMA62,'Sources and Uses Budget'!DMA108-SUM('15 Year Pro Forma'!DLY66:DLZ66))</f>
        <v>0</v>
      </c>
      <c r="DMC66" s="960">
        <f>MIN(DMC60-DMC62,'Sources and Uses Budget'!DMC108-SUM('15 Year Pro Forma'!DMA66:DMB66))</f>
        <v>0</v>
      </c>
      <c r="DME66" s="960">
        <f>MIN(DME60-DME62,'Sources and Uses Budget'!DME108-SUM('15 Year Pro Forma'!DMC66:DMD66))</f>
        <v>0</v>
      </c>
      <c r="DMG66" s="960">
        <f>MIN(DMG60-DMG62,'Sources and Uses Budget'!DMG108-SUM('15 Year Pro Forma'!DME66:DMF66))</f>
        <v>0</v>
      </c>
      <c r="DMI66" s="960">
        <f>MIN(DMI60-DMI62,'Sources and Uses Budget'!DMI108-SUM('15 Year Pro Forma'!DMG66:DMH66))</f>
        <v>0</v>
      </c>
      <c r="DMK66" s="960">
        <f>MIN(DMK60-DMK62,'Sources and Uses Budget'!DMK108-SUM('15 Year Pro Forma'!DMI66:DMJ66))</f>
        <v>0</v>
      </c>
      <c r="DMM66" s="960">
        <f>MIN(DMM60-DMM62,'Sources and Uses Budget'!DMM108-SUM('15 Year Pro Forma'!DMK66:DML66))</f>
        <v>0</v>
      </c>
      <c r="DMO66" s="960">
        <f>MIN(DMO60-DMO62,'Sources and Uses Budget'!DMO108-SUM('15 Year Pro Forma'!DMM66:DMN66))</f>
        <v>0</v>
      </c>
      <c r="DMQ66" s="960">
        <f>MIN(DMQ60-DMQ62,'Sources and Uses Budget'!DMQ108-SUM('15 Year Pro Forma'!DMO66:DMP66))</f>
        <v>0</v>
      </c>
      <c r="DMS66" s="960">
        <f>MIN(DMS60-DMS62,'Sources and Uses Budget'!DMS108-SUM('15 Year Pro Forma'!DMQ66:DMR66))</f>
        <v>0</v>
      </c>
      <c r="DMU66" s="960">
        <f>MIN(DMU60-DMU62,'Sources and Uses Budget'!DMU108-SUM('15 Year Pro Forma'!DMS66:DMT66))</f>
        <v>0</v>
      </c>
      <c r="DMW66" s="960">
        <f>MIN(DMW60-DMW62,'Sources and Uses Budget'!DMW108-SUM('15 Year Pro Forma'!DMU66:DMV66))</f>
        <v>0</v>
      </c>
      <c r="DMY66" s="960">
        <f>MIN(DMY60-DMY62,'Sources and Uses Budget'!DMY108-SUM('15 Year Pro Forma'!DMW66:DMX66))</f>
        <v>0</v>
      </c>
      <c r="DNA66" s="960">
        <f>MIN(DNA60-DNA62,'Sources and Uses Budget'!DNA108-SUM('15 Year Pro Forma'!DMY66:DMZ66))</f>
        <v>0</v>
      </c>
      <c r="DNC66" s="960">
        <f>MIN(DNC60-DNC62,'Sources and Uses Budget'!DNC108-SUM('15 Year Pro Forma'!DNA66:DNB66))</f>
        <v>0</v>
      </c>
      <c r="DNE66" s="960">
        <f>MIN(DNE60-DNE62,'Sources and Uses Budget'!DNE108-SUM('15 Year Pro Forma'!DNC66:DND66))</f>
        <v>0</v>
      </c>
      <c r="DNG66" s="960">
        <f>MIN(DNG60-DNG62,'Sources and Uses Budget'!DNG108-SUM('15 Year Pro Forma'!DNE66:DNF66))</f>
        <v>0</v>
      </c>
      <c r="DNI66" s="960">
        <f>MIN(DNI60-DNI62,'Sources and Uses Budget'!DNI108-SUM('15 Year Pro Forma'!DNG66:DNH66))</f>
        <v>0</v>
      </c>
      <c r="DNK66" s="960">
        <f>MIN(DNK60-DNK62,'Sources and Uses Budget'!DNK108-SUM('15 Year Pro Forma'!DNI66:DNJ66))</f>
        <v>0</v>
      </c>
      <c r="DNM66" s="960">
        <f>MIN(DNM60-DNM62,'Sources and Uses Budget'!DNM108-SUM('15 Year Pro Forma'!DNK66:DNL66))</f>
        <v>0</v>
      </c>
      <c r="DNO66" s="960">
        <f>MIN(DNO60-DNO62,'Sources and Uses Budget'!DNO108-SUM('15 Year Pro Forma'!DNM66:DNN66))</f>
        <v>0</v>
      </c>
      <c r="DNQ66" s="960">
        <f>MIN(DNQ60-DNQ62,'Sources and Uses Budget'!DNQ108-SUM('15 Year Pro Forma'!DNO66:DNP66))</f>
        <v>0</v>
      </c>
      <c r="DNS66" s="960">
        <f>MIN(DNS60-DNS62,'Sources and Uses Budget'!DNS108-SUM('15 Year Pro Forma'!DNQ66:DNR66))</f>
        <v>0</v>
      </c>
      <c r="DNU66" s="960">
        <f>MIN(DNU60-DNU62,'Sources and Uses Budget'!DNU108-SUM('15 Year Pro Forma'!DNS66:DNT66))</f>
        <v>0</v>
      </c>
      <c r="DNW66" s="960">
        <f>MIN(DNW60-DNW62,'Sources and Uses Budget'!DNW108-SUM('15 Year Pro Forma'!DNU66:DNV66))</f>
        <v>0</v>
      </c>
      <c r="DNY66" s="960">
        <f>MIN(DNY60-DNY62,'Sources and Uses Budget'!DNY108-SUM('15 Year Pro Forma'!DNW66:DNX66))</f>
        <v>0</v>
      </c>
      <c r="DOA66" s="960">
        <f>MIN(DOA60-DOA62,'Sources and Uses Budget'!DOA108-SUM('15 Year Pro Forma'!DNY66:DNZ66))</f>
        <v>0</v>
      </c>
      <c r="DOC66" s="960">
        <f>MIN(DOC60-DOC62,'Sources and Uses Budget'!DOC108-SUM('15 Year Pro Forma'!DOA66:DOB66))</f>
        <v>0</v>
      </c>
      <c r="DOE66" s="960">
        <f>MIN(DOE60-DOE62,'Sources and Uses Budget'!DOE108-SUM('15 Year Pro Forma'!DOC66:DOD66))</f>
        <v>0</v>
      </c>
      <c r="DOG66" s="960">
        <f>MIN(DOG60-DOG62,'Sources and Uses Budget'!DOG108-SUM('15 Year Pro Forma'!DOE66:DOF66))</f>
        <v>0</v>
      </c>
      <c r="DOI66" s="960">
        <f>MIN(DOI60-DOI62,'Sources and Uses Budget'!DOI108-SUM('15 Year Pro Forma'!DOG66:DOH66))</f>
        <v>0</v>
      </c>
      <c r="DOK66" s="960">
        <f>MIN(DOK60-DOK62,'Sources and Uses Budget'!DOK108-SUM('15 Year Pro Forma'!DOI66:DOJ66))</f>
        <v>0</v>
      </c>
      <c r="DOM66" s="960">
        <f>MIN(DOM60-DOM62,'Sources and Uses Budget'!DOM108-SUM('15 Year Pro Forma'!DOK66:DOL66))</f>
        <v>0</v>
      </c>
      <c r="DOO66" s="960">
        <f>MIN(DOO60-DOO62,'Sources and Uses Budget'!DOO108-SUM('15 Year Pro Forma'!DOM66:DON66))</f>
        <v>0</v>
      </c>
      <c r="DOQ66" s="960">
        <f>MIN(DOQ60-DOQ62,'Sources and Uses Budget'!DOQ108-SUM('15 Year Pro Forma'!DOO66:DOP66))</f>
        <v>0</v>
      </c>
      <c r="DOS66" s="960">
        <f>MIN(DOS60-DOS62,'Sources and Uses Budget'!DOS108-SUM('15 Year Pro Forma'!DOQ66:DOR66))</f>
        <v>0</v>
      </c>
      <c r="DOU66" s="960">
        <f>MIN(DOU60-DOU62,'Sources and Uses Budget'!DOU108-SUM('15 Year Pro Forma'!DOS66:DOT66))</f>
        <v>0</v>
      </c>
      <c r="DOW66" s="960">
        <f>MIN(DOW60-DOW62,'Sources and Uses Budget'!DOW108-SUM('15 Year Pro Forma'!DOU66:DOV66))</f>
        <v>0</v>
      </c>
      <c r="DOY66" s="960">
        <f>MIN(DOY60-DOY62,'Sources and Uses Budget'!DOY108-SUM('15 Year Pro Forma'!DOW66:DOX66))</f>
        <v>0</v>
      </c>
      <c r="DPA66" s="960">
        <f>MIN(DPA60-DPA62,'Sources and Uses Budget'!DPA108-SUM('15 Year Pro Forma'!DOY66:DOZ66))</f>
        <v>0</v>
      </c>
      <c r="DPC66" s="960">
        <f>MIN(DPC60-DPC62,'Sources and Uses Budget'!DPC108-SUM('15 Year Pro Forma'!DPA66:DPB66))</f>
        <v>0</v>
      </c>
      <c r="DPE66" s="960">
        <f>MIN(DPE60-DPE62,'Sources and Uses Budget'!DPE108-SUM('15 Year Pro Forma'!DPC66:DPD66))</f>
        <v>0</v>
      </c>
      <c r="DPG66" s="960">
        <f>MIN(DPG60-DPG62,'Sources and Uses Budget'!DPG108-SUM('15 Year Pro Forma'!DPE66:DPF66))</f>
        <v>0</v>
      </c>
      <c r="DPI66" s="960">
        <f>MIN(DPI60-DPI62,'Sources and Uses Budget'!DPI108-SUM('15 Year Pro Forma'!DPG66:DPH66))</f>
        <v>0</v>
      </c>
      <c r="DPK66" s="960">
        <f>MIN(DPK60-DPK62,'Sources and Uses Budget'!DPK108-SUM('15 Year Pro Forma'!DPI66:DPJ66))</f>
        <v>0</v>
      </c>
      <c r="DPM66" s="960">
        <f>MIN(DPM60-DPM62,'Sources and Uses Budget'!DPM108-SUM('15 Year Pro Forma'!DPK66:DPL66))</f>
        <v>0</v>
      </c>
      <c r="DPO66" s="960">
        <f>MIN(DPO60-DPO62,'Sources and Uses Budget'!DPO108-SUM('15 Year Pro Forma'!DPM66:DPN66))</f>
        <v>0</v>
      </c>
      <c r="DPQ66" s="960">
        <f>MIN(DPQ60-DPQ62,'Sources and Uses Budget'!DPQ108-SUM('15 Year Pro Forma'!DPO66:DPP66))</f>
        <v>0</v>
      </c>
      <c r="DPS66" s="960">
        <f>MIN(DPS60-DPS62,'Sources and Uses Budget'!DPS108-SUM('15 Year Pro Forma'!DPQ66:DPR66))</f>
        <v>0</v>
      </c>
      <c r="DPU66" s="960">
        <f>MIN(DPU60-DPU62,'Sources and Uses Budget'!DPU108-SUM('15 Year Pro Forma'!DPS66:DPT66))</f>
        <v>0</v>
      </c>
      <c r="DPW66" s="960">
        <f>MIN(DPW60-DPW62,'Sources and Uses Budget'!DPW108-SUM('15 Year Pro Forma'!DPU66:DPV66))</f>
        <v>0</v>
      </c>
      <c r="DPY66" s="960">
        <f>MIN(DPY60-DPY62,'Sources and Uses Budget'!DPY108-SUM('15 Year Pro Forma'!DPW66:DPX66))</f>
        <v>0</v>
      </c>
      <c r="DQA66" s="960">
        <f>MIN(DQA60-DQA62,'Sources and Uses Budget'!DQA108-SUM('15 Year Pro Forma'!DPY66:DPZ66))</f>
        <v>0</v>
      </c>
      <c r="DQC66" s="960">
        <f>MIN(DQC60-DQC62,'Sources and Uses Budget'!DQC108-SUM('15 Year Pro Forma'!DQA66:DQB66))</f>
        <v>0</v>
      </c>
      <c r="DQE66" s="960">
        <f>MIN(DQE60-DQE62,'Sources and Uses Budget'!DQE108-SUM('15 Year Pro Forma'!DQC66:DQD66))</f>
        <v>0</v>
      </c>
      <c r="DQG66" s="960">
        <f>MIN(DQG60-DQG62,'Sources and Uses Budget'!DQG108-SUM('15 Year Pro Forma'!DQE66:DQF66))</f>
        <v>0</v>
      </c>
      <c r="DQI66" s="960">
        <f>MIN(DQI60-DQI62,'Sources and Uses Budget'!DQI108-SUM('15 Year Pro Forma'!DQG66:DQH66))</f>
        <v>0</v>
      </c>
      <c r="DQK66" s="960">
        <f>MIN(DQK60-DQK62,'Sources and Uses Budget'!DQK108-SUM('15 Year Pro Forma'!DQI66:DQJ66))</f>
        <v>0</v>
      </c>
      <c r="DQM66" s="960">
        <f>MIN(DQM60-DQM62,'Sources and Uses Budget'!DQM108-SUM('15 Year Pro Forma'!DQK66:DQL66))</f>
        <v>0</v>
      </c>
      <c r="DQO66" s="960">
        <f>MIN(DQO60-DQO62,'Sources and Uses Budget'!DQO108-SUM('15 Year Pro Forma'!DQM66:DQN66))</f>
        <v>0</v>
      </c>
      <c r="DQQ66" s="960">
        <f>MIN(DQQ60-DQQ62,'Sources and Uses Budget'!DQQ108-SUM('15 Year Pro Forma'!DQO66:DQP66))</f>
        <v>0</v>
      </c>
      <c r="DQS66" s="960">
        <f>MIN(DQS60-DQS62,'Sources and Uses Budget'!DQS108-SUM('15 Year Pro Forma'!DQQ66:DQR66))</f>
        <v>0</v>
      </c>
      <c r="DQU66" s="960">
        <f>MIN(DQU60-DQU62,'Sources and Uses Budget'!DQU108-SUM('15 Year Pro Forma'!DQS66:DQT66))</f>
        <v>0</v>
      </c>
      <c r="DQW66" s="960">
        <f>MIN(DQW60-DQW62,'Sources and Uses Budget'!DQW108-SUM('15 Year Pro Forma'!DQU66:DQV66))</f>
        <v>0</v>
      </c>
      <c r="DQY66" s="960">
        <f>MIN(DQY60-DQY62,'Sources and Uses Budget'!DQY108-SUM('15 Year Pro Forma'!DQW66:DQX66))</f>
        <v>0</v>
      </c>
      <c r="DRA66" s="960">
        <f>MIN(DRA60-DRA62,'Sources and Uses Budget'!DRA108-SUM('15 Year Pro Forma'!DQY66:DQZ66))</f>
        <v>0</v>
      </c>
      <c r="DRC66" s="960">
        <f>MIN(DRC60-DRC62,'Sources and Uses Budget'!DRC108-SUM('15 Year Pro Forma'!DRA66:DRB66))</f>
        <v>0</v>
      </c>
      <c r="DRE66" s="960">
        <f>MIN(DRE60-DRE62,'Sources and Uses Budget'!DRE108-SUM('15 Year Pro Forma'!DRC66:DRD66))</f>
        <v>0</v>
      </c>
      <c r="DRG66" s="960">
        <f>MIN(DRG60-DRG62,'Sources and Uses Budget'!DRG108-SUM('15 Year Pro Forma'!DRE66:DRF66))</f>
        <v>0</v>
      </c>
      <c r="DRI66" s="960">
        <f>MIN(DRI60-DRI62,'Sources and Uses Budget'!DRI108-SUM('15 Year Pro Forma'!DRG66:DRH66))</f>
        <v>0</v>
      </c>
      <c r="DRK66" s="960">
        <f>MIN(DRK60-DRK62,'Sources and Uses Budget'!DRK108-SUM('15 Year Pro Forma'!DRI66:DRJ66))</f>
        <v>0</v>
      </c>
      <c r="DRM66" s="960">
        <f>MIN(DRM60-DRM62,'Sources and Uses Budget'!DRM108-SUM('15 Year Pro Forma'!DRK66:DRL66))</f>
        <v>0</v>
      </c>
      <c r="DRO66" s="960">
        <f>MIN(DRO60-DRO62,'Sources and Uses Budget'!DRO108-SUM('15 Year Pro Forma'!DRM66:DRN66))</f>
        <v>0</v>
      </c>
      <c r="DRQ66" s="960">
        <f>MIN(DRQ60-DRQ62,'Sources and Uses Budget'!DRQ108-SUM('15 Year Pro Forma'!DRO66:DRP66))</f>
        <v>0</v>
      </c>
      <c r="DRS66" s="960">
        <f>MIN(DRS60-DRS62,'Sources and Uses Budget'!DRS108-SUM('15 Year Pro Forma'!DRQ66:DRR66))</f>
        <v>0</v>
      </c>
      <c r="DRU66" s="960">
        <f>MIN(DRU60-DRU62,'Sources and Uses Budget'!DRU108-SUM('15 Year Pro Forma'!DRS66:DRT66))</f>
        <v>0</v>
      </c>
      <c r="DRW66" s="960">
        <f>MIN(DRW60-DRW62,'Sources and Uses Budget'!DRW108-SUM('15 Year Pro Forma'!DRU66:DRV66))</f>
        <v>0</v>
      </c>
      <c r="DRY66" s="960">
        <f>MIN(DRY60-DRY62,'Sources and Uses Budget'!DRY108-SUM('15 Year Pro Forma'!DRW66:DRX66))</f>
        <v>0</v>
      </c>
      <c r="DSA66" s="960">
        <f>MIN(DSA60-DSA62,'Sources and Uses Budget'!DSA108-SUM('15 Year Pro Forma'!DRY66:DRZ66))</f>
        <v>0</v>
      </c>
      <c r="DSC66" s="960">
        <f>MIN(DSC60-DSC62,'Sources and Uses Budget'!DSC108-SUM('15 Year Pro Forma'!DSA66:DSB66))</f>
        <v>0</v>
      </c>
      <c r="DSE66" s="960">
        <f>MIN(DSE60-DSE62,'Sources and Uses Budget'!DSE108-SUM('15 Year Pro Forma'!DSC66:DSD66))</f>
        <v>0</v>
      </c>
      <c r="DSG66" s="960">
        <f>MIN(DSG60-DSG62,'Sources and Uses Budget'!DSG108-SUM('15 Year Pro Forma'!DSE66:DSF66))</f>
        <v>0</v>
      </c>
      <c r="DSI66" s="960">
        <f>MIN(DSI60-DSI62,'Sources and Uses Budget'!DSI108-SUM('15 Year Pro Forma'!DSG66:DSH66))</f>
        <v>0</v>
      </c>
      <c r="DSK66" s="960">
        <f>MIN(DSK60-DSK62,'Sources and Uses Budget'!DSK108-SUM('15 Year Pro Forma'!DSI66:DSJ66))</f>
        <v>0</v>
      </c>
      <c r="DSM66" s="960">
        <f>MIN(DSM60-DSM62,'Sources and Uses Budget'!DSM108-SUM('15 Year Pro Forma'!DSK66:DSL66))</f>
        <v>0</v>
      </c>
      <c r="DSO66" s="960">
        <f>MIN(DSO60-DSO62,'Sources and Uses Budget'!DSO108-SUM('15 Year Pro Forma'!DSM66:DSN66))</f>
        <v>0</v>
      </c>
      <c r="DSQ66" s="960">
        <f>MIN(DSQ60-DSQ62,'Sources and Uses Budget'!DSQ108-SUM('15 Year Pro Forma'!DSO66:DSP66))</f>
        <v>0</v>
      </c>
      <c r="DSS66" s="960">
        <f>MIN(DSS60-DSS62,'Sources and Uses Budget'!DSS108-SUM('15 Year Pro Forma'!DSQ66:DSR66))</f>
        <v>0</v>
      </c>
      <c r="DSU66" s="960">
        <f>MIN(DSU60-DSU62,'Sources and Uses Budget'!DSU108-SUM('15 Year Pro Forma'!DSS66:DST66))</f>
        <v>0</v>
      </c>
      <c r="DSW66" s="960">
        <f>MIN(DSW60-DSW62,'Sources and Uses Budget'!DSW108-SUM('15 Year Pro Forma'!DSU66:DSV66))</f>
        <v>0</v>
      </c>
      <c r="DSY66" s="960">
        <f>MIN(DSY60-DSY62,'Sources and Uses Budget'!DSY108-SUM('15 Year Pro Forma'!DSW66:DSX66))</f>
        <v>0</v>
      </c>
      <c r="DTA66" s="960">
        <f>MIN(DTA60-DTA62,'Sources and Uses Budget'!DTA108-SUM('15 Year Pro Forma'!DSY66:DSZ66))</f>
        <v>0</v>
      </c>
      <c r="DTC66" s="960">
        <f>MIN(DTC60-DTC62,'Sources and Uses Budget'!DTC108-SUM('15 Year Pro Forma'!DTA66:DTB66))</f>
        <v>0</v>
      </c>
      <c r="DTE66" s="960">
        <f>MIN(DTE60-DTE62,'Sources and Uses Budget'!DTE108-SUM('15 Year Pro Forma'!DTC66:DTD66))</f>
        <v>0</v>
      </c>
      <c r="DTG66" s="960">
        <f>MIN(DTG60-DTG62,'Sources and Uses Budget'!DTG108-SUM('15 Year Pro Forma'!DTE66:DTF66))</f>
        <v>0</v>
      </c>
      <c r="DTI66" s="960">
        <f>MIN(DTI60-DTI62,'Sources and Uses Budget'!DTI108-SUM('15 Year Pro Forma'!DTG66:DTH66))</f>
        <v>0</v>
      </c>
      <c r="DTK66" s="960">
        <f>MIN(DTK60-DTK62,'Sources and Uses Budget'!DTK108-SUM('15 Year Pro Forma'!DTI66:DTJ66))</f>
        <v>0</v>
      </c>
      <c r="DTM66" s="960">
        <f>MIN(DTM60-DTM62,'Sources and Uses Budget'!DTM108-SUM('15 Year Pro Forma'!DTK66:DTL66))</f>
        <v>0</v>
      </c>
      <c r="DTO66" s="960">
        <f>MIN(DTO60-DTO62,'Sources and Uses Budget'!DTO108-SUM('15 Year Pro Forma'!DTM66:DTN66))</f>
        <v>0</v>
      </c>
      <c r="DTQ66" s="960">
        <f>MIN(DTQ60-DTQ62,'Sources and Uses Budget'!DTQ108-SUM('15 Year Pro Forma'!DTO66:DTP66))</f>
        <v>0</v>
      </c>
      <c r="DTS66" s="960">
        <f>MIN(DTS60-DTS62,'Sources and Uses Budget'!DTS108-SUM('15 Year Pro Forma'!DTQ66:DTR66))</f>
        <v>0</v>
      </c>
      <c r="DTU66" s="960">
        <f>MIN(DTU60-DTU62,'Sources and Uses Budget'!DTU108-SUM('15 Year Pro Forma'!DTS66:DTT66))</f>
        <v>0</v>
      </c>
      <c r="DTW66" s="960">
        <f>MIN(DTW60-DTW62,'Sources and Uses Budget'!DTW108-SUM('15 Year Pro Forma'!DTU66:DTV66))</f>
        <v>0</v>
      </c>
      <c r="DTY66" s="960">
        <f>MIN(DTY60-DTY62,'Sources and Uses Budget'!DTY108-SUM('15 Year Pro Forma'!DTW66:DTX66))</f>
        <v>0</v>
      </c>
      <c r="DUA66" s="960">
        <f>MIN(DUA60-DUA62,'Sources and Uses Budget'!DUA108-SUM('15 Year Pro Forma'!DTY66:DTZ66))</f>
        <v>0</v>
      </c>
      <c r="DUC66" s="960">
        <f>MIN(DUC60-DUC62,'Sources and Uses Budget'!DUC108-SUM('15 Year Pro Forma'!DUA66:DUB66))</f>
        <v>0</v>
      </c>
      <c r="DUE66" s="960">
        <f>MIN(DUE60-DUE62,'Sources and Uses Budget'!DUE108-SUM('15 Year Pro Forma'!DUC66:DUD66))</f>
        <v>0</v>
      </c>
      <c r="DUG66" s="960">
        <f>MIN(DUG60-DUG62,'Sources and Uses Budget'!DUG108-SUM('15 Year Pro Forma'!DUE66:DUF66))</f>
        <v>0</v>
      </c>
      <c r="DUI66" s="960">
        <f>MIN(DUI60-DUI62,'Sources and Uses Budget'!DUI108-SUM('15 Year Pro Forma'!DUG66:DUH66))</f>
        <v>0</v>
      </c>
      <c r="DUK66" s="960">
        <f>MIN(DUK60-DUK62,'Sources and Uses Budget'!DUK108-SUM('15 Year Pro Forma'!DUI66:DUJ66))</f>
        <v>0</v>
      </c>
      <c r="DUM66" s="960">
        <f>MIN(DUM60-DUM62,'Sources and Uses Budget'!DUM108-SUM('15 Year Pro Forma'!DUK66:DUL66))</f>
        <v>0</v>
      </c>
      <c r="DUO66" s="960">
        <f>MIN(DUO60-DUO62,'Sources and Uses Budget'!DUO108-SUM('15 Year Pro Forma'!DUM66:DUN66))</f>
        <v>0</v>
      </c>
      <c r="DUQ66" s="960">
        <f>MIN(DUQ60-DUQ62,'Sources and Uses Budget'!DUQ108-SUM('15 Year Pro Forma'!DUO66:DUP66))</f>
        <v>0</v>
      </c>
      <c r="DUS66" s="960">
        <f>MIN(DUS60-DUS62,'Sources and Uses Budget'!DUS108-SUM('15 Year Pro Forma'!DUQ66:DUR66))</f>
        <v>0</v>
      </c>
      <c r="DUU66" s="960">
        <f>MIN(DUU60-DUU62,'Sources and Uses Budget'!DUU108-SUM('15 Year Pro Forma'!DUS66:DUT66))</f>
        <v>0</v>
      </c>
      <c r="DUW66" s="960">
        <f>MIN(DUW60-DUW62,'Sources and Uses Budget'!DUW108-SUM('15 Year Pro Forma'!DUU66:DUV66))</f>
        <v>0</v>
      </c>
      <c r="DUY66" s="960">
        <f>MIN(DUY60-DUY62,'Sources and Uses Budget'!DUY108-SUM('15 Year Pro Forma'!DUW66:DUX66))</f>
        <v>0</v>
      </c>
      <c r="DVA66" s="960">
        <f>MIN(DVA60-DVA62,'Sources and Uses Budget'!DVA108-SUM('15 Year Pro Forma'!DUY66:DUZ66))</f>
        <v>0</v>
      </c>
      <c r="DVC66" s="960">
        <f>MIN(DVC60-DVC62,'Sources and Uses Budget'!DVC108-SUM('15 Year Pro Forma'!DVA66:DVB66))</f>
        <v>0</v>
      </c>
      <c r="DVE66" s="960">
        <f>MIN(DVE60-DVE62,'Sources and Uses Budget'!DVE108-SUM('15 Year Pro Forma'!DVC66:DVD66))</f>
        <v>0</v>
      </c>
      <c r="DVG66" s="960">
        <f>MIN(DVG60-DVG62,'Sources and Uses Budget'!DVG108-SUM('15 Year Pro Forma'!DVE66:DVF66))</f>
        <v>0</v>
      </c>
      <c r="DVI66" s="960">
        <f>MIN(DVI60-DVI62,'Sources and Uses Budget'!DVI108-SUM('15 Year Pro Forma'!DVG66:DVH66))</f>
        <v>0</v>
      </c>
      <c r="DVK66" s="960">
        <f>MIN(DVK60-DVK62,'Sources and Uses Budget'!DVK108-SUM('15 Year Pro Forma'!DVI66:DVJ66))</f>
        <v>0</v>
      </c>
      <c r="DVM66" s="960">
        <f>MIN(DVM60-DVM62,'Sources and Uses Budget'!DVM108-SUM('15 Year Pro Forma'!DVK66:DVL66))</f>
        <v>0</v>
      </c>
      <c r="DVO66" s="960">
        <f>MIN(DVO60-DVO62,'Sources and Uses Budget'!DVO108-SUM('15 Year Pro Forma'!DVM66:DVN66))</f>
        <v>0</v>
      </c>
      <c r="DVQ66" s="960">
        <f>MIN(DVQ60-DVQ62,'Sources and Uses Budget'!DVQ108-SUM('15 Year Pro Forma'!DVO66:DVP66))</f>
        <v>0</v>
      </c>
      <c r="DVS66" s="960">
        <f>MIN(DVS60-DVS62,'Sources and Uses Budget'!DVS108-SUM('15 Year Pro Forma'!DVQ66:DVR66))</f>
        <v>0</v>
      </c>
      <c r="DVU66" s="960">
        <f>MIN(DVU60-DVU62,'Sources and Uses Budget'!DVU108-SUM('15 Year Pro Forma'!DVS66:DVT66))</f>
        <v>0</v>
      </c>
      <c r="DVW66" s="960">
        <f>MIN(DVW60-DVW62,'Sources and Uses Budget'!DVW108-SUM('15 Year Pro Forma'!DVU66:DVV66))</f>
        <v>0</v>
      </c>
      <c r="DVY66" s="960">
        <f>MIN(DVY60-DVY62,'Sources and Uses Budget'!DVY108-SUM('15 Year Pro Forma'!DVW66:DVX66))</f>
        <v>0</v>
      </c>
      <c r="DWA66" s="960">
        <f>MIN(DWA60-DWA62,'Sources and Uses Budget'!DWA108-SUM('15 Year Pro Forma'!DVY66:DVZ66))</f>
        <v>0</v>
      </c>
      <c r="DWC66" s="960">
        <f>MIN(DWC60-DWC62,'Sources and Uses Budget'!DWC108-SUM('15 Year Pro Forma'!DWA66:DWB66))</f>
        <v>0</v>
      </c>
      <c r="DWE66" s="960">
        <f>MIN(DWE60-DWE62,'Sources and Uses Budget'!DWE108-SUM('15 Year Pro Forma'!DWC66:DWD66))</f>
        <v>0</v>
      </c>
      <c r="DWG66" s="960">
        <f>MIN(DWG60-DWG62,'Sources and Uses Budget'!DWG108-SUM('15 Year Pro Forma'!DWE66:DWF66))</f>
        <v>0</v>
      </c>
      <c r="DWI66" s="960">
        <f>MIN(DWI60-DWI62,'Sources and Uses Budget'!DWI108-SUM('15 Year Pro Forma'!DWG66:DWH66))</f>
        <v>0</v>
      </c>
      <c r="DWK66" s="960">
        <f>MIN(DWK60-DWK62,'Sources and Uses Budget'!DWK108-SUM('15 Year Pro Forma'!DWI66:DWJ66))</f>
        <v>0</v>
      </c>
      <c r="DWM66" s="960">
        <f>MIN(DWM60-DWM62,'Sources and Uses Budget'!DWM108-SUM('15 Year Pro Forma'!DWK66:DWL66))</f>
        <v>0</v>
      </c>
      <c r="DWO66" s="960">
        <f>MIN(DWO60-DWO62,'Sources and Uses Budget'!DWO108-SUM('15 Year Pro Forma'!DWM66:DWN66))</f>
        <v>0</v>
      </c>
      <c r="DWQ66" s="960">
        <f>MIN(DWQ60-DWQ62,'Sources and Uses Budget'!DWQ108-SUM('15 Year Pro Forma'!DWO66:DWP66))</f>
        <v>0</v>
      </c>
      <c r="DWS66" s="960">
        <f>MIN(DWS60-DWS62,'Sources and Uses Budget'!DWS108-SUM('15 Year Pro Forma'!DWQ66:DWR66))</f>
        <v>0</v>
      </c>
      <c r="DWU66" s="960">
        <f>MIN(DWU60-DWU62,'Sources and Uses Budget'!DWU108-SUM('15 Year Pro Forma'!DWS66:DWT66))</f>
        <v>0</v>
      </c>
      <c r="DWW66" s="960">
        <f>MIN(DWW60-DWW62,'Sources and Uses Budget'!DWW108-SUM('15 Year Pro Forma'!DWU66:DWV66))</f>
        <v>0</v>
      </c>
      <c r="DWY66" s="960">
        <f>MIN(DWY60-DWY62,'Sources and Uses Budget'!DWY108-SUM('15 Year Pro Forma'!DWW66:DWX66))</f>
        <v>0</v>
      </c>
      <c r="DXA66" s="960">
        <f>MIN(DXA60-DXA62,'Sources and Uses Budget'!DXA108-SUM('15 Year Pro Forma'!DWY66:DWZ66))</f>
        <v>0</v>
      </c>
      <c r="DXC66" s="960">
        <f>MIN(DXC60-DXC62,'Sources and Uses Budget'!DXC108-SUM('15 Year Pro Forma'!DXA66:DXB66))</f>
        <v>0</v>
      </c>
      <c r="DXE66" s="960">
        <f>MIN(DXE60-DXE62,'Sources and Uses Budget'!DXE108-SUM('15 Year Pro Forma'!DXC66:DXD66))</f>
        <v>0</v>
      </c>
      <c r="DXG66" s="960">
        <f>MIN(DXG60-DXG62,'Sources and Uses Budget'!DXG108-SUM('15 Year Pro Forma'!DXE66:DXF66))</f>
        <v>0</v>
      </c>
      <c r="DXI66" s="960">
        <f>MIN(DXI60-DXI62,'Sources and Uses Budget'!DXI108-SUM('15 Year Pro Forma'!DXG66:DXH66))</f>
        <v>0</v>
      </c>
      <c r="DXK66" s="960">
        <f>MIN(DXK60-DXK62,'Sources and Uses Budget'!DXK108-SUM('15 Year Pro Forma'!DXI66:DXJ66))</f>
        <v>0</v>
      </c>
      <c r="DXM66" s="960">
        <f>MIN(DXM60-DXM62,'Sources and Uses Budget'!DXM108-SUM('15 Year Pro Forma'!DXK66:DXL66))</f>
        <v>0</v>
      </c>
      <c r="DXO66" s="960">
        <f>MIN(DXO60-DXO62,'Sources and Uses Budget'!DXO108-SUM('15 Year Pro Forma'!DXM66:DXN66))</f>
        <v>0</v>
      </c>
      <c r="DXQ66" s="960">
        <f>MIN(DXQ60-DXQ62,'Sources and Uses Budget'!DXQ108-SUM('15 Year Pro Forma'!DXO66:DXP66))</f>
        <v>0</v>
      </c>
      <c r="DXS66" s="960">
        <f>MIN(DXS60-DXS62,'Sources and Uses Budget'!DXS108-SUM('15 Year Pro Forma'!DXQ66:DXR66))</f>
        <v>0</v>
      </c>
      <c r="DXU66" s="960">
        <f>MIN(DXU60-DXU62,'Sources and Uses Budget'!DXU108-SUM('15 Year Pro Forma'!DXS66:DXT66))</f>
        <v>0</v>
      </c>
      <c r="DXW66" s="960">
        <f>MIN(DXW60-DXW62,'Sources and Uses Budget'!DXW108-SUM('15 Year Pro Forma'!DXU66:DXV66))</f>
        <v>0</v>
      </c>
      <c r="DXY66" s="960">
        <f>MIN(DXY60-DXY62,'Sources and Uses Budget'!DXY108-SUM('15 Year Pro Forma'!DXW66:DXX66))</f>
        <v>0</v>
      </c>
      <c r="DYA66" s="960">
        <f>MIN(DYA60-DYA62,'Sources and Uses Budget'!DYA108-SUM('15 Year Pro Forma'!DXY66:DXZ66))</f>
        <v>0</v>
      </c>
      <c r="DYC66" s="960">
        <f>MIN(DYC60-DYC62,'Sources and Uses Budget'!DYC108-SUM('15 Year Pro Forma'!DYA66:DYB66))</f>
        <v>0</v>
      </c>
      <c r="DYE66" s="960">
        <f>MIN(DYE60-DYE62,'Sources and Uses Budget'!DYE108-SUM('15 Year Pro Forma'!DYC66:DYD66))</f>
        <v>0</v>
      </c>
      <c r="DYG66" s="960">
        <f>MIN(DYG60-DYG62,'Sources and Uses Budget'!DYG108-SUM('15 Year Pro Forma'!DYE66:DYF66))</f>
        <v>0</v>
      </c>
      <c r="DYI66" s="960">
        <f>MIN(DYI60-DYI62,'Sources and Uses Budget'!DYI108-SUM('15 Year Pro Forma'!DYG66:DYH66))</f>
        <v>0</v>
      </c>
      <c r="DYK66" s="960">
        <f>MIN(DYK60-DYK62,'Sources and Uses Budget'!DYK108-SUM('15 Year Pro Forma'!DYI66:DYJ66))</f>
        <v>0</v>
      </c>
      <c r="DYM66" s="960">
        <f>MIN(DYM60-DYM62,'Sources and Uses Budget'!DYM108-SUM('15 Year Pro Forma'!DYK66:DYL66))</f>
        <v>0</v>
      </c>
      <c r="DYO66" s="960">
        <f>MIN(DYO60-DYO62,'Sources and Uses Budget'!DYO108-SUM('15 Year Pro Forma'!DYM66:DYN66))</f>
        <v>0</v>
      </c>
      <c r="DYQ66" s="960">
        <f>MIN(DYQ60-DYQ62,'Sources and Uses Budget'!DYQ108-SUM('15 Year Pro Forma'!DYO66:DYP66))</f>
        <v>0</v>
      </c>
      <c r="DYS66" s="960">
        <f>MIN(DYS60-DYS62,'Sources and Uses Budget'!DYS108-SUM('15 Year Pro Forma'!DYQ66:DYR66))</f>
        <v>0</v>
      </c>
      <c r="DYU66" s="960">
        <f>MIN(DYU60-DYU62,'Sources and Uses Budget'!DYU108-SUM('15 Year Pro Forma'!DYS66:DYT66))</f>
        <v>0</v>
      </c>
      <c r="DYW66" s="960">
        <f>MIN(DYW60-DYW62,'Sources and Uses Budget'!DYW108-SUM('15 Year Pro Forma'!DYU66:DYV66))</f>
        <v>0</v>
      </c>
      <c r="DYY66" s="960">
        <f>MIN(DYY60-DYY62,'Sources and Uses Budget'!DYY108-SUM('15 Year Pro Forma'!DYW66:DYX66))</f>
        <v>0</v>
      </c>
      <c r="DZA66" s="960">
        <f>MIN(DZA60-DZA62,'Sources and Uses Budget'!DZA108-SUM('15 Year Pro Forma'!DYY66:DYZ66))</f>
        <v>0</v>
      </c>
      <c r="DZC66" s="960">
        <f>MIN(DZC60-DZC62,'Sources and Uses Budget'!DZC108-SUM('15 Year Pro Forma'!DZA66:DZB66))</f>
        <v>0</v>
      </c>
      <c r="DZE66" s="960">
        <f>MIN(DZE60-DZE62,'Sources and Uses Budget'!DZE108-SUM('15 Year Pro Forma'!DZC66:DZD66))</f>
        <v>0</v>
      </c>
      <c r="DZG66" s="960">
        <f>MIN(DZG60-DZG62,'Sources and Uses Budget'!DZG108-SUM('15 Year Pro Forma'!DZE66:DZF66))</f>
        <v>0</v>
      </c>
      <c r="DZI66" s="960">
        <f>MIN(DZI60-DZI62,'Sources and Uses Budget'!DZI108-SUM('15 Year Pro Forma'!DZG66:DZH66))</f>
        <v>0</v>
      </c>
      <c r="DZK66" s="960">
        <f>MIN(DZK60-DZK62,'Sources and Uses Budget'!DZK108-SUM('15 Year Pro Forma'!DZI66:DZJ66))</f>
        <v>0</v>
      </c>
      <c r="DZM66" s="960">
        <f>MIN(DZM60-DZM62,'Sources and Uses Budget'!DZM108-SUM('15 Year Pro Forma'!DZK66:DZL66))</f>
        <v>0</v>
      </c>
      <c r="DZO66" s="960">
        <f>MIN(DZO60-DZO62,'Sources and Uses Budget'!DZO108-SUM('15 Year Pro Forma'!DZM66:DZN66))</f>
        <v>0</v>
      </c>
      <c r="DZQ66" s="960">
        <f>MIN(DZQ60-DZQ62,'Sources and Uses Budget'!DZQ108-SUM('15 Year Pro Forma'!DZO66:DZP66))</f>
        <v>0</v>
      </c>
      <c r="DZS66" s="960">
        <f>MIN(DZS60-DZS62,'Sources and Uses Budget'!DZS108-SUM('15 Year Pro Forma'!DZQ66:DZR66))</f>
        <v>0</v>
      </c>
      <c r="DZU66" s="960">
        <f>MIN(DZU60-DZU62,'Sources and Uses Budget'!DZU108-SUM('15 Year Pro Forma'!DZS66:DZT66))</f>
        <v>0</v>
      </c>
      <c r="DZW66" s="960">
        <f>MIN(DZW60-DZW62,'Sources and Uses Budget'!DZW108-SUM('15 Year Pro Forma'!DZU66:DZV66))</f>
        <v>0</v>
      </c>
      <c r="DZY66" s="960">
        <f>MIN(DZY60-DZY62,'Sources and Uses Budget'!DZY108-SUM('15 Year Pro Forma'!DZW66:DZX66))</f>
        <v>0</v>
      </c>
      <c r="EAA66" s="960">
        <f>MIN(EAA60-EAA62,'Sources and Uses Budget'!EAA108-SUM('15 Year Pro Forma'!DZY66:DZZ66))</f>
        <v>0</v>
      </c>
      <c r="EAC66" s="960">
        <f>MIN(EAC60-EAC62,'Sources and Uses Budget'!EAC108-SUM('15 Year Pro Forma'!EAA66:EAB66))</f>
        <v>0</v>
      </c>
      <c r="EAE66" s="960">
        <f>MIN(EAE60-EAE62,'Sources and Uses Budget'!EAE108-SUM('15 Year Pro Forma'!EAC66:EAD66))</f>
        <v>0</v>
      </c>
      <c r="EAG66" s="960">
        <f>MIN(EAG60-EAG62,'Sources and Uses Budget'!EAG108-SUM('15 Year Pro Forma'!EAE66:EAF66))</f>
        <v>0</v>
      </c>
      <c r="EAI66" s="960">
        <f>MIN(EAI60-EAI62,'Sources and Uses Budget'!EAI108-SUM('15 Year Pro Forma'!EAG66:EAH66))</f>
        <v>0</v>
      </c>
      <c r="EAK66" s="960">
        <f>MIN(EAK60-EAK62,'Sources and Uses Budget'!EAK108-SUM('15 Year Pro Forma'!EAI66:EAJ66))</f>
        <v>0</v>
      </c>
      <c r="EAM66" s="960">
        <f>MIN(EAM60-EAM62,'Sources and Uses Budget'!EAM108-SUM('15 Year Pro Forma'!EAK66:EAL66))</f>
        <v>0</v>
      </c>
      <c r="EAO66" s="960">
        <f>MIN(EAO60-EAO62,'Sources and Uses Budget'!EAO108-SUM('15 Year Pro Forma'!EAM66:EAN66))</f>
        <v>0</v>
      </c>
      <c r="EAQ66" s="960">
        <f>MIN(EAQ60-EAQ62,'Sources and Uses Budget'!EAQ108-SUM('15 Year Pro Forma'!EAO66:EAP66))</f>
        <v>0</v>
      </c>
      <c r="EAS66" s="960">
        <f>MIN(EAS60-EAS62,'Sources and Uses Budget'!EAS108-SUM('15 Year Pro Forma'!EAQ66:EAR66))</f>
        <v>0</v>
      </c>
      <c r="EAU66" s="960">
        <f>MIN(EAU60-EAU62,'Sources and Uses Budget'!EAU108-SUM('15 Year Pro Forma'!EAS66:EAT66))</f>
        <v>0</v>
      </c>
      <c r="EAW66" s="960">
        <f>MIN(EAW60-EAW62,'Sources and Uses Budget'!EAW108-SUM('15 Year Pro Forma'!EAU66:EAV66))</f>
        <v>0</v>
      </c>
      <c r="EAY66" s="960">
        <f>MIN(EAY60-EAY62,'Sources and Uses Budget'!EAY108-SUM('15 Year Pro Forma'!EAW66:EAX66))</f>
        <v>0</v>
      </c>
      <c r="EBA66" s="960">
        <f>MIN(EBA60-EBA62,'Sources and Uses Budget'!EBA108-SUM('15 Year Pro Forma'!EAY66:EAZ66))</f>
        <v>0</v>
      </c>
      <c r="EBC66" s="960">
        <f>MIN(EBC60-EBC62,'Sources and Uses Budget'!EBC108-SUM('15 Year Pro Forma'!EBA66:EBB66))</f>
        <v>0</v>
      </c>
      <c r="EBE66" s="960">
        <f>MIN(EBE60-EBE62,'Sources and Uses Budget'!EBE108-SUM('15 Year Pro Forma'!EBC66:EBD66))</f>
        <v>0</v>
      </c>
      <c r="EBG66" s="960">
        <f>MIN(EBG60-EBG62,'Sources and Uses Budget'!EBG108-SUM('15 Year Pro Forma'!EBE66:EBF66))</f>
        <v>0</v>
      </c>
      <c r="EBI66" s="960">
        <f>MIN(EBI60-EBI62,'Sources and Uses Budget'!EBI108-SUM('15 Year Pro Forma'!EBG66:EBH66))</f>
        <v>0</v>
      </c>
      <c r="EBK66" s="960">
        <f>MIN(EBK60-EBK62,'Sources and Uses Budget'!EBK108-SUM('15 Year Pro Forma'!EBI66:EBJ66))</f>
        <v>0</v>
      </c>
      <c r="EBM66" s="960">
        <f>MIN(EBM60-EBM62,'Sources and Uses Budget'!EBM108-SUM('15 Year Pro Forma'!EBK66:EBL66))</f>
        <v>0</v>
      </c>
      <c r="EBO66" s="960">
        <f>MIN(EBO60-EBO62,'Sources and Uses Budget'!EBO108-SUM('15 Year Pro Forma'!EBM66:EBN66))</f>
        <v>0</v>
      </c>
      <c r="EBQ66" s="960">
        <f>MIN(EBQ60-EBQ62,'Sources and Uses Budget'!EBQ108-SUM('15 Year Pro Forma'!EBO66:EBP66))</f>
        <v>0</v>
      </c>
      <c r="EBS66" s="960">
        <f>MIN(EBS60-EBS62,'Sources and Uses Budget'!EBS108-SUM('15 Year Pro Forma'!EBQ66:EBR66))</f>
        <v>0</v>
      </c>
      <c r="EBU66" s="960">
        <f>MIN(EBU60-EBU62,'Sources and Uses Budget'!EBU108-SUM('15 Year Pro Forma'!EBS66:EBT66))</f>
        <v>0</v>
      </c>
      <c r="EBW66" s="960">
        <f>MIN(EBW60-EBW62,'Sources and Uses Budget'!EBW108-SUM('15 Year Pro Forma'!EBU66:EBV66))</f>
        <v>0</v>
      </c>
      <c r="EBY66" s="960">
        <f>MIN(EBY60-EBY62,'Sources and Uses Budget'!EBY108-SUM('15 Year Pro Forma'!EBW66:EBX66))</f>
        <v>0</v>
      </c>
      <c r="ECA66" s="960">
        <f>MIN(ECA60-ECA62,'Sources and Uses Budget'!ECA108-SUM('15 Year Pro Forma'!EBY66:EBZ66))</f>
        <v>0</v>
      </c>
      <c r="ECC66" s="960">
        <f>MIN(ECC60-ECC62,'Sources and Uses Budget'!ECC108-SUM('15 Year Pro Forma'!ECA66:ECB66))</f>
        <v>0</v>
      </c>
      <c r="ECE66" s="960">
        <f>MIN(ECE60-ECE62,'Sources and Uses Budget'!ECE108-SUM('15 Year Pro Forma'!ECC66:ECD66))</f>
        <v>0</v>
      </c>
      <c r="ECG66" s="960">
        <f>MIN(ECG60-ECG62,'Sources and Uses Budget'!ECG108-SUM('15 Year Pro Forma'!ECE66:ECF66))</f>
        <v>0</v>
      </c>
      <c r="ECI66" s="960">
        <f>MIN(ECI60-ECI62,'Sources and Uses Budget'!ECI108-SUM('15 Year Pro Forma'!ECG66:ECH66))</f>
        <v>0</v>
      </c>
      <c r="ECK66" s="960">
        <f>MIN(ECK60-ECK62,'Sources and Uses Budget'!ECK108-SUM('15 Year Pro Forma'!ECI66:ECJ66))</f>
        <v>0</v>
      </c>
      <c r="ECM66" s="960">
        <f>MIN(ECM60-ECM62,'Sources and Uses Budget'!ECM108-SUM('15 Year Pro Forma'!ECK66:ECL66))</f>
        <v>0</v>
      </c>
      <c r="ECO66" s="960">
        <f>MIN(ECO60-ECO62,'Sources and Uses Budget'!ECO108-SUM('15 Year Pro Forma'!ECM66:ECN66))</f>
        <v>0</v>
      </c>
      <c r="ECQ66" s="960">
        <f>MIN(ECQ60-ECQ62,'Sources and Uses Budget'!ECQ108-SUM('15 Year Pro Forma'!ECO66:ECP66))</f>
        <v>0</v>
      </c>
      <c r="ECS66" s="960">
        <f>MIN(ECS60-ECS62,'Sources and Uses Budget'!ECS108-SUM('15 Year Pro Forma'!ECQ66:ECR66))</f>
        <v>0</v>
      </c>
      <c r="ECU66" s="960">
        <f>MIN(ECU60-ECU62,'Sources and Uses Budget'!ECU108-SUM('15 Year Pro Forma'!ECS66:ECT66))</f>
        <v>0</v>
      </c>
      <c r="ECW66" s="960">
        <f>MIN(ECW60-ECW62,'Sources and Uses Budget'!ECW108-SUM('15 Year Pro Forma'!ECU66:ECV66))</f>
        <v>0</v>
      </c>
      <c r="ECY66" s="960">
        <f>MIN(ECY60-ECY62,'Sources and Uses Budget'!ECY108-SUM('15 Year Pro Forma'!ECW66:ECX66))</f>
        <v>0</v>
      </c>
      <c r="EDA66" s="960">
        <f>MIN(EDA60-EDA62,'Sources and Uses Budget'!EDA108-SUM('15 Year Pro Forma'!ECY66:ECZ66))</f>
        <v>0</v>
      </c>
      <c r="EDC66" s="960">
        <f>MIN(EDC60-EDC62,'Sources and Uses Budget'!EDC108-SUM('15 Year Pro Forma'!EDA66:EDB66))</f>
        <v>0</v>
      </c>
      <c r="EDE66" s="960">
        <f>MIN(EDE60-EDE62,'Sources and Uses Budget'!EDE108-SUM('15 Year Pro Forma'!EDC66:EDD66))</f>
        <v>0</v>
      </c>
      <c r="EDG66" s="960">
        <f>MIN(EDG60-EDG62,'Sources and Uses Budget'!EDG108-SUM('15 Year Pro Forma'!EDE66:EDF66))</f>
        <v>0</v>
      </c>
      <c r="EDI66" s="960">
        <f>MIN(EDI60-EDI62,'Sources and Uses Budget'!EDI108-SUM('15 Year Pro Forma'!EDG66:EDH66))</f>
        <v>0</v>
      </c>
      <c r="EDK66" s="960">
        <f>MIN(EDK60-EDK62,'Sources and Uses Budget'!EDK108-SUM('15 Year Pro Forma'!EDI66:EDJ66))</f>
        <v>0</v>
      </c>
      <c r="EDM66" s="960">
        <f>MIN(EDM60-EDM62,'Sources and Uses Budget'!EDM108-SUM('15 Year Pro Forma'!EDK66:EDL66))</f>
        <v>0</v>
      </c>
      <c r="EDO66" s="960">
        <f>MIN(EDO60-EDO62,'Sources and Uses Budget'!EDO108-SUM('15 Year Pro Forma'!EDM66:EDN66))</f>
        <v>0</v>
      </c>
      <c r="EDQ66" s="960">
        <f>MIN(EDQ60-EDQ62,'Sources and Uses Budget'!EDQ108-SUM('15 Year Pro Forma'!EDO66:EDP66))</f>
        <v>0</v>
      </c>
      <c r="EDS66" s="960">
        <f>MIN(EDS60-EDS62,'Sources and Uses Budget'!EDS108-SUM('15 Year Pro Forma'!EDQ66:EDR66))</f>
        <v>0</v>
      </c>
      <c r="EDU66" s="960">
        <f>MIN(EDU60-EDU62,'Sources and Uses Budget'!EDU108-SUM('15 Year Pro Forma'!EDS66:EDT66))</f>
        <v>0</v>
      </c>
      <c r="EDW66" s="960">
        <f>MIN(EDW60-EDW62,'Sources and Uses Budget'!EDW108-SUM('15 Year Pro Forma'!EDU66:EDV66))</f>
        <v>0</v>
      </c>
      <c r="EDY66" s="960">
        <f>MIN(EDY60-EDY62,'Sources and Uses Budget'!EDY108-SUM('15 Year Pro Forma'!EDW66:EDX66))</f>
        <v>0</v>
      </c>
      <c r="EEA66" s="960">
        <f>MIN(EEA60-EEA62,'Sources and Uses Budget'!EEA108-SUM('15 Year Pro Forma'!EDY66:EDZ66))</f>
        <v>0</v>
      </c>
      <c r="EEC66" s="960">
        <f>MIN(EEC60-EEC62,'Sources and Uses Budget'!EEC108-SUM('15 Year Pro Forma'!EEA66:EEB66))</f>
        <v>0</v>
      </c>
      <c r="EEE66" s="960">
        <f>MIN(EEE60-EEE62,'Sources and Uses Budget'!EEE108-SUM('15 Year Pro Forma'!EEC66:EED66))</f>
        <v>0</v>
      </c>
      <c r="EEG66" s="960">
        <f>MIN(EEG60-EEG62,'Sources and Uses Budget'!EEG108-SUM('15 Year Pro Forma'!EEE66:EEF66))</f>
        <v>0</v>
      </c>
      <c r="EEI66" s="960">
        <f>MIN(EEI60-EEI62,'Sources and Uses Budget'!EEI108-SUM('15 Year Pro Forma'!EEG66:EEH66))</f>
        <v>0</v>
      </c>
      <c r="EEK66" s="960">
        <f>MIN(EEK60-EEK62,'Sources and Uses Budget'!EEK108-SUM('15 Year Pro Forma'!EEI66:EEJ66))</f>
        <v>0</v>
      </c>
      <c r="EEM66" s="960">
        <f>MIN(EEM60-EEM62,'Sources and Uses Budget'!EEM108-SUM('15 Year Pro Forma'!EEK66:EEL66))</f>
        <v>0</v>
      </c>
      <c r="EEO66" s="960">
        <f>MIN(EEO60-EEO62,'Sources and Uses Budget'!EEO108-SUM('15 Year Pro Forma'!EEM66:EEN66))</f>
        <v>0</v>
      </c>
      <c r="EEQ66" s="960">
        <f>MIN(EEQ60-EEQ62,'Sources and Uses Budget'!EEQ108-SUM('15 Year Pro Forma'!EEO66:EEP66))</f>
        <v>0</v>
      </c>
      <c r="EES66" s="960">
        <f>MIN(EES60-EES62,'Sources and Uses Budget'!EES108-SUM('15 Year Pro Forma'!EEQ66:EER66))</f>
        <v>0</v>
      </c>
      <c r="EEU66" s="960">
        <f>MIN(EEU60-EEU62,'Sources and Uses Budget'!EEU108-SUM('15 Year Pro Forma'!EES66:EET66))</f>
        <v>0</v>
      </c>
      <c r="EEW66" s="960">
        <f>MIN(EEW60-EEW62,'Sources and Uses Budget'!EEW108-SUM('15 Year Pro Forma'!EEU66:EEV66))</f>
        <v>0</v>
      </c>
      <c r="EEY66" s="960">
        <f>MIN(EEY60-EEY62,'Sources and Uses Budget'!EEY108-SUM('15 Year Pro Forma'!EEW66:EEX66))</f>
        <v>0</v>
      </c>
      <c r="EFA66" s="960">
        <f>MIN(EFA60-EFA62,'Sources and Uses Budget'!EFA108-SUM('15 Year Pro Forma'!EEY66:EEZ66))</f>
        <v>0</v>
      </c>
      <c r="EFC66" s="960">
        <f>MIN(EFC60-EFC62,'Sources and Uses Budget'!EFC108-SUM('15 Year Pro Forma'!EFA66:EFB66))</f>
        <v>0</v>
      </c>
      <c r="EFE66" s="960">
        <f>MIN(EFE60-EFE62,'Sources and Uses Budget'!EFE108-SUM('15 Year Pro Forma'!EFC66:EFD66))</f>
        <v>0</v>
      </c>
      <c r="EFG66" s="960">
        <f>MIN(EFG60-EFG62,'Sources and Uses Budget'!EFG108-SUM('15 Year Pro Forma'!EFE66:EFF66))</f>
        <v>0</v>
      </c>
      <c r="EFI66" s="960">
        <f>MIN(EFI60-EFI62,'Sources and Uses Budget'!EFI108-SUM('15 Year Pro Forma'!EFG66:EFH66))</f>
        <v>0</v>
      </c>
      <c r="EFK66" s="960">
        <f>MIN(EFK60-EFK62,'Sources and Uses Budget'!EFK108-SUM('15 Year Pro Forma'!EFI66:EFJ66))</f>
        <v>0</v>
      </c>
      <c r="EFM66" s="960">
        <f>MIN(EFM60-EFM62,'Sources and Uses Budget'!EFM108-SUM('15 Year Pro Forma'!EFK66:EFL66))</f>
        <v>0</v>
      </c>
      <c r="EFO66" s="960">
        <f>MIN(EFO60-EFO62,'Sources and Uses Budget'!EFO108-SUM('15 Year Pro Forma'!EFM66:EFN66))</f>
        <v>0</v>
      </c>
      <c r="EFQ66" s="960">
        <f>MIN(EFQ60-EFQ62,'Sources and Uses Budget'!EFQ108-SUM('15 Year Pro Forma'!EFO66:EFP66))</f>
        <v>0</v>
      </c>
      <c r="EFS66" s="960">
        <f>MIN(EFS60-EFS62,'Sources and Uses Budget'!EFS108-SUM('15 Year Pro Forma'!EFQ66:EFR66))</f>
        <v>0</v>
      </c>
      <c r="EFU66" s="960">
        <f>MIN(EFU60-EFU62,'Sources and Uses Budget'!EFU108-SUM('15 Year Pro Forma'!EFS66:EFT66))</f>
        <v>0</v>
      </c>
      <c r="EFW66" s="960">
        <f>MIN(EFW60-EFW62,'Sources and Uses Budget'!EFW108-SUM('15 Year Pro Forma'!EFU66:EFV66))</f>
        <v>0</v>
      </c>
      <c r="EFY66" s="960">
        <f>MIN(EFY60-EFY62,'Sources and Uses Budget'!EFY108-SUM('15 Year Pro Forma'!EFW66:EFX66))</f>
        <v>0</v>
      </c>
      <c r="EGA66" s="960">
        <f>MIN(EGA60-EGA62,'Sources and Uses Budget'!EGA108-SUM('15 Year Pro Forma'!EFY66:EFZ66))</f>
        <v>0</v>
      </c>
      <c r="EGC66" s="960">
        <f>MIN(EGC60-EGC62,'Sources and Uses Budget'!EGC108-SUM('15 Year Pro Forma'!EGA66:EGB66))</f>
        <v>0</v>
      </c>
      <c r="EGE66" s="960">
        <f>MIN(EGE60-EGE62,'Sources and Uses Budget'!EGE108-SUM('15 Year Pro Forma'!EGC66:EGD66))</f>
        <v>0</v>
      </c>
      <c r="EGG66" s="960">
        <f>MIN(EGG60-EGG62,'Sources and Uses Budget'!EGG108-SUM('15 Year Pro Forma'!EGE66:EGF66))</f>
        <v>0</v>
      </c>
      <c r="EGI66" s="960">
        <f>MIN(EGI60-EGI62,'Sources and Uses Budget'!EGI108-SUM('15 Year Pro Forma'!EGG66:EGH66))</f>
        <v>0</v>
      </c>
      <c r="EGK66" s="960">
        <f>MIN(EGK60-EGK62,'Sources and Uses Budget'!EGK108-SUM('15 Year Pro Forma'!EGI66:EGJ66))</f>
        <v>0</v>
      </c>
      <c r="EGM66" s="960">
        <f>MIN(EGM60-EGM62,'Sources and Uses Budget'!EGM108-SUM('15 Year Pro Forma'!EGK66:EGL66))</f>
        <v>0</v>
      </c>
      <c r="EGO66" s="960">
        <f>MIN(EGO60-EGO62,'Sources and Uses Budget'!EGO108-SUM('15 Year Pro Forma'!EGM66:EGN66))</f>
        <v>0</v>
      </c>
      <c r="EGQ66" s="960">
        <f>MIN(EGQ60-EGQ62,'Sources and Uses Budget'!EGQ108-SUM('15 Year Pro Forma'!EGO66:EGP66))</f>
        <v>0</v>
      </c>
      <c r="EGS66" s="960">
        <f>MIN(EGS60-EGS62,'Sources and Uses Budget'!EGS108-SUM('15 Year Pro Forma'!EGQ66:EGR66))</f>
        <v>0</v>
      </c>
      <c r="EGU66" s="960">
        <f>MIN(EGU60-EGU62,'Sources and Uses Budget'!EGU108-SUM('15 Year Pro Forma'!EGS66:EGT66))</f>
        <v>0</v>
      </c>
      <c r="EGW66" s="960">
        <f>MIN(EGW60-EGW62,'Sources and Uses Budget'!EGW108-SUM('15 Year Pro Forma'!EGU66:EGV66))</f>
        <v>0</v>
      </c>
      <c r="EGY66" s="960">
        <f>MIN(EGY60-EGY62,'Sources and Uses Budget'!EGY108-SUM('15 Year Pro Forma'!EGW66:EGX66))</f>
        <v>0</v>
      </c>
      <c r="EHA66" s="960">
        <f>MIN(EHA60-EHA62,'Sources and Uses Budget'!EHA108-SUM('15 Year Pro Forma'!EGY66:EGZ66))</f>
        <v>0</v>
      </c>
      <c r="EHC66" s="960">
        <f>MIN(EHC60-EHC62,'Sources and Uses Budget'!EHC108-SUM('15 Year Pro Forma'!EHA66:EHB66))</f>
        <v>0</v>
      </c>
      <c r="EHE66" s="960">
        <f>MIN(EHE60-EHE62,'Sources and Uses Budget'!EHE108-SUM('15 Year Pro Forma'!EHC66:EHD66))</f>
        <v>0</v>
      </c>
      <c r="EHG66" s="960">
        <f>MIN(EHG60-EHG62,'Sources and Uses Budget'!EHG108-SUM('15 Year Pro Forma'!EHE66:EHF66))</f>
        <v>0</v>
      </c>
      <c r="EHI66" s="960">
        <f>MIN(EHI60-EHI62,'Sources and Uses Budget'!EHI108-SUM('15 Year Pro Forma'!EHG66:EHH66))</f>
        <v>0</v>
      </c>
      <c r="EHK66" s="960">
        <f>MIN(EHK60-EHK62,'Sources and Uses Budget'!EHK108-SUM('15 Year Pro Forma'!EHI66:EHJ66))</f>
        <v>0</v>
      </c>
      <c r="EHM66" s="960">
        <f>MIN(EHM60-EHM62,'Sources and Uses Budget'!EHM108-SUM('15 Year Pro Forma'!EHK66:EHL66))</f>
        <v>0</v>
      </c>
      <c r="EHO66" s="960">
        <f>MIN(EHO60-EHO62,'Sources and Uses Budget'!EHO108-SUM('15 Year Pro Forma'!EHM66:EHN66))</f>
        <v>0</v>
      </c>
      <c r="EHQ66" s="960">
        <f>MIN(EHQ60-EHQ62,'Sources and Uses Budget'!EHQ108-SUM('15 Year Pro Forma'!EHO66:EHP66))</f>
        <v>0</v>
      </c>
      <c r="EHS66" s="960">
        <f>MIN(EHS60-EHS62,'Sources and Uses Budget'!EHS108-SUM('15 Year Pro Forma'!EHQ66:EHR66))</f>
        <v>0</v>
      </c>
      <c r="EHU66" s="960">
        <f>MIN(EHU60-EHU62,'Sources and Uses Budget'!EHU108-SUM('15 Year Pro Forma'!EHS66:EHT66))</f>
        <v>0</v>
      </c>
      <c r="EHW66" s="960">
        <f>MIN(EHW60-EHW62,'Sources and Uses Budget'!EHW108-SUM('15 Year Pro Forma'!EHU66:EHV66))</f>
        <v>0</v>
      </c>
      <c r="EHY66" s="960">
        <f>MIN(EHY60-EHY62,'Sources and Uses Budget'!EHY108-SUM('15 Year Pro Forma'!EHW66:EHX66))</f>
        <v>0</v>
      </c>
      <c r="EIA66" s="960">
        <f>MIN(EIA60-EIA62,'Sources and Uses Budget'!EIA108-SUM('15 Year Pro Forma'!EHY66:EHZ66))</f>
        <v>0</v>
      </c>
      <c r="EIC66" s="960">
        <f>MIN(EIC60-EIC62,'Sources and Uses Budget'!EIC108-SUM('15 Year Pro Forma'!EIA66:EIB66))</f>
        <v>0</v>
      </c>
      <c r="EIE66" s="960">
        <f>MIN(EIE60-EIE62,'Sources and Uses Budget'!EIE108-SUM('15 Year Pro Forma'!EIC66:EID66))</f>
        <v>0</v>
      </c>
      <c r="EIG66" s="960">
        <f>MIN(EIG60-EIG62,'Sources and Uses Budget'!EIG108-SUM('15 Year Pro Forma'!EIE66:EIF66))</f>
        <v>0</v>
      </c>
      <c r="EII66" s="960">
        <f>MIN(EII60-EII62,'Sources and Uses Budget'!EII108-SUM('15 Year Pro Forma'!EIG66:EIH66))</f>
        <v>0</v>
      </c>
      <c r="EIK66" s="960">
        <f>MIN(EIK60-EIK62,'Sources and Uses Budget'!EIK108-SUM('15 Year Pro Forma'!EII66:EIJ66))</f>
        <v>0</v>
      </c>
      <c r="EIM66" s="960">
        <f>MIN(EIM60-EIM62,'Sources and Uses Budget'!EIM108-SUM('15 Year Pro Forma'!EIK66:EIL66))</f>
        <v>0</v>
      </c>
      <c r="EIO66" s="960">
        <f>MIN(EIO60-EIO62,'Sources and Uses Budget'!EIO108-SUM('15 Year Pro Forma'!EIM66:EIN66))</f>
        <v>0</v>
      </c>
      <c r="EIQ66" s="960">
        <f>MIN(EIQ60-EIQ62,'Sources and Uses Budget'!EIQ108-SUM('15 Year Pro Forma'!EIO66:EIP66))</f>
        <v>0</v>
      </c>
      <c r="EIS66" s="960">
        <f>MIN(EIS60-EIS62,'Sources and Uses Budget'!EIS108-SUM('15 Year Pro Forma'!EIQ66:EIR66))</f>
        <v>0</v>
      </c>
      <c r="EIU66" s="960">
        <f>MIN(EIU60-EIU62,'Sources and Uses Budget'!EIU108-SUM('15 Year Pro Forma'!EIS66:EIT66))</f>
        <v>0</v>
      </c>
      <c r="EIW66" s="960">
        <f>MIN(EIW60-EIW62,'Sources and Uses Budget'!EIW108-SUM('15 Year Pro Forma'!EIU66:EIV66))</f>
        <v>0</v>
      </c>
      <c r="EIY66" s="960">
        <f>MIN(EIY60-EIY62,'Sources and Uses Budget'!EIY108-SUM('15 Year Pro Forma'!EIW66:EIX66))</f>
        <v>0</v>
      </c>
      <c r="EJA66" s="960">
        <f>MIN(EJA60-EJA62,'Sources and Uses Budget'!EJA108-SUM('15 Year Pro Forma'!EIY66:EIZ66))</f>
        <v>0</v>
      </c>
      <c r="EJC66" s="960">
        <f>MIN(EJC60-EJC62,'Sources and Uses Budget'!EJC108-SUM('15 Year Pro Forma'!EJA66:EJB66))</f>
        <v>0</v>
      </c>
      <c r="EJE66" s="960">
        <f>MIN(EJE60-EJE62,'Sources and Uses Budget'!EJE108-SUM('15 Year Pro Forma'!EJC66:EJD66))</f>
        <v>0</v>
      </c>
      <c r="EJG66" s="960">
        <f>MIN(EJG60-EJG62,'Sources and Uses Budget'!EJG108-SUM('15 Year Pro Forma'!EJE66:EJF66))</f>
        <v>0</v>
      </c>
      <c r="EJI66" s="960">
        <f>MIN(EJI60-EJI62,'Sources and Uses Budget'!EJI108-SUM('15 Year Pro Forma'!EJG66:EJH66))</f>
        <v>0</v>
      </c>
      <c r="EJK66" s="960">
        <f>MIN(EJK60-EJK62,'Sources and Uses Budget'!EJK108-SUM('15 Year Pro Forma'!EJI66:EJJ66))</f>
        <v>0</v>
      </c>
      <c r="EJM66" s="960">
        <f>MIN(EJM60-EJM62,'Sources and Uses Budget'!EJM108-SUM('15 Year Pro Forma'!EJK66:EJL66))</f>
        <v>0</v>
      </c>
      <c r="EJO66" s="960">
        <f>MIN(EJO60-EJO62,'Sources and Uses Budget'!EJO108-SUM('15 Year Pro Forma'!EJM66:EJN66))</f>
        <v>0</v>
      </c>
      <c r="EJQ66" s="960">
        <f>MIN(EJQ60-EJQ62,'Sources and Uses Budget'!EJQ108-SUM('15 Year Pro Forma'!EJO66:EJP66))</f>
        <v>0</v>
      </c>
      <c r="EJS66" s="960">
        <f>MIN(EJS60-EJS62,'Sources and Uses Budget'!EJS108-SUM('15 Year Pro Forma'!EJQ66:EJR66))</f>
        <v>0</v>
      </c>
      <c r="EJU66" s="960">
        <f>MIN(EJU60-EJU62,'Sources and Uses Budget'!EJU108-SUM('15 Year Pro Forma'!EJS66:EJT66))</f>
        <v>0</v>
      </c>
      <c r="EJW66" s="960">
        <f>MIN(EJW60-EJW62,'Sources and Uses Budget'!EJW108-SUM('15 Year Pro Forma'!EJU66:EJV66))</f>
        <v>0</v>
      </c>
      <c r="EJY66" s="960">
        <f>MIN(EJY60-EJY62,'Sources and Uses Budget'!EJY108-SUM('15 Year Pro Forma'!EJW66:EJX66))</f>
        <v>0</v>
      </c>
      <c r="EKA66" s="960">
        <f>MIN(EKA60-EKA62,'Sources and Uses Budget'!EKA108-SUM('15 Year Pro Forma'!EJY66:EJZ66))</f>
        <v>0</v>
      </c>
      <c r="EKC66" s="960">
        <f>MIN(EKC60-EKC62,'Sources and Uses Budget'!EKC108-SUM('15 Year Pro Forma'!EKA66:EKB66))</f>
        <v>0</v>
      </c>
      <c r="EKE66" s="960">
        <f>MIN(EKE60-EKE62,'Sources and Uses Budget'!EKE108-SUM('15 Year Pro Forma'!EKC66:EKD66))</f>
        <v>0</v>
      </c>
      <c r="EKG66" s="960">
        <f>MIN(EKG60-EKG62,'Sources and Uses Budget'!EKG108-SUM('15 Year Pro Forma'!EKE66:EKF66))</f>
        <v>0</v>
      </c>
      <c r="EKI66" s="960">
        <f>MIN(EKI60-EKI62,'Sources and Uses Budget'!EKI108-SUM('15 Year Pro Forma'!EKG66:EKH66))</f>
        <v>0</v>
      </c>
      <c r="EKK66" s="960">
        <f>MIN(EKK60-EKK62,'Sources and Uses Budget'!EKK108-SUM('15 Year Pro Forma'!EKI66:EKJ66))</f>
        <v>0</v>
      </c>
      <c r="EKM66" s="960">
        <f>MIN(EKM60-EKM62,'Sources and Uses Budget'!EKM108-SUM('15 Year Pro Forma'!EKK66:EKL66))</f>
        <v>0</v>
      </c>
      <c r="EKO66" s="960">
        <f>MIN(EKO60-EKO62,'Sources and Uses Budget'!EKO108-SUM('15 Year Pro Forma'!EKM66:EKN66))</f>
        <v>0</v>
      </c>
      <c r="EKQ66" s="960">
        <f>MIN(EKQ60-EKQ62,'Sources and Uses Budget'!EKQ108-SUM('15 Year Pro Forma'!EKO66:EKP66))</f>
        <v>0</v>
      </c>
      <c r="EKS66" s="960">
        <f>MIN(EKS60-EKS62,'Sources and Uses Budget'!EKS108-SUM('15 Year Pro Forma'!EKQ66:EKR66))</f>
        <v>0</v>
      </c>
      <c r="EKU66" s="960">
        <f>MIN(EKU60-EKU62,'Sources and Uses Budget'!EKU108-SUM('15 Year Pro Forma'!EKS66:EKT66))</f>
        <v>0</v>
      </c>
      <c r="EKW66" s="960">
        <f>MIN(EKW60-EKW62,'Sources and Uses Budget'!EKW108-SUM('15 Year Pro Forma'!EKU66:EKV66))</f>
        <v>0</v>
      </c>
      <c r="EKY66" s="960">
        <f>MIN(EKY60-EKY62,'Sources and Uses Budget'!EKY108-SUM('15 Year Pro Forma'!EKW66:EKX66))</f>
        <v>0</v>
      </c>
      <c r="ELA66" s="960">
        <f>MIN(ELA60-ELA62,'Sources and Uses Budget'!ELA108-SUM('15 Year Pro Forma'!EKY66:EKZ66))</f>
        <v>0</v>
      </c>
      <c r="ELC66" s="960">
        <f>MIN(ELC60-ELC62,'Sources and Uses Budget'!ELC108-SUM('15 Year Pro Forma'!ELA66:ELB66))</f>
        <v>0</v>
      </c>
      <c r="ELE66" s="960">
        <f>MIN(ELE60-ELE62,'Sources and Uses Budget'!ELE108-SUM('15 Year Pro Forma'!ELC66:ELD66))</f>
        <v>0</v>
      </c>
      <c r="ELG66" s="960">
        <f>MIN(ELG60-ELG62,'Sources and Uses Budget'!ELG108-SUM('15 Year Pro Forma'!ELE66:ELF66))</f>
        <v>0</v>
      </c>
      <c r="ELI66" s="960">
        <f>MIN(ELI60-ELI62,'Sources and Uses Budget'!ELI108-SUM('15 Year Pro Forma'!ELG66:ELH66))</f>
        <v>0</v>
      </c>
      <c r="ELK66" s="960">
        <f>MIN(ELK60-ELK62,'Sources and Uses Budget'!ELK108-SUM('15 Year Pro Forma'!ELI66:ELJ66))</f>
        <v>0</v>
      </c>
      <c r="ELM66" s="960">
        <f>MIN(ELM60-ELM62,'Sources and Uses Budget'!ELM108-SUM('15 Year Pro Forma'!ELK66:ELL66))</f>
        <v>0</v>
      </c>
      <c r="ELO66" s="960">
        <f>MIN(ELO60-ELO62,'Sources and Uses Budget'!ELO108-SUM('15 Year Pro Forma'!ELM66:ELN66))</f>
        <v>0</v>
      </c>
      <c r="ELQ66" s="960">
        <f>MIN(ELQ60-ELQ62,'Sources and Uses Budget'!ELQ108-SUM('15 Year Pro Forma'!ELO66:ELP66))</f>
        <v>0</v>
      </c>
      <c r="ELS66" s="960">
        <f>MIN(ELS60-ELS62,'Sources and Uses Budget'!ELS108-SUM('15 Year Pro Forma'!ELQ66:ELR66))</f>
        <v>0</v>
      </c>
      <c r="ELU66" s="960">
        <f>MIN(ELU60-ELU62,'Sources and Uses Budget'!ELU108-SUM('15 Year Pro Forma'!ELS66:ELT66))</f>
        <v>0</v>
      </c>
      <c r="ELW66" s="960">
        <f>MIN(ELW60-ELW62,'Sources and Uses Budget'!ELW108-SUM('15 Year Pro Forma'!ELU66:ELV66))</f>
        <v>0</v>
      </c>
      <c r="ELY66" s="960">
        <f>MIN(ELY60-ELY62,'Sources and Uses Budget'!ELY108-SUM('15 Year Pro Forma'!ELW66:ELX66))</f>
        <v>0</v>
      </c>
      <c r="EMA66" s="960">
        <f>MIN(EMA60-EMA62,'Sources and Uses Budget'!EMA108-SUM('15 Year Pro Forma'!ELY66:ELZ66))</f>
        <v>0</v>
      </c>
      <c r="EMC66" s="960">
        <f>MIN(EMC60-EMC62,'Sources and Uses Budget'!EMC108-SUM('15 Year Pro Forma'!EMA66:EMB66))</f>
        <v>0</v>
      </c>
      <c r="EME66" s="960">
        <f>MIN(EME60-EME62,'Sources and Uses Budget'!EME108-SUM('15 Year Pro Forma'!EMC66:EMD66))</f>
        <v>0</v>
      </c>
      <c r="EMG66" s="960">
        <f>MIN(EMG60-EMG62,'Sources and Uses Budget'!EMG108-SUM('15 Year Pro Forma'!EME66:EMF66))</f>
        <v>0</v>
      </c>
      <c r="EMI66" s="960">
        <f>MIN(EMI60-EMI62,'Sources and Uses Budget'!EMI108-SUM('15 Year Pro Forma'!EMG66:EMH66))</f>
        <v>0</v>
      </c>
      <c r="EMK66" s="960">
        <f>MIN(EMK60-EMK62,'Sources and Uses Budget'!EMK108-SUM('15 Year Pro Forma'!EMI66:EMJ66))</f>
        <v>0</v>
      </c>
      <c r="EMM66" s="960">
        <f>MIN(EMM60-EMM62,'Sources and Uses Budget'!EMM108-SUM('15 Year Pro Forma'!EMK66:EML66))</f>
        <v>0</v>
      </c>
      <c r="EMO66" s="960">
        <f>MIN(EMO60-EMO62,'Sources and Uses Budget'!EMO108-SUM('15 Year Pro Forma'!EMM66:EMN66))</f>
        <v>0</v>
      </c>
      <c r="EMQ66" s="960">
        <f>MIN(EMQ60-EMQ62,'Sources and Uses Budget'!EMQ108-SUM('15 Year Pro Forma'!EMO66:EMP66))</f>
        <v>0</v>
      </c>
      <c r="EMS66" s="960">
        <f>MIN(EMS60-EMS62,'Sources and Uses Budget'!EMS108-SUM('15 Year Pro Forma'!EMQ66:EMR66))</f>
        <v>0</v>
      </c>
      <c r="EMU66" s="960">
        <f>MIN(EMU60-EMU62,'Sources and Uses Budget'!EMU108-SUM('15 Year Pro Forma'!EMS66:EMT66))</f>
        <v>0</v>
      </c>
      <c r="EMW66" s="960">
        <f>MIN(EMW60-EMW62,'Sources and Uses Budget'!EMW108-SUM('15 Year Pro Forma'!EMU66:EMV66))</f>
        <v>0</v>
      </c>
      <c r="EMY66" s="960">
        <f>MIN(EMY60-EMY62,'Sources and Uses Budget'!EMY108-SUM('15 Year Pro Forma'!EMW66:EMX66))</f>
        <v>0</v>
      </c>
      <c r="ENA66" s="960">
        <f>MIN(ENA60-ENA62,'Sources and Uses Budget'!ENA108-SUM('15 Year Pro Forma'!EMY66:EMZ66))</f>
        <v>0</v>
      </c>
      <c r="ENC66" s="960">
        <f>MIN(ENC60-ENC62,'Sources and Uses Budget'!ENC108-SUM('15 Year Pro Forma'!ENA66:ENB66))</f>
        <v>0</v>
      </c>
      <c r="ENE66" s="960">
        <f>MIN(ENE60-ENE62,'Sources and Uses Budget'!ENE108-SUM('15 Year Pro Forma'!ENC66:END66))</f>
        <v>0</v>
      </c>
      <c r="ENG66" s="960">
        <f>MIN(ENG60-ENG62,'Sources and Uses Budget'!ENG108-SUM('15 Year Pro Forma'!ENE66:ENF66))</f>
        <v>0</v>
      </c>
      <c r="ENI66" s="960">
        <f>MIN(ENI60-ENI62,'Sources and Uses Budget'!ENI108-SUM('15 Year Pro Forma'!ENG66:ENH66))</f>
        <v>0</v>
      </c>
      <c r="ENK66" s="960">
        <f>MIN(ENK60-ENK62,'Sources and Uses Budget'!ENK108-SUM('15 Year Pro Forma'!ENI66:ENJ66))</f>
        <v>0</v>
      </c>
      <c r="ENM66" s="960">
        <f>MIN(ENM60-ENM62,'Sources and Uses Budget'!ENM108-SUM('15 Year Pro Forma'!ENK66:ENL66))</f>
        <v>0</v>
      </c>
      <c r="ENO66" s="960">
        <f>MIN(ENO60-ENO62,'Sources and Uses Budget'!ENO108-SUM('15 Year Pro Forma'!ENM66:ENN66))</f>
        <v>0</v>
      </c>
      <c r="ENQ66" s="960">
        <f>MIN(ENQ60-ENQ62,'Sources and Uses Budget'!ENQ108-SUM('15 Year Pro Forma'!ENO66:ENP66))</f>
        <v>0</v>
      </c>
      <c r="ENS66" s="960">
        <f>MIN(ENS60-ENS62,'Sources and Uses Budget'!ENS108-SUM('15 Year Pro Forma'!ENQ66:ENR66))</f>
        <v>0</v>
      </c>
      <c r="ENU66" s="960">
        <f>MIN(ENU60-ENU62,'Sources and Uses Budget'!ENU108-SUM('15 Year Pro Forma'!ENS66:ENT66))</f>
        <v>0</v>
      </c>
      <c r="ENW66" s="960">
        <f>MIN(ENW60-ENW62,'Sources and Uses Budget'!ENW108-SUM('15 Year Pro Forma'!ENU66:ENV66))</f>
        <v>0</v>
      </c>
      <c r="ENY66" s="960">
        <f>MIN(ENY60-ENY62,'Sources and Uses Budget'!ENY108-SUM('15 Year Pro Forma'!ENW66:ENX66))</f>
        <v>0</v>
      </c>
      <c r="EOA66" s="960">
        <f>MIN(EOA60-EOA62,'Sources and Uses Budget'!EOA108-SUM('15 Year Pro Forma'!ENY66:ENZ66))</f>
        <v>0</v>
      </c>
      <c r="EOC66" s="960">
        <f>MIN(EOC60-EOC62,'Sources and Uses Budget'!EOC108-SUM('15 Year Pro Forma'!EOA66:EOB66))</f>
        <v>0</v>
      </c>
      <c r="EOE66" s="960">
        <f>MIN(EOE60-EOE62,'Sources and Uses Budget'!EOE108-SUM('15 Year Pro Forma'!EOC66:EOD66))</f>
        <v>0</v>
      </c>
      <c r="EOG66" s="960">
        <f>MIN(EOG60-EOG62,'Sources and Uses Budget'!EOG108-SUM('15 Year Pro Forma'!EOE66:EOF66))</f>
        <v>0</v>
      </c>
      <c r="EOI66" s="960">
        <f>MIN(EOI60-EOI62,'Sources and Uses Budget'!EOI108-SUM('15 Year Pro Forma'!EOG66:EOH66))</f>
        <v>0</v>
      </c>
      <c r="EOK66" s="960">
        <f>MIN(EOK60-EOK62,'Sources and Uses Budget'!EOK108-SUM('15 Year Pro Forma'!EOI66:EOJ66))</f>
        <v>0</v>
      </c>
      <c r="EOM66" s="960">
        <f>MIN(EOM60-EOM62,'Sources and Uses Budget'!EOM108-SUM('15 Year Pro Forma'!EOK66:EOL66))</f>
        <v>0</v>
      </c>
      <c r="EOO66" s="960">
        <f>MIN(EOO60-EOO62,'Sources and Uses Budget'!EOO108-SUM('15 Year Pro Forma'!EOM66:EON66))</f>
        <v>0</v>
      </c>
      <c r="EOQ66" s="960">
        <f>MIN(EOQ60-EOQ62,'Sources and Uses Budget'!EOQ108-SUM('15 Year Pro Forma'!EOO66:EOP66))</f>
        <v>0</v>
      </c>
      <c r="EOS66" s="960">
        <f>MIN(EOS60-EOS62,'Sources and Uses Budget'!EOS108-SUM('15 Year Pro Forma'!EOQ66:EOR66))</f>
        <v>0</v>
      </c>
      <c r="EOU66" s="960">
        <f>MIN(EOU60-EOU62,'Sources and Uses Budget'!EOU108-SUM('15 Year Pro Forma'!EOS66:EOT66))</f>
        <v>0</v>
      </c>
      <c r="EOW66" s="960">
        <f>MIN(EOW60-EOW62,'Sources and Uses Budget'!EOW108-SUM('15 Year Pro Forma'!EOU66:EOV66))</f>
        <v>0</v>
      </c>
      <c r="EOY66" s="960">
        <f>MIN(EOY60-EOY62,'Sources and Uses Budget'!EOY108-SUM('15 Year Pro Forma'!EOW66:EOX66))</f>
        <v>0</v>
      </c>
      <c r="EPA66" s="960">
        <f>MIN(EPA60-EPA62,'Sources and Uses Budget'!EPA108-SUM('15 Year Pro Forma'!EOY66:EOZ66))</f>
        <v>0</v>
      </c>
      <c r="EPC66" s="960">
        <f>MIN(EPC60-EPC62,'Sources and Uses Budget'!EPC108-SUM('15 Year Pro Forma'!EPA66:EPB66))</f>
        <v>0</v>
      </c>
      <c r="EPE66" s="960">
        <f>MIN(EPE60-EPE62,'Sources and Uses Budget'!EPE108-SUM('15 Year Pro Forma'!EPC66:EPD66))</f>
        <v>0</v>
      </c>
      <c r="EPG66" s="960">
        <f>MIN(EPG60-EPG62,'Sources and Uses Budget'!EPG108-SUM('15 Year Pro Forma'!EPE66:EPF66))</f>
        <v>0</v>
      </c>
      <c r="EPI66" s="960">
        <f>MIN(EPI60-EPI62,'Sources and Uses Budget'!EPI108-SUM('15 Year Pro Forma'!EPG66:EPH66))</f>
        <v>0</v>
      </c>
      <c r="EPK66" s="960">
        <f>MIN(EPK60-EPK62,'Sources and Uses Budget'!EPK108-SUM('15 Year Pro Forma'!EPI66:EPJ66))</f>
        <v>0</v>
      </c>
      <c r="EPM66" s="960">
        <f>MIN(EPM60-EPM62,'Sources and Uses Budget'!EPM108-SUM('15 Year Pro Forma'!EPK66:EPL66))</f>
        <v>0</v>
      </c>
      <c r="EPO66" s="960">
        <f>MIN(EPO60-EPO62,'Sources and Uses Budget'!EPO108-SUM('15 Year Pro Forma'!EPM66:EPN66))</f>
        <v>0</v>
      </c>
      <c r="EPQ66" s="960">
        <f>MIN(EPQ60-EPQ62,'Sources and Uses Budget'!EPQ108-SUM('15 Year Pro Forma'!EPO66:EPP66))</f>
        <v>0</v>
      </c>
      <c r="EPS66" s="960">
        <f>MIN(EPS60-EPS62,'Sources and Uses Budget'!EPS108-SUM('15 Year Pro Forma'!EPQ66:EPR66))</f>
        <v>0</v>
      </c>
      <c r="EPU66" s="960">
        <f>MIN(EPU60-EPU62,'Sources and Uses Budget'!EPU108-SUM('15 Year Pro Forma'!EPS66:EPT66))</f>
        <v>0</v>
      </c>
      <c r="EPW66" s="960">
        <f>MIN(EPW60-EPW62,'Sources and Uses Budget'!EPW108-SUM('15 Year Pro Forma'!EPU66:EPV66))</f>
        <v>0</v>
      </c>
      <c r="EPY66" s="960">
        <f>MIN(EPY60-EPY62,'Sources and Uses Budget'!EPY108-SUM('15 Year Pro Forma'!EPW66:EPX66))</f>
        <v>0</v>
      </c>
      <c r="EQA66" s="960">
        <f>MIN(EQA60-EQA62,'Sources and Uses Budget'!EQA108-SUM('15 Year Pro Forma'!EPY66:EPZ66))</f>
        <v>0</v>
      </c>
      <c r="EQC66" s="960">
        <f>MIN(EQC60-EQC62,'Sources and Uses Budget'!EQC108-SUM('15 Year Pro Forma'!EQA66:EQB66))</f>
        <v>0</v>
      </c>
      <c r="EQE66" s="960">
        <f>MIN(EQE60-EQE62,'Sources and Uses Budget'!EQE108-SUM('15 Year Pro Forma'!EQC66:EQD66))</f>
        <v>0</v>
      </c>
      <c r="EQG66" s="960">
        <f>MIN(EQG60-EQG62,'Sources and Uses Budget'!EQG108-SUM('15 Year Pro Forma'!EQE66:EQF66))</f>
        <v>0</v>
      </c>
      <c r="EQI66" s="960">
        <f>MIN(EQI60-EQI62,'Sources and Uses Budget'!EQI108-SUM('15 Year Pro Forma'!EQG66:EQH66))</f>
        <v>0</v>
      </c>
      <c r="EQK66" s="960">
        <f>MIN(EQK60-EQK62,'Sources and Uses Budget'!EQK108-SUM('15 Year Pro Forma'!EQI66:EQJ66))</f>
        <v>0</v>
      </c>
      <c r="EQM66" s="960">
        <f>MIN(EQM60-EQM62,'Sources and Uses Budget'!EQM108-SUM('15 Year Pro Forma'!EQK66:EQL66))</f>
        <v>0</v>
      </c>
      <c r="EQO66" s="960">
        <f>MIN(EQO60-EQO62,'Sources and Uses Budget'!EQO108-SUM('15 Year Pro Forma'!EQM66:EQN66))</f>
        <v>0</v>
      </c>
      <c r="EQQ66" s="960">
        <f>MIN(EQQ60-EQQ62,'Sources and Uses Budget'!EQQ108-SUM('15 Year Pro Forma'!EQO66:EQP66))</f>
        <v>0</v>
      </c>
      <c r="EQS66" s="960">
        <f>MIN(EQS60-EQS62,'Sources and Uses Budget'!EQS108-SUM('15 Year Pro Forma'!EQQ66:EQR66))</f>
        <v>0</v>
      </c>
      <c r="EQU66" s="960">
        <f>MIN(EQU60-EQU62,'Sources and Uses Budget'!EQU108-SUM('15 Year Pro Forma'!EQS66:EQT66))</f>
        <v>0</v>
      </c>
      <c r="EQW66" s="960">
        <f>MIN(EQW60-EQW62,'Sources and Uses Budget'!EQW108-SUM('15 Year Pro Forma'!EQU66:EQV66))</f>
        <v>0</v>
      </c>
      <c r="EQY66" s="960">
        <f>MIN(EQY60-EQY62,'Sources and Uses Budget'!EQY108-SUM('15 Year Pro Forma'!EQW66:EQX66))</f>
        <v>0</v>
      </c>
      <c r="ERA66" s="960">
        <f>MIN(ERA60-ERA62,'Sources and Uses Budget'!ERA108-SUM('15 Year Pro Forma'!EQY66:EQZ66))</f>
        <v>0</v>
      </c>
      <c r="ERC66" s="960">
        <f>MIN(ERC60-ERC62,'Sources and Uses Budget'!ERC108-SUM('15 Year Pro Forma'!ERA66:ERB66))</f>
        <v>0</v>
      </c>
      <c r="ERE66" s="960">
        <f>MIN(ERE60-ERE62,'Sources and Uses Budget'!ERE108-SUM('15 Year Pro Forma'!ERC66:ERD66))</f>
        <v>0</v>
      </c>
      <c r="ERG66" s="960">
        <f>MIN(ERG60-ERG62,'Sources and Uses Budget'!ERG108-SUM('15 Year Pro Forma'!ERE66:ERF66))</f>
        <v>0</v>
      </c>
      <c r="ERI66" s="960">
        <f>MIN(ERI60-ERI62,'Sources and Uses Budget'!ERI108-SUM('15 Year Pro Forma'!ERG66:ERH66))</f>
        <v>0</v>
      </c>
      <c r="ERK66" s="960">
        <f>MIN(ERK60-ERK62,'Sources and Uses Budget'!ERK108-SUM('15 Year Pro Forma'!ERI66:ERJ66))</f>
        <v>0</v>
      </c>
      <c r="ERM66" s="960">
        <f>MIN(ERM60-ERM62,'Sources and Uses Budget'!ERM108-SUM('15 Year Pro Forma'!ERK66:ERL66))</f>
        <v>0</v>
      </c>
      <c r="ERO66" s="960">
        <f>MIN(ERO60-ERO62,'Sources and Uses Budget'!ERO108-SUM('15 Year Pro Forma'!ERM66:ERN66))</f>
        <v>0</v>
      </c>
      <c r="ERQ66" s="960">
        <f>MIN(ERQ60-ERQ62,'Sources and Uses Budget'!ERQ108-SUM('15 Year Pro Forma'!ERO66:ERP66))</f>
        <v>0</v>
      </c>
      <c r="ERS66" s="960">
        <f>MIN(ERS60-ERS62,'Sources and Uses Budget'!ERS108-SUM('15 Year Pro Forma'!ERQ66:ERR66))</f>
        <v>0</v>
      </c>
      <c r="ERU66" s="960">
        <f>MIN(ERU60-ERU62,'Sources and Uses Budget'!ERU108-SUM('15 Year Pro Forma'!ERS66:ERT66))</f>
        <v>0</v>
      </c>
      <c r="ERW66" s="960">
        <f>MIN(ERW60-ERW62,'Sources and Uses Budget'!ERW108-SUM('15 Year Pro Forma'!ERU66:ERV66))</f>
        <v>0</v>
      </c>
      <c r="ERY66" s="960">
        <f>MIN(ERY60-ERY62,'Sources and Uses Budget'!ERY108-SUM('15 Year Pro Forma'!ERW66:ERX66))</f>
        <v>0</v>
      </c>
      <c r="ESA66" s="960">
        <f>MIN(ESA60-ESA62,'Sources and Uses Budget'!ESA108-SUM('15 Year Pro Forma'!ERY66:ERZ66))</f>
        <v>0</v>
      </c>
      <c r="ESC66" s="960">
        <f>MIN(ESC60-ESC62,'Sources and Uses Budget'!ESC108-SUM('15 Year Pro Forma'!ESA66:ESB66))</f>
        <v>0</v>
      </c>
      <c r="ESE66" s="960">
        <f>MIN(ESE60-ESE62,'Sources and Uses Budget'!ESE108-SUM('15 Year Pro Forma'!ESC66:ESD66))</f>
        <v>0</v>
      </c>
      <c r="ESG66" s="960">
        <f>MIN(ESG60-ESG62,'Sources and Uses Budget'!ESG108-SUM('15 Year Pro Forma'!ESE66:ESF66))</f>
        <v>0</v>
      </c>
      <c r="ESI66" s="960">
        <f>MIN(ESI60-ESI62,'Sources and Uses Budget'!ESI108-SUM('15 Year Pro Forma'!ESG66:ESH66))</f>
        <v>0</v>
      </c>
      <c r="ESK66" s="960">
        <f>MIN(ESK60-ESK62,'Sources and Uses Budget'!ESK108-SUM('15 Year Pro Forma'!ESI66:ESJ66))</f>
        <v>0</v>
      </c>
      <c r="ESM66" s="960">
        <f>MIN(ESM60-ESM62,'Sources and Uses Budget'!ESM108-SUM('15 Year Pro Forma'!ESK66:ESL66))</f>
        <v>0</v>
      </c>
      <c r="ESO66" s="960">
        <f>MIN(ESO60-ESO62,'Sources and Uses Budget'!ESO108-SUM('15 Year Pro Forma'!ESM66:ESN66))</f>
        <v>0</v>
      </c>
      <c r="ESQ66" s="960">
        <f>MIN(ESQ60-ESQ62,'Sources and Uses Budget'!ESQ108-SUM('15 Year Pro Forma'!ESO66:ESP66))</f>
        <v>0</v>
      </c>
      <c r="ESS66" s="960">
        <f>MIN(ESS60-ESS62,'Sources and Uses Budget'!ESS108-SUM('15 Year Pro Forma'!ESQ66:ESR66))</f>
        <v>0</v>
      </c>
      <c r="ESU66" s="960">
        <f>MIN(ESU60-ESU62,'Sources and Uses Budget'!ESU108-SUM('15 Year Pro Forma'!ESS66:EST66))</f>
        <v>0</v>
      </c>
      <c r="ESW66" s="960">
        <f>MIN(ESW60-ESW62,'Sources and Uses Budget'!ESW108-SUM('15 Year Pro Forma'!ESU66:ESV66))</f>
        <v>0</v>
      </c>
      <c r="ESY66" s="960">
        <f>MIN(ESY60-ESY62,'Sources and Uses Budget'!ESY108-SUM('15 Year Pro Forma'!ESW66:ESX66))</f>
        <v>0</v>
      </c>
      <c r="ETA66" s="960">
        <f>MIN(ETA60-ETA62,'Sources and Uses Budget'!ETA108-SUM('15 Year Pro Forma'!ESY66:ESZ66))</f>
        <v>0</v>
      </c>
      <c r="ETC66" s="960">
        <f>MIN(ETC60-ETC62,'Sources and Uses Budget'!ETC108-SUM('15 Year Pro Forma'!ETA66:ETB66))</f>
        <v>0</v>
      </c>
      <c r="ETE66" s="960">
        <f>MIN(ETE60-ETE62,'Sources and Uses Budget'!ETE108-SUM('15 Year Pro Forma'!ETC66:ETD66))</f>
        <v>0</v>
      </c>
      <c r="ETG66" s="960">
        <f>MIN(ETG60-ETG62,'Sources and Uses Budget'!ETG108-SUM('15 Year Pro Forma'!ETE66:ETF66))</f>
        <v>0</v>
      </c>
      <c r="ETI66" s="960">
        <f>MIN(ETI60-ETI62,'Sources and Uses Budget'!ETI108-SUM('15 Year Pro Forma'!ETG66:ETH66))</f>
        <v>0</v>
      </c>
      <c r="ETK66" s="960">
        <f>MIN(ETK60-ETK62,'Sources and Uses Budget'!ETK108-SUM('15 Year Pro Forma'!ETI66:ETJ66))</f>
        <v>0</v>
      </c>
      <c r="ETM66" s="960">
        <f>MIN(ETM60-ETM62,'Sources and Uses Budget'!ETM108-SUM('15 Year Pro Forma'!ETK66:ETL66))</f>
        <v>0</v>
      </c>
      <c r="ETO66" s="960">
        <f>MIN(ETO60-ETO62,'Sources and Uses Budget'!ETO108-SUM('15 Year Pro Forma'!ETM66:ETN66))</f>
        <v>0</v>
      </c>
      <c r="ETQ66" s="960">
        <f>MIN(ETQ60-ETQ62,'Sources and Uses Budget'!ETQ108-SUM('15 Year Pro Forma'!ETO66:ETP66))</f>
        <v>0</v>
      </c>
      <c r="ETS66" s="960">
        <f>MIN(ETS60-ETS62,'Sources and Uses Budget'!ETS108-SUM('15 Year Pro Forma'!ETQ66:ETR66))</f>
        <v>0</v>
      </c>
      <c r="ETU66" s="960">
        <f>MIN(ETU60-ETU62,'Sources and Uses Budget'!ETU108-SUM('15 Year Pro Forma'!ETS66:ETT66))</f>
        <v>0</v>
      </c>
      <c r="ETW66" s="960">
        <f>MIN(ETW60-ETW62,'Sources and Uses Budget'!ETW108-SUM('15 Year Pro Forma'!ETU66:ETV66))</f>
        <v>0</v>
      </c>
      <c r="ETY66" s="960">
        <f>MIN(ETY60-ETY62,'Sources and Uses Budget'!ETY108-SUM('15 Year Pro Forma'!ETW66:ETX66))</f>
        <v>0</v>
      </c>
      <c r="EUA66" s="960">
        <f>MIN(EUA60-EUA62,'Sources and Uses Budget'!EUA108-SUM('15 Year Pro Forma'!ETY66:ETZ66))</f>
        <v>0</v>
      </c>
      <c r="EUC66" s="960">
        <f>MIN(EUC60-EUC62,'Sources and Uses Budget'!EUC108-SUM('15 Year Pro Forma'!EUA66:EUB66))</f>
        <v>0</v>
      </c>
      <c r="EUE66" s="960">
        <f>MIN(EUE60-EUE62,'Sources and Uses Budget'!EUE108-SUM('15 Year Pro Forma'!EUC66:EUD66))</f>
        <v>0</v>
      </c>
      <c r="EUG66" s="960">
        <f>MIN(EUG60-EUG62,'Sources and Uses Budget'!EUG108-SUM('15 Year Pro Forma'!EUE66:EUF66))</f>
        <v>0</v>
      </c>
      <c r="EUI66" s="960">
        <f>MIN(EUI60-EUI62,'Sources and Uses Budget'!EUI108-SUM('15 Year Pro Forma'!EUG66:EUH66))</f>
        <v>0</v>
      </c>
      <c r="EUK66" s="960">
        <f>MIN(EUK60-EUK62,'Sources and Uses Budget'!EUK108-SUM('15 Year Pro Forma'!EUI66:EUJ66))</f>
        <v>0</v>
      </c>
      <c r="EUM66" s="960">
        <f>MIN(EUM60-EUM62,'Sources and Uses Budget'!EUM108-SUM('15 Year Pro Forma'!EUK66:EUL66))</f>
        <v>0</v>
      </c>
      <c r="EUO66" s="960">
        <f>MIN(EUO60-EUO62,'Sources and Uses Budget'!EUO108-SUM('15 Year Pro Forma'!EUM66:EUN66))</f>
        <v>0</v>
      </c>
      <c r="EUQ66" s="960">
        <f>MIN(EUQ60-EUQ62,'Sources and Uses Budget'!EUQ108-SUM('15 Year Pro Forma'!EUO66:EUP66))</f>
        <v>0</v>
      </c>
      <c r="EUS66" s="960">
        <f>MIN(EUS60-EUS62,'Sources and Uses Budget'!EUS108-SUM('15 Year Pro Forma'!EUQ66:EUR66))</f>
        <v>0</v>
      </c>
      <c r="EUU66" s="960">
        <f>MIN(EUU60-EUU62,'Sources and Uses Budget'!EUU108-SUM('15 Year Pro Forma'!EUS66:EUT66))</f>
        <v>0</v>
      </c>
      <c r="EUW66" s="960">
        <f>MIN(EUW60-EUW62,'Sources and Uses Budget'!EUW108-SUM('15 Year Pro Forma'!EUU66:EUV66))</f>
        <v>0</v>
      </c>
      <c r="EUY66" s="960">
        <f>MIN(EUY60-EUY62,'Sources and Uses Budget'!EUY108-SUM('15 Year Pro Forma'!EUW66:EUX66))</f>
        <v>0</v>
      </c>
      <c r="EVA66" s="960">
        <f>MIN(EVA60-EVA62,'Sources and Uses Budget'!EVA108-SUM('15 Year Pro Forma'!EUY66:EUZ66))</f>
        <v>0</v>
      </c>
      <c r="EVC66" s="960">
        <f>MIN(EVC60-EVC62,'Sources and Uses Budget'!EVC108-SUM('15 Year Pro Forma'!EVA66:EVB66))</f>
        <v>0</v>
      </c>
      <c r="EVE66" s="960">
        <f>MIN(EVE60-EVE62,'Sources and Uses Budget'!EVE108-SUM('15 Year Pro Forma'!EVC66:EVD66))</f>
        <v>0</v>
      </c>
      <c r="EVG66" s="960">
        <f>MIN(EVG60-EVG62,'Sources and Uses Budget'!EVG108-SUM('15 Year Pro Forma'!EVE66:EVF66))</f>
        <v>0</v>
      </c>
      <c r="EVI66" s="960">
        <f>MIN(EVI60-EVI62,'Sources and Uses Budget'!EVI108-SUM('15 Year Pro Forma'!EVG66:EVH66))</f>
        <v>0</v>
      </c>
      <c r="EVK66" s="960">
        <f>MIN(EVK60-EVK62,'Sources and Uses Budget'!EVK108-SUM('15 Year Pro Forma'!EVI66:EVJ66))</f>
        <v>0</v>
      </c>
      <c r="EVM66" s="960">
        <f>MIN(EVM60-EVM62,'Sources and Uses Budget'!EVM108-SUM('15 Year Pro Forma'!EVK66:EVL66))</f>
        <v>0</v>
      </c>
      <c r="EVO66" s="960">
        <f>MIN(EVO60-EVO62,'Sources and Uses Budget'!EVO108-SUM('15 Year Pro Forma'!EVM66:EVN66))</f>
        <v>0</v>
      </c>
      <c r="EVQ66" s="960">
        <f>MIN(EVQ60-EVQ62,'Sources and Uses Budget'!EVQ108-SUM('15 Year Pro Forma'!EVO66:EVP66))</f>
        <v>0</v>
      </c>
      <c r="EVS66" s="960">
        <f>MIN(EVS60-EVS62,'Sources and Uses Budget'!EVS108-SUM('15 Year Pro Forma'!EVQ66:EVR66))</f>
        <v>0</v>
      </c>
      <c r="EVU66" s="960">
        <f>MIN(EVU60-EVU62,'Sources and Uses Budget'!EVU108-SUM('15 Year Pro Forma'!EVS66:EVT66))</f>
        <v>0</v>
      </c>
      <c r="EVW66" s="960">
        <f>MIN(EVW60-EVW62,'Sources and Uses Budget'!EVW108-SUM('15 Year Pro Forma'!EVU66:EVV66))</f>
        <v>0</v>
      </c>
      <c r="EVY66" s="960">
        <f>MIN(EVY60-EVY62,'Sources and Uses Budget'!EVY108-SUM('15 Year Pro Forma'!EVW66:EVX66))</f>
        <v>0</v>
      </c>
      <c r="EWA66" s="960">
        <f>MIN(EWA60-EWA62,'Sources and Uses Budget'!EWA108-SUM('15 Year Pro Forma'!EVY66:EVZ66))</f>
        <v>0</v>
      </c>
      <c r="EWC66" s="960">
        <f>MIN(EWC60-EWC62,'Sources and Uses Budget'!EWC108-SUM('15 Year Pro Forma'!EWA66:EWB66))</f>
        <v>0</v>
      </c>
      <c r="EWE66" s="960">
        <f>MIN(EWE60-EWE62,'Sources and Uses Budget'!EWE108-SUM('15 Year Pro Forma'!EWC66:EWD66))</f>
        <v>0</v>
      </c>
      <c r="EWG66" s="960">
        <f>MIN(EWG60-EWG62,'Sources and Uses Budget'!EWG108-SUM('15 Year Pro Forma'!EWE66:EWF66))</f>
        <v>0</v>
      </c>
      <c r="EWI66" s="960">
        <f>MIN(EWI60-EWI62,'Sources and Uses Budget'!EWI108-SUM('15 Year Pro Forma'!EWG66:EWH66))</f>
        <v>0</v>
      </c>
      <c r="EWK66" s="960">
        <f>MIN(EWK60-EWK62,'Sources and Uses Budget'!EWK108-SUM('15 Year Pro Forma'!EWI66:EWJ66))</f>
        <v>0</v>
      </c>
      <c r="EWM66" s="960">
        <f>MIN(EWM60-EWM62,'Sources and Uses Budget'!EWM108-SUM('15 Year Pro Forma'!EWK66:EWL66))</f>
        <v>0</v>
      </c>
      <c r="EWO66" s="960">
        <f>MIN(EWO60-EWO62,'Sources and Uses Budget'!EWO108-SUM('15 Year Pro Forma'!EWM66:EWN66))</f>
        <v>0</v>
      </c>
      <c r="EWQ66" s="960">
        <f>MIN(EWQ60-EWQ62,'Sources and Uses Budget'!EWQ108-SUM('15 Year Pro Forma'!EWO66:EWP66))</f>
        <v>0</v>
      </c>
      <c r="EWS66" s="960">
        <f>MIN(EWS60-EWS62,'Sources and Uses Budget'!EWS108-SUM('15 Year Pro Forma'!EWQ66:EWR66))</f>
        <v>0</v>
      </c>
      <c r="EWU66" s="960">
        <f>MIN(EWU60-EWU62,'Sources and Uses Budget'!EWU108-SUM('15 Year Pro Forma'!EWS66:EWT66))</f>
        <v>0</v>
      </c>
      <c r="EWW66" s="960">
        <f>MIN(EWW60-EWW62,'Sources and Uses Budget'!EWW108-SUM('15 Year Pro Forma'!EWU66:EWV66))</f>
        <v>0</v>
      </c>
      <c r="EWY66" s="960">
        <f>MIN(EWY60-EWY62,'Sources and Uses Budget'!EWY108-SUM('15 Year Pro Forma'!EWW66:EWX66))</f>
        <v>0</v>
      </c>
      <c r="EXA66" s="960">
        <f>MIN(EXA60-EXA62,'Sources and Uses Budget'!EXA108-SUM('15 Year Pro Forma'!EWY66:EWZ66))</f>
        <v>0</v>
      </c>
      <c r="EXC66" s="960">
        <f>MIN(EXC60-EXC62,'Sources and Uses Budget'!EXC108-SUM('15 Year Pro Forma'!EXA66:EXB66))</f>
        <v>0</v>
      </c>
      <c r="EXE66" s="960">
        <f>MIN(EXE60-EXE62,'Sources and Uses Budget'!EXE108-SUM('15 Year Pro Forma'!EXC66:EXD66))</f>
        <v>0</v>
      </c>
      <c r="EXG66" s="960">
        <f>MIN(EXG60-EXG62,'Sources and Uses Budget'!EXG108-SUM('15 Year Pro Forma'!EXE66:EXF66))</f>
        <v>0</v>
      </c>
      <c r="EXI66" s="960">
        <f>MIN(EXI60-EXI62,'Sources and Uses Budget'!EXI108-SUM('15 Year Pro Forma'!EXG66:EXH66))</f>
        <v>0</v>
      </c>
      <c r="EXK66" s="960">
        <f>MIN(EXK60-EXK62,'Sources and Uses Budget'!EXK108-SUM('15 Year Pro Forma'!EXI66:EXJ66))</f>
        <v>0</v>
      </c>
      <c r="EXM66" s="960">
        <f>MIN(EXM60-EXM62,'Sources and Uses Budget'!EXM108-SUM('15 Year Pro Forma'!EXK66:EXL66))</f>
        <v>0</v>
      </c>
      <c r="EXO66" s="960">
        <f>MIN(EXO60-EXO62,'Sources and Uses Budget'!EXO108-SUM('15 Year Pro Forma'!EXM66:EXN66))</f>
        <v>0</v>
      </c>
      <c r="EXQ66" s="960">
        <f>MIN(EXQ60-EXQ62,'Sources and Uses Budget'!EXQ108-SUM('15 Year Pro Forma'!EXO66:EXP66))</f>
        <v>0</v>
      </c>
      <c r="EXS66" s="960">
        <f>MIN(EXS60-EXS62,'Sources and Uses Budget'!EXS108-SUM('15 Year Pro Forma'!EXQ66:EXR66))</f>
        <v>0</v>
      </c>
      <c r="EXU66" s="960">
        <f>MIN(EXU60-EXU62,'Sources and Uses Budget'!EXU108-SUM('15 Year Pro Forma'!EXS66:EXT66))</f>
        <v>0</v>
      </c>
      <c r="EXW66" s="960">
        <f>MIN(EXW60-EXW62,'Sources and Uses Budget'!EXW108-SUM('15 Year Pro Forma'!EXU66:EXV66))</f>
        <v>0</v>
      </c>
      <c r="EXY66" s="960">
        <f>MIN(EXY60-EXY62,'Sources and Uses Budget'!EXY108-SUM('15 Year Pro Forma'!EXW66:EXX66))</f>
        <v>0</v>
      </c>
      <c r="EYA66" s="960">
        <f>MIN(EYA60-EYA62,'Sources and Uses Budget'!EYA108-SUM('15 Year Pro Forma'!EXY66:EXZ66))</f>
        <v>0</v>
      </c>
      <c r="EYC66" s="960">
        <f>MIN(EYC60-EYC62,'Sources and Uses Budget'!EYC108-SUM('15 Year Pro Forma'!EYA66:EYB66))</f>
        <v>0</v>
      </c>
      <c r="EYE66" s="960">
        <f>MIN(EYE60-EYE62,'Sources and Uses Budget'!EYE108-SUM('15 Year Pro Forma'!EYC66:EYD66))</f>
        <v>0</v>
      </c>
      <c r="EYG66" s="960">
        <f>MIN(EYG60-EYG62,'Sources and Uses Budget'!EYG108-SUM('15 Year Pro Forma'!EYE66:EYF66))</f>
        <v>0</v>
      </c>
      <c r="EYI66" s="960">
        <f>MIN(EYI60-EYI62,'Sources and Uses Budget'!EYI108-SUM('15 Year Pro Forma'!EYG66:EYH66))</f>
        <v>0</v>
      </c>
      <c r="EYK66" s="960">
        <f>MIN(EYK60-EYK62,'Sources and Uses Budget'!EYK108-SUM('15 Year Pro Forma'!EYI66:EYJ66))</f>
        <v>0</v>
      </c>
      <c r="EYM66" s="960">
        <f>MIN(EYM60-EYM62,'Sources and Uses Budget'!EYM108-SUM('15 Year Pro Forma'!EYK66:EYL66))</f>
        <v>0</v>
      </c>
      <c r="EYO66" s="960">
        <f>MIN(EYO60-EYO62,'Sources and Uses Budget'!EYO108-SUM('15 Year Pro Forma'!EYM66:EYN66))</f>
        <v>0</v>
      </c>
      <c r="EYQ66" s="960">
        <f>MIN(EYQ60-EYQ62,'Sources and Uses Budget'!EYQ108-SUM('15 Year Pro Forma'!EYO66:EYP66))</f>
        <v>0</v>
      </c>
      <c r="EYS66" s="960">
        <f>MIN(EYS60-EYS62,'Sources and Uses Budget'!EYS108-SUM('15 Year Pro Forma'!EYQ66:EYR66))</f>
        <v>0</v>
      </c>
      <c r="EYU66" s="960">
        <f>MIN(EYU60-EYU62,'Sources and Uses Budget'!EYU108-SUM('15 Year Pro Forma'!EYS66:EYT66))</f>
        <v>0</v>
      </c>
      <c r="EYW66" s="960">
        <f>MIN(EYW60-EYW62,'Sources and Uses Budget'!EYW108-SUM('15 Year Pro Forma'!EYU66:EYV66))</f>
        <v>0</v>
      </c>
      <c r="EYY66" s="960">
        <f>MIN(EYY60-EYY62,'Sources and Uses Budget'!EYY108-SUM('15 Year Pro Forma'!EYW66:EYX66))</f>
        <v>0</v>
      </c>
      <c r="EZA66" s="960">
        <f>MIN(EZA60-EZA62,'Sources and Uses Budget'!EZA108-SUM('15 Year Pro Forma'!EYY66:EYZ66))</f>
        <v>0</v>
      </c>
      <c r="EZC66" s="960">
        <f>MIN(EZC60-EZC62,'Sources and Uses Budget'!EZC108-SUM('15 Year Pro Forma'!EZA66:EZB66))</f>
        <v>0</v>
      </c>
      <c r="EZE66" s="960">
        <f>MIN(EZE60-EZE62,'Sources and Uses Budget'!EZE108-SUM('15 Year Pro Forma'!EZC66:EZD66))</f>
        <v>0</v>
      </c>
      <c r="EZG66" s="960">
        <f>MIN(EZG60-EZG62,'Sources and Uses Budget'!EZG108-SUM('15 Year Pro Forma'!EZE66:EZF66))</f>
        <v>0</v>
      </c>
      <c r="EZI66" s="960">
        <f>MIN(EZI60-EZI62,'Sources and Uses Budget'!EZI108-SUM('15 Year Pro Forma'!EZG66:EZH66))</f>
        <v>0</v>
      </c>
      <c r="EZK66" s="960">
        <f>MIN(EZK60-EZK62,'Sources and Uses Budget'!EZK108-SUM('15 Year Pro Forma'!EZI66:EZJ66))</f>
        <v>0</v>
      </c>
      <c r="EZM66" s="960">
        <f>MIN(EZM60-EZM62,'Sources and Uses Budget'!EZM108-SUM('15 Year Pro Forma'!EZK66:EZL66))</f>
        <v>0</v>
      </c>
      <c r="EZO66" s="960">
        <f>MIN(EZO60-EZO62,'Sources and Uses Budget'!EZO108-SUM('15 Year Pro Forma'!EZM66:EZN66))</f>
        <v>0</v>
      </c>
      <c r="EZQ66" s="960">
        <f>MIN(EZQ60-EZQ62,'Sources and Uses Budget'!EZQ108-SUM('15 Year Pro Forma'!EZO66:EZP66))</f>
        <v>0</v>
      </c>
      <c r="EZS66" s="960">
        <f>MIN(EZS60-EZS62,'Sources and Uses Budget'!EZS108-SUM('15 Year Pro Forma'!EZQ66:EZR66))</f>
        <v>0</v>
      </c>
      <c r="EZU66" s="960">
        <f>MIN(EZU60-EZU62,'Sources and Uses Budget'!EZU108-SUM('15 Year Pro Forma'!EZS66:EZT66))</f>
        <v>0</v>
      </c>
      <c r="EZW66" s="960">
        <f>MIN(EZW60-EZW62,'Sources and Uses Budget'!EZW108-SUM('15 Year Pro Forma'!EZU66:EZV66))</f>
        <v>0</v>
      </c>
      <c r="EZY66" s="960">
        <f>MIN(EZY60-EZY62,'Sources and Uses Budget'!EZY108-SUM('15 Year Pro Forma'!EZW66:EZX66))</f>
        <v>0</v>
      </c>
      <c r="FAA66" s="960">
        <f>MIN(FAA60-FAA62,'Sources and Uses Budget'!FAA108-SUM('15 Year Pro Forma'!EZY66:EZZ66))</f>
        <v>0</v>
      </c>
      <c r="FAC66" s="960">
        <f>MIN(FAC60-FAC62,'Sources and Uses Budget'!FAC108-SUM('15 Year Pro Forma'!FAA66:FAB66))</f>
        <v>0</v>
      </c>
      <c r="FAE66" s="960">
        <f>MIN(FAE60-FAE62,'Sources and Uses Budget'!FAE108-SUM('15 Year Pro Forma'!FAC66:FAD66))</f>
        <v>0</v>
      </c>
      <c r="FAG66" s="960">
        <f>MIN(FAG60-FAG62,'Sources and Uses Budget'!FAG108-SUM('15 Year Pro Forma'!FAE66:FAF66))</f>
        <v>0</v>
      </c>
      <c r="FAI66" s="960">
        <f>MIN(FAI60-FAI62,'Sources and Uses Budget'!FAI108-SUM('15 Year Pro Forma'!FAG66:FAH66))</f>
        <v>0</v>
      </c>
      <c r="FAK66" s="960">
        <f>MIN(FAK60-FAK62,'Sources and Uses Budget'!FAK108-SUM('15 Year Pro Forma'!FAI66:FAJ66))</f>
        <v>0</v>
      </c>
      <c r="FAM66" s="960">
        <f>MIN(FAM60-FAM62,'Sources and Uses Budget'!FAM108-SUM('15 Year Pro Forma'!FAK66:FAL66))</f>
        <v>0</v>
      </c>
      <c r="FAO66" s="960">
        <f>MIN(FAO60-FAO62,'Sources and Uses Budget'!FAO108-SUM('15 Year Pro Forma'!FAM66:FAN66))</f>
        <v>0</v>
      </c>
      <c r="FAQ66" s="960">
        <f>MIN(FAQ60-FAQ62,'Sources and Uses Budget'!FAQ108-SUM('15 Year Pro Forma'!FAO66:FAP66))</f>
        <v>0</v>
      </c>
      <c r="FAS66" s="960">
        <f>MIN(FAS60-FAS62,'Sources and Uses Budget'!FAS108-SUM('15 Year Pro Forma'!FAQ66:FAR66))</f>
        <v>0</v>
      </c>
      <c r="FAU66" s="960">
        <f>MIN(FAU60-FAU62,'Sources and Uses Budget'!FAU108-SUM('15 Year Pro Forma'!FAS66:FAT66))</f>
        <v>0</v>
      </c>
      <c r="FAW66" s="960">
        <f>MIN(FAW60-FAW62,'Sources and Uses Budget'!FAW108-SUM('15 Year Pro Forma'!FAU66:FAV66))</f>
        <v>0</v>
      </c>
      <c r="FAY66" s="960">
        <f>MIN(FAY60-FAY62,'Sources and Uses Budget'!FAY108-SUM('15 Year Pro Forma'!FAW66:FAX66))</f>
        <v>0</v>
      </c>
      <c r="FBA66" s="960">
        <f>MIN(FBA60-FBA62,'Sources and Uses Budget'!FBA108-SUM('15 Year Pro Forma'!FAY66:FAZ66))</f>
        <v>0</v>
      </c>
      <c r="FBC66" s="960">
        <f>MIN(FBC60-FBC62,'Sources and Uses Budget'!FBC108-SUM('15 Year Pro Forma'!FBA66:FBB66))</f>
        <v>0</v>
      </c>
      <c r="FBE66" s="960">
        <f>MIN(FBE60-FBE62,'Sources and Uses Budget'!FBE108-SUM('15 Year Pro Forma'!FBC66:FBD66))</f>
        <v>0</v>
      </c>
      <c r="FBG66" s="960">
        <f>MIN(FBG60-FBG62,'Sources and Uses Budget'!FBG108-SUM('15 Year Pro Forma'!FBE66:FBF66))</f>
        <v>0</v>
      </c>
      <c r="FBI66" s="960">
        <f>MIN(FBI60-FBI62,'Sources and Uses Budget'!FBI108-SUM('15 Year Pro Forma'!FBG66:FBH66))</f>
        <v>0</v>
      </c>
      <c r="FBK66" s="960">
        <f>MIN(FBK60-FBK62,'Sources and Uses Budget'!FBK108-SUM('15 Year Pro Forma'!FBI66:FBJ66))</f>
        <v>0</v>
      </c>
      <c r="FBM66" s="960">
        <f>MIN(FBM60-FBM62,'Sources and Uses Budget'!FBM108-SUM('15 Year Pro Forma'!FBK66:FBL66))</f>
        <v>0</v>
      </c>
      <c r="FBO66" s="960">
        <f>MIN(FBO60-FBO62,'Sources and Uses Budget'!FBO108-SUM('15 Year Pro Forma'!FBM66:FBN66))</f>
        <v>0</v>
      </c>
      <c r="FBQ66" s="960">
        <f>MIN(FBQ60-FBQ62,'Sources and Uses Budget'!FBQ108-SUM('15 Year Pro Forma'!FBO66:FBP66))</f>
        <v>0</v>
      </c>
      <c r="FBS66" s="960">
        <f>MIN(FBS60-FBS62,'Sources and Uses Budget'!FBS108-SUM('15 Year Pro Forma'!FBQ66:FBR66))</f>
        <v>0</v>
      </c>
      <c r="FBU66" s="960">
        <f>MIN(FBU60-FBU62,'Sources and Uses Budget'!FBU108-SUM('15 Year Pro Forma'!FBS66:FBT66))</f>
        <v>0</v>
      </c>
      <c r="FBW66" s="960">
        <f>MIN(FBW60-FBW62,'Sources and Uses Budget'!FBW108-SUM('15 Year Pro Forma'!FBU66:FBV66))</f>
        <v>0</v>
      </c>
      <c r="FBY66" s="960">
        <f>MIN(FBY60-FBY62,'Sources and Uses Budget'!FBY108-SUM('15 Year Pro Forma'!FBW66:FBX66))</f>
        <v>0</v>
      </c>
      <c r="FCA66" s="960">
        <f>MIN(FCA60-FCA62,'Sources and Uses Budget'!FCA108-SUM('15 Year Pro Forma'!FBY66:FBZ66))</f>
        <v>0</v>
      </c>
      <c r="FCC66" s="960">
        <f>MIN(FCC60-FCC62,'Sources and Uses Budget'!FCC108-SUM('15 Year Pro Forma'!FCA66:FCB66))</f>
        <v>0</v>
      </c>
      <c r="FCE66" s="960">
        <f>MIN(FCE60-FCE62,'Sources and Uses Budget'!FCE108-SUM('15 Year Pro Forma'!FCC66:FCD66))</f>
        <v>0</v>
      </c>
      <c r="FCG66" s="960">
        <f>MIN(FCG60-FCG62,'Sources and Uses Budget'!FCG108-SUM('15 Year Pro Forma'!FCE66:FCF66))</f>
        <v>0</v>
      </c>
      <c r="FCI66" s="960">
        <f>MIN(FCI60-FCI62,'Sources and Uses Budget'!FCI108-SUM('15 Year Pro Forma'!FCG66:FCH66))</f>
        <v>0</v>
      </c>
      <c r="FCK66" s="960">
        <f>MIN(FCK60-FCK62,'Sources and Uses Budget'!FCK108-SUM('15 Year Pro Forma'!FCI66:FCJ66))</f>
        <v>0</v>
      </c>
      <c r="FCM66" s="960">
        <f>MIN(FCM60-FCM62,'Sources and Uses Budget'!FCM108-SUM('15 Year Pro Forma'!FCK66:FCL66))</f>
        <v>0</v>
      </c>
      <c r="FCO66" s="960">
        <f>MIN(FCO60-FCO62,'Sources and Uses Budget'!FCO108-SUM('15 Year Pro Forma'!FCM66:FCN66))</f>
        <v>0</v>
      </c>
      <c r="FCQ66" s="960">
        <f>MIN(FCQ60-FCQ62,'Sources and Uses Budget'!FCQ108-SUM('15 Year Pro Forma'!FCO66:FCP66))</f>
        <v>0</v>
      </c>
      <c r="FCS66" s="960">
        <f>MIN(FCS60-FCS62,'Sources and Uses Budget'!FCS108-SUM('15 Year Pro Forma'!FCQ66:FCR66))</f>
        <v>0</v>
      </c>
      <c r="FCU66" s="960">
        <f>MIN(FCU60-FCU62,'Sources and Uses Budget'!FCU108-SUM('15 Year Pro Forma'!FCS66:FCT66))</f>
        <v>0</v>
      </c>
      <c r="FCW66" s="960">
        <f>MIN(FCW60-FCW62,'Sources and Uses Budget'!FCW108-SUM('15 Year Pro Forma'!FCU66:FCV66))</f>
        <v>0</v>
      </c>
      <c r="FCY66" s="960">
        <f>MIN(FCY60-FCY62,'Sources and Uses Budget'!FCY108-SUM('15 Year Pro Forma'!FCW66:FCX66))</f>
        <v>0</v>
      </c>
      <c r="FDA66" s="960">
        <f>MIN(FDA60-FDA62,'Sources and Uses Budget'!FDA108-SUM('15 Year Pro Forma'!FCY66:FCZ66))</f>
        <v>0</v>
      </c>
      <c r="FDC66" s="960">
        <f>MIN(FDC60-FDC62,'Sources and Uses Budget'!FDC108-SUM('15 Year Pro Forma'!FDA66:FDB66))</f>
        <v>0</v>
      </c>
      <c r="FDE66" s="960">
        <f>MIN(FDE60-FDE62,'Sources and Uses Budget'!FDE108-SUM('15 Year Pro Forma'!FDC66:FDD66))</f>
        <v>0</v>
      </c>
      <c r="FDG66" s="960">
        <f>MIN(FDG60-FDG62,'Sources and Uses Budget'!FDG108-SUM('15 Year Pro Forma'!FDE66:FDF66))</f>
        <v>0</v>
      </c>
      <c r="FDI66" s="960">
        <f>MIN(FDI60-FDI62,'Sources and Uses Budget'!FDI108-SUM('15 Year Pro Forma'!FDG66:FDH66))</f>
        <v>0</v>
      </c>
      <c r="FDK66" s="960">
        <f>MIN(FDK60-FDK62,'Sources and Uses Budget'!FDK108-SUM('15 Year Pro Forma'!FDI66:FDJ66))</f>
        <v>0</v>
      </c>
      <c r="FDM66" s="960">
        <f>MIN(FDM60-FDM62,'Sources and Uses Budget'!FDM108-SUM('15 Year Pro Forma'!FDK66:FDL66))</f>
        <v>0</v>
      </c>
      <c r="FDO66" s="960">
        <f>MIN(FDO60-FDO62,'Sources and Uses Budget'!FDO108-SUM('15 Year Pro Forma'!FDM66:FDN66))</f>
        <v>0</v>
      </c>
      <c r="FDQ66" s="960">
        <f>MIN(FDQ60-FDQ62,'Sources and Uses Budget'!FDQ108-SUM('15 Year Pro Forma'!FDO66:FDP66))</f>
        <v>0</v>
      </c>
      <c r="FDS66" s="960">
        <f>MIN(FDS60-FDS62,'Sources and Uses Budget'!FDS108-SUM('15 Year Pro Forma'!FDQ66:FDR66))</f>
        <v>0</v>
      </c>
      <c r="FDU66" s="960">
        <f>MIN(FDU60-FDU62,'Sources and Uses Budget'!FDU108-SUM('15 Year Pro Forma'!FDS66:FDT66))</f>
        <v>0</v>
      </c>
      <c r="FDW66" s="960">
        <f>MIN(FDW60-FDW62,'Sources and Uses Budget'!FDW108-SUM('15 Year Pro Forma'!FDU66:FDV66))</f>
        <v>0</v>
      </c>
      <c r="FDY66" s="960">
        <f>MIN(FDY60-FDY62,'Sources and Uses Budget'!FDY108-SUM('15 Year Pro Forma'!FDW66:FDX66))</f>
        <v>0</v>
      </c>
      <c r="FEA66" s="960">
        <f>MIN(FEA60-FEA62,'Sources and Uses Budget'!FEA108-SUM('15 Year Pro Forma'!FDY66:FDZ66))</f>
        <v>0</v>
      </c>
      <c r="FEC66" s="960">
        <f>MIN(FEC60-FEC62,'Sources and Uses Budget'!FEC108-SUM('15 Year Pro Forma'!FEA66:FEB66))</f>
        <v>0</v>
      </c>
      <c r="FEE66" s="960">
        <f>MIN(FEE60-FEE62,'Sources and Uses Budget'!FEE108-SUM('15 Year Pro Forma'!FEC66:FED66))</f>
        <v>0</v>
      </c>
      <c r="FEG66" s="960">
        <f>MIN(FEG60-FEG62,'Sources and Uses Budget'!FEG108-SUM('15 Year Pro Forma'!FEE66:FEF66))</f>
        <v>0</v>
      </c>
      <c r="FEI66" s="960">
        <f>MIN(FEI60-FEI62,'Sources and Uses Budget'!FEI108-SUM('15 Year Pro Forma'!FEG66:FEH66))</f>
        <v>0</v>
      </c>
      <c r="FEK66" s="960">
        <f>MIN(FEK60-FEK62,'Sources and Uses Budget'!FEK108-SUM('15 Year Pro Forma'!FEI66:FEJ66))</f>
        <v>0</v>
      </c>
      <c r="FEM66" s="960">
        <f>MIN(FEM60-FEM62,'Sources and Uses Budget'!FEM108-SUM('15 Year Pro Forma'!FEK66:FEL66))</f>
        <v>0</v>
      </c>
      <c r="FEO66" s="960">
        <f>MIN(FEO60-FEO62,'Sources and Uses Budget'!FEO108-SUM('15 Year Pro Forma'!FEM66:FEN66))</f>
        <v>0</v>
      </c>
      <c r="FEQ66" s="960">
        <f>MIN(FEQ60-FEQ62,'Sources and Uses Budget'!FEQ108-SUM('15 Year Pro Forma'!FEO66:FEP66))</f>
        <v>0</v>
      </c>
      <c r="FES66" s="960">
        <f>MIN(FES60-FES62,'Sources and Uses Budget'!FES108-SUM('15 Year Pro Forma'!FEQ66:FER66))</f>
        <v>0</v>
      </c>
      <c r="FEU66" s="960">
        <f>MIN(FEU60-FEU62,'Sources and Uses Budget'!FEU108-SUM('15 Year Pro Forma'!FES66:FET66))</f>
        <v>0</v>
      </c>
      <c r="FEW66" s="960">
        <f>MIN(FEW60-FEW62,'Sources and Uses Budget'!FEW108-SUM('15 Year Pro Forma'!FEU66:FEV66))</f>
        <v>0</v>
      </c>
      <c r="FEY66" s="960">
        <f>MIN(FEY60-FEY62,'Sources and Uses Budget'!FEY108-SUM('15 Year Pro Forma'!FEW66:FEX66))</f>
        <v>0</v>
      </c>
      <c r="FFA66" s="960">
        <f>MIN(FFA60-FFA62,'Sources and Uses Budget'!FFA108-SUM('15 Year Pro Forma'!FEY66:FEZ66))</f>
        <v>0</v>
      </c>
      <c r="FFC66" s="960">
        <f>MIN(FFC60-FFC62,'Sources and Uses Budget'!FFC108-SUM('15 Year Pro Forma'!FFA66:FFB66))</f>
        <v>0</v>
      </c>
      <c r="FFE66" s="960">
        <f>MIN(FFE60-FFE62,'Sources and Uses Budget'!FFE108-SUM('15 Year Pro Forma'!FFC66:FFD66))</f>
        <v>0</v>
      </c>
      <c r="FFG66" s="960">
        <f>MIN(FFG60-FFG62,'Sources and Uses Budget'!FFG108-SUM('15 Year Pro Forma'!FFE66:FFF66))</f>
        <v>0</v>
      </c>
      <c r="FFI66" s="960">
        <f>MIN(FFI60-FFI62,'Sources and Uses Budget'!FFI108-SUM('15 Year Pro Forma'!FFG66:FFH66))</f>
        <v>0</v>
      </c>
      <c r="FFK66" s="960">
        <f>MIN(FFK60-FFK62,'Sources and Uses Budget'!FFK108-SUM('15 Year Pro Forma'!FFI66:FFJ66))</f>
        <v>0</v>
      </c>
      <c r="FFM66" s="960">
        <f>MIN(FFM60-FFM62,'Sources and Uses Budget'!FFM108-SUM('15 Year Pro Forma'!FFK66:FFL66))</f>
        <v>0</v>
      </c>
      <c r="FFO66" s="960">
        <f>MIN(FFO60-FFO62,'Sources and Uses Budget'!FFO108-SUM('15 Year Pro Forma'!FFM66:FFN66))</f>
        <v>0</v>
      </c>
      <c r="FFQ66" s="960">
        <f>MIN(FFQ60-FFQ62,'Sources and Uses Budget'!FFQ108-SUM('15 Year Pro Forma'!FFO66:FFP66))</f>
        <v>0</v>
      </c>
      <c r="FFS66" s="960">
        <f>MIN(FFS60-FFS62,'Sources and Uses Budget'!FFS108-SUM('15 Year Pro Forma'!FFQ66:FFR66))</f>
        <v>0</v>
      </c>
      <c r="FFU66" s="960">
        <f>MIN(FFU60-FFU62,'Sources and Uses Budget'!FFU108-SUM('15 Year Pro Forma'!FFS66:FFT66))</f>
        <v>0</v>
      </c>
      <c r="FFW66" s="960">
        <f>MIN(FFW60-FFW62,'Sources and Uses Budget'!FFW108-SUM('15 Year Pro Forma'!FFU66:FFV66))</f>
        <v>0</v>
      </c>
      <c r="FFY66" s="960">
        <f>MIN(FFY60-FFY62,'Sources and Uses Budget'!FFY108-SUM('15 Year Pro Forma'!FFW66:FFX66))</f>
        <v>0</v>
      </c>
      <c r="FGA66" s="960">
        <f>MIN(FGA60-FGA62,'Sources and Uses Budget'!FGA108-SUM('15 Year Pro Forma'!FFY66:FFZ66))</f>
        <v>0</v>
      </c>
      <c r="FGC66" s="960">
        <f>MIN(FGC60-FGC62,'Sources and Uses Budget'!FGC108-SUM('15 Year Pro Forma'!FGA66:FGB66))</f>
        <v>0</v>
      </c>
      <c r="FGE66" s="960">
        <f>MIN(FGE60-FGE62,'Sources and Uses Budget'!FGE108-SUM('15 Year Pro Forma'!FGC66:FGD66))</f>
        <v>0</v>
      </c>
      <c r="FGG66" s="960">
        <f>MIN(FGG60-FGG62,'Sources and Uses Budget'!FGG108-SUM('15 Year Pro Forma'!FGE66:FGF66))</f>
        <v>0</v>
      </c>
      <c r="FGI66" s="960">
        <f>MIN(FGI60-FGI62,'Sources and Uses Budget'!FGI108-SUM('15 Year Pro Forma'!FGG66:FGH66))</f>
        <v>0</v>
      </c>
      <c r="FGK66" s="960">
        <f>MIN(FGK60-FGK62,'Sources and Uses Budget'!FGK108-SUM('15 Year Pro Forma'!FGI66:FGJ66))</f>
        <v>0</v>
      </c>
      <c r="FGM66" s="960">
        <f>MIN(FGM60-FGM62,'Sources and Uses Budget'!FGM108-SUM('15 Year Pro Forma'!FGK66:FGL66))</f>
        <v>0</v>
      </c>
      <c r="FGO66" s="960">
        <f>MIN(FGO60-FGO62,'Sources and Uses Budget'!FGO108-SUM('15 Year Pro Forma'!FGM66:FGN66))</f>
        <v>0</v>
      </c>
      <c r="FGQ66" s="960">
        <f>MIN(FGQ60-FGQ62,'Sources and Uses Budget'!FGQ108-SUM('15 Year Pro Forma'!FGO66:FGP66))</f>
        <v>0</v>
      </c>
      <c r="FGS66" s="960">
        <f>MIN(FGS60-FGS62,'Sources and Uses Budget'!FGS108-SUM('15 Year Pro Forma'!FGQ66:FGR66))</f>
        <v>0</v>
      </c>
      <c r="FGU66" s="960">
        <f>MIN(FGU60-FGU62,'Sources and Uses Budget'!FGU108-SUM('15 Year Pro Forma'!FGS66:FGT66))</f>
        <v>0</v>
      </c>
      <c r="FGW66" s="960">
        <f>MIN(FGW60-FGW62,'Sources and Uses Budget'!FGW108-SUM('15 Year Pro Forma'!FGU66:FGV66))</f>
        <v>0</v>
      </c>
      <c r="FGY66" s="960">
        <f>MIN(FGY60-FGY62,'Sources and Uses Budget'!FGY108-SUM('15 Year Pro Forma'!FGW66:FGX66))</f>
        <v>0</v>
      </c>
      <c r="FHA66" s="960">
        <f>MIN(FHA60-FHA62,'Sources and Uses Budget'!FHA108-SUM('15 Year Pro Forma'!FGY66:FGZ66))</f>
        <v>0</v>
      </c>
      <c r="FHC66" s="960">
        <f>MIN(FHC60-FHC62,'Sources and Uses Budget'!FHC108-SUM('15 Year Pro Forma'!FHA66:FHB66))</f>
        <v>0</v>
      </c>
      <c r="FHE66" s="960">
        <f>MIN(FHE60-FHE62,'Sources and Uses Budget'!FHE108-SUM('15 Year Pro Forma'!FHC66:FHD66))</f>
        <v>0</v>
      </c>
      <c r="FHG66" s="960">
        <f>MIN(FHG60-FHG62,'Sources and Uses Budget'!FHG108-SUM('15 Year Pro Forma'!FHE66:FHF66))</f>
        <v>0</v>
      </c>
      <c r="FHI66" s="960">
        <f>MIN(FHI60-FHI62,'Sources and Uses Budget'!FHI108-SUM('15 Year Pro Forma'!FHG66:FHH66))</f>
        <v>0</v>
      </c>
      <c r="FHK66" s="960">
        <f>MIN(FHK60-FHK62,'Sources and Uses Budget'!FHK108-SUM('15 Year Pro Forma'!FHI66:FHJ66))</f>
        <v>0</v>
      </c>
      <c r="FHM66" s="960">
        <f>MIN(FHM60-FHM62,'Sources and Uses Budget'!FHM108-SUM('15 Year Pro Forma'!FHK66:FHL66))</f>
        <v>0</v>
      </c>
      <c r="FHO66" s="960">
        <f>MIN(FHO60-FHO62,'Sources and Uses Budget'!FHO108-SUM('15 Year Pro Forma'!FHM66:FHN66))</f>
        <v>0</v>
      </c>
      <c r="FHQ66" s="960">
        <f>MIN(FHQ60-FHQ62,'Sources and Uses Budget'!FHQ108-SUM('15 Year Pro Forma'!FHO66:FHP66))</f>
        <v>0</v>
      </c>
      <c r="FHS66" s="960">
        <f>MIN(FHS60-FHS62,'Sources and Uses Budget'!FHS108-SUM('15 Year Pro Forma'!FHQ66:FHR66))</f>
        <v>0</v>
      </c>
      <c r="FHU66" s="960">
        <f>MIN(FHU60-FHU62,'Sources and Uses Budget'!FHU108-SUM('15 Year Pro Forma'!FHS66:FHT66))</f>
        <v>0</v>
      </c>
      <c r="FHW66" s="960">
        <f>MIN(FHW60-FHW62,'Sources and Uses Budget'!FHW108-SUM('15 Year Pro Forma'!FHU66:FHV66))</f>
        <v>0</v>
      </c>
      <c r="FHY66" s="960">
        <f>MIN(FHY60-FHY62,'Sources and Uses Budget'!FHY108-SUM('15 Year Pro Forma'!FHW66:FHX66))</f>
        <v>0</v>
      </c>
      <c r="FIA66" s="960">
        <f>MIN(FIA60-FIA62,'Sources and Uses Budget'!FIA108-SUM('15 Year Pro Forma'!FHY66:FHZ66))</f>
        <v>0</v>
      </c>
      <c r="FIC66" s="960">
        <f>MIN(FIC60-FIC62,'Sources and Uses Budget'!FIC108-SUM('15 Year Pro Forma'!FIA66:FIB66))</f>
        <v>0</v>
      </c>
      <c r="FIE66" s="960">
        <f>MIN(FIE60-FIE62,'Sources and Uses Budget'!FIE108-SUM('15 Year Pro Forma'!FIC66:FID66))</f>
        <v>0</v>
      </c>
      <c r="FIG66" s="960">
        <f>MIN(FIG60-FIG62,'Sources and Uses Budget'!FIG108-SUM('15 Year Pro Forma'!FIE66:FIF66))</f>
        <v>0</v>
      </c>
      <c r="FII66" s="960">
        <f>MIN(FII60-FII62,'Sources and Uses Budget'!FII108-SUM('15 Year Pro Forma'!FIG66:FIH66))</f>
        <v>0</v>
      </c>
      <c r="FIK66" s="960">
        <f>MIN(FIK60-FIK62,'Sources and Uses Budget'!FIK108-SUM('15 Year Pro Forma'!FII66:FIJ66))</f>
        <v>0</v>
      </c>
      <c r="FIM66" s="960">
        <f>MIN(FIM60-FIM62,'Sources and Uses Budget'!FIM108-SUM('15 Year Pro Forma'!FIK66:FIL66))</f>
        <v>0</v>
      </c>
      <c r="FIO66" s="960">
        <f>MIN(FIO60-FIO62,'Sources and Uses Budget'!FIO108-SUM('15 Year Pro Forma'!FIM66:FIN66))</f>
        <v>0</v>
      </c>
      <c r="FIQ66" s="960">
        <f>MIN(FIQ60-FIQ62,'Sources and Uses Budget'!FIQ108-SUM('15 Year Pro Forma'!FIO66:FIP66))</f>
        <v>0</v>
      </c>
      <c r="FIS66" s="960">
        <f>MIN(FIS60-FIS62,'Sources and Uses Budget'!FIS108-SUM('15 Year Pro Forma'!FIQ66:FIR66))</f>
        <v>0</v>
      </c>
      <c r="FIU66" s="960">
        <f>MIN(FIU60-FIU62,'Sources and Uses Budget'!FIU108-SUM('15 Year Pro Forma'!FIS66:FIT66))</f>
        <v>0</v>
      </c>
      <c r="FIW66" s="960">
        <f>MIN(FIW60-FIW62,'Sources and Uses Budget'!FIW108-SUM('15 Year Pro Forma'!FIU66:FIV66))</f>
        <v>0</v>
      </c>
      <c r="FIY66" s="960">
        <f>MIN(FIY60-FIY62,'Sources and Uses Budget'!FIY108-SUM('15 Year Pro Forma'!FIW66:FIX66))</f>
        <v>0</v>
      </c>
      <c r="FJA66" s="960">
        <f>MIN(FJA60-FJA62,'Sources and Uses Budget'!FJA108-SUM('15 Year Pro Forma'!FIY66:FIZ66))</f>
        <v>0</v>
      </c>
      <c r="FJC66" s="960">
        <f>MIN(FJC60-FJC62,'Sources and Uses Budget'!FJC108-SUM('15 Year Pro Forma'!FJA66:FJB66))</f>
        <v>0</v>
      </c>
      <c r="FJE66" s="960">
        <f>MIN(FJE60-FJE62,'Sources and Uses Budget'!FJE108-SUM('15 Year Pro Forma'!FJC66:FJD66))</f>
        <v>0</v>
      </c>
      <c r="FJG66" s="960">
        <f>MIN(FJG60-FJG62,'Sources and Uses Budget'!FJG108-SUM('15 Year Pro Forma'!FJE66:FJF66))</f>
        <v>0</v>
      </c>
      <c r="FJI66" s="960">
        <f>MIN(FJI60-FJI62,'Sources and Uses Budget'!FJI108-SUM('15 Year Pro Forma'!FJG66:FJH66))</f>
        <v>0</v>
      </c>
      <c r="FJK66" s="960">
        <f>MIN(FJK60-FJK62,'Sources and Uses Budget'!FJK108-SUM('15 Year Pro Forma'!FJI66:FJJ66))</f>
        <v>0</v>
      </c>
      <c r="FJM66" s="960">
        <f>MIN(FJM60-FJM62,'Sources and Uses Budget'!FJM108-SUM('15 Year Pro Forma'!FJK66:FJL66))</f>
        <v>0</v>
      </c>
      <c r="FJO66" s="960">
        <f>MIN(FJO60-FJO62,'Sources and Uses Budget'!FJO108-SUM('15 Year Pro Forma'!FJM66:FJN66))</f>
        <v>0</v>
      </c>
      <c r="FJQ66" s="960">
        <f>MIN(FJQ60-FJQ62,'Sources and Uses Budget'!FJQ108-SUM('15 Year Pro Forma'!FJO66:FJP66))</f>
        <v>0</v>
      </c>
      <c r="FJS66" s="960">
        <f>MIN(FJS60-FJS62,'Sources and Uses Budget'!FJS108-SUM('15 Year Pro Forma'!FJQ66:FJR66))</f>
        <v>0</v>
      </c>
      <c r="FJU66" s="960">
        <f>MIN(FJU60-FJU62,'Sources and Uses Budget'!FJU108-SUM('15 Year Pro Forma'!FJS66:FJT66))</f>
        <v>0</v>
      </c>
      <c r="FJW66" s="960">
        <f>MIN(FJW60-FJW62,'Sources and Uses Budget'!FJW108-SUM('15 Year Pro Forma'!FJU66:FJV66))</f>
        <v>0</v>
      </c>
      <c r="FJY66" s="960">
        <f>MIN(FJY60-FJY62,'Sources and Uses Budget'!FJY108-SUM('15 Year Pro Forma'!FJW66:FJX66))</f>
        <v>0</v>
      </c>
      <c r="FKA66" s="960">
        <f>MIN(FKA60-FKA62,'Sources and Uses Budget'!FKA108-SUM('15 Year Pro Forma'!FJY66:FJZ66))</f>
        <v>0</v>
      </c>
      <c r="FKC66" s="960">
        <f>MIN(FKC60-FKC62,'Sources and Uses Budget'!FKC108-SUM('15 Year Pro Forma'!FKA66:FKB66))</f>
        <v>0</v>
      </c>
      <c r="FKE66" s="960">
        <f>MIN(FKE60-FKE62,'Sources and Uses Budget'!FKE108-SUM('15 Year Pro Forma'!FKC66:FKD66))</f>
        <v>0</v>
      </c>
      <c r="FKG66" s="960">
        <f>MIN(FKG60-FKG62,'Sources and Uses Budget'!FKG108-SUM('15 Year Pro Forma'!FKE66:FKF66))</f>
        <v>0</v>
      </c>
      <c r="FKI66" s="960">
        <f>MIN(FKI60-FKI62,'Sources and Uses Budget'!FKI108-SUM('15 Year Pro Forma'!FKG66:FKH66))</f>
        <v>0</v>
      </c>
      <c r="FKK66" s="960">
        <f>MIN(FKK60-FKK62,'Sources and Uses Budget'!FKK108-SUM('15 Year Pro Forma'!FKI66:FKJ66))</f>
        <v>0</v>
      </c>
      <c r="FKM66" s="960">
        <f>MIN(FKM60-FKM62,'Sources and Uses Budget'!FKM108-SUM('15 Year Pro Forma'!FKK66:FKL66))</f>
        <v>0</v>
      </c>
      <c r="FKO66" s="960">
        <f>MIN(FKO60-FKO62,'Sources and Uses Budget'!FKO108-SUM('15 Year Pro Forma'!FKM66:FKN66))</f>
        <v>0</v>
      </c>
      <c r="FKQ66" s="960">
        <f>MIN(FKQ60-FKQ62,'Sources and Uses Budget'!FKQ108-SUM('15 Year Pro Forma'!FKO66:FKP66))</f>
        <v>0</v>
      </c>
      <c r="FKS66" s="960">
        <f>MIN(FKS60-FKS62,'Sources and Uses Budget'!FKS108-SUM('15 Year Pro Forma'!FKQ66:FKR66))</f>
        <v>0</v>
      </c>
      <c r="FKU66" s="960">
        <f>MIN(FKU60-FKU62,'Sources and Uses Budget'!FKU108-SUM('15 Year Pro Forma'!FKS66:FKT66))</f>
        <v>0</v>
      </c>
      <c r="FKW66" s="960">
        <f>MIN(FKW60-FKW62,'Sources and Uses Budget'!FKW108-SUM('15 Year Pro Forma'!FKU66:FKV66))</f>
        <v>0</v>
      </c>
      <c r="FKY66" s="960">
        <f>MIN(FKY60-FKY62,'Sources and Uses Budget'!FKY108-SUM('15 Year Pro Forma'!FKW66:FKX66))</f>
        <v>0</v>
      </c>
      <c r="FLA66" s="960">
        <f>MIN(FLA60-FLA62,'Sources and Uses Budget'!FLA108-SUM('15 Year Pro Forma'!FKY66:FKZ66))</f>
        <v>0</v>
      </c>
      <c r="FLC66" s="960">
        <f>MIN(FLC60-FLC62,'Sources and Uses Budget'!FLC108-SUM('15 Year Pro Forma'!FLA66:FLB66))</f>
        <v>0</v>
      </c>
      <c r="FLE66" s="960">
        <f>MIN(FLE60-FLE62,'Sources and Uses Budget'!FLE108-SUM('15 Year Pro Forma'!FLC66:FLD66))</f>
        <v>0</v>
      </c>
      <c r="FLG66" s="960">
        <f>MIN(FLG60-FLG62,'Sources and Uses Budget'!FLG108-SUM('15 Year Pro Forma'!FLE66:FLF66))</f>
        <v>0</v>
      </c>
      <c r="FLI66" s="960">
        <f>MIN(FLI60-FLI62,'Sources and Uses Budget'!FLI108-SUM('15 Year Pro Forma'!FLG66:FLH66))</f>
        <v>0</v>
      </c>
      <c r="FLK66" s="960">
        <f>MIN(FLK60-FLK62,'Sources and Uses Budget'!FLK108-SUM('15 Year Pro Forma'!FLI66:FLJ66))</f>
        <v>0</v>
      </c>
      <c r="FLM66" s="960">
        <f>MIN(FLM60-FLM62,'Sources and Uses Budget'!FLM108-SUM('15 Year Pro Forma'!FLK66:FLL66))</f>
        <v>0</v>
      </c>
      <c r="FLO66" s="960">
        <f>MIN(FLO60-FLO62,'Sources and Uses Budget'!FLO108-SUM('15 Year Pro Forma'!FLM66:FLN66))</f>
        <v>0</v>
      </c>
      <c r="FLQ66" s="960">
        <f>MIN(FLQ60-FLQ62,'Sources and Uses Budget'!FLQ108-SUM('15 Year Pro Forma'!FLO66:FLP66))</f>
        <v>0</v>
      </c>
      <c r="FLS66" s="960">
        <f>MIN(FLS60-FLS62,'Sources and Uses Budget'!FLS108-SUM('15 Year Pro Forma'!FLQ66:FLR66))</f>
        <v>0</v>
      </c>
      <c r="FLU66" s="960">
        <f>MIN(FLU60-FLU62,'Sources and Uses Budget'!FLU108-SUM('15 Year Pro Forma'!FLS66:FLT66))</f>
        <v>0</v>
      </c>
      <c r="FLW66" s="960">
        <f>MIN(FLW60-FLW62,'Sources and Uses Budget'!FLW108-SUM('15 Year Pro Forma'!FLU66:FLV66))</f>
        <v>0</v>
      </c>
      <c r="FLY66" s="960">
        <f>MIN(FLY60-FLY62,'Sources and Uses Budget'!FLY108-SUM('15 Year Pro Forma'!FLW66:FLX66))</f>
        <v>0</v>
      </c>
      <c r="FMA66" s="960">
        <f>MIN(FMA60-FMA62,'Sources and Uses Budget'!FMA108-SUM('15 Year Pro Forma'!FLY66:FLZ66))</f>
        <v>0</v>
      </c>
      <c r="FMC66" s="960">
        <f>MIN(FMC60-FMC62,'Sources and Uses Budget'!FMC108-SUM('15 Year Pro Forma'!FMA66:FMB66))</f>
        <v>0</v>
      </c>
      <c r="FME66" s="960">
        <f>MIN(FME60-FME62,'Sources and Uses Budget'!FME108-SUM('15 Year Pro Forma'!FMC66:FMD66))</f>
        <v>0</v>
      </c>
      <c r="FMG66" s="960">
        <f>MIN(FMG60-FMG62,'Sources and Uses Budget'!FMG108-SUM('15 Year Pro Forma'!FME66:FMF66))</f>
        <v>0</v>
      </c>
      <c r="FMI66" s="960">
        <f>MIN(FMI60-FMI62,'Sources and Uses Budget'!FMI108-SUM('15 Year Pro Forma'!FMG66:FMH66))</f>
        <v>0</v>
      </c>
      <c r="FMK66" s="960">
        <f>MIN(FMK60-FMK62,'Sources and Uses Budget'!FMK108-SUM('15 Year Pro Forma'!FMI66:FMJ66))</f>
        <v>0</v>
      </c>
      <c r="FMM66" s="960">
        <f>MIN(FMM60-FMM62,'Sources and Uses Budget'!FMM108-SUM('15 Year Pro Forma'!FMK66:FML66))</f>
        <v>0</v>
      </c>
      <c r="FMO66" s="960">
        <f>MIN(FMO60-FMO62,'Sources and Uses Budget'!FMO108-SUM('15 Year Pro Forma'!FMM66:FMN66))</f>
        <v>0</v>
      </c>
      <c r="FMQ66" s="960">
        <f>MIN(FMQ60-FMQ62,'Sources and Uses Budget'!FMQ108-SUM('15 Year Pro Forma'!FMO66:FMP66))</f>
        <v>0</v>
      </c>
      <c r="FMS66" s="960">
        <f>MIN(FMS60-FMS62,'Sources and Uses Budget'!FMS108-SUM('15 Year Pro Forma'!FMQ66:FMR66))</f>
        <v>0</v>
      </c>
      <c r="FMU66" s="960">
        <f>MIN(FMU60-FMU62,'Sources and Uses Budget'!FMU108-SUM('15 Year Pro Forma'!FMS66:FMT66))</f>
        <v>0</v>
      </c>
      <c r="FMW66" s="960">
        <f>MIN(FMW60-FMW62,'Sources and Uses Budget'!FMW108-SUM('15 Year Pro Forma'!FMU66:FMV66))</f>
        <v>0</v>
      </c>
      <c r="FMY66" s="960">
        <f>MIN(FMY60-FMY62,'Sources and Uses Budget'!FMY108-SUM('15 Year Pro Forma'!FMW66:FMX66))</f>
        <v>0</v>
      </c>
      <c r="FNA66" s="960">
        <f>MIN(FNA60-FNA62,'Sources and Uses Budget'!FNA108-SUM('15 Year Pro Forma'!FMY66:FMZ66))</f>
        <v>0</v>
      </c>
      <c r="FNC66" s="960">
        <f>MIN(FNC60-FNC62,'Sources and Uses Budget'!FNC108-SUM('15 Year Pro Forma'!FNA66:FNB66))</f>
        <v>0</v>
      </c>
      <c r="FNE66" s="960">
        <f>MIN(FNE60-FNE62,'Sources and Uses Budget'!FNE108-SUM('15 Year Pro Forma'!FNC66:FND66))</f>
        <v>0</v>
      </c>
      <c r="FNG66" s="960">
        <f>MIN(FNG60-FNG62,'Sources and Uses Budget'!FNG108-SUM('15 Year Pro Forma'!FNE66:FNF66))</f>
        <v>0</v>
      </c>
      <c r="FNI66" s="960">
        <f>MIN(FNI60-FNI62,'Sources and Uses Budget'!FNI108-SUM('15 Year Pro Forma'!FNG66:FNH66))</f>
        <v>0</v>
      </c>
      <c r="FNK66" s="960">
        <f>MIN(FNK60-FNK62,'Sources and Uses Budget'!FNK108-SUM('15 Year Pro Forma'!FNI66:FNJ66))</f>
        <v>0</v>
      </c>
      <c r="FNM66" s="960">
        <f>MIN(FNM60-FNM62,'Sources and Uses Budget'!FNM108-SUM('15 Year Pro Forma'!FNK66:FNL66))</f>
        <v>0</v>
      </c>
      <c r="FNO66" s="960">
        <f>MIN(FNO60-FNO62,'Sources and Uses Budget'!FNO108-SUM('15 Year Pro Forma'!FNM66:FNN66))</f>
        <v>0</v>
      </c>
      <c r="FNQ66" s="960">
        <f>MIN(FNQ60-FNQ62,'Sources and Uses Budget'!FNQ108-SUM('15 Year Pro Forma'!FNO66:FNP66))</f>
        <v>0</v>
      </c>
      <c r="FNS66" s="960">
        <f>MIN(FNS60-FNS62,'Sources and Uses Budget'!FNS108-SUM('15 Year Pro Forma'!FNQ66:FNR66))</f>
        <v>0</v>
      </c>
      <c r="FNU66" s="960">
        <f>MIN(FNU60-FNU62,'Sources and Uses Budget'!FNU108-SUM('15 Year Pro Forma'!FNS66:FNT66))</f>
        <v>0</v>
      </c>
      <c r="FNW66" s="960">
        <f>MIN(FNW60-FNW62,'Sources and Uses Budget'!FNW108-SUM('15 Year Pro Forma'!FNU66:FNV66))</f>
        <v>0</v>
      </c>
      <c r="FNY66" s="960">
        <f>MIN(FNY60-FNY62,'Sources and Uses Budget'!FNY108-SUM('15 Year Pro Forma'!FNW66:FNX66))</f>
        <v>0</v>
      </c>
      <c r="FOA66" s="960">
        <f>MIN(FOA60-FOA62,'Sources and Uses Budget'!FOA108-SUM('15 Year Pro Forma'!FNY66:FNZ66))</f>
        <v>0</v>
      </c>
      <c r="FOC66" s="960">
        <f>MIN(FOC60-FOC62,'Sources and Uses Budget'!FOC108-SUM('15 Year Pro Forma'!FOA66:FOB66))</f>
        <v>0</v>
      </c>
      <c r="FOE66" s="960">
        <f>MIN(FOE60-FOE62,'Sources and Uses Budget'!FOE108-SUM('15 Year Pro Forma'!FOC66:FOD66))</f>
        <v>0</v>
      </c>
      <c r="FOG66" s="960">
        <f>MIN(FOG60-FOG62,'Sources and Uses Budget'!FOG108-SUM('15 Year Pro Forma'!FOE66:FOF66))</f>
        <v>0</v>
      </c>
      <c r="FOI66" s="960">
        <f>MIN(FOI60-FOI62,'Sources and Uses Budget'!FOI108-SUM('15 Year Pro Forma'!FOG66:FOH66))</f>
        <v>0</v>
      </c>
      <c r="FOK66" s="960">
        <f>MIN(FOK60-FOK62,'Sources and Uses Budget'!FOK108-SUM('15 Year Pro Forma'!FOI66:FOJ66))</f>
        <v>0</v>
      </c>
      <c r="FOM66" s="960">
        <f>MIN(FOM60-FOM62,'Sources and Uses Budget'!FOM108-SUM('15 Year Pro Forma'!FOK66:FOL66))</f>
        <v>0</v>
      </c>
      <c r="FOO66" s="960">
        <f>MIN(FOO60-FOO62,'Sources and Uses Budget'!FOO108-SUM('15 Year Pro Forma'!FOM66:FON66))</f>
        <v>0</v>
      </c>
      <c r="FOQ66" s="960">
        <f>MIN(FOQ60-FOQ62,'Sources and Uses Budget'!FOQ108-SUM('15 Year Pro Forma'!FOO66:FOP66))</f>
        <v>0</v>
      </c>
      <c r="FOS66" s="960">
        <f>MIN(FOS60-FOS62,'Sources and Uses Budget'!FOS108-SUM('15 Year Pro Forma'!FOQ66:FOR66))</f>
        <v>0</v>
      </c>
      <c r="FOU66" s="960">
        <f>MIN(FOU60-FOU62,'Sources and Uses Budget'!FOU108-SUM('15 Year Pro Forma'!FOS66:FOT66))</f>
        <v>0</v>
      </c>
      <c r="FOW66" s="960">
        <f>MIN(FOW60-FOW62,'Sources and Uses Budget'!FOW108-SUM('15 Year Pro Forma'!FOU66:FOV66))</f>
        <v>0</v>
      </c>
      <c r="FOY66" s="960">
        <f>MIN(FOY60-FOY62,'Sources and Uses Budget'!FOY108-SUM('15 Year Pro Forma'!FOW66:FOX66))</f>
        <v>0</v>
      </c>
      <c r="FPA66" s="960">
        <f>MIN(FPA60-FPA62,'Sources and Uses Budget'!FPA108-SUM('15 Year Pro Forma'!FOY66:FOZ66))</f>
        <v>0</v>
      </c>
      <c r="FPC66" s="960">
        <f>MIN(FPC60-FPC62,'Sources and Uses Budget'!FPC108-SUM('15 Year Pro Forma'!FPA66:FPB66))</f>
        <v>0</v>
      </c>
      <c r="FPE66" s="960">
        <f>MIN(FPE60-FPE62,'Sources and Uses Budget'!FPE108-SUM('15 Year Pro Forma'!FPC66:FPD66))</f>
        <v>0</v>
      </c>
      <c r="FPG66" s="960">
        <f>MIN(FPG60-FPG62,'Sources and Uses Budget'!FPG108-SUM('15 Year Pro Forma'!FPE66:FPF66))</f>
        <v>0</v>
      </c>
      <c r="FPI66" s="960">
        <f>MIN(FPI60-FPI62,'Sources and Uses Budget'!FPI108-SUM('15 Year Pro Forma'!FPG66:FPH66))</f>
        <v>0</v>
      </c>
      <c r="FPK66" s="960">
        <f>MIN(FPK60-FPK62,'Sources and Uses Budget'!FPK108-SUM('15 Year Pro Forma'!FPI66:FPJ66))</f>
        <v>0</v>
      </c>
      <c r="FPM66" s="960">
        <f>MIN(FPM60-FPM62,'Sources and Uses Budget'!FPM108-SUM('15 Year Pro Forma'!FPK66:FPL66))</f>
        <v>0</v>
      </c>
      <c r="FPO66" s="960">
        <f>MIN(FPO60-FPO62,'Sources and Uses Budget'!FPO108-SUM('15 Year Pro Forma'!FPM66:FPN66))</f>
        <v>0</v>
      </c>
      <c r="FPQ66" s="960">
        <f>MIN(FPQ60-FPQ62,'Sources and Uses Budget'!FPQ108-SUM('15 Year Pro Forma'!FPO66:FPP66))</f>
        <v>0</v>
      </c>
      <c r="FPS66" s="960">
        <f>MIN(FPS60-FPS62,'Sources and Uses Budget'!FPS108-SUM('15 Year Pro Forma'!FPQ66:FPR66))</f>
        <v>0</v>
      </c>
      <c r="FPU66" s="960">
        <f>MIN(FPU60-FPU62,'Sources and Uses Budget'!FPU108-SUM('15 Year Pro Forma'!FPS66:FPT66))</f>
        <v>0</v>
      </c>
      <c r="FPW66" s="960">
        <f>MIN(FPW60-FPW62,'Sources and Uses Budget'!FPW108-SUM('15 Year Pro Forma'!FPU66:FPV66))</f>
        <v>0</v>
      </c>
      <c r="FPY66" s="960">
        <f>MIN(FPY60-FPY62,'Sources and Uses Budget'!FPY108-SUM('15 Year Pro Forma'!FPW66:FPX66))</f>
        <v>0</v>
      </c>
      <c r="FQA66" s="960">
        <f>MIN(FQA60-FQA62,'Sources and Uses Budget'!FQA108-SUM('15 Year Pro Forma'!FPY66:FPZ66))</f>
        <v>0</v>
      </c>
      <c r="FQC66" s="960">
        <f>MIN(FQC60-FQC62,'Sources and Uses Budget'!FQC108-SUM('15 Year Pro Forma'!FQA66:FQB66))</f>
        <v>0</v>
      </c>
      <c r="FQE66" s="960">
        <f>MIN(FQE60-FQE62,'Sources and Uses Budget'!FQE108-SUM('15 Year Pro Forma'!FQC66:FQD66))</f>
        <v>0</v>
      </c>
      <c r="FQG66" s="960">
        <f>MIN(FQG60-FQG62,'Sources and Uses Budget'!FQG108-SUM('15 Year Pro Forma'!FQE66:FQF66))</f>
        <v>0</v>
      </c>
      <c r="FQI66" s="960">
        <f>MIN(FQI60-FQI62,'Sources and Uses Budget'!FQI108-SUM('15 Year Pro Forma'!FQG66:FQH66))</f>
        <v>0</v>
      </c>
      <c r="FQK66" s="960">
        <f>MIN(FQK60-FQK62,'Sources and Uses Budget'!FQK108-SUM('15 Year Pro Forma'!FQI66:FQJ66))</f>
        <v>0</v>
      </c>
      <c r="FQM66" s="960">
        <f>MIN(FQM60-FQM62,'Sources and Uses Budget'!FQM108-SUM('15 Year Pro Forma'!FQK66:FQL66))</f>
        <v>0</v>
      </c>
      <c r="FQO66" s="960">
        <f>MIN(FQO60-FQO62,'Sources and Uses Budget'!FQO108-SUM('15 Year Pro Forma'!FQM66:FQN66))</f>
        <v>0</v>
      </c>
      <c r="FQQ66" s="960">
        <f>MIN(FQQ60-FQQ62,'Sources and Uses Budget'!FQQ108-SUM('15 Year Pro Forma'!FQO66:FQP66))</f>
        <v>0</v>
      </c>
      <c r="FQS66" s="960">
        <f>MIN(FQS60-FQS62,'Sources and Uses Budget'!FQS108-SUM('15 Year Pro Forma'!FQQ66:FQR66))</f>
        <v>0</v>
      </c>
      <c r="FQU66" s="960">
        <f>MIN(FQU60-FQU62,'Sources and Uses Budget'!FQU108-SUM('15 Year Pro Forma'!FQS66:FQT66))</f>
        <v>0</v>
      </c>
      <c r="FQW66" s="960">
        <f>MIN(FQW60-FQW62,'Sources and Uses Budget'!FQW108-SUM('15 Year Pro Forma'!FQU66:FQV66))</f>
        <v>0</v>
      </c>
      <c r="FQY66" s="960">
        <f>MIN(FQY60-FQY62,'Sources and Uses Budget'!FQY108-SUM('15 Year Pro Forma'!FQW66:FQX66))</f>
        <v>0</v>
      </c>
      <c r="FRA66" s="960">
        <f>MIN(FRA60-FRA62,'Sources and Uses Budget'!FRA108-SUM('15 Year Pro Forma'!FQY66:FQZ66))</f>
        <v>0</v>
      </c>
      <c r="FRC66" s="960">
        <f>MIN(FRC60-FRC62,'Sources and Uses Budget'!FRC108-SUM('15 Year Pro Forma'!FRA66:FRB66))</f>
        <v>0</v>
      </c>
      <c r="FRE66" s="960">
        <f>MIN(FRE60-FRE62,'Sources and Uses Budget'!FRE108-SUM('15 Year Pro Forma'!FRC66:FRD66))</f>
        <v>0</v>
      </c>
      <c r="FRG66" s="960">
        <f>MIN(FRG60-FRG62,'Sources and Uses Budget'!FRG108-SUM('15 Year Pro Forma'!FRE66:FRF66))</f>
        <v>0</v>
      </c>
      <c r="FRI66" s="960">
        <f>MIN(FRI60-FRI62,'Sources and Uses Budget'!FRI108-SUM('15 Year Pro Forma'!FRG66:FRH66))</f>
        <v>0</v>
      </c>
      <c r="FRK66" s="960">
        <f>MIN(FRK60-FRK62,'Sources and Uses Budget'!FRK108-SUM('15 Year Pro Forma'!FRI66:FRJ66))</f>
        <v>0</v>
      </c>
      <c r="FRM66" s="960">
        <f>MIN(FRM60-FRM62,'Sources and Uses Budget'!FRM108-SUM('15 Year Pro Forma'!FRK66:FRL66))</f>
        <v>0</v>
      </c>
      <c r="FRO66" s="960">
        <f>MIN(FRO60-FRO62,'Sources and Uses Budget'!FRO108-SUM('15 Year Pro Forma'!FRM66:FRN66))</f>
        <v>0</v>
      </c>
      <c r="FRQ66" s="960">
        <f>MIN(FRQ60-FRQ62,'Sources and Uses Budget'!FRQ108-SUM('15 Year Pro Forma'!FRO66:FRP66))</f>
        <v>0</v>
      </c>
      <c r="FRS66" s="960">
        <f>MIN(FRS60-FRS62,'Sources and Uses Budget'!FRS108-SUM('15 Year Pro Forma'!FRQ66:FRR66))</f>
        <v>0</v>
      </c>
      <c r="FRU66" s="960">
        <f>MIN(FRU60-FRU62,'Sources and Uses Budget'!FRU108-SUM('15 Year Pro Forma'!FRS66:FRT66))</f>
        <v>0</v>
      </c>
      <c r="FRW66" s="960">
        <f>MIN(FRW60-FRW62,'Sources and Uses Budget'!FRW108-SUM('15 Year Pro Forma'!FRU66:FRV66))</f>
        <v>0</v>
      </c>
      <c r="FRY66" s="960">
        <f>MIN(FRY60-FRY62,'Sources and Uses Budget'!FRY108-SUM('15 Year Pro Forma'!FRW66:FRX66))</f>
        <v>0</v>
      </c>
      <c r="FSA66" s="960">
        <f>MIN(FSA60-FSA62,'Sources and Uses Budget'!FSA108-SUM('15 Year Pro Forma'!FRY66:FRZ66))</f>
        <v>0</v>
      </c>
      <c r="FSC66" s="960">
        <f>MIN(FSC60-FSC62,'Sources and Uses Budget'!FSC108-SUM('15 Year Pro Forma'!FSA66:FSB66))</f>
        <v>0</v>
      </c>
      <c r="FSE66" s="960">
        <f>MIN(FSE60-FSE62,'Sources and Uses Budget'!FSE108-SUM('15 Year Pro Forma'!FSC66:FSD66))</f>
        <v>0</v>
      </c>
      <c r="FSG66" s="960">
        <f>MIN(FSG60-FSG62,'Sources and Uses Budget'!FSG108-SUM('15 Year Pro Forma'!FSE66:FSF66))</f>
        <v>0</v>
      </c>
      <c r="FSI66" s="960">
        <f>MIN(FSI60-FSI62,'Sources and Uses Budget'!FSI108-SUM('15 Year Pro Forma'!FSG66:FSH66))</f>
        <v>0</v>
      </c>
      <c r="FSK66" s="960">
        <f>MIN(FSK60-FSK62,'Sources and Uses Budget'!FSK108-SUM('15 Year Pro Forma'!FSI66:FSJ66))</f>
        <v>0</v>
      </c>
      <c r="FSM66" s="960">
        <f>MIN(FSM60-FSM62,'Sources and Uses Budget'!FSM108-SUM('15 Year Pro Forma'!FSK66:FSL66))</f>
        <v>0</v>
      </c>
      <c r="FSO66" s="960">
        <f>MIN(FSO60-FSO62,'Sources and Uses Budget'!FSO108-SUM('15 Year Pro Forma'!FSM66:FSN66))</f>
        <v>0</v>
      </c>
      <c r="FSQ66" s="960">
        <f>MIN(FSQ60-FSQ62,'Sources and Uses Budget'!FSQ108-SUM('15 Year Pro Forma'!FSO66:FSP66))</f>
        <v>0</v>
      </c>
      <c r="FSS66" s="960">
        <f>MIN(FSS60-FSS62,'Sources and Uses Budget'!FSS108-SUM('15 Year Pro Forma'!FSQ66:FSR66))</f>
        <v>0</v>
      </c>
      <c r="FSU66" s="960">
        <f>MIN(FSU60-FSU62,'Sources and Uses Budget'!FSU108-SUM('15 Year Pro Forma'!FSS66:FST66))</f>
        <v>0</v>
      </c>
      <c r="FSW66" s="960">
        <f>MIN(FSW60-FSW62,'Sources and Uses Budget'!FSW108-SUM('15 Year Pro Forma'!FSU66:FSV66))</f>
        <v>0</v>
      </c>
      <c r="FSY66" s="960">
        <f>MIN(FSY60-FSY62,'Sources and Uses Budget'!FSY108-SUM('15 Year Pro Forma'!FSW66:FSX66))</f>
        <v>0</v>
      </c>
      <c r="FTA66" s="960">
        <f>MIN(FTA60-FTA62,'Sources and Uses Budget'!FTA108-SUM('15 Year Pro Forma'!FSY66:FSZ66))</f>
        <v>0</v>
      </c>
      <c r="FTC66" s="960">
        <f>MIN(FTC60-FTC62,'Sources and Uses Budget'!FTC108-SUM('15 Year Pro Forma'!FTA66:FTB66))</f>
        <v>0</v>
      </c>
      <c r="FTE66" s="960">
        <f>MIN(FTE60-FTE62,'Sources and Uses Budget'!FTE108-SUM('15 Year Pro Forma'!FTC66:FTD66))</f>
        <v>0</v>
      </c>
      <c r="FTG66" s="960">
        <f>MIN(FTG60-FTG62,'Sources and Uses Budget'!FTG108-SUM('15 Year Pro Forma'!FTE66:FTF66))</f>
        <v>0</v>
      </c>
      <c r="FTI66" s="960">
        <f>MIN(FTI60-FTI62,'Sources and Uses Budget'!FTI108-SUM('15 Year Pro Forma'!FTG66:FTH66))</f>
        <v>0</v>
      </c>
      <c r="FTK66" s="960">
        <f>MIN(FTK60-FTK62,'Sources and Uses Budget'!FTK108-SUM('15 Year Pro Forma'!FTI66:FTJ66))</f>
        <v>0</v>
      </c>
      <c r="FTM66" s="960">
        <f>MIN(FTM60-FTM62,'Sources and Uses Budget'!FTM108-SUM('15 Year Pro Forma'!FTK66:FTL66))</f>
        <v>0</v>
      </c>
      <c r="FTO66" s="960">
        <f>MIN(FTO60-FTO62,'Sources and Uses Budget'!FTO108-SUM('15 Year Pro Forma'!FTM66:FTN66))</f>
        <v>0</v>
      </c>
      <c r="FTQ66" s="960">
        <f>MIN(FTQ60-FTQ62,'Sources and Uses Budget'!FTQ108-SUM('15 Year Pro Forma'!FTO66:FTP66))</f>
        <v>0</v>
      </c>
      <c r="FTS66" s="960">
        <f>MIN(FTS60-FTS62,'Sources and Uses Budget'!FTS108-SUM('15 Year Pro Forma'!FTQ66:FTR66))</f>
        <v>0</v>
      </c>
      <c r="FTU66" s="960">
        <f>MIN(FTU60-FTU62,'Sources and Uses Budget'!FTU108-SUM('15 Year Pro Forma'!FTS66:FTT66))</f>
        <v>0</v>
      </c>
      <c r="FTW66" s="960">
        <f>MIN(FTW60-FTW62,'Sources and Uses Budget'!FTW108-SUM('15 Year Pro Forma'!FTU66:FTV66))</f>
        <v>0</v>
      </c>
      <c r="FTY66" s="960">
        <f>MIN(FTY60-FTY62,'Sources and Uses Budget'!FTY108-SUM('15 Year Pro Forma'!FTW66:FTX66))</f>
        <v>0</v>
      </c>
      <c r="FUA66" s="960">
        <f>MIN(FUA60-FUA62,'Sources and Uses Budget'!FUA108-SUM('15 Year Pro Forma'!FTY66:FTZ66))</f>
        <v>0</v>
      </c>
      <c r="FUC66" s="960">
        <f>MIN(FUC60-FUC62,'Sources and Uses Budget'!FUC108-SUM('15 Year Pro Forma'!FUA66:FUB66))</f>
        <v>0</v>
      </c>
      <c r="FUE66" s="960">
        <f>MIN(FUE60-FUE62,'Sources and Uses Budget'!FUE108-SUM('15 Year Pro Forma'!FUC66:FUD66))</f>
        <v>0</v>
      </c>
      <c r="FUG66" s="960">
        <f>MIN(FUG60-FUG62,'Sources and Uses Budget'!FUG108-SUM('15 Year Pro Forma'!FUE66:FUF66))</f>
        <v>0</v>
      </c>
      <c r="FUI66" s="960">
        <f>MIN(FUI60-FUI62,'Sources and Uses Budget'!FUI108-SUM('15 Year Pro Forma'!FUG66:FUH66))</f>
        <v>0</v>
      </c>
      <c r="FUK66" s="960">
        <f>MIN(FUK60-FUK62,'Sources and Uses Budget'!FUK108-SUM('15 Year Pro Forma'!FUI66:FUJ66))</f>
        <v>0</v>
      </c>
      <c r="FUM66" s="960">
        <f>MIN(FUM60-FUM62,'Sources and Uses Budget'!FUM108-SUM('15 Year Pro Forma'!FUK66:FUL66))</f>
        <v>0</v>
      </c>
      <c r="FUO66" s="960">
        <f>MIN(FUO60-FUO62,'Sources and Uses Budget'!FUO108-SUM('15 Year Pro Forma'!FUM66:FUN66))</f>
        <v>0</v>
      </c>
      <c r="FUQ66" s="960">
        <f>MIN(FUQ60-FUQ62,'Sources and Uses Budget'!FUQ108-SUM('15 Year Pro Forma'!FUO66:FUP66))</f>
        <v>0</v>
      </c>
      <c r="FUS66" s="960">
        <f>MIN(FUS60-FUS62,'Sources and Uses Budget'!FUS108-SUM('15 Year Pro Forma'!FUQ66:FUR66))</f>
        <v>0</v>
      </c>
      <c r="FUU66" s="960">
        <f>MIN(FUU60-FUU62,'Sources and Uses Budget'!FUU108-SUM('15 Year Pro Forma'!FUS66:FUT66))</f>
        <v>0</v>
      </c>
      <c r="FUW66" s="960">
        <f>MIN(FUW60-FUW62,'Sources and Uses Budget'!FUW108-SUM('15 Year Pro Forma'!FUU66:FUV66))</f>
        <v>0</v>
      </c>
      <c r="FUY66" s="960">
        <f>MIN(FUY60-FUY62,'Sources and Uses Budget'!FUY108-SUM('15 Year Pro Forma'!FUW66:FUX66))</f>
        <v>0</v>
      </c>
      <c r="FVA66" s="960">
        <f>MIN(FVA60-FVA62,'Sources and Uses Budget'!FVA108-SUM('15 Year Pro Forma'!FUY66:FUZ66))</f>
        <v>0</v>
      </c>
      <c r="FVC66" s="960">
        <f>MIN(FVC60-FVC62,'Sources and Uses Budget'!FVC108-SUM('15 Year Pro Forma'!FVA66:FVB66))</f>
        <v>0</v>
      </c>
      <c r="FVE66" s="960">
        <f>MIN(FVE60-FVE62,'Sources and Uses Budget'!FVE108-SUM('15 Year Pro Forma'!FVC66:FVD66))</f>
        <v>0</v>
      </c>
      <c r="FVG66" s="960">
        <f>MIN(FVG60-FVG62,'Sources and Uses Budget'!FVG108-SUM('15 Year Pro Forma'!FVE66:FVF66))</f>
        <v>0</v>
      </c>
      <c r="FVI66" s="960">
        <f>MIN(FVI60-FVI62,'Sources and Uses Budget'!FVI108-SUM('15 Year Pro Forma'!FVG66:FVH66))</f>
        <v>0</v>
      </c>
      <c r="FVK66" s="960">
        <f>MIN(FVK60-FVK62,'Sources and Uses Budget'!FVK108-SUM('15 Year Pro Forma'!FVI66:FVJ66))</f>
        <v>0</v>
      </c>
      <c r="FVM66" s="960">
        <f>MIN(FVM60-FVM62,'Sources and Uses Budget'!FVM108-SUM('15 Year Pro Forma'!FVK66:FVL66))</f>
        <v>0</v>
      </c>
      <c r="FVO66" s="960">
        <f>MIN(FVO60-FVO62,'Sources and Uses Budget'!FVO108-SUM('15 Year Pro Forma'!FVM66:FVN66))</f>
        <v>0</v>
      </c>
      <c r="FVQ66" s="960">
        <f>MIN(FVQ60-FVQ62,'Sources and Uses Budget'!FVQ108-SUM('15 Year Pro Forma'!FVO66:FVP66))</f>
        <v>0</v>
      </c>
      <c r="FVS66" s="960">
        <f>MIN(FVS60-FVS62,'Sources and Uses Budget'!FVS108-SUM('15 Year Pro Forma'!FVQ66:FVR66))</f>
        <v>0</v>
      </c>
      <c r="FVU66" s="960">
        <f>MIN(FVU60-FVU62,'Sources and Uses Budget'!FVU108-SUM('15 Year Pro Forma'!FVS66:FVT66))</f>
        <v>0</v>
      </c>
      <c r="FVW66" s="960">
        <f>MIN(FVW60-FVW62,'Sources and Uses Budget'!FVW108-SUM('15 Year Pro Forma'!FVU66:FVV66))</f>
        <v>0</v>
      </c>
      <c r="FVY66" s="960">
        <f>MIN(FVY60-FVY62,'Sources and Uses Budget'!FVY108-SUM('15 Year Pro Forma'!FVW66:FVX66))</f>
        <v>0</v>
      </c>
      <c r="FWA66" s="960">
        <f>MIN(FWA60-FWA62,'Sources and Uses Budget'!FWA108-SUM('15 Year Pro Forma'!FVY66:FVZ66))</f>
        <v>0</v>
      </c>
      <c r="FWC66" s="960">
        <f>MIN(FWC60-FWC62,'Sources and Uses Budget'!FWC108-SUM('15 Year Pro Forma'!FWA66:FWB66))</f>
        <v>0</v>
      </c>
      <c r="FWE66" s="960">
        <f>MIN(FWE60-FWE62,'Sources and Uses Budget'!FWE108-SUM('15 Year Pro Forma'!FWC66:FWD66))</f>
        <v>0</v>
      </c>
      <c r="FWG66" s="960">
        <f>MIN(FWG60-FWG62,'Sources and Uses Budget'!FWG108-SUM('15 Year Pro Forma'!FWE66:FWF66))</f>
        <v>0</v>
      </c>
      <c r="FWI66" s="960">
        <f>MIN(FWI60-FWI62,'Sources and Uses Budget'!FWI108-SUM('15 Year Pro Forma'!FWG66:FWH66))</f>
        <v>0</v>
      </c>
      <c r="FWK66" s="960">
        <f>MIN(FWK60-FWK62,'Sources and Uses Budget'!FWK108-SUM('15 Year Pro Forma'!FWI66:FWJ66))</f>
        <v>0</v>
      </c>
      <c r="FWM66" s="960">
        <f>MIN(FWM60-FWM62,'Sources and Uses Budget'!FWM108-SUM('15 Year Pro Forma'!FWK66:FWL66))</f>
        <v>0</v>
      </c>
      <c r="FWO66" s="960">
        <f>MIN(FWO60-FWO62,'Sources and Uses Budget'!FWO108-SUM('15 Year Pro Forma'!FWM66:FWN66))</f>
        <v>0</v>
      </c>
      <c r="FWQ66" s="960">
        <f>MIN(FWQ60-FWQ62,'Sources and Uses Budget'!FWQ108-SUM('15 Year Pro Forma'!FWO66:FWP66))</f>
        <v>0</v>
      </c>
      <c r="FWS66" s="960">
        <f>MIN(FWS60-FWS62,'Sources and Uses Budget'!FWS108-SUM('15 Year Pro Forma'!FWQ66:FWR66))</f>
        <v>0</v>
      </c>
      <c r="FWU66" s="960">
        <f>MIN(FWU60-FWU62,'Sources and Uses Budget'!FWU108-SUM('15 Year Pro Forma'!FWS66:FWT66))</f>
        <v>0</v>
      </c>
      <c r="FWW66" s="960">
        <f>MIN(FWW60-FWW62,'Sources and Uses Budget'!FWW108-SUM('15 Year Pro Forma'!FWU66:FWV66))</f>
        <v>0</v>
      </c>
      <c r="FWY66" s="960">
        <f>MIN(FWY60-FWY62,'Sources and Uses Budget'!FWY108-SUM('15 Year Pro Forma'!FWW66:FWX66))</f>
        <v>0</v>
      </c>
      <c r="FXA66" s="960">
        <f>MIN(FXA60-FXA62,'Sources and Uses Budget'!FXA108-SUM('15 Year Pro Forma'!FWY66:FWZ66))</f>
        <v>0</v>
      </c>
      <c r="FXC66" s="960">
        <f>MIN(FXC60-FXC62,'Sources and Uses Budget'!FXC108-SUM('15 Year Pro Forma'!FXA66:FXB66))</f>
        <v>0</v>
      </c>
      <c r="FXE66" s="960">
        <f>MIN(FXE60-FXE62,'Sources and Uses Budget'!FXE108-SUM('15 Year Pro Forma'!FXC66:FXD66))</f>
        <v>0</v>
      </c>
      <c r="FXG66" s="960">
        <f>MIN(FXG60-FXG62,'Sources and Uses Budget'!FXG108-SUM('15 Year Pro Forma'!FXE66:FXF66))</f>
        <v>0</v>
      </c>
      <c r="FXI66" s="960">
        <f>MIN(FXI60-FXI62,'Sources and Uses Budget'!FXI108-SUM('15 Year Pro Forma'!FXG66:FXH66))</f>
        <v>0</v>
      </c>
      <c r="FXK66" s="960">
        <f>MIN(FXK60-FXK62,'Sources and Uses Budget'!FXK108-SUM('15 Year Pro Forma'!FXI66:FXJ66))</f>
        <v>0</v>
      </c>
      <c r="FXM66" s="960">
        <f>MIN(FXM60-FXM62,'Sources and Uses Budget'!FXM108-SUM('15 Year Pro Forma'!FXK66:FXL66))</f>
        <v>0</v>
      </c>
      <c r="FXO66" s="960">
        <f>MIN(FXO60-FXO62,'Sources and Uses Budget'!FXO108-SUM('15 Year Pro Forma'!FXM66:FXN66))</f>
        <v>0</v>
      </c>
      <c r="FXQ66" s="960">
        <f>MIN(FXQ60-FXQ62,'Sources and Uses Budget'!FXQ108-SUM('15 Year Pro Forma'!FXO66:FXP66))</f>
        <v>0</v>
      </c>
      <c r="FXS66" s="960">
        <f>MIN(FXS60-FXS62,'Sources and Uses Budget'!FXS108-SUM('15 Year Pro Forma'!FXQ66:FXR66))</f>
        <v>0</v>
      </c>
      <c r="FXU66" s="960">
        <f>MIN(FXU60-FXU62,'Sources and Uses Budget'!FXU108-SUM('15 Year Pro Forma'!FXS66:FXT66))</f>
        <v>0</v>
      </c>
      <c r="FXW66" s="960">
        <f>MIN(FXW60-FXW62,'Sources and Uses Budget'!FXW108-SUM('15 Year Pro Forma'!FXU66:FXV66))</f>
        <v>0</v>
      </c>
      <c r="FXY66" s="960">
        <f>MIN(FXY60-FXY62,'Sources and Uses Budget'!FXY108-SUM('15 Year Pro Forma'!FXW66:FXX66))</f>
        <v>0</v>
      </c>
      <c r="FYA66" s="960">
        <f>MIN(FYA60-FYA62,'Sources and Uses Budget'!FYA108-SUM('15 Year Pro Forma'!FXY66:FXZ66))</f>
        <v>0</v>
      </c>
      <c r="FYC66" s="960">
        <f>MIN(FYC60-FYC62,'Sources and Uses Budget'!FYC108-SUM('15 Year Pro Forma'!FYA66:FYB66))</f>
        <v>0</v>
      </c>
      <c r="FYE66" s="960">
        <f>MIN(FYE60-FYE62,'Sources and Uses Budget'!FYE108-SUM('15 Year Pro Forma'!FYC66:FYD66))</f>
        <v>0</v>
      </c>
      <c r="FYG66" s="960">
        <f>MIN(FYG60-FYG62,'Sources and Uses Budget'!FYG108-SUM('15 Year Pro Forma'!FYE66:FYF66))</f>
        <v>0</v>
      </c>
      <c r="FYI66" s="960">
        <f>MIN(FYI60-FYI62,'Sources and Uses Budget'!FYI108-SUM('15 Year Pro Forma'!FYG66:FYH66))</f>
        <v>0</v>
      </c>
      <c r="FYK66" s="960">
        <f>MIN(FYK60-FYK62,'Sources and Uses Budget'!FYK108-SUM('15 Year Pro Forma'!FYI66:FYJ66))</f>
        <v>0</v>
      </c>
      <c r="FYM66" s="960">
        <f>MIN(FYM60-FYM62,'Sources and Uses Budget'!FYM108-SUM('15 Year Pro Forma'!FYK66:FYL66))</f>
        <v>0</v>
      </c>
      <c r="FYO66" s="960">
        <f>MIN(FYO60-FYO62,'Sources and Uses Budget'!FYO108-SUM('15 Year Pro Forma'!FYM66:FYN66))</f>
        <v>0</v>
      </c>
      <c r="FYQ66" s="960">
        <f>MIN(FYQ60-FYQ62,'Sources and Uses Budget'!FYQ108-SUM('15 Year Pro Forma'!FYO66:FYP66))</f>
        <v>0</v>
      </c>
      <c r="FYS66" s="960">
        <f>MIN(FYS60-FYS62,'Sources and Uses Budget'!FYS108-SUM('15 Year Pro Forma'!FYQ66:FYR66))</f>
        <v>0</v>
      </c>
      <c r="FYU66" s="960">
        <f>MIN(FYU60-FYU62,'Sources and Uses Budget'!FYU108-SUM('15 Year Pro Forma'!FYS66:FYT66))</f>
        <v>0</v>
      </c>
      <c r="FYW66" s="960">
        <f>MIN(FYW60-FYW62,'Sources and Uses Budget'!FYW108-SUM('15 Year Pro Forma'!FYU66:FYV66))</f>
        <v>0</v>
      </c>
      <c r="FYY66" s="960">
        <f>MIN(FYY60-FYY62,'Sources and Uses Budget'!FYY108-SUM('15 Year Pro Forma'!FYW66:FYX66))</f>
        <v>0</v>
      </c>
      <c r="FZA66" s="960">
        <f>MIN(FZA60-FZA62,'Sources and Uses Budget'!FZA108-SUM('15 Year Pro Forma'!FYY66:FYZ66))</f>
        <v>0</v>
      </c>
      <c r="FZC66" s="960">
        <f>MIN(FZC60-FZC62,'Sources and Uses Budget'!FZC108-SUM('15 Year Pro Forma'!FZA66:FZB66))</f>
        <v>0</v>
      </c>
      <c r="FZE66" s="960">
        <f>MIN(FZE60-FZE62,'Sources and Uses Budget'!FZE108-SUM('15 Year Pro Forma'!FZC66:FZD66))</f>
        <v>0</v>
      </c>
      <c r="FZG66" s="960">
        <f>MIN(FZG60-FZG62,'Sources and Uses Budget'!FZG108-SUM('15 Year Pro Forma'!FZE66:FZF66))</f>
        <v>0</v>
      </c>
      <c r="FZI66" s="960">
        <f>MIN(FZI60-FZI62,'Sources and Uses Budget'!FZI108-SUM('15 Year Pro Forma'!FZG66:FZH66))</f>
        <v>0</v>
      </c>
      <c r="FZK66" s="960">
        <f>MIN(FZK60-FZK62,'Sources and Uses Budget'!FZK108-SUM('15 Year Pro Forma'!FZI66:FZJ66))</f>
        <v>0</v>
      </c>
      <c r="FZM66" s="960">
        <f>MIN(FZM60-FZM62,'Sources and Uses Budget'!FZM108-SUM('15 Year Pro Forma'!FZK66:FZL66))</f>
        <v>0</v>
      </c>
      <c r="FZO66" s="960">
        <f>MIN(FZO60-FZO62,'Sources and Uses Budget'!FZO108-SUM('15 Year Pro Forma'!FZM66:FZN66))</f>
        <v>0</v>
      </c>
      <c r="FZQ66" s="960">
        <f>MIN(FZQ60-FZQ62,'Sources and Uses Budget'!FZQ108-SUM('15 Year Pro Forma'!FZO66:FZP66))</f>
        <v>0</v>
      </c>
      <c r="FZS66" s="960">
        <f>MIN(FZS60-FZS62,'Sources and Uses Budget'!FZS108-SUM('15 Year Pro Forma'!FZQ66:FZR66))</f>
        <v>0</v>
      </c>
      <c r="FZU66" s="960">
        <f>MIN(FZU60-FZU62,'Sources and Uses Budget'!FZU108-SUM('15 Year Pro Forma'!FZS66:FZT66))</f>
        <v>0</v>
      </c>
      <c r="FZW66" s="960">
        <f>MIN(FZW60-FZW62,'Sources and Uses Budget'!FZW108-SUM('15 Year Pro Forma'!FZU66:FZV66))</f>
        <v>0</v>
      </c>
      <c r="FZY66" s="960">
        <f>MIN(FZY60-FZY62,'Sources and Uses Budget'!FZY108-SUM('15 Year Pro Forma'!FZW66:FZX66))</f>
        <v>0</v>
      </c>
      <c r="GAA66" s="960">
        <f>MIN(GAA60-GAA62,'Sources and Uses Budget'!GAA108-SUM('15 Year Pro Forma'!FZY66:FZZ66))</f>
        <v>0</v>
      </c>
      <c r="GAC66" s="960">
        <f>MIN(GAC60-GAC62,'Sources and Uses Budget'!GAC108-SUM('15 Year Pro Forma'!GAA66:GAB66))</f>
        <v>0</v>
      </c>
      <c r="GAE66" s="960">
        <f>MIN(GAE60-GAE62,'Sources and Uses Budget'!GAE108-SUM('15 Year Pro Forma'!GAC66:GAD66))</f>
        <v>0</v>
      </c>
      <c r="GAG66" s="960">
        <f>MIN(GAG60-GAG62,'Sources and Uses Budget'!GAG108-SUM('15 Year Pro Forma'!GAE66:GAF66))</f>
        <v>0</v>
      </c>
      <c r="GAI66" s="960">
        <f>MIN(GAI60-GAI62,'Sources and Uses Budget'!GAI108-SUM('15 Year Pro Forma'!GAG66:GAH66))</f>
        <v>0</v>
      </c>
      <c r="GAK66" s="960">
        <f>MIN(GAK60-GAK62,'Sources and Uses Budget'!GAK108-SUM('15 Year Pro Forma'!GAI66:GAJ66))</f>
        <v>0</v>
      </c>
      <c r="GAM66" s="960">
        <f>MIN(GAM60-GAM62,'Sources and Uses Budget'!GAM108-SUM('15 Year Pro Forma'!GAK66:GAL66))</f>
        <v>0</v>
      </c>
      <c r="GAO66" s="960">
        <f>MIN(GAO60-GAO62,'Sources and Uses Budget'!GAO108-SUM('15 Year Pro Forma'!GAM66:GAN66))</f>
        <v>0</v>
      </c>
      <c r="GAQ66" s="960">
        <f>MIN(GAQ60-GAQ62,'Sources and Uses Budget'!GAQ108-SUM('15 Year Pro Forma'!GAO66:GAP66))</f>
        <v>0</v>
      </c>
      <c r="GAS66" s="960">
        <f>MIN(GAS60-GAS62,'Sources and Uses Budget'!GAS108-SUM('15 Year Pro Forma'!GAQ66:GAR66))</f>
        <v>0</v>
      </c>
      <c r="GAU66" s="960">
        <f>MIN(GAU60-GAU62,'Sources and Uses Budget'!GAU108-SUM('15 Year Pro Forma'!GAS66:GAT66))</f>
        <v>0</v>
      </c>
      <c r="GAW66" s="960">
        <f>MIN(GAW60-GAW62,'Sources and Uses Budget'!GAW108-SUM('15 Year Pro Forma'!GAU66:GAV66))</f>
        <v>0</v>
      </c>
      <c r="GAY66" s="960">
        <f>MIN(GAY60-GAY62,'Sources and Uses Budget'!GAY108-SUM('15 Year Pro Forma'!GAW66:GAX66))</f>
        <v>0</v>
      </c>
      <c r="GBA66" s="960">
        <f>MIN(GBA60-GBA62,'Sources and Uses Budget'!GBA108-SUM('15 Year Pro Forma'!GAY66:GAZ66))</f>
        <v>0</v>
      </c>
      <c r="GBC66" s="960">
        <f>MIN(GBC60-GBC62,'Sources and Uses Budget'!GBC108-SUM('15 Year Pro Forma'!GBA66:GBB66))</f>
        <v>0</v>
      </c>
      <c r="GBE66" s="960">
        <f>MIN(GBE60-GBE62,'Sources and Uses Budget'!GBE108-SUM('15 Year Pro Forma'!GBC66:GBD66))</f>
        <v>0</v>
      </c>
      <c r="GBG66" s="960">
        <f>MIN(GBG60-GBG62,'Sources and Uses Budget'!GBG108-SUM('15 Year Pro Forma'!GBE66:GBF66))</f>
        <v>0</v>
      </c>
      <c r="GBI66" s="960">
        <f>MIN(GBI60-GBI62,'Sources and Uses Budget'!GBI108-SUM('15 Year Pro Forma'!GBG66:GBH66))</f>
        <v>0</v>
      </c>
      <c r="GBK66" s="960">
        <f>MIN(GBK60-GBK62,'Sources and Uses Budget'!GBK108-SUM('15 Year Pro Forma'!GBI66:GBJ66))</f>
        <v>0</v>
      </c>
      <c r="GBM66" s="960">
        <f>MIN(GBM60-GBM62,'Sources and Uses Budget'!GBM108-SUM('15 Year Pro Forma'!GBK66:GBL66))</f>
        <v>0</v>
      </c>
      <c r="GBO66" s="960">
        <f>MIN(GBO60-GBO62,'Sources and Uses Budget'!GBO108-SUM('15 Year Pro Forma'!GBM66:GBN66))</f>
        <v>0</v>
      </c>
      <c r="GBQ66" s="960">
        <f>MIN(GBQ60-GBQ62,'Sources and Uses Budget'!GBQ108-SUM('15 Year Pro Forma'!GBO66:GBP66))</f>
        <v>0</v>
      </c>
      <c r="GBS66" s="960">
        <f>MIN(GBS60-GBS62,'Sources and Uses Budget'!GBS108-SUM('15 Year Pro Forma'!GBQ66:GBR66))</f>
        <v>0</v>
      </c>
      <c r="GBU66" s="960">
        <f>MIN(GBU60-GBU62,'Sources and Uses Budget'!GBU108-SUM('15 Year Pro Forma'!GBS66:GBT66))</f>
        <v>0</v>
      </c>
      <c r="GBW66" s="960">
        <f>MIN(GBW60-GBW62,'Sources and Uses Budget'!GBW108-SUM('15 Year Pro Forma'!GBU66:GBV66))</f>
        <v>0</v>
      </c>
      <c r="GBY66" s="960">
        <f>MIN(GBY60-GBY62,'Sources and Uses Budget'!GBY108-SUM('15 Year Pro Forma'!GBW66:GBX66))</f>
        <v>0</v>
      </c>
      <c r="GCA66" s="960">
        <f>MIN(GCA60-GCA62,'Sources and Uses Budget'!GCA108-SUM('15 Year Pro Forma'!GBY66:GBZ66))</f>
        <v>0</v>
      </c>
      <c r="GCC66" s="960">
        <f>MIN(GCC60-GCC62,'Sources and Uses Budget'!GCC108-SUM('15 Year Pro Forma'!GCA66:GCB66))</f>
        <v>0</v>
      </c>
      <c r="GCE66" s="960">
        <f>MIN(GCE60-GCE62,'Sources and Uses Budget'!GCE108-SUM('15 Year Pro Forma'!GCC66:GCD66))</f>
        <v>0</v>
      </c>
      <c r="GCG66" s="960">
        <f>MIN(GCG60-GCG62,'Sources and Uses Budget'!GCG108-SUM('15 Year Pro Forma'!GCE66:GCF66))</f>
        <v>0</v>
      </c>
      <c r="GCI66" s="960">
        <f>MIN(GCI60-GCI62,'Sources and Uses Budget'!GCI108-SUM('15 Year Pro Forma'!GCG66:GCH66))</f>
        <v>0</v>
      </c>
      <c r="GCK66" s="960">
        <f>MIN(GCK60-GCK62,'Sources and Uses Budget'!GCK108-SUM('15 Year Pro Forma'!GCI66:GCJ66))</f>
        <v>0</v>
      </c>
      <c r="GCM66" s="960">
        <f>MIN(GCM60-GCM62,'Sources and Uses Budget'!GCM108-SUM('15 Year Pro Forma'!GCK66:GCL66))</f>
        <v>0</v>
      </c>
      <c r="GCO66" s="960">
        <f>MIN(GCO60-GCO62,'Sources and Uses Budget'!GCO108-SUM('15 Year Pro Forma'!GCM66:GCN66))</f>
        <v>0</v>
      </c>
      <c r="GCQ66" s="960">
        <f>MIN(GCQ60-GCQ62,'Sources and Uses Budget'!GCQ108-SUM('15 Year Pro Forma'!GCO66:GCP66))</f>
        <v>0</v>
      </c>
      <c r="GCS66" s="960">
        <f>MIN(GCS60-GCS62,'Sources and Uses Budget'!GCS108-SUM('15 Year Pro Forma'!GCQ66:GCR66))</f>
        <v>0</v>
      </c>
      <c r="GCU66" s="960">
        <f>MIN(GCU60-GCU62,'Sources and Uses Budget'!GCU108-SUM('15 Year Pro Forma'!GCS66:GCT66))</f>
        <v>0</v>
      </c>
      <c r="GCW66" s="960">
        <f>MIN(GCW60-GCW62,'Sources and Uses Budget'!GCW108-SUM('15 Year Pro Forma'!GCU66:GCV66))</f>
        <v>0</v>
      </c>
      <c r="GCY66" s="960">
        <f>MIN(GCY60-GCY62,'Sources and Uses Budget'!GCY108-SUM('15 Year Pro Forma'!GCW66:GCX66))</f>
        <v>0</v>
      </c>
      <c r="GDA66" s="960">
        <f>MIN(GDA60-GDA62,'Sources and Uses Budget'!GDA108-SUM('15 Year Pro Forma'!GCY66:GCZ66))</f>
        <v>0</v>
      </c>
      <c r="GDC66" s="960">
        <f>MIN(GDC60-GDC62,'Sources and Uses Budget'!GDC108-SUM('15 Year Pro Forma'!GDA66:GDB66))</f>
        <v>0</v>
      </c>
      <c r="GDE66" s="960">
        <f>MIN(GDE60-GDE62,'Sources and Uses Budget'!GDE108-SUM('15 Year Pro Forma'!GDC66:GDD66))</f>
        <v>0</v>
      </c>
      <c r="GDG66" s="960">
        <f>MIN(GDG60-GDG62,'Sources and Uses Budget'!GDG108-SUM('15 Year Pro Forma'!GDE66:GDF66))</f>
        <v>0</v>
      </c>
      <c r="GDI66" s="960">
        <f>MIN(GDI60-GDI62,'Sources and Uses Budget'!GDI108-SUM('15 Year Pro Forma'!GDG66:GDH66))</f>
        <v>0</v>
      </c>
      <c r="GDK66" s="960">
        <f>MIN(GDK60-GDK62,'Sources and Uses Budget'!GDK108-SUM('15 Year Pro Forma'!GDI66:GDJ66))</f>
        <v>0</v>
      </c>
      <c r="GDM66" s="960">
        <f>MIN(GDM60-GDM62,'Sources and Uses Budget'!GDM108-SUM('15 Year Pro Forma'!GDK66:GDL66))</f>
        <v>0</v>
      </c>
      <c r="GDO66" s="960">
        <f>MIN(GDO60-GDO62,'Sources and Uses Budget'!GDO108-SUM('15 Year Pro Forma'!GDM66:GDN66))</f>
        <v>0</v>
      </c>
      <c r="GDQ66" s="960">
        <f>MIN(GDQ60-GDQ62,'Sources and Uses Budget'!GDQ108-SUM('15 Year Pro Forma'!GDO66:GDP66))</f>
        <v>0</v>
      </c>
      <c r="GDS66" s="960">
        <f>MIN(GDS60-GDS62,'Sources and Uses Budget'!GDS108-SUM('15 Year Pro Forma'!GDQ66:GDR66))</f>
        <v>0</v>
      </c>
      <c r="GDU66" s="960">
        <f>MIN(GDU60-GDU62,'Sources and Uses Budget'!GDU108-SUM('15 Year Pro Forma'!GDS66:GDT66))</f>
        <v>0</v>
      </c>
      <c r="GDW66" s="960">
        <f>MIN(GDW60-GDW62,'Sources and Uses Budget'!GDW108-SUM('15 Year Pro Forma'!GDU66:GDV66))</f>
        <v>0</v>
      </c>
      <c r="GDY66" s="960">
        <f>MIN(GDY60-GDY62,'Sources and Uses Budget'!GDY108-SUM('15 Year Pro Forma'!GDW66:GDX66))</f>
        <v>0</v>
      </c>
      <c r="GEA66" s="960">
        <f>MIN(GEA60-GEA62,'Sources and Uses Budget'!GEA108-SUM('15 Year Pro Forma'!GDY66:GDZ66))</f>
        <v>0</v>
      </c>
      <c r="GEC66" s="960">
        <f>MIN(GEC60-GEC62,'Sources and Uses Budget'!GEC108-SUM('15 Year Pro Forma'!GEA66:GEB66))</f>
        <v>0</v>
      </c>
      <c r="GEE66" s="960">
        <f>MIN(GEE60-GEE62,'Sources and Uses Budget'!GEE108-SUM('15 Year Pro Forma'!GEC66:GED66))</f>
        <v>0</v>
      </c>
      <c r="GEG66" s="960">
        <f>MIN(GEG60-GEG62,'Sources and Uses Budget'!GEG108-SUM('15 Year Pro Forma'!GEE66:GEF66))</f>
        <v>0</v>
      </c>
      <c r="GEI66" s="960">
        <f>MIN(GEI60-GEI62,'Sources and Uses Budget'!GEI108-SUM('15 Year Pro Forma'!GEG66:GEH66))</f>
        <v>0</v>
      </c>
      <c r="GEK66" s="960">
        <f>MIN(GEK60-GEK62,'Sources and Uses Budget'!GEK108-SUM('15 Year Pro Forma'!GEI66:GEJ66))</f>
        <v>0</v>
      </c>
      <c r="GEM66" s="960">
        <f>MIN(GEM60-GEM62,'Sources and Uses Budget'!GEM108-SUM('15 Year Pro Forma'!GEK66:GEL66))</f>
        <v>0</v>
      </c>
      <c r="GEO66" s="960">
        <f>MIN(GEO60-GEO62,'Sources and Uses Budget'!GEO108-SUM('15 Year Pro Forma'!GEM66:GEN66))</f>
        <v>0</v>
      </c>
      <c r="GEQ66" s="960">
        <f>MIN(GEQ60-GEQ62,'Sources and Uses Budget'!GEQ108-SUM('15 Year Pro Forma'!GEO66:GEP66))</f>
        <v>0</v>
      </c>
      <c r="GES66" s="960">
        <f>MIN(GES60-GES62,'Sources and Uses Budget'!GES108-SUM('15 Year Pro Forma'!GEQ66:GER66))</f>
        <v>0</v>
      </c>
      <c r="GEU66" s="960">
        <f>MIN(GEU60-GEU62,'Sources and Uses Budget'!GEU108-SUM('15 Year Pro Forma'!GES66:GET66))</f>
        <v>0</v>
      </c>
      <c r="GEW66" s="960">
        <f>MIN(GEW60-GEW62,'Sources and Uses Budget'!GEW108-SUM('15 Year Pro Forma'!GEU66:GEV66))</f>
        <v>0</v>
      </c>
      <c r="GEY66" s="960">
        <f>MIN(GEY60-GEY62,'Sources and Uses Budget'!GEY108-SUM('15 Year Pro Forma'!GEW66:GEX66))</f>
        <v>0</v>
      </c>
      <c r="GFA66" s="960">
        <f>MIN(GFA60-GFA62,'Sources and Uses Budget'!GFA108-SUM('15 Year Pro Forma'!GEY66:GEZ66))</f>
        <v>0</v>
      </c>
      <c r="GFC66" s="960">
        <f>MIN(GFC60-GFC62,'Sources and Uses Budget'!GFC108-SUM('15 Year Pro Forma'!GFA66:GFB66))</f>
        <v>0</v>
      </c>
      <c r="GFE66" s="960">
        <f>MIN(GFE60-GFE62,'Sources and Uses Budget'!GFE108-SUM('15 Year Pro Forma'!GFC66:GFD66))</f>
        <v>0</v>
      </c>
      <c r="GFG66" s="960">
        <f>MIN(GFG60-GFG62,'Sources and Uses Budget'!GFG108-SUM('15 Year Pro Forma'!GFE66:GFF66))</f>
        <v>0</v>
      </c>
      <c r="GFI66" s="960">
        <f>MIN(GFI60-GFI62,'Sources and Uses Budget'!GFI108-SUM('15 Year Pro Forma'!GFG66:GFH66))</f>
        <v>0</v>
      </c>
      <c r="GFK66" s="960">
        <f>MIN(GFK60-GFK62,'Sources and Uses Budget'!GFK108-SUM('15 Year Pro Forma'!GFI66:GFJ66))</f>
        <v>0</v>
      </c>
      <c r="GFM66" s="960">
        <f>MIN(GFM60-GFM62,'Sources and Uses Budget'!GFM108-SUM('15 Year Pro Forma'!GFK66:GFL66))</f>
        <v>0</v>
      </c>
      <c r="GFO66" s="960">
        <f>MIN(GFO60-GFO62,'Sources and Uses Budget'!GFO108-SUM('15 Year Pro Forma'!GFM66:GFN66))</f>
        <v>0</v>
      </c>
      <c r="GFQ66" s="960">
        <f>MIN(GFQ60-GFQ62,'Sources and Uses Budget'!GFQ108-SUM('15 Year Pro Forma'!GFO66:GFP66))</f>
        <v>0</v>
      </c>
      <c r="GFS66" s="960">
        <f>MIN(GFS60-GFS62,'Sources and Uses Budget'!GFS108-SUM('15 Year Pro Forma'!GFQ66:GFR66))</f>
        <v>0</v>
      </c>
      <c r="GFU66" s="960">
        <f>MIN(GFU60-GFU62,'Sources and Uses Budget'!GFU108-SUM('15 Year Pro Forma'!GFS66:GFT66))</f>
        <v>0</v>
      </c>
      <c r="GFW66" s="960">
        <f>MIN(GFW60-GFW62,'Sources and Uses Budget'!GFW108-SUM('15 Year Pro Forma'!GFU66:GFV66))</f>
        <v>0</v>
      </c>
      <c r="GFY66" s="960">
        <f>MIN(GFY60-GFY62,'Sources and Uses Budget'!GFY108-SUM('15 Year Pro Forma'!GFW66:GFX66))</f>
        <v>0</v>
      </c>
      <c r="GGA66" s="960">
        <f>MIN(GGA60-GGA62,'Sources and Uses Budget'!GGA108-SUM('15 Year Pro Forma'!GFY66:GFZ66))</f>
        <v>0</v>
      </c>
      <c r="GGC66" s="960">
        <f>MIN(GGC60-GGC62,'Sources and Uses Budget'!GGC108-SUM('15 Year Pro Forma'!GGA66:GGB66))</f>
        <v>0</v>
      </c>
      <c r="GGE66" s="960">
        <f>MIN(GGE60-GGE62,'Sources and Uses Budget'!GGE108-SUM('15 Year Pro Forma'!GGC66:GGD66))</f>
        <v>0</v>
      </c>
      <c r="GGG66" s="960">
        <f>MIN(GGG60-GGG62,'Sources and Uses Budget'!GGG108-SUM('15 Year Pro Forma'!GGE66:GGF66))</f>
        <v>0</v>
      </c>
      <c r="GGI66" s="960">
        <f>MIN(GGI60-GGI62,'Sources and Uses Budget'!GGI108-SUM('15 Year Pro Forma'!GGG66:GGH66))</f>
        <v>0</v>
      </c>
      <c r="GGK66" s="960">
        <f>MIN(GGK60-GGK62,'Sources and Uses Budget'!GGK108-SUM('15 Year Pro Forma'!GGI66:GGJ66))</f>
        <v>0</v>
      </c>
      <c r="GGM66" s="960">
        <f>MIN(GGM60-GGM62,'Sources and Uses Budget'!GGM108-SUM('15 Year Pro Forma'!GGK66:GGL66))</f>
        <v>0</v>
      </c>
      <c r="GGO66" s="960">
        <f>MIN(GGO60-GGO62,'Sources and Uses Budget'!GGO108-SUM('15 Year Pro Forma'!GGM66:GGN66))</f>
        <v>0</v>
      </c>
      <c r="GGQ66" s="960">
        <f>MIN(GGQ60-GGQ62,'Sources and Uses Budget'!GGQ108-SUM('15 Year Pro Forma'!GGO66:GGP66))</f>
        <v>0</v>
      </c>
      <c r="GGS66" s="960">
        <f>MIN(GGS60-GGS62,'Sources and Uses Budget'!GGS108-SUM('15 Year Pro Forma'!GGQ66:GGR66))</f>
        <v>0</v>
      </c>
      <c r="GGU66" s="960">
        <f>MIN(GGU60-GGU62,'Sources and Uses Budget'!GGU108-SUM('15 Year Pro Forma'!GGS66:GGT66))</f>
        <v>0</v>
      </c>
      <c r="GGW66" s="960">
        <f>MIN(GGW60-GGW62,'Sources and Uses Budget'!GGW108-SUM('15 Year Pro Forma'!GGU66:GGV66))</f>
        <v>0</v>
      </c>
      <c r="GGY66" s="960">
        <f>MIN(GGY60-GGY62,'Sources and Uses Budget'!GGY108-SUM('15 Year Pro Forma'!GGW66:GGX66))</f>
        <v>0</v>
      </c>
      <c r="GHA66" s="960">
        <f>MIN(GHA60-GHA62,'Sources and Uses Budget'!GHA108-SUM('15 Year Pro Forma'!GGY66:GGZ66))</f>
        <v>0</v>
      </c>
      <c r="GHC66" s="960">
        <f>MIN(GHC60-GHC62,'Sources and Uses Budget'!GHC108-SUM('15 Year Pro Forma'!GHA66:GHB66))</f>
        <v>0</v>
      </c>
      <c r="GHE66" s="960">
        <f>MIN(GHE60-GHE62,'Sources and Uses Budget'!GHE108-SUM('15 Year Pro Forma'!GHC66:GHD66))</f>
        <v>0</v>
      </c>
      <c r="GHG66" s="960">
        <f>MIN(GHG60-GHG62,'Sources and Uses Budget'!GHG108-SUM('15 Year Pro Forma'!GHE66:GHF66))</f>
        <v>0</v>
      </c>
      <c r="GHI66" s="960">
        <f>MIN(GHI60-GHI62,'Sources and Uses Budget'!GHI108-SUM('15 Year Pro Forma'!GHG66:GHH66))</f>
        <v>0</v>
      </c>
      <c r="GHK66" s="960">
        <f>MIN(GHK60-GHK62,'Sources and Uses Budget'!GHK108-SUM('15 Year Pro Forma'!GHI66:GHJ66))</f>
        <v>0</v>
      </c>
      <c r="GHM66" s="960">
        <f>MIN(GHM60-GHM62,'Sources and Uses Budget'!GHM108-SUM('15 Year Pro Forma'!GHK66:GHL66))</f>
        <v>0</v>
      </c>
      <c r="GHO66" s="960">
        <f>MIN(GHO60-GHO62,'Sources and Uses Budget'!GHO108-SUM('15 Year Pro Forma'!GHM66:GHN66))</f>
        <v>0</v>
      </c>
      <c r="GHQ66" s="960">
        <f>MIN(GHQ60-GHQ62,'Sources and Uses Budget'!GHQ108-SUM('15 Year Pro Forma'!GHO66:GHP66))</f>
        <v>0</v>
      </c>
      <c r="GHS66" s="960">
        <f>MIN(GHS60-GHS62,'Sources and Uses Budget'!GHS108-SUM('15 Year Pro Forma'!GHQ66:GHR66))</f>
        <v>0</v>
      </c>
      <c r="GHU66" s="960">
        <f>MIN(GHU60-GHU62,'Sources and Uses Budget'!GHU108-SUM('15 Year Pro Forma'!GHS66:GHT66))</f>
        <v>0</v>
      </c>
      <c r="GHW66" s="960">
        <f>MIN(GHW60-GHW62,'Sources and Uses Budget'!GHW108-SUM('15 Year Pro Forma'!GHU66:GHV66))</f>
        <v>0</v>
      </c>
      <c r="GHY66" s="960">
        <f>MIN(GHY60-GHY62,'Sources and Uses Budget'!GHY108-SUM('15 Year Pro Forma'!GHW66:GHX66))</f>
        <v>0</v>
      </c>
      <c r="GIA66" s="960">
        <f>MIN(GIA60-GIA62,'Sources and Uses Budget'!GIA108-SUM('15 Year Pro Forma'!GHY66:GHZ66))</f>
        <v>0</v>
      </c>
      <c r="GIC66" s="960">
        <f>MIN(GIC60-GIC62,'Sources and Uses Budget'!GIC108-SUM('15 Year Pro Forma'!GIA66:GIB66))</f>
        <v>0</v>
      </c>
      <c r="GIE66" s="960">
        <f>MIN(GIE60-GIE62,'Sources and Uses Budget'!GIE108-SUM('15 Year Pro Forma'!GIC66:GID66))</f>
        <v>0</v>
      </c>
      <c r="GIG66" s="960">
        <f>MIN(GIG60-GIG62,'Sources and Uses Budget'!GIG108-SUM('15 Year Pro Forma'!GIE66:GIF66))</f>
        <v>0</v>
      </c>
      <c r="GII66" s="960">
        <f>MIN(GII60-GII62,'Sources and Uses Budget'!GII108-SUM('15 Year Pro Forma'!GIG66:GIH66))</f>
        <v>0</v>
      </c>
      <c r="GIK66" s="960">
        <f>MIN(GIK60-GIK62,'Sources and Uses Budget'!GIK108-SUM('15 Year Pro Forma'!GII66:GIJ66))</f>
        <v>0</v>
      </c>
      <c r="GIM66" s="960">
        <f>MIN(GIM60-GIM62,'Sources and Uses Budget'!GIM108-SUM('15 Year Pro Forma'!GIK66:GIL66))</f>
        <v>0</v>
      </c>
      <c r="GIO66" s="960">
        <f>MIN(GIO60-GIO62,'Sources and Uses Budget'!GIO108-SUM('15 Year Pro Forma'!GIM66:GIN66))</f>
        <v>0</v>
      </c>
      <c r="GIQ66" s="960">
        <f>MIN(GIQ60-GIQ62,'Sources and Uses Budget'!GIQ108-SUM('15 Year Pro Forma'!GIO66:GIP66))</f>
        <v>0</v>
      </c>
      <c r="GIS66" s="960">
        <f>MIN(GIS60-GIS62,'Sources and Uses Budget'!GIS108-SUM('15 Year Pro Forma'!GIQ66:GIR66))</f>
        <v>0</v>
      </c>
      <c r="GIU66" s="960">
        <f>MIN(GIU60-GIU62,'Sources and Uses Budget'!GIU108-SUM('15 Year Pro Forma'!GIS66:GIT66))</f>
        <v>0</v>
      </c>
      <c r="GIW66" s="960">
        <f>MIN(GIW60-GIW62,'Sources and Uses Budget'!GIW108-SUM('15 Year Pro Forma'!GIU66:GIV66))</f>
        <v>0</v>
      </c>
      <c r="GIY66" s="960">
        <f>MIN(GIY60-GIY62,'Sources and Uses Budget'!GIY108-SUM('15 Year Pro Forma'!GIW66:GIX66))</f>
        <v>0</v>
      </c>
      <c r="GJA66" s="960">
        <f>MIN(GJA60-GJA62,'Sources and Uses Budget'!GJA108-SUM('15 Year Pro Forma'!GIY66:GIZ66))</f>
        <v>0</v>
      </c>
      <c r="GJC66" s="960">
        <f>MIN(GJC60-GJC62,'Sources and Uses Budget'!GJC108-SUM('15 Year Pro Forma'!GJA66:GJB66))</f>
        <v>0</v>
      </c>
      <c r="GJE66" s="960">
        <f>MIN(GJE60-GJE62,'Sources and Uses Budget'!GJE108-SUM('15 Year Pro Forma'!GJC66:GJD66))</f>
        <v>0</v>
      </c>
      <c r="GJG66" s="960">
        <f>MIN(GJG60-GJG62,'Sources and Uses Budget'!GJG108-SUM('15 Year Pro Forma'!GJE66:GJF66))</f>
        <v>0</v>
      </c>
      <c r="GJI66" s="960">
        <f>MIN(GJI60-GJI62,'Sources and Uses Budget'!GJI108-SUM('15 Year Pro Forma'!GJG66:GJH66))</f>
        <v>0</v>
      </c>
      <c r="GJK66" s="960">
        <f>MIN(GJK60-GJK62,'Sources and Uses Budget'!GJK108-SUM('15 Year Pro Forma'!GJI66:GJJ66))</f>
        <v>0</v>
      </c>
      <c r="GJM66" s="960">
        <f>MIN(GJM60-GJM62,'Sources and Uses Budget'!GJM108-SUM('15 Year Pro Forma'!GJK66:GJL66))</f>
        <v>0</v>
      </c>
      <c r="GJO66" s="960">
        <f>MIN(GJO60-GJO62,'Sources and Uses Budget'!GJO108-SUM('15 Year Pro Forma'!GJM66:GJN66))</f>
        <v>0</v>
      </c>
      <c r="GJQ66" s="960">
        <f>MIN(GJQ60-GJQ62,'Sources and Uses Budget'!GJQ108-SUM('15 Year Pro Forma'!GJO66:GJP66))</f>
        <v>0</v>
      </c>
      <c r="GJS66" s="960">
        <f>MIN(GJS60-GJS62,'Sources and Uses Budget'!GJS108-SUM('15 Year Pro Forma'!GJQ66:GJR66))</f>
        <v>0</v>
      </c>
      <c r="GJU66" s="960">
        <f>MIN(GJU60-GJU62,'Sources and Uses Budget'!GJU108-SUM('15 Year Pro Forma'!GJS66:GJT66))</f>
        <v>0</v>
      </c>
      <c r="GJW66" s="960">
        <f>MIN(GJW60-GJW62,'Sources and Uses Budget'!GJW108-SUM('15 Year Pro Forma'!GJU66:GJV66))</f>
        <v>0</v>
      </c>
      <c r="GJY66" s="960">
        <f>MIN(GJY60-GJY62,'Sources and Uses Budget'!GJY108-SUM('15 Year Pro Forma'!GJW66:GJX66))</f>
        <v>0</v>
      </c>
      <c r="GKA66" s="960">
        <f>MIN(GKA60-GKA62,'Sources and Uses Budget'!GKA108-SUM('15 Year Pro Forma'!GJY66:GJZ66))</f>
        <v>0</v>
      </c>
      <c r="GKC66" s="960">
        <f>MIN(GKC60-GKC62,'Sources and Uses Budget'!GKC108-SUM('15 Year Pro Forma'!GKA66:GKB66))</f>
        <v>0</v>
      </c>
      <c r="GKE66" s="960">
        <f>MIN(GKE60-GKE62,'Sources and Uses Budget'!GKE108-SUM('15 Year Pro Forma'!GKC66:GKD66))</f>
        <v>0</v>
      </c>
      <c r="GKG66" s="960">
        <f>MIN(GKG60-GKG62,'Sources and Uses Budget'!GKG108-SUM('15 Year Pro Forma'!GKE66:GKF66))</f>
        <v>0</v>
      </c>
      <c r="GKI66" s="960">
        <f>MIN(GKI60-GKI62,'Sources and Uses Budget'!GKI108-SUM('15 Year Pro Forma'!GKG66:GKH66))</f>
        <v>0</v>
      </c>
      <c r="GKK66" s="960">
        <f>MIN(GKK60-GKK62,'Sources and Uses Budget'!GKK108-SUM('15 Year Pro Forma'!GKI66:GKJ66))</f>
        <v>0</v>
      </c>
      <c r="GKM66" s="960">
        <f>MIN(GKM60-GKM62,'Sources and Uses Budget'!GKM108-SUM('15 Year Pro Forma'!GKK66:GKL66))</f>
        <v>0</v>
      </c>
      <c r="GKO66" s="960">
        <f>MIN(GKO60-GKO62,'Sources and Uses Budget'!GKO108-SUM('15 Year Pro Forma'!GKM66:GKN66))</f>
        <v>0</v>
      </c>
      <c r="GKQ66" s="960">
        <f>MIN(GKQ60-GKQ62,'Sources and Uses Budget'!GKQ108-SUM('15 Year Pro Forma'!GKO66:GKP66))</f>
        <v>0</v>
      </c>
      <c r="GKS66" s="960">
        <f>MIN(GKS60-GKS62,'Sources and Uses Budget'!GKS108-SUM('15 Year Pro Forma'!GKQ66:GKR66))</f>
        <v>0</v>
      </c>
      <c r="GKU66" s="960">
        <f>MIN(GKU60-GKU62,'Sources and Uses Budget'!GKU108-SUM('15 Year Pro Forma'!GKS66:GKT66))</f>
        <v>0</v>
      </c>
      <c r="GKW66" s="960">
        <f>MIN(GKW60-GKW62,'Sources and Uses Budget'!GKW108-SUM('15 Year Pro Forma'!GKU66:GKV66))</f>
        <v>0</v>
      </c>
      <c r="GKY66" s="960">
        <f>MIN(GKY60-GKY62,'Sources and Uses Budget'!GKY108-SUM('15 Year Pro Forma'!GKW66:GKX66))</f>
        <v>0</v>
      </c>
      <c r="GLA66" s="960">
        <f>MIN(GLA60-GLA62,'Sources and Uses Budget'!GLA108-SUM('15 Year Pro Forma'!GKY66:GKZ66))</f>
        <v>0</v>
      </c>
      <c r="GLC66" s="960">
        <f>MIN(GLC60-GLC62,'Sources and Uses Budget'!GLC108-SUM('15 Year Pro Forma'!GLA66:GLB66))</f>
        <v>0</v>
      </c>
      <c r="GLE66" s="960">
        <f>MIN(GLE60-GLE62,'Sources and Uses Budget'!GLE108-SUM('15 Year Pro Forma'!GLC66:GLD66))</f>
        <v>0</v>
      </c>
      <c r="GLG66" s="960">
        <f>MIN(GLG60-GLG62,'Sources and Uses Budget'!GLG108-SUM('15 Year Pro Forma'!GLE66:GLF66))</f>
        <v>0</v>
      </c>
      <c r="GLI66" s="960">
        <f>MIN(GLI60-GLI62,'Sources and Uses Budget'!GLI108-SUM('15 Year Pro Forma'!GLG66:GLH66))</f>
        <v>0</v>
      </c>
      <c r="GLK66" s="960">
        <f>MIN(GLK60-GLK62,'Sources and Uses Budget'!GLK108-SUM('15 Year Pro Forma'!GLI66:GLJ66))</f>
        <v>0</v>
      </c>
      <c r="GLM66" s="960">
        <f>MIN(GLM60-GLM62,'Sources and Uses Budget'!GLM108-SUM('15 Year Pro Forma'!GLK66:GLL66))</f>
        <v>0</v>
      </c>
      <c r="GLO66" s="960">
        <f>MIN(GLO60-GLO62,'Sources and Uses Budget'!GLO108-SUM('15 Year Pro Forma'!GLM66:GLN66))</f>
        <v>0</v>
      </c>
      <c r="GLQ66" s="960">
        <f>MIN(GLQ60-GLQ62,'Sources and Uses Budget'!GLQ108-SUM('15 Year Pro Forma'!GLO66:GLP66))</f>
        <v>0</v>
      </c>
      <c r="GLS66" s="960">
        <f>MIN(GLS60-GLS62,'Sources and Uses Budget'!GLS108-SUM('15 Year Pro Forma'!GLQ66:GLR66))</f>
        <v>0</v>
      </c>
      <c r="GLU66" s="960">
        <f>MIN(GLU60-GLU62,'Sources and Uses Budget'!GLU108-SUM('15 Year Pro Forma'!GLS66:GLT66))</f>
        <v>0</v>
      </c>
      <c r="GLW66" s="960">
        <f>MIN(GLW60-GLW62,'Sources and Uses Budget'!GLW108-SUM('15 Year Pro Forma'!GLU66:GLV66))</f>
        <v>0</v>
      </c>
      <c r="GLY66" s="960">
        <f>MIN(GLY60-GLY62,'Sources and Uses Budget'!GLY108-SUM('15 Year Pro Forma'!GLW66:GLX66))</f>
        <v>0</v>
      </c>
      <c r="GMA66" s="960">
        <f>MIN(GMA60-GMA62,'Sources and Uses Budget'!GMA108-SUM('15 Year Pro Forma'!GLY66:GLZ66))</f>
        <v>0</v>
      </c>
      <c r="GMC66" s="960">
        <f>MIN(GMC60-GMC62,'Sources and Uses Budget'!GMC108-SUM('15 Year Pro Forma'!GMA66:GMB66))</f>
        <v>0</v>
      </c>
      <c r="GME66" s="960">
        <f>MIN(GME60-GME62,'Sources and Uses Budget'!GME108-SUM('15 Year Pro Forma'!GMC66:GMD66))</f>
        <v>0</v>
      </c>
      <c r="GMG66" s="960">
        <f>MIN(GMG60-GMG62,'Sources and Uses Budget'!GMG108-SUM('15 Year Pro Forma'!GME66:GMF66))</f>
        <v>0</v>
      </c>
      <c r="GMI66" s="960">
        <f>MIN(GMI60-GMI62,'Sources and Uses Budget'!GMI108-SUM('15 Year Pro Forma'!GMG66:GMH66))</f>
        <v>0</v>
      </c>
      <c r="GMK66" s="960">
        <f>MIN(GMK60-GMK62,'Sources and Uses Budget'!GMK108-SUM('15 Year Pro Forma'!GMI66:GMJ66))</f>
        <v>0</v>
      </c>
      <c r="GMM66" s="960">
        <f>MIN(GMM60-GMM62,'Sources and Uses Budget'!GMM108-SUM('15 Year Pro Forma'!GMK66:GML66))</f>
        <v>0</v>
      </c>
      <c r="GMO66" s="960">
        <f>MIN(GMO60-GMO62,'Sources and Uses Budget'!GMO108-SUM('15 Year Pro Forma'!GMM66:GMN66))</f>
        <v>0</v>
      </c>
      <c r="GMQ66" s="960">
        <f>MIN(GMQ60-GMQ62,'Sources and Uses Budget'!GMQ108-SUM('15 Year Pro Forma'!GMO66:GMP66))</f>
        <v>0</v>
      </c>
      <c r="GMS66" s="960">
        <f>MIN(GMS60-GMS62,'Sources and Uses Budget'!GMS108-SUM('15 Year Pro Forma'!GMQ66:GMR66))</f>
        <v>0</v>
      </c>
      <c r="GMU66" s="960">
        <f>MIN(GMU60-GMU62,'Sources and Uses Budget'!GMU108-SUM('15 Year Pro Forma'!GMS66:GMT66))</f>
        <v>0</v>
      </c>
      <c r="GMW66" s="960">
        <f>MIN(GMW60-GMW62,'Sources and Uses Budget'!GMW108-SUM('15 Year Pro Forma'!GMU66:GMV66))</f>
        <v>0</v>
      </c>
      <c r="GMY66" s="960">
        <f>MIN(GMY60-GMY62,'Sources and Uses Budget'!GMY108-SUM('15 Year Pro Forma'!GMW66:GMX66))</f>
        <v>0</v>
      </c>
      <c r="GNA66" s="960">
        <f>MIN(GNA60-GNA62,'Sources and Uses Budget'!GNA108-SUM('15 Year Pro Forma'!GMY66:GMZ66))</f>
        <v>0</v>
      </c>
      <c r="GNC66" s="960">
        <f>MIN(GNC60-GNC62,'Sources and Uses Budget'!GNC108-SUM('15 Year Pro Forma'!GNA66:GNB66))</f>
        <v>0</v>
      </c>
      <c r="GNE66" s="960">
        <f>MIN(GNE60-GNE62,'Sources and Uses Budget'!GNE108-SUM('15 Year Pro Forma'!GNC66:GND66))</f>
        <v>0</v>
      </c>
      <c r="GNG66" s="960">
        <f>MIN(GNG60-GNG62,'Sources and Uses Budget'!GNG108-SUM('15 Year Pro Forma'!GNE66:GNF66))</f>
        <v>0</v>
      </c>
      <c r="GNI66" s="960">
        <f>MIN(GNI60-GNI62,'Sources and Uses Budget'!GNI108-SUM('15 Year Pro Forma'!GNG66:GNH66))</f>
        <v>0</v>
      </c>
      <c r="GNK66" s="960">
        <f>MIN(GNK60-GNK62,'Sources and Uses Budget'!GNK108-SUM('15 Year Pro Forma'!GNI66:GNJ66))</f>
        <v>0</v>
      </c>
      <c r="GNM66" s="960">
        <f>MIN(GNM60-GNM62,'Sources and Uses Budget'!GNM108-SUM('15 Year Pro Forma'!GNK66:GNL66))</f>
        <v>0</v>
      </c>
      <c r="GNO66" s="960">
        <f>MIN(GNO60-GNO62,'Sources and Uses Budget'!GNO108-SUM('15 Year Pro Forma'!GNM66:GNN66))</f>
        <v>0</v>
      </c>
      <c r="GNQ66" s="960">
        <f>MIN(GNQ60-GNQ62,'Sources and Uses Budget'!GNQ108-SUM('15 Year Pro Forma'!GNO66:GNP66))</f>
        <v>0</v>
      </c>
      <c r="GNS66" s="960">
        <f>MIN(GNS60-GNS62,'Sources and Uses Budget'!GNS108-SUM('15 Year Pro Forma'!GNQ66:GNR66))</f>
        <v>0</v>
      </c>
      <c r="GNU66" s="960">
        <f>MIN(GNU60-GNU62,'Sources and Uses Budget'!GNU108-SUM('15 Year Pro Forma'!GNS66:GNT66))</f>
        <v>0</v>
      </c>
      <c r="GNW66" s="960">
        <f>MIN(GNW60-GNW62,'Sources and Uses Budget'!GNW108-SUM('15 Year Pro Forma'!GNU66:GNV66))</f>
        <v>0</v>
      </c>
      <c r="GNY66" s="960">
        <f>MIN(GNY60-GNY62,'Sources and Uses Budget'!GNY108-SUM('15 Year Pro Forma'!GNW66:GNX66))</f>
        <v>0</v>
      </c>
      <c r="GOA66" s="960">
        <f>MIN(GOA60-GOA62,'Sources and Uses Budget'!GOA108-SUM('15 Year Pro Forma'!GNY66:GNZ66))</f>
        <v>0</v>
      </c>
      <c r="GOC66" s="960">
        <f>MIN(GOC60-GOC62,'Sources and Uses Budget'!GOC108-SUM('15 Year Pro Forma'!GOA66:GOB66))</f>
        <v>0</v>
      </c>
      <c r="GOE66" s="960">
        <f>MIN(GOE60-GOE62,'Sources and Uses Budget'!GOE108-SUM('15 Year Pro Forma'!GOC66:GOD66))</f>
        <v>0</v>
      </c>
      <c r="GOG66" s="960">
        <f>MIN(GOG60-GOG62,'Sources and Uses Budget'!GOG108-SUM('15 Year Pro Forma'!GOE66:GOF66))</f>
        <v>0</v>
      </c>
      <c r="GOI66" s="960">
        <f>MIN(GOI60-GOI62,'Sources and Uses Budget'!GOI108-SUM('15 Year Pro Forma'!GOG66:GOH66))</f>
        <v>0</v>
      </c>
      <c r="GOK66" s="960">
        <f>MIN(GOK60-GOK62,'Sources and Uses Budget'!GOK108-SUM('15 Year Pro Forma'!GOI66:GOJ66))</f>
        <v>0</v>
      </c>
      <c r="GOM66" s="960">
        <f>MIN(GOM60-GOM62,'Sources and Uses Budget'!GOM108-SUM('15 Year Pro Forma'!GOK66:GOL66))</f>
        <v>0</v>
      </c>
      <c r="GOO66" s="960">
        <f>MIN(GOO60-GOO62,'Sources and Uses Budget'!GOO108-SUM('15 Year Pro Forma'!GOM66:GON66))</f>
        <v>0</v>
      </c>
      <c r="GOQ66" s="960">
        <f>MIN(GOQ60-GOQ62,'Sources and Uses Budget'!GOQ108-SUM('15 Year Pro Forma'!GOO66:GOP66))</f>
        <v>0</v>
      </c>
      <c r="GOS66" s="960">
        <f>MIN(GOS60-GOS62,'Sources and Uses Budget'!GOS108-SUM('15 Year Pro Forma'!GOQ66:GOR66))</f>
        <v>0</v>
      </c>
      <c r="GOU66" s="960">
        <f>MIN(GOU60-GOU62,'Sources and Uses Budget'!GOU108-SUM('15 Year Pro Forma'!GOS66:GOT66))</f>
        <v>0</v>
      </c>
      <c r="GOW66" s="960">
        <f>MIN(GOW60-GOW62,'Sources and Uses Budget'!GOW108-SUM('15 Year Pro Forma'!GOU66:GOV66))</f>
        <v>0</v>
      </c>
      <c r="GOY66" s="960">
        <f>MIN(GOY60-GOY62,'Sources and Uses Budget'!GOY108-SUM('15 Year Pro Forma'!GOW66:GOX66))</f>
        <v>0</v>
      </c>
      <c r="GPA66" s="960">
        <f>MIN(GPA60-GPA62,'Sources and Uses Budget'!GPA108-SUM('15 Year Pro Forma'!GOY66:GOZ66))</f>
        <v>0</v>
      </c>
      <c r="GPC66" s="960">
        <f>MIN(GPC60-GPC62,'Sources and Uses Budget'!GPC108-SUM('15 Year Pro Forma'!GPA66:GPB66))</f>
        <v>0</v>
      </c>
      <c r="GPE66" s="960">
        <f>MIN(GPE60-GPE62,'Sources and Uses Budget'!GPE108-SUM('15 Year Pro Forma'!GPC66:GPD66))</f>
        <v>0</v>
      </c>
      <c r="GPG66" s="960">
        <f>MIN(GPG60-GPG62,'Sources and Uses Budget'!GPG108-SUM('15 Year Pro Forma'!GPE66:GPF66))</f>
        <v>0</v>
      </c>
      <c r="GPI66" s="960">
        <f>MIN(GPI60-GPI62,'Sources and Uses Budget'!GPI108-SUM('15 Year Pro Forma'!GPG66:GPH66))</f>
        <v>0</v>
      </c>
      <c r="GPK66" s="960">
        <f>MIN(GPK60-GPK62,'Sources and Uses Budget'!GPK108-SUM('15 Year Pro Forma'!GPI66:GPJ66))</f>
        <v>0</v>
      </c>
      <c r="GPM66" s="960">
        <f>MIN(GPM60-GPM62,'Sources and Uses Budget'!GPM108-SUM('15 Year Pro Forma'!GPK66:GPL66))</f>
        <v>0</v>
      </c>
      <c r="GPO66" s="960">
        <f>MIN(GPO60-GPO62,'Sources and Uses Budget'!GPO108-SUM('15 Year Pro Forma'!GPM66:GPN66))</f>
        <v>0</v>
      </c>
      <c r="GPQ66" s="960">
        <f>MIN(GPQ60-GPQ62,'Sources and Uses Budget'!GPQ108-SUM('15 Year Pro Forma'!GPO66:GPP66))</f>
        <v>0</v>
      </c>
      <c r="GPS66" s="960">
        <f>MIN(GPS60-GPS62,'Sources and Uses Budget'!GPS108-SUM('15 Year Pro Forma'!GPQ66:GPR66))</f>
        <v>0</v>
      </c>
      <c r="GPU66" s="960">
        <f>MIN(GPU60-GPU62,'Sources and Uses Budget'!GPU108-SUM('15 Year Pro Forma'!GPS66:GPT66))</f>
        <v>0</v>
      </c>
      <c r="GPW66" s="960">
        <f>MIN(GPW60-GPW62,'Sources and Uses Budget'!GPW108-SUM('15 Year Pro Forma'!GPU66:GPV66))</f>
        <v>0</v>
      </c>
      <c r="GPY66" s="960">
        <f>MIN(GPY60-GPY62,'Sources and Uses Budget'!GPY108-SUM('15 Year Pro Forma'!GPW66:GPX66))</f>
        <v>0</v>
      </c>
      <c r="GQA66" s="960">
        <f>MIN(GQA60-GQA62,'Sources and Uses Budget'!GQA108-SUM('15 Year Pro Forma'!GPY66:GPZ66))</f>
        <v>0</v>
      </c>
      <c r="GQC66" s="960">
        <f>MIN(GQC60-GQC62,'Sources and Uses Budget'!GQC108-SUM('15 Year Pro Forma'!GQA66:GQB66))</f>
        <v>0</v>
      </c>
      <c r="GQE66" s="960">
        <f>MIN(GQE60-GQE62,'Sources and Uses Budget'!GQE108-SUM('15 Year Pro Forma'!GQC66:GQD66))</f>
        <v>0</v>
      </c>
      <c r="GQG66" s="960">
        <f>MIN(GQG60-GQG62,'Sources and Uses Budget'!GQG108-SUM('15 Year Pro Forma'!GQE66:GQF66))</f>
        <v>0</v>
      </c>
      <c r="GQI66" s="960">
        <f>MIN(GQI60-GQI62,'Sources and Uses Budget'!GQI108-SUM('15 Year Pro Forma'!GQG66:GQH66))</f>
        <v>0</v>
      </c>
      <c r="GQK66" s="960">
        <f>MIN(GQK60-GQK62,'Sources and Uses Budget'!GQK108-SUM('15 Year Pro Forma'!GQI66:GQJ66))</f>
        <v>0</v>
      </c>
      <c r="GQM66" s="960">
        <f>MIN(GQM60-GQM62,'Sources and Uses Budget'!GQM108-SUM('15 Year Pro Forma'!GQK66:GQL66))</f>
        <v>0</v>
      </c>
      <c r="GQO66" s="960">
        <f>MIN(GQO60-GQO62,'Sources and Uses Budget'!GQO108-SUM('15 Year Pro Forma'!GQM66:GQN66))</f>
        <v>0</v>
      </c>
      <c r="GQQ66" s="960">
        <f>MIN(GQQ60-GQQ62,'Sources and Uses Budget'!GQQ108-SUM('15 Year Pro Forma'!GQO66:GQP66))</f>
        <v>0</v>
      </c>
      <c r="GQS66" s="960">
        <f>MIN(GQS60-GQS62,'Sources and Uses Budget'!GQS108-SUM('15 Year Pro Forma'!GQQ66:GQR66))</f>
        <v>0</v>
      </c>
      <c r="GQU66" s="960">
        <f>MIN(GQU60-GQU62,'Sources and Uses Budget'!GQU108-SUM('15 Year Pro Forma'!GQS66:GQT66))</f>
        <v>0</v>
      </c>
      <c r="GQW66" s="960">
        <f>MIN(GQW60-GQW62,'Sources and Uses Budget'!GQW108-SUM('15 Year Pro Forma'!GQU66:GQV66))</f>
        <v>0</v>
      </c>
      <c r="GQY66" s="960">
        <f>MIN(GQY60-GQY62,'Sources and Uses Budget'!GQY108-SUM('15 Year Pro Forma'!GQW66:GQX66))</f>
        <v>0</v>
      </c>
      <c r="GRA66" s="960">
        <f>MIN(GRA60-GRA62,'Sources and Uses Budget'!GRA108-SUM('15 Year Pro Forma'!GQY66:GQZ66))</f>
        <v>0</v>
      </c>
      <c r="GRC66" s="960">
        <f>MIN(GRC60-GRC62,'Sources and Uses Budget'!GRC108-SUM('15 Year Pro Forma'!GRA66:GRB66))</f>
        <v>0</v>
      </c>
      <c r="GRE66" s="960">
        <f>MIN(GRE60-GRE62,'Sources and Uses Budget'!GRE108-SUM('15 Year Pro Forma'!GRC66:GRD66))</f>
        <v>0</v>
      </c>
      <c r="GRG66" s="960">
        <f>MIN(GRG60-GRG62,'Sources and Uses Budget'!GRG108-SUM('15 Year Pro Forma'!GRE66:GRF66))</f>
        <v>0</v>
      </c>
      <c r="GRI66" s="960">
        <f>MIN(GRI60-GRI62,'Sources and Uses Budget'!GRI108-SUM('15 Year Pro Forma'!GRG66:GRH66))</f>
        <v>0</v>
      </c>
      <c r="GRK66" s="960">
        <f>MIN(GRK60-GRK62,'Sources and Uses Budget'!GRK108-SUM('15 Year Pro Forma'!GRI66:GRJ66))</f>
        <v>0</v>
      </c>
      <c r="GRM66" s="960">
        <f>MIN(GRM60-GRM62,'Sources and Uses Budget'!GRM108-SUM('15 Year Pro Forma'!GRK66:GRL66))</f>
        <v>0</v>
      </c>
      <c r="GRO66" s="960">
        <f>MIN(GRO60-GRO62,'Sources and Uses Budget'!GRO108-SUM('15 Year Pro Forma'!GRM66:GRN66))</f>
        <v>0</v>
      </c>
      <c r="GRQ66" s="960">
        <f>MIN(GRQ60-GRQ62,'Sources and Uses Budget'!GRQ108-SUM('15 Year Pro Forma'!GRO66:GRP66))</f>
        <v>0</v>
      </c>
      <c r="GRS66" s="960">
        <f>MIN(GRS60-GRS62,'Sources and Uses Budget'!GRS108-SUM('15 Year Pro Forma'!GRQ66:GRR66))</f>
        <v>0</v>
      </c>
      <c r="GRU66" s="960">
        <f>MIN(GRU60-GRU62,'Sources and Uses Budget'!GRU108-SUM('15 Year Pro Forma'!GRS66:GRT66))</f>
        <v>0</v>
      </c>
      <c r="GRW66" s="960">
        <f>MIN(GRW60-GRW62,'Sources and Uses Budget'!GRW108-SUM('15 Year Pro Forma'!GRU66:GRV66))</f>
        <v>0</v>
      </c>
      <c r="GRY66" s="960">
        <f>MIN(GRY60-GRY62,'Sources and Uses Budget'!GRY108-SUM('15 Year Pro Forma'!GRW66:GRX66))</f>
        <v>0</v>
      </c>
      <c r="GSA66" s="960">
        <f>MIN(GSA60-GSA62,'Sources and Uses Budget'!GSA108-SUM('15 Year Pro Forma'!GRY66:GRZ66))</f>
        <v>0</v>
      </c>
      <c r="GSC66" s="960">
        <f>MIN(GSC60-GSC62,'Sources and Uses Budget'!GSC108-SUM('15 Year Pro Forma'!GSA66:GSB66))</f>
        <v>0</v>
      </c>
      <c r="GSE66" s="960">
        <f>MIN(GSE60-GSE62,'Sources and Uses Budget'!GSE108-SUM('15 Year Pro Forma'!GSC66:GSD66))</f>
        <v>0</v>
      </c>
      <c r="GSG66" s="960">
        <f>MIN(GSG60-GSG62,'Sources and Uses Budget'!GSG108-SUM('15 Year Pro Forma'!GSE66:GSF66))</f>
        <v>0</v>
      </c>
      <c r="GSI66" s="960">
        <f>MIN(GSI60-GSI62,'Sources and Uses Budget'!GSI108-SUM('15 Year Pro Forma'!GSG66:GSH66))</f>
        <v>0</v>
      </c>
      <c r="GSK66" s="960">
        <f>MIN(GSK60-GSK62,'Sources and Uses Budget'!GSK108-SUM('15 Year Pro Forma'!GSI66:GSJ66))</f>
        <v>0</v>
      </c>
      <c r="GSM66" s="960">
        <f>MIN(GSM60-GSM62,'Sources and Uses Budget'!GSM108-SUM('15 Year Pro Forma'!GSK66:GSL66))</f>
        <v>0</v>
      </c>
      <c r="GSO66" s="960">
        <f>MIN(GSO60-GSO62,'Sources and Uses Budget'!GSO108-SUM('15 Year Pro Forma'!GSM66:GSN66))</f>
        <v>0</v>
      </c>
      <c r="GSQ66" s="960">
        <f>MIN(GSQ60-GSQ62,'Sources and Uses Budget'!GSQ108-SUM('15 Year Pro Forma'!GSO66:GSP66))</f>
        <v>0</v>
      </c>
      <c r="GSS66" s="960">
        <f>MIN(GSS60-GSS62,'Sources and Uses Budget'!GSS108-SUM('15 Year Pro Forma'!GSQ66:GSR66))</f>
        <v>0</v>
      </c>
      <c r="GSU66" s="960">
        <f>MIN(GSU60-GSU62,'Sources and Uses Budget'!GSU108-SUM('15 Year Pro Forma'!GSS66:GST66))</f>
        <v>0</v>
      </c>
      <c r="GSW66" s="960">
        <f>MIN(GSW60-GSW62,'Sources and Uses Budget'!GSW108-SUM('15 Year Pro Forma'!GSU66:GSV66))</f>
        <v>0</v>
      </c>
      <c r="GSY66" s="960">
        <f>MIN(GSY60-GSY62,'Sources and Uses Budget'!GSY108-SUM('15 Year Pro Forma'!GSW66:GSX66))</f>
        <v>0</v>
      </c>
      <c r="GTA66" s="960">
        <f>MIN(GTA60-GTA62,'Sources and Uses Budget'!GTA108-SUM('15 Year Pro Forma'!GSY66:GSZ66))</f>
        <v>0</v>
      </c>
      <c r="GTC66" s="960">
        <f>MIN(GTC60-GTC62,'Sources and Uses Budget'!GTC108-SUM('15 Year Pro Forma'!GTA66:GTB66))</f>
        <v>0</v>
      </c>
      <c r="GTE66" s="960">
        <f>MIN(GTE60-GTE62,'Sources and Uses Budget'!GTE108-SUM('15 Year Pro Forma'!GTC66:GTD66))</f>
        <v>0</v>
      </c>
      <c r="GTG66" s="960">
        <f>MIN(GTG60-GTG62,'Sources and Uses Budget'!GTG108-SUM('15 Year Pro Forma'!GTE66:GTF66))</f>
        <v>0</v>
      </c>
      <c r="GTI66" s="960">
        <f>MIN(GTI60-GTI62,'Sources and Uses Budget'!GTI108-SUM('15 Year Pro Forma'!GTG66:GTH66))</f>
        <v>0</v>
      </c>
      <c r="GTK66" s="960">
        <f>MIN(GTK60-GTK62,'Sources and Uses Budget'!GTK108-SUM('15 Year Pro Forma'!GTI66:GTJ66))</f>
        <v>0</v>
      </c>
      <c r="GTM66" s="960">
        <f>MIN(GTM60-GTM62,'Sources and Uses Budget'!GTM108-SUM('15 Year Pro Forma'!GTK66:GTL66))</f>
        <v>0</v>
      </c>
      <c r="GTO66" s="960">
        <f>MIN(GTO60-GTO62,'Sources and Uses Budget'!GTO108-SUM('15 Year Pro Forma'!GTM66:GTN66))</f>
        <v>0</v>
      </c>
      <c r="GTQ66" s="960">
        <f>MIN(GTQ60-GTQ62,'Sources and Uses Budget'!GTQ108-SUM('15 Year Pro Forma'!GTO66:GTP66))</f>
        <v>0</v>
      </c>
      <c r="GTS66" s="960">
        <f>MIN(GTS60-GTS62,'Sources and Uses Budget'!GTS108-SUM('15 Year Pro Forma'!GTQ66:GTR66))</f>
        <v>0</v>
      </c>
      <c r="GTU66" s="960">
        <f>MIN(GTU60-GTU62,'Sources and Uses Budget'!GTU108-SUM('15 Year Pro Forma'!GTS66:GTT66))</f>
        <v>0</v>
      </c>
      <c r="GTW66" s="960">
        <f>MIN(GTW60-GTW62,'Sources and Uses Budget'!GTW108-SUM('15 Year Pro Forma'!GTU66:GTV66))</f>
        <v>0</v>
      </c>
      <c r="GTY66" s="960">
        <f>MIN(GTY60-GTY62,'Sources and Uses Budget'!GTY108-SUM('15 Year Pro Forma'!GTW66:GTX66))</f>
        <v>0</v>
      </c>
      <c r="GUA66" s="960">
        <f>MIN(GUA60-GUA62,'Sources and Uses Budget'!GUA108-SUM('15 Year Pro Forma'!GTY66:GTZ66))</f>
        <v>0</v>
      </c>
      <c r="GUC66" s="960">
        <f>MIN(GUC60-GUC62,'Sources and Uses Budget'!GUC108-SUM('15 Year Pro Forma'!GUA66:GUB66))</f>
        <v>0</v>
      </c>
      <c r="GUE66" s="960">
        <f>MIN(GUE60-GUE62,'Sources and Uses Budget'!GUE108-SUM('15 Year Pro Forma'!GUC66:GUD66))</f>
        <v>0</v>
      </c>
      <c r="GUG66" s="960">
        <f>MIN(GUG60-GUG62,'Sources and Uses Budget'!GUG108-SUM('15 Year Pro Forma'!GUE66:GUF66))</f>
        <v>0</v>
      </c>
      <c r="GUI66" s="960">
        <f>MIN(GUI60-GUI62,'Sources and Uses Budget'!GUI108-SUM('15 Year Pro Forma'!GUG66:GUH66))</f>
        <v>0</v>
      </c>
      <c r="GUK66" s="960">
        <f>MIN(GUK60-GUK62,'Sources and Uses Budget'!GUK108-SUM('15 Year Pro Forma'!GUI66:GUJ66))</f>
        <v>0</v>
      </c>
      <c r="GUM66" s="960">
        <f>MIN(GUM60-GUM62,'Sources and Uses Budget'!GUM108-SUM('15 Year Pro Forma'!GUK66:GUL66))</f>
        <v>0</v>
      </c>
      <c r="GUO66" s="960">
        <f>MIN(GUO60-GUO62,'Sources and Uses Budget'!GUO108-SUM('15 Year Pro Forma'!GUM66:GUN66))</f>
        <v>0</v>
      </c>
      <c r="GUQ66" s="960">
        <f>MIN(GUQ60-GUQ62,'Sources and Uses Budget'!GUQ108-SUM('15 Year Pro Forma'!GUO66:GUP66))</f>
        <v>0</v>
      </c>
      <c r="GUS66" s="960">
        <f>MIN(GUS60-GUS62,'Sources and Uses Budget'!GUS108-SUM('15 Year Pro Forma'!GUQ66:GUR66))</f>
        <v>0</v>
      </c>
      <c r="GUU66" s="960">
        <f>MIN(GUU60-GUU62,'Sources and Uses Budget'!GUU108-SUM('15 Year Pro Forma'!GUS66:GUT66))</f>
        <v>0</v>
      </c>
      <c r="GUW66" s="960">
        <f>MIN(GUW60-GUW62,'Sources and Uses Budget'!GUW108-SUM('15 Year Pro Forma'!GUU66:GUV66))</f>
        <v>0</v>
      </c>
      <c r="GUY66" s="960">
        <f>MIN(GUY60-GUY62,'Sources and Uses Budget'!GUY108-SUM('15 Year Pro Forma'!GUW66:GUX66))</f>
        <v>0</v>
      </c>
      <c r="GVA66" s="960">
        <f>MIN(GVA60-GVA62,'Sources and Uses Budget'!GVA108-SUM('15 Year Pro Forma'!GUY66:GUZ66))</f>
        <v>0</v>
      </c>
      <c r="GVC66" s="960">
        <f>MIN(GVC60-GVC62,'Sources and Uses Budget'!GVC108-SUM('15 Year Pro Forma'!GVA66:GVB66))</f>
        <v>0</v>
      </c>
      <c r="GVE66" s="960">
        <f>MIN(GVE60-GVE62,'Sources and Uses Budget'!GVE108-SUM('15 Year Pro Forma'!GVC66:GVD66))</f>
        <v>0</v>
      </c>
      <c r="GVG66" s="960">
        <f>MIN(GVG60-GVG62,'Sources and Uses Budget'!GVG108-SUM('15 Year Pro Forma'!GVE66:GVF66))</f>
        <v>0</v>
      </c>
      <c r="GVI66" s="960">
        <f>MIN(GVI60-GVI62,'Sources and Uses Budget'!GVI108-SUM('15 Year Pro Forma'!GVG66:GVH66))</f>
        <v>0</v>
      </c>
      <c r="GVK66" s="960">
        <f>MIN(GVK60-GVK62,'Sources and Uses Budget'!GVK108-SUM('15 Year Pro Forma'!GVI66:GVJ66))</f>
        <v>0</v>
      </c>
      <c r="GVM66" s="960">
        <f>MIN(GVM60-GVM62,'Sources and Uses Budget'!GVM108-SUM('15 Year Pro Forma'!GVK66:GVL66))</f>
        <v>0</v>
      </c>
      <c r="GVO66" s="960">
        <f>MIN(GVO60-GVO62,'Sources and Uses Budget'!GVO108-SUM('15 Year Pro Forma'!GVM66:GVN66))</f>
        <v>0</v>
      </c>
      <c r="GVQ66" s="960">
        <f>MIN(GVQ60-GVQ62,'Sources and Uses Budget'!GVQ108-SUM('15 Year Pro Forma'!GVO66:GVP66))</f>
        <v>0</v>
      </c>
      <c r="GVS66" s="960">
        <f>MIN(GVS60-GVS62,'Sources and Uses Budget'!GVS108-SUM('15 Year Pro Forma'!GVQ66:GVR66))</f>
        <v>0</v>
      </c>
      <c r="GVU66" s="960">
        <f>MIN(GVU60-GVU62,'Sources and Uses Budget'!GVU108-SUM('15 Year Pro Forma'!GVS66:GVT66))</f>
        <v>0</v>
      </c>
      <c r="GVW66" s="960">
        <f>MIN(GVW60-GVW62,'Sources and Uses Budget'!GVW108-SUM('15 Year Pro Forma'!GVU66:GVV66))</f>
        <v>0</v>
      </c>
      <c r="GVY66" s="960">
        <f>MIN(GVY60-GVY62,'Sources and Uses Budget'!GVY108-SUM('15 Year Pro Forma'!GVW66:GVX66))</f>
        <v>0</v>
      </c>
      <c r="GWA66" s="960">
        <f>MIN(GWA60-GWA62,'Sources and Uses Budget'!GWA108-SUM('15 Year Pro Forma'!GVY66:GVZ66))</f>
        <v>0</v>
      </c>
      <c r="GWC66" s="960">
        <f>MIN(GWC60-GWC62,'Sources and Uses Budget'!GWC108-SUM('15 Year Pro Forma'!GWA66:GWB66))</f>
        <v>0</v>
      </c>
      <c r="GWE66" s="960">
        <f>MIN(GWE60-GWE62,'Sources and Uses Budget'!GWE108-SUM('15 Year Pro Forma'!GWC66:GWD66))</f>
        <v>0</v>
      </c>
      <c r="GWG66" s="960">
        <f>MIN(GWG60-GWG62,'Sources and Uses Budget'!GWG108-SUM('15 Year Pro Forma'!GWE66:GWF66))</f>
        <v>0</v>
      </c>
      <c r="GWI66" s="960">
        <f>MIN(GWI60-GWI62,'Sources and Uses Budget'!GWI108-SUM('15 Year Pro Forma'!GWG66:GWH66))</f>
        <v>0</v>
      </c>
      <c r="GWK66" s="960">
        <f>MIN(GWK60-GWK62,'Sources and Uses Budget'!GWK108-SUM('15 Year Pro Forma'!GWI66:GWJ66))</f>
        <v>0</v>
      </c>
      <c r="GWM66" s="960">
        <f>MIN(GWM60-GWM62,'Sources and Uses Budget'!GWM108-SUM('15 Year Pro Forma'!GWK66:GWL66))</f>
        <v>0</v>
      </c>
      <c r="GWO66" s="960">
        <f>MIN(GWO60-GWO62,'Sources and Uses Budget'!GWO108-SUM('15 Year Pro Forma'!GWM66:GWN66))</f>
        <v>0</v>
      </c>
      <c r="GWQ66" s="960">
        <f>MIN(GWQ60-GWQ62,'Sources and Uses Budget'!GWQ108-SUM('15 Year Pro Forma'!GWO66:GWP66))</f>
        <v>0</v>
      </c>
      <c r="GWS66" s="960">
        <f>MIN(GWS60-GWS62,'Sources and Uses Budget'!GWS108-SUM('15 Year Pro Forma'!GWQ66:GWR66))</f>
        <v>0</v>
      </c>
      <c r="GWU66" s="960">
        <f>MIN(GWU60-GWU62,'Sources and Uses Budget'!GWU108-SUM('15 Year Pro Forma'!GWS66:GWT66))</f>
        <v>0</v>
      </c>
      <c r="GWW66" s="960">
        <f>MIN(GWW60-GWW62,'Sources and Uses Budget'!GWW108-SUM('15 Year Pro Forma'!GWU66:GWV66))</f>
        <v>0</v>
      </c>
      <c r="GWY66" s="960">
        <f>MIN(GWY60-GWY62,'Sources and Uses Budget'!GWY108-SUM('15 Year Pro Forma'!GWW66:GWX66))</f>
        <v>0</v>
      </c>
      <c r="GXA66" s="960">
        <f>MIN(GXA60-GXA62,'Sources and Uses Budget'!GXA108-SUM('15 Year Pro Forma'!GWY66:GWZ66))</f>
        <v>0</v>
      </c>
      <c r="GXC66" s="960">
        <f>MIN(GXC60-GXC62,'Sources and Uses Budget'!GXC108-SUM('15 Year Pro Forma'!GXA66:GXB66))</f>
        <v>0</v>
      </c>
      <c r="GXE66" s="960">
        <f>MIN(GXE60-GXE62,'Sources and Uses Budget'!GXE108-SUM('15 Year Pro Forma'!GXC66:GXD66))</f>
        <v>0</v>
      </c>
      <c r="GXG66" s="960">
        <f>MIN(GXG60-GXG62,'Sources and Uses Budget'!GXG108-SUM('15 Year Pro Forma'!GXE66:GXF66))</f>
        <v>0</v>
      </c>
      <c r="GXI66" s="960">
        <f>MIN(GXI60-GXI62,'Sources and Uses Budget'!GXI108-SUM('15 Year Pro Forma'!GXG66:GXH66))</f>
        <v>0</v>
      </c>
      <c r="GXK66" s="960">
        <f>MIN(GXK60-GXK62,'Sources and Uses Budget'!GXK108-SUM('15 Year Pro Forma'!GXI66:GXJ66))</f>
        <v>0</v>
      </c>
      <c r="GXM66" s="960">
        <f>MIN(GXM60-GXM62,'Sources and Uses Budget'!GXM108-SUM('15 Year Pro Forma'!GXK66:GXL66))</f>
        <v>0</v>
      </c>
      <c r="GXO66" s="960">
        <f>MIN(GXO60-GXO62,'Sources and Uses Budget'!GXO108-SUM('15 Year Pro Forma'!GXM66:GXN66))</f>
        <v>0</v>
      </c>
      <c r="GXQ66" s="960">
        <f>MIN(GXQ60-GXQ62,'Sources and Uses Budget'!GXQ108-SUM('15 Year Pro Forma'!GXO66:GXP66))</f>
        <v>0</v>
      </c>
      <c r="GXS66" s="960">
        <f>MIN(GXS60-GXS62,'Sources and Uses Budget'!GXS108-SUM('15 Year Pro Forma'!GXQ66:GXR66))</f>
        <v>0</v>
      </c>
      <c r="GXU66" s="960">
        <f>MIN(GXU60-GXU62,'Sources and Uses Budget'!GXU108-SUM('15 Year Pro Forma'!GXS66:GXT66))</f>
        <v>0</v>
      </c>
      <c r="GXW66" s="960">
        <f>MIN(GXW60-GXW62,'Sources and Uses Budget'!GXW108-SUM('15 Year Pro Forma'!GXU66:GXV66))</f>
        <v>0</v>
      </c>
      <c r="GXY66" s="960">
        <f>MIN(GXY60-GXY62,'Sources and Uses Budget'!GXY108-SUM('15 Year Pro Forma'!GXW66:GXX66))</f>
        <v>0</v>
      </c>
      <c r="GYA66" s="960">
        <f>MIN(GYA60-GYA62,'Sources and Uses Budget'!GYA108-SUM('15 Year Pro Forma'!GXY66:GXZ66))</f>
        <v>0</v>
      </c>
      <c r="GYC66" s="960">
        <f>MIN(GYC60-GYC62,'Sources and Uses Budget'!GYC108-SUM('15 Year Pro Forma'!GYA66:GYB66))</f>
        <v>0</v>
      </c>
      <c r="GYE66" s="960">
        <f>MIN(GYE60-GYE62,'Sources and Uses Budget'!GYE108-SUM('15 Year Pro Forma'!GYC66:GYD66))</f>
        <v>0</v>
      </c>
      <c r="GYG66" s="960">
        <f>MIN(GYG60-GYG62,'Sources and Uses Budget'!GYG108-SUM('15 Year Pro Forma'!GYE66:GYF66))</f>
        <v>0</v>
      </c>
      <c r="GYI66" s="960">
        <f>MIN(GYI60-GYI62,'Sources and Uses Budget'!GYI108-SUM('15 Year Pro Forma'!GYG66:GYH66))</f>
        <v>0</v>
      </c>
      <c r="GYK66" s="960">
        <f>MIN(GYK60-GYK62,'Sources and Uses Budget'!GYK108-SUM('15 Year Pro Forma'!GYI66:GYJ66))</f>
        <v>0</v>
      </c>
      <c r="GYM66" s="960">
        <f>MIN(GYM60-GYM62,'Sources and Uses Budget'!GYM108-SUM('15 Year Pro Forma'!GYK66:GYL66))</f>
        <v>0</v>
      </c>
      <c r="GYO66" s="960">
        <f>MIN(GYO60-GYO62,'Sources and Uses Budget'!GYO108-SUM('15 Year Pro Forma'!GYM66:GYN66))</f>
        <v>0</v>
      </c>
      <c r="GYQ66" s="960">
        <f>MIN(GYQ60-GYQ62,'Sources and Uses Budget'!GYQ108-SUM('15 Year Pro Forma'!GYO66:GYP66))</f>
        <v>0</v>
      </c>
      <c r="GYS66" s="960">
        <f>MIN(GYS60-GYS62,'Sources and Uses Budget'!GYS108-SUM('15 Year Pro Forma'!GYQ66:GYR66))</f>
        <v>0</v>
      </c>
      <c r="GYU66" s="960">
        <f>MIN(GYU60-GYU62,'Sources and Uses Budget'!GYU108-SUM('15 Year Pro Forma'!GYS66:GYT66))</f>
        <v>0</v>
      </c>
      <c r="GYW66" s="960">
        <f>MIN(GYW60-GYW62,'Sources and Uses Budget'!GYW108-SUM('15 Year Pro Forma'!GYU66:GYV66))</f>
        <v>0</v>
      </c>
      <c r="GYY66" s="960">
        <f>MIN(GYY60-GYY62,'Sources and Uses Budget'!GYY108-SUM('15 Year Pro Forma'!GYW66:GYX66))</f>
        <v>0</v>
      </c>
      <c r="GZA66" s="960">
        <f>MIN(GZA60-GZA62,'Sources and Uses Budget'!GZA108-SUM('15 Year Pro Forma'!GYY66:GYZ66))</f>
        <v>0</v>
      </c>
      <c r="GZC66" s="960">
        <f>MIN(GZC60-GZC62,'Sources and Uses Budget'!GZC108-SUM('15 Year Pro Forma'!GZA66:GZB66))</f>
        <v>0</v>
      </c>
      <c r="GZE66" s="960">
        <f>MIN(GZE60-GZE62,'Sources and Uses Budget'!GZE108-SUM('15 Year Pro Forma'!GZC66:GZD66))</f>
        <v>0</v>
      </c>
      <c r="GZG66" s="960">
        <f>MIN(GZG60-GZG62,'Sources and Uses Budget'!GZG108-SUM('15 Year Pro Forma'!GZE66:GZF66))</f>
        <v>0</v>
      </c>
      <c r="GZI66" s="960">
        <f>MIN(GZI60-GZI62,'Sources and Uses Budget'!GZI108-SUM('15 Year Pro Forma'!GZG66:GZH66))</f>
        <v>0</v>
      </c>
      <c r="GZK66" s="960">
        <f>MIN(GZK60-GZK62,'Sources and Uses Budget'!GZK108-SUM('15 Year Pro Forma'!GZI66:GZJ66))</f>
        <v>0</v>
      </c>
      <c r="GZM66" s="960">
        <f>MIN(GZM60-GZM62,'Sources and Uses Budget'!GZM108-SUM('15 Year Pro Forma'!GZK66:GZL66))</f>
        <v>0</v>
      </c>
      <c r="GZO66" s="960">
        <f>MIN(GZO60-GZO62,'Sources and Uses Budget'!GZO108-SUM('15 Year Pro Forma'!GZM66:GZN66))</f>
        <v>0</v>
      </c>
      <c r="GZQ66" s="960">
        <f>MIN(GZQ60-GZQ62,'Sources and Uses Budget'!GZQ108-SUM('15 Year Pro Forma'!GZO66:GZP66))</f>
        <v>0</v>
      </c>
      <c r="GZS66" s="960">
        <f>MIN(GZS60-GZS62,'Sources and Uses Budget'!GZS108-SUM('15 Year Pro Forma'!GZQ66:GZR66))</f>
        <v>0</v>
      </c>
      <c r="GZU66" s="960">
        <f>MIN(GZU60-GZU62,'Sources and Uses Budget'!GZU108-SUM('15 Year Pro Forma'!GZS66:GZT66))</f>
        <v>0</v>
      </c>
      <c r="GZW66" s="960">
        <f>MIN(GZW60-GZW62,'Sources and Uses Budget'!GZW108-SUM('15 Year Pro Forma'!GZU66:GZV66))</f>
        <v>0</v>
      </c>
      <c r="GZY66" s="960">
        <f>MIN(GZY60-GZY62,'Sources and Uses Budget'!GZY108-SUM('15 Year Pro Forma'!GZW66:GZX66))</f>
        <v>0</v>
      </c>
      <c r="HAA66" s="960">
        <f>MIN(HAA60-HAA62,'Sources and Uses Budget'!HAA108-SUM('15 Year Pro Forma'!GZY66:GZZ66))</f>
        <v>0</v>
      </c>
      <c r="HAC66" s="960">
        <f>MIN(HAC60-HAC62,'Sources and Uses Budget'!HAC108-SUM('15 Year Pro Forma'!HAA66:HAB66))</f>
        <v>0</v>
      </c>
      <c r="HAE66" s="960">
        <f>MIN(HAE60-HAE62,'Sources and Uses Budget'!HAE108-SUM('15 Year Pro Forma'!HAC66:HAD66))</f>
        <v>0</v>
      </c>
      <c r="HAG66" s="960">
        <f>MIN(HAG60-HAG62,'Sources and Uses Budget'!HAG108-SUM('15 Year Pro Forma'!HAE66:HAF66))</f>
        <v>0</v>
      </c>
      <c r="HAI66" s="960">
        <f>MIN(HAI60-HAI62,'Sources and Uses Budget'!HAI108-SUM('15 Year Pro Forma'!HAG66:HAH66))</f>
        <v>0</v>
      </c>
      <c r="HAK66" s="960">
        <f>MIN(HAK60-HAK62,'Sources and Uses Budget'!HAK108-SUM('15 Year Pro Forma'!HAI66:HAJ66))</f>
        <v>0</v>
      </c>
      <c r="HAM66" s="960">
        <f>MIN(HAM60-HAM62,'Sources and Uses Budget'!HAM108-SUM('15 Year Pro Forma'!HAK66:HAL66))</f>
        <v>0</v>
      </c>
      <c r="HAO66" s="960">
        <f>MIN(HAO60-HAO62,'Sources and Uses Budget'!HAO108-SUM('15 Year Pro Forma'!HAM66:HAN66))</f>
        <v>0</v>
      </c>
      <c r="HAQ66" s="960">
        <f>MIN(HAQ60-HAQ62,'Sources and Uses Budget'!HAQ108-SUM('15 Year Pro Forma'!HAO66:HAP66))</f>
        <v>0</v>
      </c>
      <c r="HAS66" s="960">
        <f>MIN(HAS60-HAS62,'Sources and Uses Budget'!HAS108-SUM('15 Year Pro Forma'!HAQ66:HAR66))</f>
        <v>0</v>
      </c>
      <c r="HAU66" s="960">
        <f>MIN(HAU60-HAU62,'Sources and Uses Budget'!HAU108-SUM('15 Year Pro Forma'!HAS66:HAT66))</f>
        <v>0</v>
      </c>
      <c r="HAW66" s="960">
        <f>MIN(HAW60-HAW62,'Sources and Uses Budget'!HAW108-SUM('15 Year Pro Forma'!HAU66:HAV66))</f>
        <v>0</v>
      </c>
      <c r="HAY66" s="960">
        <f>MIN(HAY60-HAY62,'Sources and Uses Budget'!HAY108-SUM('15 Year Pro Forma'!HAW66:HAX66))</f>
        <v>0</v>
      </c>
      <c r="HBA66" s="960">
        <f>MIN(HBA60-HBA62,'Sources and Uses Budget'!HBA108-SUM('15 Year Pro Forma'!HAY66:HAZ66))</f>
        <v>0</v>
      </c>
      <c r="HBC66" s="960">
        <f>MIN(HBC60-HBC62,'Sources and Uses Budget'!HBC108-SUM('15 Year Pro Forma'!HBA66:HBB66))</f>
        <v>0</v>
      </c>
      <c r="HBE66" s="960">
        <f>MIN(HBE60-HBE62,'Sources and Uses Budget'!HBE108-SUM('15 Year Pro Forma'!HBC66:HBD66))</f>
        <v>0</v>
      </c>
      <c r="HBG66" s="960">
        <f>MIN(HBG60-HBG62,'Sources and Uses Budget'!HBG108-SUM('15 Year Pro Forma'!HBE66:HBF66))</f>
        <v>0</v>
      </c>
      <c r="HBI66" s="960">
        <f>MIN(HBI60-HBI62,'Sources and Uses Budget'!HBI108-SUM('15 Year Pro Forma'!HBG66:HBH66))</f>
        <v>0</v>
      </c>
      <c r="HBK66" s="960">
        <f>MIN(HBK60-HBK62,'Sources and Uses Budget'!HBK108-SUM('15 Year Pro Forma'!HBI66:HBJ66))</f>
        <v>0</v>
      </c>
      <c r="HBM66" s="960">
        <f>MIN(HBM60-HBM62,'Sources and Uses Budget'!HBM108-SUM('15 Year Pro Forma'!HBK66:HBL66))</f>
        <v>0</v>
      </c>
      <c r="HBO66" s="960">
        <f>MIN(HBO60-HBO62,'Sources and Uses Budget'!HBO108-SUM('15 Year Pro Forma'!HBM66:HBN66))</f>
        <v>0</v>
      </c>
      <c r="HBQ66" s="960">
        <f>MIN(HBQ60-HBQ62,'Sources and Uses Budget'!HBQ108-SUM('15 Year Pro Forma'!HBO66:HBP66))</f>
        <v>0</v>
      </c>
      <c r="HBS66" s="960">
        <f>MIN(HBS60-HBS62,'Sources and Uses Budget'!HBS108-SUM('15 Year Pro Forma'!HBQ66:HBR66))</f>
        <v>0</v>
      </c>
      <c r="HBU66" s="960">
        <f>MIN(HBU60-HBU62,'Sources and Uses Budget'!HBU108-SUM('15 Year Pro Forma'!HBS66:HBT66))</f>
        <v>0</v>
      </c>
      <c r="HBW66" s="960">
        <f>MIN(HBW60-HBW62,'Sources and Uses Budget'!HBW108-SUM('15 Year Pro Forma'!HBU66:HBV66))</f>
        <v>0</v>
      </c>
      <c r="HBY66" s="960">
        <f>MIN(HBY60-HBY62,'Sources and Uses Budget'!HBY108-SUM('15 Year Pro Forma'!HBW66:HBX66))</f>
        <v>0</v>
      </c>
      <c r="HCA66" s="960">
        <f>MIN(HCA60-HCA62,'Sources and Uses Budget'!HCA108-SUM('15 Year Pro Forma'!HBY66:HBZ66))</f>
        <v>0</v>
      </c>
      <c r="HCC66" s="960">
        <f>MIN(HCC60-HCC62,'Sources and Uses Budget'!HCC108-SUM('15 Year Pro Forma'!HCA66:HCB66))</f>
        <v>0</v>
      </c>
      <c r="HCE66" s="960">
        <f>MIN(HCE60-HCE62,'Sources and Uses Budget'!HCE108-SUM('15 Year Pro Forma'!HCC66:HCD66))</f>
        <v>0</v>
      </c>
      <c r="HCG66" s="960">
        <f>MIN(HCG60-HCG62,'Sources and Uses Budget'!HCG108-SUM('15 Year Pro Forma'!HCE66:HCF66))</f>
        <v>0</v>
      </c>
      <c r="HCI66" s="960">
        <f>MIN(HCI60-HCI62,'Sources and Uses Budget'!HCI108-SUM('15 Year Pro Forma'!HCG66:HCH66))</f>
        <v>0</v>
      </c>
      <c r="HCK66" s="960">
        <f>MIN(HCK60-HCK62,'Sources and Uses Budget'!HCK108-SUM('15 Year Pro Forma'!HCI66:HCJ66))</f>
        <v>0</v>
      </c>
      <c r="HCM66" s="960">
        <f>MIN(HCM60-HCM62,'Sources and Uses Budget'!HCM108-SUM('15 Year Pro Forma'!HCK66:HCL66))</f>
        <v>0</v>
      </c>
      <c r="HCO66" s="960">
        <f>MIN(HCO60-HCO62,'Sources and Uses Budget'!HCO108-SUM('15 Year Pro Forma'!HCM66:HCN66))</f>
        <v>0</v>
      </c>
      <c r="HCQ66" s="960">
        <f>MIN(HCQ60-HCQ62,'Sources and Uses Budget'!HCQ108-SUM('15 Year Pro Forma'!HCO66:HCP66))</f>
        <v>0</v>
      </c>
      <c r="HCS66" s="960">
        <f>MIN(HCS60-HCS62,'Sources and Uses Budget'!HCS108-SUM('15 Year Pro Forma'!HCQ66:HCR66))</f>
        <v>0</v>
      </c>
      <c r="HCU66" s="960">
        <f>MIN(HCU60-HCU62,'Sources and Uses Budget'!HCU108-SUM('15 Year Pro Forma'!HCS66:HCT66))</f>
        <v>0</v>
      </c>
      <c r="HCW66" s="960">
        <f>MIN(HCW60-HCW62,'Sources and Uses Budget'!HCW108-SUM('15 Year Pro Forma'!HCU66:HCV66))</f>
        <v>0</v>
      </c>
      <c r="HCY66" s="960">
        <f>MIN(HCY60-HCY62,'Sources and Uses Budget'!HCY108-SUM('15 Year Pro Forma'!HCW66:HCX66))</f>
        <v>0</v>
      </c>
      <c r="HDA66" s="960">
        <f>MIN(HDA60-HDA62,'Sources and Uses Budget'!HDA108-SUM('15 Year Pro Forma'!HCY66:HCZ66))</f>
        <v>0</v>
      </c>
      <c r="HDC66" s="960">
        <f>MIN(HDC60-HDC62,'Sources and Uses Budget'!HDC108-SUM('15 Year Pro Forma'!HDA66:HDB66))</f>
        <v>0</v>
      </c>
      <c r="HDE66" s="960">
        <f>MIN(HDE60-HDE62,'Sources and Uses Budget'!HDE108-SUM('15 Year Pro Forma'!HDC66:HDD66))</f>
        <v>0</v>
      </c>
      <c r="HDG66" s="960">
        <f>MIN(HDG60-HDG62,'Sources and Uses Budget'!HDG108-SUM('15 Year Pro Forma'!HDE66:HDF66))</f>
        <v>0</v>
      </c>
      <c r="HDI66" s="960">
        <f>MIN(HDI60-HDI62,'Sources and Uses Budget'!HDI108-SUM('15 Year Pro Forma'!HDG66:HDH66))</f>
        <v>0</v>
      </c>
      <c r="HDK66" s="960">
        <f>MIN(HDK60-HDK62,'Sources and Uses Budget'!HDK108-SUM('15 Year Pro Forma'!HDI66:HDJ66))</f>
        <v>0</v>
      </c>
      <c r="HDM66" s="960">
        <f>MIN(HDM60-HDM62,'Sources and Uses Budget'!HDM108-SUM('15 Year Pro Forma'!HDK66:HDL66))</f>
        <v>0</v>
      </c>
      <c r="HDO66" s="960">
        <f>MIN(HDO60-HDO62,'Sources and Uses Budget'!HDO108-SUM('15 Year Pro Forma'!HDM66:HDN66))</f>
        <v>0</v>
      </c>
      <c r="HDQ66" s="960">
        <f>MIN(HDQ60-HDQ62,'Sources and Uses Budget'!HDQ108-SUM('15 Year Pro Forma'!HDO66:HDP66))</f>
        <v>0</v>
      </c>
      <c r="HDS66" s="960">
        <f>MIN(HDS60-HDS62,'Sources and Uses Budget'!HDS108-SUM('15 Year Pro Forma'!HDQ66:HDR66))</f>
        <v>0</v>
      </c>
      <c r="HDU66" s="960">
        <f>MIN(HDU60-HDU62,'Sources and Uses Budget'!HDU108-SUM('15 Year Pro Forma'!HDS66:HDT66))</f>
        <v>0</v>
      </c>
      <c r="HDW66" s="960">
        <f>MIN(HDW60-HDW62,'Sources and Uses Budget'!HDW108-SUM('15 Year Pro Forma'!HDU66:HDV66))</f>
        <v>0</v>
      </c>
      <c r="HDY66" s="960">
        <f>MIN(HDY60-HDY62,'Sources and Uses Budget'!HDY108-SUM('15 Year Pro Forma'!HDW66:HDX66))</f>
        <v>0</v>
      </c>
      <c r="HEA66" s="960">
        <f>MIN(HEA60-HEA62,'Sources and Uses Budget'!HEA108-SUM('15 Year Pro Forma'!HDY66:HDZ66))</f>
        <v>0</v>
      </c>
      <c r="HEC66" s="960">
        <f>MIN(HEC60-HEC62,'Sources and Uses Budget'!HEC108-SUM('15 Year Pro Forma'!HEA66:HEB66))</f>
        <v>0</v>
      </c>
      <c r="HEE66" s="960">
        <f>MIN(HEE60-HEE62,'Sources and Uses Budget'!HEE108-SUM('15 Year Pro Forma'!HEC66:HED66))</f>
        <v>0</v>
      </c>
      <c r="HEG66" s="960">
        <f>MIN(HEG60-HEG62,'Sources and Uses Budget'!HEG108-SUM('15 Year Pro Forma'!HEE66:HEF66))</f>
        <v>0</v>
      </c>
      <c r="HEI66" s="960">
        <f>MIN(HEI60-HEI62,'Sources and Uses Budget'!HEI108-SUM('15 Year Pro Forma'!HEG66:HEH66))</f>
        <v>0</v>
      </c>
      <c r="HEK66" s="960">
        <f>MIN(HEK60-HEK62,'Sources and Uses Budget'!HEK108-SUM('15 Year Pro Forma'!HEI66:HEJ66))</f>
        <v>0</v>
      </c>
      <c r="HEM66" s="960">
        <f>MIN(HEM60-HEM62,'Sources and Uses Budget'!HEM108-SUM('15 Year Pro Forma'!HEK66:HEL66))</f>
        <v>0</v>
      </c>
      <c r="HEO66" s="960">
        <f>MIN(HEO60-HEO62,'Sources and Uses Budget'!HEO108-SUM('15 Year Pro Forma'!HEM66:HEN66))</f>
        <v>0</v>
      </c>
      <c r="HEQ66" s="960">
        <f>MIN(HEQ60-HEQ62,'Sources and Uses Budget'!HEQ108-SUM('15 Year Pro Forma'!HEO66:HEP66))</f>
        <v>0</v>
      </c>
      <c r="HES66" s="960">
        <f>MIN(HES60-HES62,'Sources and Uses Budget'!HES108-SUM('15 Year Pro Forma'!HEQ66:HER66))</f>
        <v>0</v>
      </c>
      <c r="HEU66" s="960">
        <f>MIN(HEU60-HEU62,'Sources and Uses Budget'!HEU108-SUM('15 Year Pro Forma'!HES66:HET66))</f>
        <v>0</v>
      </c>
      <c r="HEW66" s="960">
        <f>MIN(HEW60-HEW62,'Sources and Uses Budget'!HEW108-SUM('15 Year Pro Forma'!HEU66:HEV66))</f>
        <v>0</v>
      </c>
      <c r="HEY66" s="960">
        <f>MIN(HEY60-HEY62,'Sources and Uses Budget'!HEY108-SUM('15 Year Pro Forma'!HEW66:HEX66))</f>
        <v>0</v>
      </c>
      <c r="HFA66" s="960">
        <f>MIN(HFA60-HFA62,'Sources and Uses Budget'!HFA108-SUM('15 Year Pro Forma'!HEY66:HEZ66))</f>
        <v>0</v>
      </c>
      <c r="HFC66" s="960">
        <f>MIN(HFC60-HFC62,'Sources and Uses Budget'!HFC108-SUM('15 Year Pro Forma'!HFA66:HFB66))</f>
        <v>0</v>
      </c>
      <c r="HFE66" s="960">
        <f>MIN(HFE60-HFE62,'Sources and Uses Budget'!HFE108-SUM('15 Year Pro Forma'!HFC66:HFD66))</f>
        <v>0</v>
      </c>
      <c r="HFG66" s="960">
        <f>MIN(HFG60-HFG62,'Sources and Uses Budget'!HFG108-SUM('15 Year Pro Forma'!HFE66:HFF66))</f>
        <v>0</v>
      </c>
      <c r="HFI66" s="960">
        <f>MIN(HFI60-HFI62,'Sources and Uses Budget'!HFI108-SUM('15 Year Pro Forma'!HFG66:HFH66))</f>
        <v>0</v>
      </c>
      <c r="HFK66" s="960">
        <f>MIN(HFK60-HFK62,'Sources and Uses Budget'!HFK108-SUM('15 Year Pro Forma'!HFI66:HFJ66))</f>
        <v>0</v>
      </c>
      <c r="HFM66" s="960">
        <f>MIN(HFM60-HFM62,'Sources and Uses Budget'!HFM108-SUM('15 Year Pro Forma'!HFK66:HFL66))</f>
        <v>0</v>
      </c>
      <c r="HFO66" s="960">
        <f>MIN(HFO60-HFO62,'Sources and Uses Budget'!HFO108-SUM('15 Year Pro Forma'!HFM66:HFN66))</f>
        <v>0</v>
      </c>
      <c r="HFQ66" s="960">
        <f>MIN(HFQ60-HFQ62,'Sources and Uses Budget'!HFQ108-SUM('15 Year Pro Forma'!HFO66:HFP66))</f>
        <v>0</v>
      </c>
      <c r="HFS66" s="960">
        <f>MIN(HFS60-HFS62,'Sources and Uses Budget'!HFS108-SUM('15 Year Pro Forma'!HFQ66:HFR66))</f>
        <v>0</v>
      </c>
      <c r="HFU66" s="960">
        <f>MIN(HFU60-HFU62,'Sources and Uses Budget'!HFU108-SUM('15 Year Pro Forma'!HFS66:HFT66))</f>
        <v>0</v>
      </c>
      <c r="HFW66" s="960">
        <f>MIN(HFW60-HFW62,'Sources and Uses Budget'!HFW108-SUM('15 Year Pro Forma'!HFU66:HFV66))</f>
        <v>0</v>
      </c>
      <c r="HFY66" s="960">
        <f>MIN(HFY60-HFY62,'Sources and Uses Budget'!HFY108-SUM('15 Year Pro Forma'!HFW66:HFX66))</f>
        <v>0</v>
      </c>
      <c r="HGA66" s="960">
        <f>MIN(HGA60-HGA62,'Sources and Uses Budget'!HGA108-SUM('15 Year Pro Forma'!HFY66:HFZ66))</f>
        <v>0</v>
      </c>
      <c r="HGC66" s="960">
        <f>MIN(HGC60-HGC62,'Sources and Uses Budget'!HGC108-SUM('15 Year Pro Forma'!HGA66:HGB66))</f>
        <v>0</v>
      </c>
      <c r="HGE66" s="960">
        <f>MIN(HGE60-HGE62,'Sources and Uses Budget'!HGE108-SUM('15 Year Pro Forma'!HGC66:HGD66))</f>
        <v>0</v>
      </c>
      <c r="HGG66" s="960">
        <f>MIN(HGG60-HGG62,'Sources and Uses Budget'!HGG108-SUM('15 Year Pro Forma'!HGE66:HGF66))</f>
        <v>0</v>
      </c>
      <c r="HGI66" s="960">
        <f>MIN(HGI60-HGI62,'Sources and Uses Budget'!HGI108-SUM('15 Year Pro Forma'!HGG66:HGH66))</f>
        <v>0</v>
      </c>
      <c r="HGK66" s="960">
        <f>MIN(HGK60-HGK62,'Sources and Uses Budget'!HGK108-SUM('15 Year Pro Forma'!HGI66:HGJ66))</f>
        <v>0</v>
      </c>
      <c r="HGM66" s="960">
        <f>MIN(HGM60-HGM62,'Sources and Uses Budget'!HGM108-SUM('15 Year Pro Forma'!HGK66:HGL66))</f>
        <v>0</v>
      </c>
      <c r="HGO66" s="960">
        <f>MIN(HGO60-HGO62,'Sources and Uses Budget'!HGO108-SUM('15 Year Pro Forma'!HGM66:HGN66))</f>
        <v>0</v>
      </c>
      <c r="HGQ66" s="960">
        <f>MIN(HGQ60-HGQ62,'Sources and Uses Budget'!HGQ108-SUM('15 Year Pro Forma'!HGO66:HGP66))</f>
        <v>0</v>
      </c>
      <c r="HGS66" s="960">
        <f>MIN(HGS60-HGS62,'Sources and Uses Budget'!HGS108-SUM('15 Year Pro Forma'!HGQ66:HGR66))</f>
        <v>0</v>
      </c>
      <c r="HGU66" s="960">
        <f>MIN(HGU60-HGU62,'Sources and Uses Budget'!HGU108-SUM('15 Year Pro Forma'!HGS66:HGT66))</f>
        <v>0</v>
      </c>
      <c r="HGW66" s="960">
        <f>MIN(HGW60-HGW62,'Sources and Uses Budget'!HGW108-SUM('15 Year Pro Forma'!HGU66:HGV66))</f>
        <v>0</v>
      </c>
      <c r="HGY66" s="960">
        <f>MIN(HGY60-HGY62,'Sources and Uses Budget'!HGY108-SUM('15 Year Pro Forma'!HGW66:HGX66))</f>
        <v>0</v>
      </c>
      <c r="HHA66" s="960">
        <f>MIN(HHA60-HHA62,'Sources and Uses Budget'!HHA108-SUM('15 Year Pro Forma'!HGY66:HGZ66))</f>
        <v>0</v>
      </c>
      <c r="HHC66" s="960">
        <f>MIN(HHC60-HHC62,'Sources and Uses Budget'!HHC108-SUM('15 Year Pro Forma'!HHA66:HHB66))</f>
        <v>0</v>
      </c>
      <c r="HHE66" s="960">
        <f>MIN(HHE60-HHE62,'Sources and Uses Budget'!HHE108-SUM('15 Year Pro Forma'!HHC66:HHD66))</f>
        <v>0</v>
      </c>
      <c r="HHG66" s="960">
        <f>MIN(HHG60-HHG62,'Sources and Uses Budget'!HHG108-SUM('15 Year Pro Forma'!HHE66:HHF66))</f>
        <v>0</v>
      </c>
      <c r="HHI66" s="960">
        <f>MIN(HHI60-HHI62,'Sources and Uses Budget'!HHI108-SUM('15 Year Pro Forma'!HHG66:HHH66))</f>
        <v>0</v>
      </c>
      <c r="HHK66" s="960">
        <f>MIN(HHK60-HHK62,'Sources and Uses Budget'!HHK108-SUM('15 Year Pro Forma'!HHI66:HHJ66))</f>
        <v>0</v>
      </c>
      <c r="HHM66" s="960">
        <f>MIN(HHM60-HHM62,'Sources and Uses Budget'!HHM108-SUM('15 Year Pro Forma'!HHK66:HHL66))</f>
        <v>0</v>
      </c>
      <c r="HHO66" s="960">
        <f>MIN(HHO60-HHO62,'Sources and Uses Budget'!HHO108-SUM('15 Year Pro Forma'!HHM66:HHN66))</f>
        <v>0</v>
      </c>
      <c r="HHQ66" s="960">
        <f>MIN(HHQ60-HHQ62,'Sources and Uses Budget'!HHQ108-SUM('15 Year Pro Forma'!HHO66:HHP66))</f>
        <v>0</v>
      </c>
      <c r="HHS66" s="960">
        <f>MIN(HHS60-HHS62,'Sources and Uses Budget'!HHS108-SUM('15 Year Pro Forma'!HHQ66:HHR66))</f>
        <v>0</v>
      </c>
      <c r="HHU66" s="960">
        <f>MIN(HHU60-HHU62,'Sources and Uses Budget'!HHU108-SUM('15 Year Pro Forma'!HHS66:HHT66))</f>
        <v>0</v>
      </c>
      <c r="HHW66" s="960">
        <f>MIN(HHW60-HHW62,'Sources and Uses Budget'!HHW108-SUM('15 Year Pro Forma'!HHU66:HHV66))</f>
        <v>0</v>
      </c>
      <c r="HHY66" s="960">
        <f>MIN(HHY60-HHY62,'Sources and Uses Budget'!HHY108-SUM('15 Year Pro Forma'!HHW66:HHX66))</f>
        <v>0</v>
      </c>
      <c r="HIA66" s="960">
        <f>MIN(HIA60-HIA62,'Sources and Uses Budget'!HIA108-SUM('15 Year Pro Forma'!HHY66:HHZ66))</f>
        <v>0</v>
      </c>
      <c r="HIC66" s="960">
        <f>MIN(HIC60-HIC62,'Sources and Uses Budget'!HIC108-SUM('15 Year Pro Forma'!HIA66:HIB66))</f>
        <v>0</v>
      </c>
      <c r="HIE66" s="960">
        <f>MIN(HIE60-HIE62,'Sources and Uses Budget'!HIE108-SUM('15 Year Pro Forma'!HIC66:HID66))</f>
        <v>0</v>
      </c>
      <c r="HIG66" s="960">
        <f>MIN(HIG60-HIG62,'Sources and Uses Budget'!HIG108-SUM('15 Year Pro Forma'!HIE66:HIF66))</f>
        <v>0</v>
      </c>
      <c r="HII66" s="960">
        <f>MIN(HII60-HII62,'Sources and Uses Budget'!HII108-SUM('15 Year Pro Forma'!HIG66:HIH66))</f>
        <v>0</v>
      </c>
      <c r="HIK66" s="960">
        <f>MIN(HIK60-HIK62,'Sources and Uses Budget'!HIK108-SUM('15 Year Pro Forma'!HII66:HIJ66))</f>
        <v>0</v>
      </c>
      <c r="HIM66" s="960">
        <f>MIN(HIM60-HIM62,'Sources and Uses Budget'!HIM108-SUM('15 Year Pro Forma'!HIK66:HIL66))</f>
        <v>0</v>
      </c>
      <c r="HIO66" s="960">
        <f>MIN(HIO60-HIO62,'Sources and Uses Budget'!HIO108-SUM('15 Year Pro Forma'!HIM66:HIN66))</f>
        <v>0</v>
      </c>
      <c r="HIQ66" s="960">
        <f>MIN(HIQ60-HIQ62,'Sources and Uses Budget'!HIQ108-SUM('15 Year Pro Forma'!HIO66:HIP66))</f>
        <v>0</v>
      </c>
      <c r="HIS66" s="960">
        <f>MIN(HIS60-HIS62,'Sources and Uses Budget'!HIS108-SUM('15 Year Pro Forma'!HIQ66:HIR66))</f>
        <v>0</v>
      </c>
      <c r="HIU66" s="960">
        <f>MIN(HIU60-HIU62,'Sources and Uses Budget'!HIU108-SUM('15 Year Pro Forma'!HIS66:HIT66))</f>
        <v>0</v>
      </c>
      <c r="HIW66" s="960">
        <f>MIN(HIW60-HIW62,'Sources and Uses Budget'!HIW108-SUM('15 Year Pro Forma'!HIU66:HIV66))</f>
        <v>0</v>
      </c>
      <c r="HIY66" s="960">
        <f>MIN(HIY60-HIY62,'Sources and Uses Budget'!HIY108-SUM('15 Year Pro Forma'!HIW66:HIX66))</f>
        <v>0</v>
      </c>
      <c r="HJA66" s="960">
        <f>MIN(HJA60-HJA62,'Sources and Uses Budget'!HJA108-SUM('15 Year Pro Forma'!HIY66:HIZ66))</f>
        <v>0</v>
      </c>
      <c r="HJC66" s="960">
        <f>MIN(HJC60-HJC62,'Sources and Uses Budget'!HJC108-SUM('15 Year Pro Forma'!HJA66:HJB66))</f>
        <v>0</v>
      </c>
      <c r="HJE66" s="960">
        <f>MIN(HJE60-HJE62,'Sources and Uses Budget'!HJE108-SUM('15 Year Pro Forma'!HJC66:HJD66))</f>
        <v>0</v>
      </c>
      <c r="HJG66" s="960">
        <f>MIN(HJG60-HJG62,'Sources and Uses Budget'!HJG108-SUM('15 Year Pro Forma'!HJE66:HJF66))</f>
        <v>0</v>
      </c>
      <c r="HJI66" s="960">
        <f>MIN(HJI60-HJI62,'Sources and Uses Budget'!HJI108-SUM('15 Year Pro Forma'!HJG66:HJH66))</f>
        <v>0</v>
      </c>
      <c r="HJK66" s="960">
        <f>MIN(HJK60-HJK62,'Sources and Uses Budget'!HJK108-SUM('15 Year Pro Forma'!HJI66:HJJ66))</f>
        <v>0</v>
      </c>
      <c r="HJM66" s="960">
        <f>MIN(HJM60-HJM62,'Sources and Uses Budget'!HJM108-SUM('15 Year Pro Forma'!HJK66:HJL66))</f>
        <v>0</v>
      </c>
      <c r="HJO66" s="960">
        <f>MIN(HJO60-HJO62,'Sources and Uses Budget'!HJO108-SUM('15 Year Pro Forma'!HJM66:HJN66))</f>
        <v>0</v>
      </c>
      <c r="HJQ66" s="960">
        <f>MIN(HJQ60-HJQ62,'Sources and Uses Budget'!HJQ108-SUM('15 Year Pro Forma'!HJO66:HJP66))</f>
        <v>0</v>
      </c>
      <c r="HJS66" s="960">
        <f>MIN(HJS60-HJS62,'Sources and Uses Budget'!HJS108-SUM('15 Year Pro Forma'!HJQ66:HJR66))</f>
        <v>0</v>
      </c>
      <c r="HJU66" s="960">
        <f>MIN(HJU60-HJU62,'Sources and Uses Budget'!HJU108-SUM('15 Year Pro Forma'!HJS66:HJT66))</f>
        <v>0</v>
      </c>
      <c r="HJW66" s="960">
        <f>MIN(HJW60-HJW62,'Sources and Uses Budget'!HJW108-SUM('15 Year Pro Forma'!HJU66:HJV66))</f>
        <v>0</v>
      </c>
      <c r="HJY66" s="960">
        <f>MIN(HJY60-HJY62,'Sources and Uses Budget'!HJY108-SUM('15 Year Pro Forma'!HJW66:HJX66))</f>
        <v>0</v>
      </c>
      <c r="HKA66" s="960">
        <f>MIN(HKA60-HKA62,'Sources and Uses Budget'!HKA108-SUM('15 Year Pro Forma'!HJY66:HJZ66))</f>
        <v>0</v>
      </c>
      <c r="HKC66" s="960">
        <f>MIN(HKC60-HKC62,'Sources and Uses Budget'!HKC108-SUM('15 Year Pro Forma'!HKA66:HKB66))</f>
        <v>0</v>
      </c>
      <c r="HKE66" s="960">
        <f>MIN(HKE60-HKE62,'Sources and Uses Budget'!HKE108-SUM('15 Year Pro Forma'!HKC66:HKD66))</f>
        <v>0</v>
      </c>
      <c r="HKG66" s="960">
        <f>MIN(HKG60-HKG62,'Sources and Uses Budget'!HKG108-SUM('15 Year Pro Forma'!HKE66:HKF66))</f>
        <v>0</v>
      </c>
      <c r="HKI66" s="960">
        <f>MIN(HKI60-HKI62,'Sources and Uses Budget'!HKI108-SUM('15 Year Pro Forma'!HKG66:HKH66))</f>
        <v>0</v>
      </c>
      <c r="HKK66" s="960">
        <f>MIN(HKK60-HKK62,'Sources and Uses Budget'!HKK108-SUM('15 Year Pro Forma'!HKI66:HKJ66))</f>
        <v>0</v>
      </c>
      <c r="HKM66" s="960">
        <f>MIN(HKM60-HKM62,'Sources and Uses Budget'!HKM108-SUM('15 Year Pro Forma'!HKK66:HKL66))</f>
        <v>0</v>
      </c>
      <c r="HKO66" s="960">
        <f>MIN(HKO60-HKO62,'Sources and Uses Budget'!HKO108-SUM('15 Year Pro Forma'!HKM66:HKN66))</f>
        <v>0</v>
      </c>
      <c r="HKQ66" s="960">
        <f>MIN(HKQ60-HKQ62,'Sources and Uses Budget'!HKQ108-SUM('15 Year Pro Forma'!HKO66:HKP66))</f>
        <v>0</v>
      </c>
      <c r="HKS66" s="960">
        <f>MIN(HKS60-HKS62,'Sources and Uses Budget'!HKS108-SUM('15 Year Pro Forma'!HKQ66:HKR66))</f>
        <v>0</v>
      </c>
      <c r="HKU66" s="960">
        <f>MIN(HKU60-HKU62,'Sources and Uses Budget'!HKU108-SUM('15 Year Pro Forma'!HKS66:HKT66))</f>
        <v>0</v>
      </c>
      <c r="HKW66" s="960">
        <f>MIN(HKW60-HKW62,'Sources and Uses Budget'!HKW108-SUM('15 Year Pro Forma'!HKU66:HKV66))</f>
        <v>0</v>
      </c>
      <c r="HKY66" s="960">
        <f>MIN(HKY60-HKY62,'Sources and Uses Budget'!HKY108-SUM('15 Year Pro Forma'!HKW66:HKX66))</f>
        <v>0</v>
      </c>
      <c r="HLA66" s="960">
        <f>MIN(HLA60-HLA62,'Sources and Uses Budget'!HLA108-SUM('15 Year Pro Forma'!HKY66:HKZ66))</f>
        <v>0</v>
      </c>
      <c r="HLC66" s="960">
        <f>MIN(HLC60-HLC62,'Sources and Uses Budget'!HLC108-SUM('15 Year Pro Forma'!HLA66:HLB66))</f>
        <v>0</v>
      </c>
      <c r="HLE66" s="960">
        <f>MIN(HLE60-HLE62,'Sources and Uses Budget'!HLE108-SUM('15 Year Pro Forma'!HLC66:HLD66))</f>
        <v>0</v>
      </c>
      <c r="HLG66" s="960">
        <f>MIN(HLG60-HLG62,'Sources and Uses Budget'!HLG108-SUM('15 Year Pro Forma'!HLE66:HLF66))</f>
        <v>0</v>
      </c>
      <c r="HLI66" s="960">
        <f>MIN(HLI60-HLI62,'Sources and Uses Budget'!HLI108-SUM('15 Year Pro Forma'!HLG66:HLH66))</f>
        <v>0</v>
      </c>
      <c r="HLK66" s="960">
        <f>MIN(HLK60-HLK62,'Sources and Uses Budget'!HLK108-SUM('15 Year Pro Forma'!HLI66:HLJ66))</f>
        <v>0</v>
      </c>
      <c r="HLM66" s="960">
        <f>MIN(HLM60-HLM62,'Sources and Uses Budget'!HLM108-SUM('15 Year Pro Forma'!HLK66:HLL66))</f>
        <v>0</v>
      </c>
      <c r="HLO66" s="960">
        <f>MIN(HLO60-HLO62,'Sources and Uses Budget'!HLO108-SUM('15 Year Pro Forma'!HLM66:HLN66))</f>
        <v>0</v>
      </c>
      <c r="HLQ66" s="960">
        <f>MIN(HLQ60-HLQ62,'Sources and Uses Budget'!HLQ108-SUM('15 Year Pro Forma'!HLO66:HLP66))</f>
        <v>0</v>
      </c>
      <c r="HLS66" s="960">
        <f>MIN(HLS60-HLS62,'Sources and Uses Budget'!HLS108-SUM('15 Year Pro Forma'!HLQ66:HLR66))</f>
        <v>0</v>
      </c>
      <c r="HLU66" s="960">
        <f>MIN(HLU60-HLU62,'Sources and Uses Budget'!HLU108-SUM('15 Year Pro Forma'!HLS66:HLT66))</f>
        <v>0</v>
      </c>
      <c r="HLW66" s="960">
        <f>MIN(HLW60-HLW62,'Sources and Uses Budget'!HLW108-SUM('15 Year Pro Forma'!HLU66:HLV66))</f>
        <v>0</v>
      </c>
      <c r="HLY66" s="960">
        <f>MIN(HLY60-HLY62,'Sources and Uses Budget'!HLY108-SUM('15 Year Pro Forma'!HLW66:HLX66))</f>
        <v>0</v>
      </c>
      <c r="HMA66" s="960">
        <f>MIN(HMA60-HMA62,'Sources and Uses Budget'!HMA108-SUM('15 Year Pro Forma'!HLY66:HLZ66))</f>
        <v>0</v>
      </c>
      <c r="HMC66" s="960">
        <f>MIN(HMC60-HMC62,'Sources and Uses Budget'!HMC108-SUM('15 Year Pro Forma'!HMA66:HMB66))</f>
        <v>0</v>
      </c>
      <c r="HME66" s="960">
        <f>MIN(HME60-HME62,'Sources and Uses Budget'!HME108-SUM('15 Year Pro Forma'!HMC66:HMD66))</f>
        <v>0</v>
      </c>
      <c r="HMG66" s="960">
        <f>MIN(HMG60-HMG62,'Sources and Uses Budget'!HMG108-SUM('15 Year Pro Forma'!HME66:HMF66))</f>
        <v>0</v>
      </c>
      <c r="HMI66" s="960">
        <f>MIN(HMI60-HMI62,'Sources and Uses Budget'!HMI108-SUM('15 Year Pro Forma'!HMG66:HMH66))</f>
        <v>0</v>
      </c>
      <c r="HMK66" s="960">
        <f>MIN(HMK60-HMK62,'Sources and Uses Budget'!HMK108-SUM('15 Year Pro Forma'!HMI66:HMJ66))</f>
        <v>0</v>
      </c>
      <c r="HMM66" s="960">
        <f>MIN(HMM60-HMM62,'Sources and Uses Budget'!HMM108-SUM('15 Year Pro Forma'!HMK66:HML66))</f>
        <v>0</v>
      </c>
      <c r="HMO66" s="960">
        <f>MIN(HMO60-HMO62,'Sources and Uses Budget'!HMO108-SUM('15 Year Pro Forma'!HMM66:HMN66))</f>
        <v>0</v>
      </c>
      <c r="HMQ66" s="960">
        <f>MIN(HMQ60-HMQ62,'Sources and Uses Budget'!HMQ108-SUM('15 Year Pro Forma'!HMO66:HMP66))</f>
        <v>0</v>
      </c>
      <c r="HMS66" s="960">
        <f>MIN(HMS60-HMS62,'Sources and Uses Budget'!HMS108-SUM('15 Year Pro Forma'!HMQ66:HMR66))</f>
        <v>0</v>
      </c>
      <c r="HMU66" s="960">
        <f>MIN(HMU60-HMU62,'Sources and Uses Budget'!HMU108-SUM('15 Year Pro Forma'!HMS66:HMT66))</f>
        <v>0</v>
      </c>
      <c r="HMW66" s="960">
        <f>MIN(HMW60-HMW62,'Sources and Uses Budget'!HMW108-SUM('15 Year Pro Forma'!HMU66:HMV66))</f>
        <v>0</v>
      </c>
      <c r="HMY66" s="960">
        <f>MIN(HMY60-HMY62,'Sources and Uses Budget'!HMY108-SUM('15 Year Pro Forma'!HMW66:HMX66))</f>
        <v>0</v>
      </c>
      <c r="HNA66" s="960">
        <f>MIN(HNA60-HNA62,'Sources and Uses Budget'!HNA108-SUM('15 Year Pro Forma'!HMY66:HMZ66))</f>
        <v>0</v>
      </c>
      <c r="HNC66" s="960">
        <f>MIN(HNC60-HNC62,'Sources and Uses Budget'!HNC108-SUM('15 Year Pro Forma'!HNA66:HNB66))</f>
        <v>0</v>
      </c>
      <c r="HNE66" s="960">
        <f>MIN(HNE60-HNE62,'Sources and Uses Budget'!HNE108-SUM('15 Year Pro Forma'!HNC66:HND66))</f>
        <v>0</v>
      </c>
      <c r="HNG66" s="960">
        <f>MIN(HNG60-HNG62,'Sources and Uses Budget'!HNG108-SUM('15 Year Pro Forma'!HNE66:HNF66))</f>
        <v>0</v>
      </c>
      <c r="HNI66" s="960">
        <f>MIN(HNI60-HNI62,'Sources and Uses Budget'!HNI108-SUM('15 Year Pro Forma'!HNG66:HNH66))</f>
        <v>0</v>
      </c>
      <c r="HNK66" s="960">
        <f>MIN(HNK60-HNK62,'Sources and Uses Budget'!HNK108-SUM('15 Year Pro Forma'!HNI66:HNJ66))</f>
        <v>0</v>
      </c>
      <c r="HNM66" s="960">
        <f>MIN(HNM60-HNM62,'Sources and Uses Budget'!HNM108-SUM('15 Year Pro Forma'!HNK66:HNL66))</f>
        <v>0</v>
      </c>
      <c r="HNO66" s="960">
        <f>MIN(HNO60-HNO62,'Sources and Uses Budget'!HNO108-SUM('15 Year Pro Forma'!HNM66:HNN66))</f>
        <v>0</v>
      </c>
      <c r="HNQ66" s="960">
        <f>MIN(HNQ60-HNQ62,'Sources and Uses Budget'!HNQ108-SUM('15 Year Pro Forma'!HNO66:HNP66))</f>
        <v>0</v>
      </c>
      <c r="HNS66" s="960">
        <f>MIN(HNS60-HNS62,'Sources and Uses Budget'!HNS108-SUM('15 Year Pro Forma'!HNQ66:HNR66))</f>
        <v>0</v>
      </c>
      <c r="HNU66" s="960">
        <f>MIN(HNU60-HNU62,'Sources and Uses Budget'!HNU108-SUM('15 Year Pro Forma'!HNS66:HNT66))</f>
        <v>0</v>
      </c>
      <c r="HNW66" s="960">
        <f>MIN(HNW60-HNW62,'Sources and Uses Budget'!HNW108-SUM('15 Year Pro Forma'!HNU66:HNV66))</f>
        <v>0</v>
      </c>
      <c r="HNY66" s="960">
        <f>MIN(HNY60-HNY62,'Sources and Uses Budget'!HNY108-SUM('15 Year Pro Forma'!HNW66:HNX66))</f>
        <v>0</v>
      </c>
      <c r="HOA66" s="960">
        <f>MIN(HOA60-HOA62,'Sources and Uses Budget'!HOA108-SUM('15 Year Pro Forma'!HNY66:HNZ66))</f>
        <v>0</v>
      </c>
      <c r="HOC66" s="960">
        <f>MIN(HOC60-HOC62,'Sources and Uses Budget'!HOC108-SUM('15 Year Pro Forma'!HOA66:HOB66))</f>
        <v>0</v>
      </c>
      <c r="HOE66" s="960">
        <f>MIN(HOE60-HOE62,'Sources and Uses Budget'!HOE108-SUM('15 Year Pro Forma'!HOC66:HOD66))</f>
        <v>0</v>
      </c>
      <c r="HOG66" s="960">
        <f>MIN(HOG60-HOG62,'Sources and Uses Budget'!HOG108-SUM('15 Year Pro Forma'!HOE66:HOF66))</f>
        <v>0</v>
      </c>
      <c r="HOI66" s="960">
        <f>MIN(HOI60-HOI62,'Sources and Uses Budget'!HOI108-SUM('15 Year Pro Forma'!HOG66:HOH66))</f>
        <v>0</v>
      </c>
      <c r="HOK66" s="960">
        <f>MIN(HOK60-HOK62,'Sources and Uses Budget'!HOK108-SUM('15 Year Pro Forma'!HOI66:HOJ66))</f>
        <v>0</v>
      </c>
      <c r="HOM66" s="960">
        <f>MIN(HOM60-HOM62,'Sources and Uses Budget'!HOM108-SUM('15 Year Pro Forma'!HOK66:HOL66))</f>
        <v>0</v>
      </c>
      <c r="HOO66" s="960">
        <f>MIN(HOO60-HOO62,'Sources and Uses Budget'!HOO108-SUM('15 Year Pro Forma'!HOM66:HON66))</f>
        <v>0</v>
      </c>
      <c r="HOQ66" s="960">
        <f>MIN(HOQ60-HOQ62,'Sources and Uses Budget'!HOQ108-SUM('15 Year Pro Forma'!HOO66:HOP66))</f>
        <v>0</v>
      </c>
      <c r="HOS66" s="960">
        <f>MIN(HOS60-HOS62,'Sources and Uses Budget'!HOS108-SUM('15 Year Pro Forma'!HOQ66:HOR66))</f>
        <v>0</v>
      </c>
      <c r="HOU66" s="960">
        <f>MIN(HOU60-HOU62,'Sources and Uses Budget'!HOU108-SUM('15 Year Pro Forma'!HOS66:HOT66))</f>
        <v>0</v>
      </c>
      <c r="HOW66" s="960">
        <f>MIN(HOW60-HOW62,'Sources and Uses Budget'!HOW108-SUM('15 Year Pro Forma'!HOU66:HOV66))</f>
        <v>0</v>
      </c>
      <c r="HOY66" s="960">
        <f>MIN(HOY60-HOY62,'Sources and Uses Budget'!HOY108-SUM('15 Year Pro Forma'!HOW66:HOX66))</f>
        <v>0</v>
      </c>
      <c r="HPA66" s="960">
        <f>MIN(HPA60-HPA62,'Sources and Uses Budget'!HPA108-SUM('15 Year Pro Forma'!HOY66:HOZ66))</f>
        <v>0</v>
      </c>
      <c r="HPC66" s="960">
        <f>MIN(HPC60-HPC62,'Sources and Uses Budget'!HPC108-SUM('15 Year Pro Forma'!HPA66:HPB66))</f>
        <v>0</v>
      </c>
      <c r="HPE66" s="960">
        <f>MIN(HPE60-HPE62,'Sources and Uses Budget'!HPE108-SUM('15 Year Pro Forma'!HPC66:HPD66))</f>
        <v>0</v>
      </c>
      <c r="HPG66" s="960">
        <f>MIN(HPG60-HPG62,'Sources and Uses Budget'!HPG108-SUM('15 Year Pro Forma'!HPE66:HPF66))</f>
        <v>0</v>
      </c>
      <c r="HPI66" s="960">
        <f>MIN(HPI60-HPI62,'Sources and Uses Budget'!HPI108-SUM('15 Year Pro Forma'!HPG66:HPH66))</f>
        <v>0</v>
      </c>
      <c r="HPK66" s="960">
        <f>MIN(HPK60-HPK62,'Sources and Uses Budget'!HPK108-SUM('15 Year Pro Forma'!HPI66:HPJ66))</f>
        <v>0</v>
      </c>
      <c r="HPM66" s="960">
        <f>MIN(HPM60-HPM62,'Sources and Uses Budget'!HPM108-SUM('15 Year Pro Forma'!HPK66:HPL66))</f>
        <v>0</v>
      </c>
      <c r="HPO66" s="960">
        <f>MIN(HPO60-HPO62,'Sources and Uses Budget'!HPO108-SUM('15 Year Pro Forma'!HPM66:HPN66))</f>
        <v>0</v>
      </c>
      <c r="HPQ66" s="960">
        <f>MIN(HPQ60-HPQ62,'Sources and Uses Budget'!HPQ108-SUM('15 Year Pro Forma'!HPO66:HPP66))</f>
        <v>0</v>
      </c>
      <c r="HPS66" s="960">
        <f>MIN(HPS60-HPS62,'Sources and Uses Budget'!HPS108-SUM('15 Year Pro Forma'!HPQ66:HPR66))</f>
        <v>0</v>
      </c>
      <c r="HPU66" s="960">
        <f>MIN(HPU60-HPU62,'Sources and Uses Budget'!HPU108-SUM('15 Year Pro Forma'!HPS66:HPT66))</f>
        <v>0</v>
      </c>
      <c r="HPW66" s="960">
        <f>MIN(HPW60-HPW62,'Sources and Uses Budget'!HPW108-SUM('15 Year Pro Forma'!HPU66:HPV66))</f>
        <v>0</v>
      </c>
      <c r="HPY66" s="960">
        <f>MIN(HPY60-HPY62,'Sources and Uses Budget'!HPY108-SUM('15 Year Pro Forma'!HPW66:HPX66))</f>
        <v>0</v>
      </c>
      <c r="HQA66" s="960">
        <f>MIN(HQA60-HQA62,'Sources and Uses Budget'!HQA108-SUM('15 Year Pro Forma'!HPY66:HPZ66))</f>
        <v>0</v>
      </c>
      <c r="HQC66" s="960">
        <f>MIN(HQC60-HQC62,'Sources and Uses Budget'!HQC108-SUM('15 Year Pro Forma'!HQA66:HQB66))</f>
        <v>0</v>
      </c>
      <c r="HQE66" s="960">
        <f>MIN(HQE60-HQE62,'Sources and Uses Budget'!HQE108-SUM('15 Year Pro Forma'!HQC66:HQD66))</f>
        <v>0</v>
      </c>
      <c r="HQG66" s="960">
        <f>MIN(HQG60-HQG62,'Sources and Uses Budget'!HQG108-SUM('15 Year Pro Forma'!HQE66:HQF66))</f>
        <v>0</v>
      </c>
      <c r="HQI66" s="960">
        <f>MIN(HQI60-HQI62,'Sources and Uses Budget'!HQI108-SUM('15 Year Pro Forma'!HQG66:HQH66))</f>
        <v>0</v>
      </c>
      <c r="HQK66" s="960">
        <f>MIN(HQK60-HQK62,'Sources and Uses Budget'!HQK108-SUM('15 Year Pro Forma'!HQI66:HQJ66))</f>
        <v>0</v>
      </c>
      <c r="HQM66" s="960">
        <f>MIN(HQM60-HQM62,'Sources and Uses Budget'!HQM108-SUM('15 Year Pro Forma'!HQK66:HQL66))</f>
        <v>0</v>
      </c>
      <c r="HQO66" s="960">
        <f>MIN(HQO60-HQO62,'Sources and Uses Budget'!HQO108-SUM('15 Year Pro Forma'!HQM66:HQN66))</f>
        <v>0</v>
      </c>
      <c r="HQQ66" s="960">
        <f>MIN(HQQ60-HQQ62,'Sources and Uses Budget'!HQQ108-SUM('15 Year Pro Forma'!HQO66:HQP66))</f>
        <v>0</v>
      </c>
      <c r="HQS66" s="960">
        <f>MIN(HQS60-HQS62,'Sources and Uses Budget'!HQS108-SUM('15 Year Pro Forma'!HQQ66:HQR66))</f>
        <v>0</v>
      </c>
      <c r="HQU66" s="960">
        <f>MIN(HQU60-HQU62,'Sources and Uses Budget'!HQU108-SUM('15 Year Pro Forma'!HQS66:HQT66))</f>
        <v>0</v>
      </c>
      <c r="HQW66" s="960">
        <f>MIN(HQW60-HQW62,'Sources and Uses Budget'!HQW108-SUM('15 Year Pro Forma'!HQU66:HQV66))</f>
        <v>0</v>
      </c>
      <c r="HQY66" s="960">
        <f>MIN(HQY60-HQY62,'Sources and Uses Budget'!HQY108-SUM('15 Year Pro Forma'!HQW66:HQX66))</f>
        <v>0</v>
      </c>
      <c r="HRA66" s="960">
        <f>MIN(HRA60-HRA62,'Sources and Uses Budget'!HRA108-SUM('15 Year Pro Forma'!HQY66:HQZ66))</f>
        <v>0</v>
      </c>
      <c r="HRC66" s="960">
        <f>MIN(HRC60-HRC62,'Sources and Uses Budget'!HRC108-SUM('15 Year Pro Forma'!HRA66:HRB66))</f>
        <v>0</v>
      </c>
      <c r="HRE66" s="960">
        <f>MIN(HRE60-HRE62,'Sources and Uses Budget'!HRE108-SUM('15 Year Pro Forma'!HRC66:HRD66))</f>
        <v>0</v>
      </c>
      <c r="HRG66" s="960">
        <f>MIN(HRG60-HRG62,'Sources and Uses Budget'!HRG108-SUM('15 Year Pro Forma'!HRE66:HRF66))</f>
        <v>0</v>
      </c>
      <c r="HRI66" s="960">
        <f>MIN(HRI60-HRI62,'Sources and Uses Budget'!HRI108-SUM('15 Year Pro Forma'!HRG66:HRH66))</f>
        <v>0</v>
      </c>
      <c r="HRK66" s="960">
        <f>MIN(HRK60-HRK62,'Sources and Uses Budget'!HRK108-SUM('15 Year Pro Forma'!HRI66:HRJ66))</f>
        <v>0</v>
      </c>
      <c r="HRM66" s="960">
        <f>MIN(HRM60-HRM62,'Sources and Uses Budget'!HRM108-SUM('15 Year Pro Forma'!HRK66:HRL66))</f>
        <v>0</v>
      </c>
      <c r="HRO66" s="960">
        <f>MIN(HRO60-HRO62,'Sources and Uses Budget'!HRO108-SUM('15 Year Pro Forma'!HRM66:HRN66))</f>
        <v>0</v>
      </c>
      <c r="HRQ66" s="960">
        <f>MIN(HRQ60-HRQ62,'Sources and Uses Budget'!HRQ108-SUM('15 Year Pro Forma'!HRO66:HRP66))</f>
        <v>0</v>
      </c>
      <c r="HRS66" s="960">
        <f>MIN(HRS60-HRS62,'Sources and Uses Budget'!HRS108-SUM('15 Year Pro Forma'!HRQ66:HRR66))</f>
        <v>0</v>
      </c>
      <c r="HRU66" s="960">
        <f>MIN(HRU60-HRU62,'Sources and Uses Budget'!HRU108-SUM('15 Year Pro Forma'!HRS66:HRT66))</f>
        <v>0</v>
      </c>
      <c r="HRW66" s="960">
        <f>MIN(HRW60-HRW62,'Sources and Uses Budget'!HRW108-SUM('15 Year Pro Forma'!HRU66:HRV66))</f>
        <v>0</v>
      </c>
      <c r="HRY66" s="960">
        <f>MIN(HRY60-HRY62,'Sources and Uses Budget'!HRY108-SUM('15 Year Pro Forma'!HRW66:HRX66))</f>
        <v>0</v>
      </c>
      <c r="HSA66" s="960">
        <f>MIN(HSA60-HSA62,'Sources and Uses Budget'!HSA108-SUM('15 Year Pro Forma'!HRY66:HRZ66))</f>
        <v>0</v>
      </c>
      <c r="HSC66" s="960">
        <f>MIN(HSC60-HSC62,'Sources and Uses Budget'!HSC108-SUM('15 Year Pro Forma'!HSA66:HSB66))</f>
        <v>0</v>
      </c>
      <c r="HSE66" s="960">
        <f>MIN(HSE60-HSE62,'Sources and Uses Budget'!HSE108-SUM('15 Year Pro Forma'!HSC66:HSD66))</f>
        <v>0</v>
      </c>
      <c r="HSG66" s="960">
        <f>MIN(HSG60-HSG62,'Sources and Uses Budget'!HSG108-SUM('15 Year Pro Forma'!HSE66:HSF66))</f>
        <v>0</v>
      </c>
      <c r="HSI66" s="960">
        <f>MIN(HSI60-HSI62,'Sources and Uses Budget'!HSI108-SUM('15 Year Pro Forma'!HSG66:HSH66))</f>
        <v>0</v>
      </c>
      <c r="HSK66" s="960">
        <f>MIN(HSK60-HSK62,'Sources and Uses Budget'!HSK108-SUM('15 Year Pro Forma'!HSI66:HSJ66))</f>
        <v>0</v>
      </c>
      <c r="HSM66" s="960">
        <f>MIN(HSM60-HSM62,'Sources and Uses Budget'!HSM108-SUM('15 Year Pro Forma'!HSK66:HSL66))</f>
        <v>0</v>
      </c>
      <c r="HSO66" s="960">
        <f>MIN(HSO60-HSO62,'Sources and Uses Budget'!HSO108-SUM('15 Year Pro Forma'!HSM66:HSN66))</f>
        <v>0</v>
      </c>
      <c r="HSQ66" s="960">
        <f>MIN(HSQ60-HSQ62,'Sources and Uses Budget'!HSQ108-SUM('15 Year Pro Forma'!HSO66:HSP66))</f>
        <v>0</v>
      </c>
      <c r="HSS66" s="960">
        <f>MIN(HSS60-HSS62,'Sources and Uses Budget'!HSS108-SUM('15 Year Pro Forma'!HSQ66:HSR66))</f>
        <v>0</v>
      </c>
      <c r="HSU66" s="960">
        <f>MIN(HSU60-HSU62,'Sources and Uses Budget'!HSU108-SUM('15 Year Pro Forma'!HSS66:HST66))</f>
        <v>0</v>
      </c>
      <c r="HSW66" s="960">
        <f>MIN(HSW60-HSW62,'Sources and Uses Budget'!HSW108-SUM('15 Year Pro Forma'!HSU66:HSV66))</f>
        <v>0</v>
      </c>
      <c r="HSY66" s="960">
        <f>MIN(HSY60-HSY62,'Sources and Uses Budget'!HSY108-SUM('15 Year Pro Forma'!HSW66:HSX66))</f>
        <v>0</v>
      </c>
      <c r="HTA66" s="960">
        <f>MIN(HTA60-HTA62,'Sources and Uses Budget'!HTA108-SUM('15 Year Pro Forma'!HSY66:HSZ66))</f>
        <v>0</v>
      </c>
      <c r="HTC66" s="960">
        <f>MIN(HTC60-HTC62,'Sources and Uses Budget'!HTC108-SUM('15 Year Pro Forma'!HTA66:HTB66))</f>
        <v>0</v>
      </c>
      <c r="HTE66" s="960">
        <f>MIN(HTE60-HTE62,'Sources and Uses Budget'!HTE108-SUM('15 Year Pro Forma'!HTC66:HTD66))</f>
        <v>0</v>
      </c>
      <c r="HTG66" s="960">
        <f>MIN(HTG60-HTG62,'Sources and Uses Budget'!HTG108-SUM('15 Year Pro Forma'!HTE66:HTF66))</f>
        <v>0</v>
      </c>
      <c r="HTI66" s="960">
        <f>MIN(HTI60-HTI62,'Sources and Uses Budget'!HTI108-SUM('15 Year Pro Forma'!HTG66:HTH66))</f>
        <v>0</v>
      </c>
      <c r="HTK66" s="960">
        <f>MIN(HTK60-HTK62,'Sources and Uses Budget'!HTK108-SUM('15 Year Pro Forma'!HTI66:HTJ66))</f>
        <v>0</v>
      </c>
      <c r="HTM66" s="960">
        <f>MIN(HTM60-HTM62,'Sources and Uses Budget'!HTM108-SUM('15 Year Pro Forma'!HTK66:HTL66))</f>
        <v>0</v>
      </c>
      <c r="HTO66" s="960">
        <f>MIN(HTO60-HTO62,'Sources and Uses Budget'!HTO108-SUM('15 Year Pro Forma'!HTM66:HTN66))</f>
        <v>0</v>
      </c>
      <c r="HTQ66" s="960">
        <f>MIN(HTQ60-HTQ62,'Sources and Uses Budget'!HTQ108-SUM('15 Year Pro Forma'!HTO66:HTP66))</f>
        <v>0</v>
      </c>
      <c r="HTS66" s="960">
        <f>MIN(HTS60-HTS62,'Sources and Uses Budget'!HTS108-SUM('15 Year Pro Forma'!HTQ66:HTR66))</f>
        <v>0</v>
      </c>
      <c r="HTU66" s="960">
        <f>MIN(HTU60-HTU62,'Sources and Uses Budget'!HTU108-SUM('15 Year Pro Forma'!HTS66:HTT66))</f>
        <v>0</v>
      </c>
      <c r="HTW66" s="960">
        <f>MIN(HTW60-HTW62,'Sources and Uses Budget'!HTW108-SUM('15 Year Pro Forma'!HTU66:HTV66))</f>
        <v>0</v>
      </c>
      <c r="HTY66" s="960">
        <f>MIN(HTY60-HTY62,'Sources and Uses Budget'!HTY108-SUM('15 Year Pro Forma'!HTW66:HTX66))</f>
        <v>0</v>
      </c>
      <c r="HUA66" s="960">
        <f>MIN(HUA60-HUA62,'Sources and Uses Budget'!HUA108-SUM('15 Year Pro Forma'!HTY66:HTZ66))</f>
        <v>0</v>
      </c>
      <c r="HUC66" s="960">
        <f>MIN(HUC60-HUC62,'Sources and Uses Budget'!HUC108-SUM('15 Year Pro Forma'!HUA66:HUB66))</f>
        <v>0</v>
      </c>
      <c r="HUE66" s="960">
        <f>MIN(HUE60-HUE62,'Sources and Uses Budget'!HUE108-SUM('15 Year Pro Forma'!HUC66:HUD66))</f>
        <v>0</v>
      </c>
      <c r="HUG66" s="960">
        <f>MIN(HUG60-HUG62,'Sources and Uses Budget'!HUG108-SUM('15 Year Pro Forma'!HUE66:HUF66))</f>
        <v>0</v>
      </c>
      <c r="HUI66" s="960">
        <f>MIN(HUI60-HUI62,'Sources and Uses Budget'!HUI108-SUM('15 Year Pro Forma'!HUG66:HUH66))</f>
        <v>0</v>
      </c>
      <c r="HUK66" s="960">
        <f>MIN(HUK60-HUK62,'Sources and Uses Budget'!HUK108-SUM('15 Year Pro Forma'!HUI66:HUJ66))</f>
        <v>0</v>
      </c>
      <c r="HUM66" s="960">
        <f>MIN(HUM60-HUM62,'Sources and Uses Budget'!HUM108-SUM('15 Year Pro Forma'!HUK66:HUL66))</f>
        <v>0</v>
      </c>
      <c r="HUO66" s="960">
        <f>MIN(HUO60-HUO62,'Sources and Uses Budget'!HUO108-SUM('15 Year Pro Forma'!HUM66:HUN66))</f>
        <v>0</v>
      </c>
      <c r="HUQ66" s="960">
        <f>MIN(HUQ60-HUQ62,'Sources and Uses Budget'!HUQ108-SUM('15 Year Pro Forma'!HUO66:HUP66))</f>
        <v>0</v>
      </c>
      <c r="HUS66" s="960">
        <f>MIN(HUS60-HUS62,'Sources and Uses Budget'!HUS108-SUM('15 Year Pro Forma'!HUQ66:HUR66))</f>
        <v>0</v>
      </c>
      <c r="HUU66" s="960">
        <f>MIN(HUU60-HUU62,'Sources and Uses Budget'!HUU108-SUM('15 Year Pro Forma'!HUS66:HUT66))</f>
        <v>0</v>
      </c>
      <c r="HUW66" s="960">
        <f>MIN(HUW60-HUW62,'Sources and Uses Budget'!HUW108-SUM('15 Year Pro Forma'!HUU66:HUV66))</f>
        <v>0</v>
      </c>
      <c r="HUY66" s="960">
        <f>MIN(HUY60-HUY62,'Sources and Uses Budget'!HUY108-SUM('15 Year Pro Forma'!HUW66:HUX66))</f>
        <v>0</v>
      </c>
      <c r="HVA66" s="960">
        <f>MIN(HVA60-HVA62,'Sources and Uses Budget'!HVA108-SUM('15 Year Pro Forma'!HUY66:HUZ66))</f>
        <v>0</v>
      </c>
      <c r="HVC66" s="960">
        <f>MIN(HVC60-HVC62,'Sources and Uses Budget'!HVC108-SUM('15 Year Pro Forma'!HVA66:HVB66))</f>
        <v>0</v>
      </c>
      <c r="HVE66" s="960">
        <f>MIN(HVE60-HVE62,'Sources and Uses Budget'!HVE108-SUM('15 Year Pro Forma'!HVC66:HVD66))</f>
        <v>0</v>
      </c>
      <c r="HVG66" s="960">
        <f>MIN(HVG60-HVG62,'Sources and Uses Budget'!HVG108-SUM('15 Year Pro Forma'!HVE66:HVF66))</f>
        <v>0</v>
      </c>
      <c r="HVI66" s="960">
        <f>MIN(HVI60-HVI62,'Sources and Uses Budget'!HVI108-SUM('15 Year Pro Forma'!HVG66:HVH66))</f>
        <v>0</v>
      </c>
      <c r="HVK66" s="960">
        <f>MIN(HVK60-HVK62,'Sources and Uses Budget'!HVK108-SUM('15 Year Pro Forma'!HVI66:HVJ66))</f>
        <v>0</v>
      </c>
      <c r="HVM66" s="960">
        <f>MIN(HVM60-HVM62,'Sources and Uses Budget'!HVM108-SUM('15 Year Pro Forma'!HVK66:HVL66))</f>
        <v>0</v>
      </c>
      <c r="HVO66" s="960">
        <f>MIN(HVO60-HVO62,'Sources and Uses Budget'!HVO108-SUM('15 Year Pro Forma'!HVM66:HVN66))</f>
        <v>0</v>
      </c>
      <c r="HVQ66" s="960">
        <f>MIN(HVQ60-HVQ62,'Sources and Uses Budget'!HVQ108-SUM('15 Year Pro Forma'!HVO66:HVP66))</f>
        <v>0</v>
      </c>
      <c r="HVS66" s="960">
        <f>MIN(HVS60-HVS62,'Sources and Uses Budget'!HVS108-SUM('15 Year Pro Forma'!HVQ66:HVR66))</f>
        <v>0</v>
      </c>
      <c r="HVU66" s="960">
        <f>MIN(HVU60-HVU62,'Sources and Uses Budget'!HVU108-SUM('15 Year Pro Forma'!HVS66:HVT66))</f>
        <v>0</v>
      </c>
      <c r="HVW66" s="960">
        <f>MIN(HVW60-HVW62,'Sources and Uses Budget'!HVW108-SUM('15 Year Pro Forma'!HVU66:HVV66))</f>
        <v>0</v>
      </c>
      <c r="HVY66" s="960">
        <f>MIN(HVY60-HVY62,'Sources and Uses Budget'!HVY108-SUM('15 Year Pro Forma'!HVW66:HVX66))</f>
        <v>0</v>
      </c>
      <c r="HWA66" s="960">
        <f>MIN(HWA60-HWA62,'Sources and Uses Budget'!HWA108-SUM('15 Year Pro Forma'!HVY66:HVZ66))</f>
        <v>0</v>
      </c>
      <c r="HWC66" s="960">
        <f>MIN(HWC60-HWC62,'Sources and Uses Budget'!HWC108-SUM('15 Year Pro Forma'!HWA66:HWB66))</f>
        <v>0</v>
      </c>
      <c r="HWE66" s="960">
        <f>MIN(HWE60-HWE62,'Sources and Uses Budget'!HWE108-SUM('15 Year Pro Forma'!HWC66:HWD66))</f>
        <v>0</v>
      </c>
      <c r="HWG66" s="960">
        <f>MIN(HWG60-HWG62,'Sources and Uses Budget'!HWG108-SUM('15 Year Pro Forma'!HWE66:HWF66))</f>
        <v>0</v>
      </c>
      <c r="HWI66" s="960">
        <f>MIN(HWI60-HWI62,'Sources and Uses Budget'!HWI108-SUM('15 Year Pro Forma'!HWG66:HWH66))</f>
        <v>0</v>
      </c>
      <c r="HWK66" s="960">
        <f>MIN(HWK60-HWK62,'Sources and Uses Budget'!HWK108-SUM('15 Year Pro Forma'!HWI66:HWJ66))</f>
        <v>0</v>
      </c>
      <c r="HWM66" s="960">
        <f>MIN(HWM60-HWM62,'Sources and Uses Budget'!HWM108-SUM('15 Year Pro Forma'!HWK66:HWL66))</f>
        <v>0</v>
      </c>
      <c r="HWO66" s="960">
        <f>MIN(HWO60-HWO62,'Sources and Uses Budget'!HWO108-SUM('15 Year Pro Forma'!HWM66:HWN66))</f>
        <v>0</v>
      </c>
      <c r="HWQ66" s="960">
        <f>MIN(HWQ60-HWQ62,'Sources and Uses Budget'!HWQ108-SUM('15 Year Pro Forma'!HWO66:HWP66))</f>
        <v>0</v>
      </c>
      <c r="HWS66" s="960">
        <f>MIN(HWS60-HWS62,'Sources and Uses Budget'!HWS108-SUM('15 Year Pro Forma'!HWQ66:HWR66))</f>
        <v>0</v>
      </c>
      <c r="HWU66" s="960">
        <f>MIN(HWU60-HWU62,'Sources and Uses Budget'!HWU108-SUM('15 Year Pro Forma'!HWS66:HWT66))</f>
        <v>0</v>
      </c>
      <c r="HWW66" s="960">
        <f>MIN(HWW60-HWW62,'Sources and Uses Budget'!HWW108-SUM('15 Year Pro Forma'!HWU66:HWV66))</f>
        <v>0</v>
      </c>
      <c r="HWY66" s="960">
        <f>MIN(HWY60-HWY62,'Sources and Uses Budget'!HWY108-SUM('15 Year Pro Forma'!HWW66:HWX66))</f>
        <v>0</v>
      </c>
      <c r="HXA66" s="960">
        <f>MIN(HXA60-HXA62,'Sources and Uses Budget'!HXA108-SUM('15 Year Pro Forma'!HWY66:HWZ66))</f>
        <v>0</v>
      </c>
      <c r="HXC66" s="960">
        <f>MIN(HXC60-HXC62,'Sources and Uses Budget'!HXC108-SUM('15 Year Pro Forma'!HXA66:HXB66))</f>
        <v>0</v>
      </c>
      <c r="HXE66" s="960">
        <f>MIN(HXE60-HXE62,'Sources and Uses Budget'!HXE108-SUM('15 Year Pro Forma'!HXC66:HXD66))</f>
        <v>0</v>
      </c>
      <c r="HXG66" s="960">
        <f>MIN(HXG60-HXG62,'Sources and Uses Budget'!HXG108-SUM('15 Year Pro Forma'!HXE66:HXF66))</f>
        <v>0</v>
      </c>
      <c r="HXI66" s="960">
        <f>MIN(HXI60-HXI62,'Sources and Uses Budget'!HXI108-SUM('15 Year Pro Forma'!HXG66:HXH66))</f>
        <v>0</v>
      </c>
      <c r="HXK66" s="960">
        <f>MIN(HXK60-HXK62,'Sources and Uses Budget'!HXK108-SUM('15 Year Pro Forma'!HXI66:HXJ66))</f>
        <v>0</v>
      </c>
      <c r="HXM66" s="960">
        <f>MIN(HXM60-HXM62,'Sources and Uses Budget'!HXM108-SUM('15 Year Pro Forma'!HXK66:HXL66))</f>
        <v>0</v>
      </c>
      <c r="HXO66" s="960">
        <f>MIN(HXO60-HXO62,'Sources and Uses Budget'!HXO108-SUM('15 Year Pro Forma'!HXM66:HXN66))</f>
        <v>0</v>
      </c>
      <c r="HXQ66" s="960">
        <f>MIN(HXQ60-HXQ62,'Sources and Uses Budget'!HXQ108-SUM('15 Year Pro Forma'!HXO66:HXP66))</f>
        <v>0</v>
      </c>
      <c r="HXS66" s="960">
        <f>MIN(HXS60-HXS62,'Sources and Uses Budget'!HXS108-SUM('15 Year Pro Forma'!HXQ66:HXR66))</f>
        <v>0</v>
      </c>
      <c r="HXU66" s="960">
        <f>MIN(HXU60-HXU62,'Sources and Uses Budget'!HXU108-SUM('15 Year Pro Forma'!HXS66:HXT66))</f>
        <v>0</v>
      </c>
      <c r="HXW66" s="960">
        <f>MIN(HXW60-HXW62,'Sources and Uses Budget'!HXW108-SUM('15 Year Pro Forma'!HXU66:HXV66))</f>
        <v>0</v>
      </c>
      <c r="HXY66" s="960">
        <f>MIN(HXY60-HXY62,'Sources and Uses Budget'!HXY108-SUM('15 Year Pro Forma'!HXW66:HXX66))</f>
        <v>0</v>
      </c>
      <c r="HYA66" s="960">
        <f>MIN(HYA60-HYA62,'Sources and Uses Budget'!HYA108-SUM('15 Year Pro Forma'!HXY66:HXZ66))</f>
        <v>0</v>
      </c>
      <c r="HYC66" s="960">
        <f>MIN(HYC60-HYC62,'Sources and Uses Budget'!HYC108-SUM('15 Year Pro Forma'!HYA66:HYB66))</f>
        <v>0</v>
      </c>
      <c r="HYE66" s="960">
        <f>MIN(HYE60-HYE62,'Sources and Uses Budget'!HYE108-SUM('15 Year Pro Forma'!HYC66:HYD66))</f>
        <v>0</v>
      </c>
      <c r="HYG66" s="960">
        <f>MIN(HYG60-HYG62,'Sources and Uses Budget'!HYG108-SUM('15 Year Pro Forma'!HYE66:HYF66))</f>
        <v>0</v>
      </c>
      <c r="HYI66" s="960">
        <f>MIN(HYI60-HYI62,'Sources and Uses Budget'!HYI108-SUM('15 Year Pro Forma'!HYG66:HYH66))</f>
        <v>0</v>
      </c>
      <c r="HYK66" s="960">
        <f>MIN(HYK60-HYK62,'Sources and Uses Budget'!HYK108-SUM('15 Year Pro Forma'!HYI66:HYJ66))</f>
        <v>0</v>
      </c>
      <c r="HYM66" s="960">
        <f>MIN(HYM60-HYM62,'Sources and Uses Budget'!HYM108-SUM('15 Year Pro Forma'!HYK66:HYL66))</f>
        <v>0</v>
      </c>
      <c r="HYO66" s="960">
        <f>MIN(HYO60-HYO62,'Sources and Uses Budget'!HYO108-SUM('15 Year Pro Forma'!HYM66:HYN66))</f>
        <v>0</v>
      </c>
      <c r="HYQ66" s="960">
        <f>MIN(HYQ60-HYQ62,'Sources and Uses Budget'!HYQ108-SUM('15 Year Pro Forma'!HYO66:HYP66))</f>
        <v>0</v>
      </c>
      <c r="HYS66" s="960">
        <f>MIN(HYS60-HYS62,'Sources and Uses Budget'!HYS108-SUM('15 Year Pro Forma'!HYQ66:HYR66))</f>
        <v>0</v>
      </c>
      <c r="HYU66" s="960">
        <f>MIN(HYU60-HYU62,'Sources and Uses Budget'!HYU108-SUM('15 Year Pro Forma'!HYS66:HYT66))</f>
        <v>0</v>
      </c>
      <c r="HYW66" s="960">
        <f>MIN(HYW60-HYW62,'Sources and Uses Budget'!HYW108-SUM('15 Year Pro Forma'!HYU66:HYV66))</f>
        <v>0</v>
      </c>
      <c r="HYY66" s="960">
        <f>MIN(HYY60-HYY62,'Sources and Uses Budget'!HYY108-SUM('15 Year Pro Forma'!HYW66:HYX66))</f>
        <v>0</v>
      </c>
      <c r="HZA66" s="960">
        <f>MIN(HZA60-HZA62,'Sources and Uses Budget'!HZA108-SUM('15 Year Pro Forma'!HYY66:HYZ66))</f>
        <v>0</v>
      </c>
      <c r="HZC66" s="960">
        <f>MIN(HZC60-HZC62,'Sources and Uses Budget'!HZC108-SUM('15 Year Pro Forma'!HZA66:HZB66))</f>
        <v>0</v>
      </c>
      <c r="HZE66" s="960">
        <f>MIN(HZE60-HZE62,'Sources and Uses Budget'!HZE108-SUM('15 Year Pro Forma'!HZC66:HZD66))</f>
        <v>0</v>
      </c>
      <c r="HZG66" s="960">
        <f>MIN(HZG60-HZG62,'Sources and Uses Budget'!HZG108-SUM('15 Year Pro Forma'!HZE66:HZF66))</f>
        <v>0</v>
      </c>
      <c r="HZI66" s="960">
        <f>MIN(HZI60-HZI62,'Sources and Uses Budget'!HZI108-SUM('15 Year Pro Forma'!HZG66:HZH66))</f>
        <v>0</v>
      </c>
      <c r="HZK66" s="960">
        <f>MIN(HZK60-HZK62,'Sources and Uses Budget'!HZK108-SUM('15 Year Pro Forma'!HZI66:HZJ66))</f>
        <v>0</v>
      </c>
      <c r="HZM66" s="960">
        <f>MIN(HZM60-HZM62,'Sources and Uses Budget'!HZM108-SUM('15 Year Pro Forma'!HZK66:HZL66))</f>
        <v>0</v>
      </c>
      <c r="HZO66" s="960">
        <f>MIN(HZO60-HZO62,'Sources and Uses Budget'!HZO108-SUM('15 Year Pro Forma'!HZM66:HZN66))</f>
        <v>0</v>
      </c>
      <c r="HZQ66" s="960">
        <f>MIN(HZQ60-HZQ62,'Sources and Uses Budget'!HZQ108-SUM('15 Year Pro Forma'!HZO66:HZP66))</f>
        <v>0</v>
      </c>
      <c r="HZS66" s="960">
        <f>MIN(HZS60-HZS62,'Sources and Uses Budget'!HZS108-SUM('15 Year Pro Forma'!HZQ66:HZR66))</f>
        <v>0</v>
      </c>
      <c r="HZU66" s="960">
        <f>MIN(HZU60-HZU62,'Sources and Uses Budget'!HZU108-SUM('15 Year Pro Forma'!HZS66:HZT66))</f>
        <v>0</v>
      </c>
      <c r="HZW66" s="960">
        <f>MIN(HZW60-HZW62,'Sources and Uses Budget'!HZW108-SUM('15 Year Pro Forma'!HZU66:HZV66))</f>
        <v>0</v>
      </c>
      <c r="HZY66" s="960">
        <f>MIN(HZY60-HZY62,'Sources and Uses Budget'!HZY108-SUM('15 Year Pro Forma'!HZW66:HZX66))</f>
        <v>0</v>
      </c>
      <c r="IAA66" s="960">
        <f>MIN(IAA60-IAA62,'Sources and Uses Budget'!IAA108-SUM('15 Year Pro Forma'!HZY66:HZZ66))</f>
        <v>0</v>
      </c>
      <c r="IAC66" s="960">
        <f>MIN(IAC60-IAC62,'Sources and Uses Budget'!IAC108-SUM('15 Year Pro Forma'!IAA66:IAB66))</f>
        <v>0</v>
      </c>
      <c r="IAE66" s="960">
        <f>MIN(IAE60-IAE62,'Sources and Uses Budget'!IAE108-SUM('15 Year Pro Forma'!IAC66:IAD66))</f>
        <v>0</v>
      </c>
      <c r="IAG66" s="960">
        <f>MIN(IAG60-IAG62,'Sources and Uses Budget'!IAG108-SUM('15 Year Pro Forma'!IAE66:IAF66))</f>
        <v>0</v>
      </c>
      <c r="IAI66" s="960">
        <f>MIN(IAI60-IAI62,'Sources and Uses Budget'!IAI108-SUM('15 Year Pro Forma'!IAG66:IAH66))</f>
        <v>0</v>
      </c>
      <c r="IAK66" s="960">
        <f>MIN(IAK60-IAK62,'Sources and Uses Budget'!IAK108-SUM('15 Year Pro Forma'!IAI66:IAJ66))</f>
        <v>0</v>
      </c>
      <c r="IAM66" s="960">
        <f>MIN(IAM60-IAM62,'Sources and Uses Budget'!IAM108-SUM('15 Year Pro Forma'!IAK66:IAL66))</f>
        <v>0</v>
      </c>
      <c r="IAO66" s="960">
        <f>MIN(IAO60-IAO62,'Sources and Uses Budget'!IAO108-SUM('15 Year Pro Forma'!IAM66:IAN66))</f>
        <v>0</v>
      </c>
      <c r="IAQ66" s="960">
        <f>MIN(IAQ60-IAQ62,'Sources and Uses Budget'!IAQ108-SUM('15 Year Pro Forma'!IAO66:IAP66))</f>
        <v>0</v>
      </c>
      <c r="IAS66" s="960">
        <f>MIN(IAS60-IAS62,'Sources and Uses Budget'!IAS108-SUM('15 Year Pro Forma'!IAQ66:IAR66))</f>
        <v>0</v>
      </c>
      <c r="IAU66" s="960">
        <f>MIN(IAU60-IAU62,'Sources and Uses Budget'!IAU108-SUM('15 Year Pro Forma'!IAS66:IAT66))</f>
        <v>0</v>
      </c>
      <c r="IAW66" s="960">
        <f>MIN(IAW60-IAW62,'Sources and Uses Budget'!IAW108-SUM('15 Year Pro Forma'!IAU66:IAV66))</f>
        <v>0</v>
      </c>
      <c r="IAY66" s="960">
        <f>MIN(IAY60-IAY62,'Sources and Uses Budget'!IAY108-SUM('15 Year Pro Forma'!IAW66:IAX66))</f>
        <v>0</v>
      </c>
      <c r="IBA66" s="960">
        <f>MIN(IBA60-IBA62,'Sources and Uses Budget'!IBA108-SUM('15 Year Pro Forma'!IAY66:IAZ66))</f>
        <v>0</v>
      </c>
      <c r="IBC66" s="960">
        <f>MIN(IBC60-IBC62,'Sources and Uses Budget'!IBC108-SUM('15 Year Pro Forma'!IBA66:IBB66))</f>
        <v>0</v>
      </c>
      <c r="IBE66" s="960">
        <f>MIN(IBE60-IBE62,'Sources and Uses Budget'!IBE108-SUM('15 Year Pro Forma'!IBC66:IBD66))</f>
        <v>0</v>
      </c>
      <c r="IBG66" s="960">
        <f>MIN(IBG60-IBG62,'Sources and Uses Budget'!IBG108-SUM('15 Year Pro Forma'!IBE66:IBF66))</f>
        <v>0</v>
      </c>
      <c r="IBI66" s="960">
        <f>MIN(IBI60-IBI62,'Sources and Uses Budget'!IBI108-SUM('15 Year Pro Forma'!IBG66:IBH66))</f>
        <v>0</v>
      </c>
      <c r="IBK66" s="960">
        <f>MIN(IBK60-IBK62,'Sources and Uses Budget'!IBK108-SUM('15 Year Pro Forma'!IBI66:IBJ66))</f>
        <v>0</v>
      </c>
      <c r="IBM66" s="960">
        <f>MIN(IBM60-IBM62,'Sources and Uses Budget'!IBM108-SUM('15 Year Pro Forma'!IBK66:IBL66))</f>
        <v>0</v>
      </c>
      <c r="IBO66" s="960">
        <f>MIN(IBO60-IBO62,'Sources and Uses Budget'!IBO108-SUM('15 Year Pro Forma'!IBM66:IBN66))</f>
        <v>0</v>
      </c>
      <c r="IBQ66" s="960">
        <f>MIN(IBQ60-IBQ62,'Sources and Uses Budget'!IBQ108-SUM('15 Year Pro Forma'!IBO66:IBP66))</f>
        <v>0</v>
      </c>
      <c r="IBS66" s="960">
        <f>MIN(IBS60-IBS62,'Sources and Uses Budget'!IBS108-SUM('15 Year Pro Forma'!IBQ66:IBR66))</f>
        <v>0</v>
      </c>
      <c r="IBU66" s="960">
        <f>MIN(IBU60-IBU62,'Sources and Uses Budget'!IBU108-SUM('15 Year Pro Forma'!IBS66:IBT66))</f>
        <v>0</v>
      </c>
      <c r="IBW66" s="960">
        <f>MIN(IBW60-IBW62,'Sources and Uses Budget'!IBW108-SUM('15 Year Pro Forma'!IBU66:IBV66))</f>
        <v>0</v>
      </c>
      <c r="IBY66" s="960">
        <f>MIN(IBY60-IBY62,'Sources and Uses Budget'!IBY108-SUM('15 Year Pro Forma'!IBW66:IBX66))</f>
        <v>0</v>
      </c>
      <c r="ICA66" s="960">
        <f>MIN(ICA60-ICA62,'Sources and Uses Budget'!ICA108-SUM('15 Year Pro Forma'!IBY66:IBZ66))</f>
        <v>0</v>
      </c>
      <c r="ICC66" s="960">
        <f>MIN(ICC60-ICC62,'Sources and Uses Budget'!ICC108-SUM('15 Year Pro Forma'!ICA66:ICB66))</f>
        <v>0</v>
      </c>
      <c r="ICE66" s="960">
        <f>MIN(ICE60-ICE62,'Sources and Uses Budget'!ICE108-SUM('15 Year Pro Forma'!ICC66:ICD66))</f>
        <v>0</v>
      </c>
      <c r="ICG66" s="960">
        <f>MIN(ICG60-ICG62,'Sources and Uses Budget'!ICG108-SUM('15 Year Pro Forma'!ICE66:ICF66))</f>
        <v>0</v>
      </c>
      <c r="ICI66" s="960">
        <f>MIN(ICI60-ICI62,'Sources and Uses Budget'!ICI108-SUM('15 Year Pro Forma'!ICG66:ICH66))</f>
        <v>0</v>
      </c>
      <c r="ICK66" s="960">
        <f>MIN(ICK60-ICK62,'Sources and Uses Budget'!ICK108-SUM('15 Year Pro Forma'!ICI66:ICJ66))</f>
        <v>0</v>
      </c>
      <c r="ICM66" s="960">
        <f>MIN(ICM60-ICM62,'Sources and Uses Budget'!ICM108-SUM('15 Year Pro Forma'!ICK66:ICL66))</f>
        <v>0</v>
      </c>
      <c r="ICO66" s="960">
        <f>MIN(ICO60-ICO62,'Sources and Uses Budget'!ICO108-SUM('15 Year Pro Forma'!ICM66:ICN66))</f>
        <v>0</v>
      </c>
      <c r="ICQ66" s="960">
        <f>MIN(ICQ60-ICQ62,'Sources and Uses Budget'!ICQ108-SUM('15 Year Pro Forma'!ICO66:ICP66))</f>
        <v>0</v>
      </c>
      <c r="ICS66" s="960">
        <f>MIN(ICS60-ICS62,'Sources and Uses Budget'!ICS108-SUM('15 Year Pro Forma'!ICQ66:ICR66))</f>
        <v>0</v>
      </c>
      <c r="ICU66" s="960">
        <f>MIN(ICU60-ICU62,'Sources and Uses Budget'!ICU108-SUM('15 Year Pro Forma'!ICS66:ICT66))</f>
        <v>0</v>
      </c>
      <c r="ICW66" s="960">
        <f>MIN(ICW60-ICW62,'Sources and Uses Budget'!ICW108-SUM('15 Year Pro Forma'!ICU66:ICV66))</f>
        <v>0</v>
      </c>
      <c r="ICY66" s="960">
        <f>MIN(ICY60-ICY62,'Sources and Uses Budget'!ICY108-SUM('15 Year Pro Forma'!ICW66:ICX66))</f>
        <v>0</v>
      </c>
      <c r="IDA66" s="960">
        <f>MIN(IDA60-IDA62,'Sources and Uses Budget'!IDA108-SUM('15 Year Pro Forma'!ICY66:ICZ66))</f>
        <v>0</v>
      </c>
      <c r="IDC66" s="960">
        <f>MIN(IDC60-IDC62,'Sources and Uses Budget'!IDC108-SUM('15 Year Pro Forma'!IDA66:IDB66))</f>
        <v>0</v>
      </c>
      <c r="IDE66" s="960">
        <f>MIN(IDE60-IDE62,'Sources and Uses Budget'!IDE108-SUM('15 Year Pro Forma'!IDC66:IDD66))</f>
        <v>0</v>
      </c>
      <c r="IDG66" s="960">
        <f>MIN(IDG60-IDG62,'Sources and Uses Budget'!IDG108-SUM('15 Year Pro Forma'!IDE66:IDF66))</f>
        <v>0</v>
      </c>
      <c r="IDI66" s="960">
        <f>MIN(IDI60-IDI62,'Sources and Uses Budget'!IDI108-SUM('15 Year Pro Forma'!IDG66:IDH66))</f>
        <v>0</v>
      </c>
      <c r="IDK66" s="960">
        <f>MIN(IDK60-IDK62,'Sources and Uses Budget'!IDK108-SUM('15 Year Pro Forma'!IDI66:IDJ66))</f>
        <v>0</v>
      </c>
      <c r="IDM66" s="960">
        <f>MIN(IDM60-IDM62,'Sources and Uses Budget'!IDM108-SUM('15 Year Pro Forma'!IDK66:IDL66))</f>
        <v>0</v>
      </c>
      <c r="IDO66" s="960">
        <f>MIN(IDO60-IDO62,'Sources and Uses Budget'!IDO108-SUM('15 Year Pro Forma'!IDM66:IDN66))</f>
        <v>0</v>
      </c>
      <c r="IDQ66" s="960">
        <f>MIN(IDQ60-IDQ62,'Sources and Uses Budget'!IDQ108-SUM('15 Year Pro Forma'!IDO66:IDP66))</f>
        <v>0</v>
      </c>
      <c r="IDS66" s="960">
        <f>MIN(IDS60-IDS62,'Sources and Uses Budget'!IDS108-SUM('15 Year Pro Forma'!IDQ66:IDR66))</f>
        <v>0</v>
      </c>
      <c r="IDU66" s="960">
        <f>MIN(IDU60-IDU62,'Sources and Uses Budget'!IDU108-SUM('15 Year Pro Forma'!IDS66:IDT66))</f>
        <v>0</v>
      </c>
      <c r="IDW66" s="960">
        <f>MIN(IDW60-IDW62,'Sources and Uses Budget'!IDW108-SUM('15 Year Pro Forma'!IDU66:IDV66))</f>
        <v>0</v>
      </c>
      <c r="IDY66" s="960">
        <f>MIN(IDY60-IDY62,'Sources and Uses Budget'!IDY108-SUM('15 Year Pro Forma'!IDW66:IDX66))</f>
        <v>0</v>
      </c>
      <c r="IEA66" s="960">
        <f>MIN(IEA60-IEA62,'Sources and Uses Budget'!IEA108-SUM('15 Year Pro Forma'!IDY66:IDZ66))</f>
        <v>0</v>
      </c>
      <c r="IEC66" s="960">
        <f>MIN(IEC60-IEC62,'Sources and Uses Budget'!IEC108-SUM('15 Year Pro Forma'!IEA66:IEB66))</f>
        <v>0</v>
      </c>
      <c r="IEE66" s="960">
        <f>MIN(IEE60-IEE62,'Sources and Uses Budget'!IEE108-SUM('15 Year Pro Forma'!IEC66:IED66))</f>
        <v>0</v>
      </c>
      <c r="IEG66" s="960">
        <f>MIN(IEG60-IEG62,'Sources and Uses Budget'!IEG108-SUM('15 Year Pro Forma'!IEE66:IEF66))</f>
        <v>0</v>
      </c>
      <c r="IEI66" s="960">
        <f>MIN(IEI60-IEI62,'Sources and Uses Budget'!IEI108-SUM('15 Year Pro Forma'!IEG66:IEH66))</f>
        <v>0</v>
      </c>
      <c r="IEK66" s="960">
        <f>MIN(IEK60-IEK62,'Sources and Uses Budget'!IEK108-SUM('15 Year Pro Forma'!IEI66:IEJ66))</f>
        <v>0</v>
      </c>
      <c r="IEM66" s="960">
        <f>MIN(IEM60-IEM62,'Sources and Uses Budget'!IEM108-SUM('15 Year Pro Forma'!IEK66:IEL66))</f>
        <v>0</v>
      </c>
      <c r="IEO66" s="960">
        <f>MIN(IEO60-IEO62,'Sources and Uses Budget'!IEO108-SUM('15 Year Pro Forma'!IEM66:IEN66))</f>
        <v>0</v>
      </c>
      <c r="IEQ66" s="960">
        <f>MIN(IEQ60-IEQ62,'Sources and Uses Budget'!IEQ108-SUM('15 Year Pro Forma'!IEO66:IEP66))</f>
        <v>0</v>
      </c>
      <c r="IES66" s="960">
        <f>MIN(IES60-IES62,'Sources and Uses Budget'!IES108-SUM('15 Year Pro Forma'!IEQ66:IER66))</f>
        <v>0</v>
      </c>
      <c r="IEU66" s="960">
        <f>MIN(IEU60-IEU62,'Sources and Uses Budget'!IEU108-SUM('15 Year Pro Forma'!IES66:IET66))</f>
        <v>0</v>
      </c>
      <c r="IEW66" s="960">
        <f>MIN(IEW60-IEW62,'Sources and Uses Budget'!IEW108-SUM('15 Year Pro Forma'!IEU66:IEV66))</f>
        <v>0</v>
      </c>
      <c r="IEY66" s="960">
        <f>MIN(IEY60-IEY62,'Sources and Uses Budget'!IEY108-SUM('15 Year Pro Forma'!IEW66:IEX66))</f>
        <v>0</v>
      </c>
      <c r="IFA66" s="960">
        <f>MIN(IFA60-IFA62,'Sources and Uses Budget'!IFA108-SUM('15 Year Pro Forma'!IEY66:IEZ66))</f>
        <v>0</v>
      </c>
      <c r="IFC66" s="960">
        <f>MIN(IFC60-IFC62,'Sources and Uses Budget'!IFC108-SUM('15 Year Pro Forma'!IFA66:IFB66))</f>
        <v>0</v>
      </c>
      <c r="IFE66" s="960">
        <f>MIN(IFE60-IFE62,'Sources and Uses Budget'!IFE108-SUM('15 Year Pro Forma'!IFC66:IFD66))</f>
        <v>0</v>
      </c>
      <c r="IFG66" s="960">
        <f>MIN(IFG60-IFG62,'Sources and Uses Budget'!IFG108-SUM('15 Year Pro Forma'!IFE66:IFF66))</f>
        <v>0</v>
      </c>
      <c r="IFI66" s="960">
        <f>MIN(IFI60-IFI62,'Sources and Uses Budget'!IFI108-SUM('15 Year Pro Forma'!IFG66:IFH66))</f>
        <v>0</v>
      </c>
      <c r="IFK66" s="960">
        <f>MIN(IFK60-IFK62,'Sources and Uses Budget'!IFK108-SUM('15 Year Pro Forma'!IFI66:IFJ66))</f>
        <v>0</v>
      </c>
      <c r="IFM66" s="960">
        <f>MIN(IFM60-IFM62,'Sources and Uses Budget'!IFM108-SUM('15 Year Pro Forma'!IFK66:IFL66))</f>
        <v>0</v>
      </c>
      <c r="IFO66" s="960">
        <f>MIN(IFO60-IFO62,'Sources and Uses Budget'!IFO108-SUM('15 Year Pro Forma'!IFM66:IFN66))</f>
        <v>0</v>
      </c>
      <c r="IFQ66" s="960">
        <f>MIN(IFQ60-IFQ62,'Sources and Uses Budget'!IFQ108-SUM('15 Year Pro Forma'!IFO66:IFP66))</f>
        <v>0</v>
      </c>
      <c r="IFS66" s="960">
        <f>MIN(IFS60-IFS62,'Sources and Uses Budget'!IFS108-SUM('15 Year Pro Forma'!IFQ66:IFR66))</f>
        <v>0</v>
      </c>
      <c r="IFU66" s="960">
        <f>MIN(IFU60-IFU62,'Sources and Uses Budget'!IFU108-SUM('15 Year Pro Forma'!IFS66:IFT66))</f>
        <v>0</v>
      </c>
      <c r="IFW66" s="960">
        <f>MIN(IFW60-IFW62,'Sources and Uses Budget'!IFW108-SUM('15 Year Pro Forma'!IFU66:IFV66))</f>
        <v>0</v>
      </c>
      <c r="IFY66" s="960">
        <f>MIN(IFY60-IFY62,'Sources and Uses Budget'!IFY108-SUM('15 Year Pro Forma'!IFW66:IFX66))</f>
        <v>0</v>
      </c>
      <c r="IGA66" s="960">
        <f>MIN(IGA60-IGA62,'Sources and Uses Budget'!IGA108-SUM('15 Year Pro Forma'!IFY66:IFZ66))</f>
        <v>0</v>
      </c>
      <c r="IGC66" s="960">
        <f>MIN(IGC60-IGC62,'Sources and Uses Budget'!IGC108-SUM('15 Year Pro Forma'!IGA66:IGB66))</f>
        <v>0</v>
      </c>
      <c r="IGE66" s="960">
        <f>MIN(IGE60-IGE62,'Sources and Uses Budget'!IGE108-SUM('15 Year Pro Forma'!IGC66:IGD66))</f>
        <v>0</v>
      </c>
      <c r="IGG66" s="960">
        <f>MIN(IGG60-IGG62,'Sources and Uses Budget'!IGG108-SUM('15 Year Pro Forma'!IGE66:IGF66))</f>
        <v>0</v>
      </c>
      <c r="IGI66" s="960">
        <f>MIN(IGI60-IGI62,'Sources and Uses Budget'!IGI108-SUM('15 Year Pro Forma'!IGG66:IGH66))</f>
        <v>0</v>
      </c>
      <c r="IGK66" s="960">
        <f>MIN(IGK60-IGK62,'Sources and Uses Budget'!IGK108-SUM('15 Year Pro Forma'!IGI66:IGJ66))</f>
        <v>0</v>
      </c>
      <c r="IGM66" s="960">
        <f>MIN(IGM60-IGM62,'Sources and Uses Budget'!IGM108-SUM('15 Year Pro Forma'!IGK66:IGL66))</f>
        <v>0</v>
      </c>
      <c r="IGO66" s="960">
        <f>MIN(IGO60-IGO62,'Sources and Uses Budget'!IGO108-SUM('15 Year Pro Forma'!IGM66:IGN66))</f>
        <v>0</v>
      </c>
      <c r="IGQ66" s="960">
        <f>MIN(IGQ60-IGQ62,'Sources and Uses Budget'!IGQ108-SUM('15 Year Pro Forma'!IGO66:IGP66))</f>
        <v>0</v>
      </c>
      <c r="IGS66" s="960">
        <f>MIN(IGS60-IGS62,'Sources and Uses Budget'!IGS108-SUM('15 Year Pro Forma'!IGQ66:IGR66))</f>
        <v>0</v>
      </c>
      <c r="IGU66" s="960">
        <f>MIN(IGU60-IGU62,'Sources and Uses Budget'!IGU108-SUM('15 Year Pro Forma'!IGS66:IGT66))</f>
        <v>0</v>
      </c>
      <c r="IGW66" s="960">
        <f>MIN(IGW60-IGW62,'Sources and Uses Budget'!IGW108-SUM('15 Year Pro Forma'!IGU66:IGV66))</f>
        <v>0</v>
      </c>
      <c r="IGY66" s="960">
        <f>MIN(IGY60-IGY62,'Sources and Uses Budget'!IGY108-SUM('15 Year Pro Forma'!IGW66:IGX66))</f>
        <v>0</v>
      </c>
      <c r="IHA66" s="960">
        <f>MIN(IHA60-IHA62,'Sources and Uses Budget'!IHA108-SUM('15 Year Pro Forma'!IGY66:IGZ66))</f>
        <v>0</v>
      </c>
      <c r="IHC66" s="960">
        <f>MIN(IHC60-IHC62,'Sources and Uses Budget'!IHC108-SUM('15 Year Pro Forma'!IHA66:IHB66))</f>
        <v>0</v>
      </c>
      <c r="IHE66" s="960">
        <f>MIN(IHE60-IHE62,'Sources and Uses Budget'!IHE108-SUM('15 Year Pro Forma'!IHC66:IHD66))</f>
        <v>0</v>
      </c>
      <c r="IHG66" s="960">
        <f>MIN(IHG60-IHG62,'Sources and Uses Budget'!IHG108-SUM('15 Year Pro Forma'!IHE66:IHF66))</f>
        <v>0</v>
      </c>
      <c r="IHI66" s="960">
        <f>MIN(IHI60-IHI62,'Sources and Uses Budget'!IHI108-SUM('15 Year Pro Forma'!IHG66:IHH66))</f>
        <v>0</v>
      </c>
      <c r="IHK66" s="960">
        <f>MIN(IHK60-IHK62,'Sources and Uses Budget'!IHK108-SUM('15 Year Pro Forma'!IHI66:IHJ66))</f>
        <v>0</v>
      </c>
      <c r="IHM66" s="960">
        <f>MIN(IHM60-IHM62,'Sources and Uses Budget'!IHM108-SUM('15 Year Pro Forma'!IHK66:IHL66))</f>
        <v>0</v>
      </c>
      <c r="IHO66" s="960">
        <f>MIN(IHO60-IHO62,'Sources and Uses Budget'!IHO108-SUM('15 Year Pro Forma'!IHM66:IHN66))</f>
        <v>0</v>
      </c>
      <c r="IHQ66" s="960">
        <f>MIN(IHQ60-IHQ62,'Sources and Uses Budget'!IHQ108-SUM('15 Year Pro Forma'!IHO66:IHP66))</f>
        <v>0</v>
      </c>
      <c r="IHS66" s="960">
        <f>MIN(IHS60-IHS62,'Sources and Uses Budget'!IHS108-SUM('15 Year Pro Forma'!IHQ66:IHR66))</f>
        <v>0</v>
      </c>
      <c r="IHU66" s="960">
        <f>MIN(IHU60-IHU62,'Sources and Uses Budget'!IHU108-SUM('15 Year Pro Forma'!IHS66:IHT66))</f>
        <v>0</v>
      </c>
      <c r="IHW66" s="960">
        <f>MIN(IHW60-IHW62,'Sources and Uses Budget'!IHW108-SUM('15 Year Pro Forma'!IHU66:IHV66))</f>
        <v>0</v>
      </c>
      <c r="IHY66" s="960">
        <f>MIN(IHY60-IHY62,'Sources and Uses Budget'!IHY108-SUM('15 Year Pro Forma'!IHW66:IHX66))</f>
        <v>0</v>
      </c>
      <c r="IIA66" s="960">
        <f>MIN(IIA60-IIA62,'Sources and Uses Budget'!IIA108-SUM('15 Year Pro Forma'!IHY66:IHZ66))</f>
        <v>0</v>
      </c>
      <c r="IIC66" s="960">
        <f>MIN(IIC60-IIC62,'Sources and Uses Budget'!IIC108-SUM('15 Year Pro Forma'!IIA66:IIB66))</f>
        <v>0</v>
      </c>
      <c r="IIE66" s="960">
        <f>MIN(IIE60-IIE62,'Sources and Uses Budget'!IIE108-SUM('15 Year Pro Forma'!IIC66:IID66))</f>
        <v>0</v>
      </c>
      <c r="IIG66" s="960">
        <f>MIN(IIG60-IIG62,'Sources and Uses Budget'!IIG108-SUM('15 Year Pro Forma'!IIE66:IIF66))</f>
        <v>0</v>
      </c>
      <c r="III66" s="960">
        <f>MIN(III60-III62,'Sources and Uses Budget'!III108-SUM('15 Year Pro Forma'!IIG66:IIH66))</f>
        <v>0</v>
      </c>
      <c r="IIK66" s="960">
        <f>MIN(IIK60-IIK62,'Sources and Uses Budget'!IIK108-SUM('15 Year Pro Forma'!III66:IIJ66))</f>
        <v>0</v>
      </c>
      <c r="IIM66" s="960">
        <f>MIN(IIM60-IIM62,'Sources and Uses Budget'!IIM108-SUM('15 Year Pro Forma'!IIK66:IIL66))</f>
        <v>0</v>
      </c>
      <c r="IIO66" s="960">
        <f>MIN(IIO60-IIO62,'Sources and Uses Budget'!IIO108-SUM('15 Year Pro Forma'!IIM66:IIN66))</f>
        <v>0</v>
      </c>
      <c r="IIQ66" s="960">
        <f>MIN(IIQ60-IIQ62,'Sources and Uses Budget'!IIQ108-SUM('15 Year Pro Forma'!IIO66:IIP66))</f>
        <v>0</v>
      </c>
      <c r="IIS66" s="960">
        <f>MIN(IIS60-IIS62,'Sources and Uses Budget'!IIS108-SUM('15 Year Pro Forma'!IIQ66:IIR66))</f>
        <v>0</v>
      </c>
      <c r="IIU66" s="960">
        <f>MIN(IIU60-IIU62,'Sources and Uses Budget'!IIU108-SUM('15 Year Pro Forma'!IIS66:IIT66))</f>
        <v>0</v>
      </c>
      <c r="IIW66" s="960">
        <f>MIN(IIW60-IIW62,'Sources and Uses Budget'!IIW108-SUM('15 Year Pro Forma'!IIU66:IIV66))</f>
        <v>0</v>
      </c>
      <c r="IIY66" s="960">
        <f>MIN(IIY60-IIY62,'Sources and Uses Budget'!IIY108-SUM('15 Year Pro Forma'!IIW66:IIX66))</f>
        <v>0</v>
      </c>
      <c r="IJA66" s="960">
        <f>MIN(IJA60-IJA62,'Sources and Uses Budget'!IJA108-SUM('15 Year Pro Forma'!IIY66:IIZ66))</f>
        <v>0</v>
      </c>
      <c r="IJC66" s="960">
        <f>MIN(IJC60-IJC62,'Sources and Uses Budget'!IJC108-SUM('15 Year Pro Forma'!IJA66:IJB66))</f>
        <v>0</v>
      </c>
      <c r="IJE66" s="960">
        <f>MIN(IJE60-IJE62,'Sources and Uses Budget'!IJE108-SUM('15 Year Pro Forma'!IJC66:IJD66))</f>
        <v>0</v>
      </c>
      <c r="IJG66" s="960">
        <f>MIN(IJG60-IJG62,'Sources and Uses Budget'!IJG108-SUM('15 Year Pro Forma'!IJE66:IJF66))</f>
        <v>0</v>
      </c>
      <c r="IJI66" s="960">
        <f>MIN(IJI60-IJI62,'Sources and Uses Budget'!IJI108-SUM('15 Year Pro Forma'!IJG66:IJH66))</f>
        <v>0</v>
      </c>
      <c r="IJK66" s="960">
        <f>MIN(IJK60-IJK62,'Sources and Uses Budget'!IJK108-SUM('15 Year Pro Forma'!IJI66:IJJ66))</f>
        <v>0</v>
      </c>
      <c r="IJM66" s="960">
        <f>MIN(IJM60-IJM62,'Sources and Uses Budget'!IJM108-SUM('15 Year Pro Forma'!IJK66:IJL66))</f>
        <v>0</v>
      </c>
      <c r="IJO66" s="960">
        <f>MIN(IJO60-IJO62,'Sources and Uses Budget'!IJO108-SUM('15 Year Pro Forma'!IJM66:IJN66))</f>
        <v>0</v>
      </c>
      <c r="IJQ66" s="960">
        <f>MIN(IJQ60-IJQ62,'Sources and Uses Budget'!IJQ108-SUM('15 Year Pro Forma'!IJO66:IJP66))</f>
        <v>0</v>
      </c>
      <c r="IJS66" s="960">
        <f>MIN(IJS60-IJS62,'Sources and Uses Budget'!IJS108-SUM('15 Year Pro Forma'!IJQ66:IJR66))</f>
        <v>0</v>
      </c>
      <c r="IJU66" s="960">
        <f>MIN(IJU60-IJU62,'Sources and Uses Budget'!IJU108-SUM('15 Year Pro Forma'!IJS66:IJT66))</f>
        <v>0</v>
      </c>
      <c r="IJW66" s="960">
        <f>MIN(IJW60-IJW62,'Sources and Uses Budget'!IJW108-SUM('15 Year Pro Forma'!IJU66:IJV66))</f>
        <v>0</v>
      </c>
      <c r="IJY66" s="960">
        <f>MIN(IJY60-IJY62,'Sources and Uses Budget'!IJY108-SUM('15 Year Pro Forma'!IJW66:IJX66))</f>
        <v>0</v>
      </c>
      <c r="IKA66" s="960">
        <f>MIN(IKA60-IKA62,'Sources and Uses Budget'!IKA108-SUM('15 Year Pro Forma'!IJY66:IJZ66))</f>
        <v>0</v>
      </c>
      <c r="IKC66" s="960">
        <f>MIN(IKC60-IKC62,'Sources and Uses Budget'!IKC108-SUM('15 Year Pro Forma'!IKA66:IKB66))</f>
        <v>0</v>
      </c>
      <c r="IKE66" s="960">
        <f>MIN(IKE60-IKE62,'Sources and Uses Budget'!IKE108-SUM('15 Year Pro Forma'!IKC66:IKD66))</f>
        <v>0</v>
      </c>
      <c r="IKG66" s="960">
        <f>MIN(IKG60-IKG62,'Sources and Uses Budget'!IKG108-SUM('15 Year Pro Forma'!IKE66:IKF66))</f>
        <v>0</v>
      </c>
      <c r="IKI66" s="960">
        <f>MIN(IKI60-IKI62,'Sources and Uses Budget'!IKI108-SUM('15 Year Pro Forma'!IKG66:IKH66))</f>
        <v>0</v>
      </c>
      <c r="IKK66" s="960">
        <f>MIN(IKK60-IKK62,'Sources and Uses Budget'!IKK108-SUM('15 Year Pro Forma'!IKI66:IKJ66))</f>
        <v>0</v>
      </c>
      <c r="IKM66" s="960">
        <f>MIN(IKM60-IKM62,'Sources and Uses Budget'!IKM108-SUM('15 Year Pro Forma'!IKK66:IKL66))</f>
        <v>0</v>
      </c>
      <c r="IKO66" s="960">
        <f>MIN(IKO60-IKO62,'Sources and Uses Budget'!IKO108-SUM('15 Year Pro Forma'!IKM66:IKN66))</f>
        <v>0</v>
      </c>
      <c r="IKQ66" s="960">
        <f>MIN(IKQ60-IKQ62,'Sources and Uses Budget'!IKQ108-SUM('15 Year Pro Forma'!IKO66:IKP66))</f>
        <v>0</v>
      </c>
      <c r="IKS66" s="960">
        <f>MIN(IKS60-IKS62,'Sources and Uses Budget'!IKS108-SUM('15 Year Pro Forma'!IKQ66:IKR66))</f>
        <v>0</v>
      </c>
      <c r="IKU66" s="960">
        <f>MIN(IKU60-IKU62,'Sources and Uses Budget'!IKU108-SUM('15 Year Pro Forma'!IKS66:IKT66))</f>
        <v>0</v>
      </c>
      <c r="IKW66" s="960">
        <f>MIN(IKW60-IKW62,'Sources and Uses Budget'!IKW108-SUM('15 Year Pro Forma'!IKU66:IKV66))</f>
        <v>0</v>
      </c>
      <c r="IKY66" s="960">
        <f>MIN(IKY60-IKY62,'Sources and Uses Budget'!IKY108-SUM('15 Year Pro Forma'!IKW66:IKX66))</f>
        <v>0</v>
      </c>
      <c r="ILA66" s="960">
        <f>MIN(ILA60-ILA62,'Sources and Uses Budget'!ILA108-SUM('15 Year Pro Forma'!IKY66:IKZ66))</f>
        <v>0</v>
      </c>
      <c r="ILC66" s="960">
        <f>MIN(ILC60-ILC62,'Sources and Uses Budget'!ILC108-SUM('15 Year Pro Forma'!ILA66:ILB66))</f>
        <v>0</v>
      </c>
      <c r="ILE66" s="960">
        <f>MIN(ILE60-ILE62,'Sources and Uses Budget'!ILE108-SUM('15 Year Pro Forma'!ILC66:ILD66))</f>
        <v>0</v>
      </c>
      <c r="ILG66" s="960">
        <f>MIN(ILG60-ILG62,'Sources and Uses Budget'!ILG108-SUM('15 Year Pro Forma'!ILE66:ILF66))</f>
        <v>0</v>
      </c>
      <c r="ILI66" s="960">
        <f>MIN(ILI60-ILI62,'Sources and Uses Budget'!ILI108-SUM('15 Year Pro Forma'!ILG66:ILH66))</f>
        <v>0</v>
      </c>
      <c r="ILK66" s="960">
        <f>MIN(ILK60-ILK62,'Sources and Uses Budget'!ILK108-SUM('15 Year Pro Forma'!ILI66:ILJ66))</f>
        <v>0</v>
      </c>
      <c r="ILM66" s="960">
        <f>MIN(ILM60-ILM62,'Sources and Uses Budget'!ILM108-SUM('15 Year Pro Forma'!ILK66:ILL66))</f>
        <v>0</v>
      </c>
      <c r="ILO66" s="960">
        <f>MIN(ILO60-ILO62,'Sources and Uses Budget'!ILO108-SUM('15 Year Pro Forma'!ILM66:ILN66))</f>
        <v>0</v>
      </c>
      <c r="ILQ66" s="960">
        <f>MIN(ILQ60-ILQ62,'Sources and Uses Budget'!ILQ108-SUM('15 Year Pro Forma'!ILO66:ILP66))</f>
        <v>0</v>
      </c>
      <c r="ILS66" s="960">
        <f>MIN(ILS60-ILS62,'Sources and Uses Budget'!ILS108-SUM('15 Year Pro Forma'!ILQ66:ILR66))</f>
        <v>0</v>
      </c>
      <c r="ILU66" s="960">
        <f>MIN(ILU60-ILU62,'Sources and Uses Budget'!ILU108-SUM('15 Year Pro Forma'!ILS66:ILT66))</f>
        <v>0</v>
      </c>
      <c r="ILW66" s="960">
        <f>MIN(ILW60-ILW62,'Sources and Uses Budget'!ILW108-SUM('15 Year Pro Forma'!ILU66:ILV66))</f>
        <v>0</v>
      </c>
      <c r="ILY66" s="960">
        <f>MIN(ILY60-ILY62,'Sources and Uses Budget'!ILY108-SUM('15 Year Pro Forma'!ILW66:ILX66))</f>
        <v>0</v>
      </c>
      <c r="IMA66" s="960">
        <f>MIN(IMA60-IMA62,'Sources and Uses Budget'!IMA108-SUM('15 Year Pro Forma'!ILY66:ILZ66))</f>
        <v>0</v>
      </c>
      <c r="IMC66" s="960">
        <f>MIN(IMC60-IMC62,'Sources and Uses Budget'!IMC108-SUM('15 Year Pro Forma'!IMA66:IMB66))</f>
        <v>0</v>
      </c>
      <c r="IME66" s="960">
        <f>MIN(IME60-IME62,'Sources and Uses Budget'!IME108-SUM('15 Year Pro Forma'!IMC66:IMD66))</f>
        <v>0</v>
      </c>
      <c r="IMG66" s="960">
        <f>MIN(IMG60-IMG62,'Sources and Uses Budget'!IMG108-SUM('15 Year Pro Forma'!IME66:IMF66))</f>
        <v>0</v>
      </c>
      <c r="IMI66" s="960">
        <f>MIN(IMI60-IMI62,'Sources and Uses Budget'!IMI108-SUM('15 Year Pro Forma'!IMG66:IMH66))</f>
        <v>0</v>
      </c>
      <c r="IMK66" s="960">
        <f>MIN(IMK60-IMK62,'Sources and Uses Budget'!IMK108-SUM('15 Year Pro Forma'!IMI66:IMJ66))</f>
        <v>0</v>
      </c>
      <c r="IMM66" s="960">
        <f>MIN(IMM60-IMM62,'Sources and Uses Budget'!IMM108-SUM('15 Year Pro Forma'!IMK66:IML66))</f>
        <v>0</v>
      </c>
      <c r="IMO66" s="960">
        <f>MIN(IMO60-IMO62,'Sources and Uses Budget'!IMO108-SUM('15 Year Pro Forma'!IMM66:IMN66))</f>
        <v>0</v>
      </c>
      <c r="IMQ66" s="960">
        <f>MIN(IMQ60-IMQ62,'Sources and Uses Budget'!IMQ108-SUM('15 Year Pro Forma'!IMO66:IMP66))</f>
        <v>0</v>
      </c>
      <c r="IMS66" s="960">
        <f>MIN(IMS60-IMS62,'Sources and Uses Budget'!IMS108-SUM('15 Year Pro Forma'!IMQ66:IMR66))</f>
        <v>0</v>
      </c>
      <c r="IMU66" s="960">
        <f>MIN(IMU60-IMU62,'Sources and Uses Budget'!IMU108-SUM('15 Year Pro Forma'!IMS66:IMT66))</f>
        <v>0</v>
      </c>
      <c r="IMW66" s="960">
        <f>MIN(IMW60-IMW62,'Sources and Uses Budget'!IMW108-SUM('15 Year Pro Forma'!IMU66:IMV66))</f>
        <v>0</v>
      </c>
      <c r="IMY66" s="960">
        <f>MIN(IMY60-IMY62,'Sources and Uses Budget'!IMY108-SUM('15 Year Pro Forma'!IMW66:IMX66))</f>
        <v>0</v>
      </c>
      <c r="INA66" s="960">
        <f>MIN(INA60-INA62,'Sources and Uses Budget'!INA108-SUM('15 Year Pro Forma'!IMY66:IMZ66))</f>
        <v>0</v>
      </c>
      <c r="INC66" s="960">
        <f>MIN(INC60-INC62,'Sources and Uses Budget'!INC108-SUM('15 Year Pro Forma'!INA66:INB66))</f>
        <v>0</v>
      </c>
      <c r="INE66" s="960">
        <f>MIN(INE60-INE62,'Sources and Uses Budget'!INE108-SUM('15 Year Pro Forma'!INC66:IND66))</f>
        <v>0</v>
      </c>
      <c r="ING66" s="960">
        <f>MIN(ING60-ING62,'Sources and Uses Budget'!ING108-SUM('15 Year Pro Forma'!INE66:INF66))</f>
        <v>0</v>
      </c>
      <c r="INI66" s="960">
        <f>MIN(INI60-INI62,'Sources and Uses Budget'!INI108-SUM('15 Year Pro Forma'!ING66:INH66))</f>
        <v>0</v>
      </c>
      <c r="INK66" s="960">
        <f>MIN(INK60-INK62,'Sources and Uses Budget'!INK108-SUM('15 Year Pro Forma'!INI66:INJ66))</f>
        <v>0</v>
      </c>
      <c r="INM66" s="960">
        <f>MIN(INM60-INM62,'Sources and Uses Budget'!INM108-SUM('15 Year Pro Forma'!INK66:INL66))</f>
        <v>0</v>
      </c>
      <c r="INO66" s="960">
        <f>MIN(INO60-INO62,'Sources and Uses Budget'!INO108-SUM('15 Year Pro Forma'!INM66:INN66))</f>
        <v>0</v>
      </c>
      <c r="INQ66" s="960">
        <f>MIN(INQ60-INQ62,'Sources and Uses Budget'!INQ108-SUM('15 Year Pro Forma'!INO66:INP66))</f>
        <v>0</v>
      </c>
      <c r="INS66" s="960">
        <f>MIN(INS60-INS62,'Sources and Uses Budget'!INS108-SUM('15 Year Pro Forma'!INQ66:INR66))</f>
        <v>0</v>
      </c>
      <c r="INU66" s="960">
        <f>MIN(INU60-INU62,'Sources and Uses Budget'!INU108-SUM('15 Year Pro Forma'!INS66:INT66))</f>
        <v>0</v>
      </c>
      <c r="INW66" s="960">
        <f>MIN(INW60-INW62,'Sources and Uses Budget'!INW108-SUM('15 Year Pro Forma'!INU66:INV66))</f>
        <v>0</v>
      </c>
      <c r="INY66" s="960">
        <f>MIN(INY60-INY62,'Sources and Uses Budget'!INY108-SUM('15 Year Pro Forma'!INW66:INX66))</f>
        <v>0</v>
      </c>
      <c r="IOA66" s="960">
        <f>MIN(IOA60-IOA62,'Sources and Uses Budget'!IOA108-SUM('15 Year Pro Forma'!INY66:INZ66))</f>
        <v>0</v>
      </c>
      <c r="IOC66" s="960">
        <f>MIN(IOC60-IOC62,'Sources and Uses Budget'!IOC108-SUM('15 Year Pro Forma'!IOA66:IOB66))</f>
        <v>0</v>
      </c>
      <c r="IOE66" s="960">
        <f>MIN(IOE60-IOE62,'Sources and Uses Budget'!IOE108-SUM('15 Year Pro Forma'!IOC66:IOD66))</f>
        <v>0</v>
      </c>
      <c r="IOG66" s="960">
        <f>MIN(IOG60-IOG62,'Sources and Uses Budget'!IOG108-SUM('15 Year Pro Forma'!IOE66:IOF66))</f>
        <v>0</v>
      </c>
      <c r="IOI66" s="960">
        <f>MIN(IOI60-IOI62,'Sources and Uses Budget'!IOI108-SUM('15 Year Pro Forma'!IOG66:IOH66))</f>
        <v>0</v>
      </c>
      <c r="IOK66" s="960">
        <f>MIN(IOK60-IOK62,'Sources and Uses Budget'!IOK108-SUM('15 Year Pro Forma'!IOI66:IOJ66))</f>
        <v>0</v>
      </c>
      <c r="IOM66" s="960">
        <f>MIN(IOM60-IOM62,'Sources and Uses Budget'!IOM108-SUM('15 Year Pro Forma'!IOK66:IOL66))</f>
        <v>0</v>
      </c>
      <c r="IOO66" s="960">
        <f>MIN(IOO60-IOO62,'Sources and Uses Budget'!IOO108-SUM('15 Year Pro Forma'!IOM66:ION66))</f>
        <v>0</v>
      </c>
      <c r="IOQ66" s="960">
        <f>MIN(IOQ60-IOQ62,'Sources and Uses Budget'!IOQ108-SUM('15 Year Pro Forma'!IOO66:IOP66))</f>
        <v>0</v>
      </c>
      <c r="IOS66" s="960">
        <f>MIN(IOS60-IOS62,'Sources and Uses Budget'!IOS108-SUM('15 Year Pro Forma'!IOQ66:IOR66))</f>
        <v>0</v>
      </c>
      <c r="IOU66" s="960">
        <f>MIN(IOU60-IOU62,'Sources and Uses Budget'!IOU108-SUM('15 Year Pro Forma'!IOS66:IOT66))</f>
        <v>0</v>
      </c>
      <c r="IOW66" s="960">
        <f>MIN(IOW60-IOW62,'Sources and Uses Budget'!IOW108-SUM('15 Year Pro Forma'!IOU66:IOV66))</f>
        <v>0</v>
      </c>
      <c r="IOY66" s="960">
        <f>MIN(IOY60-IOY62,'Sources and Uses Budget'!IOY108-SUM('15 Year Pro Forma'!IOW66:IOX66))</f>
        <v>0</v>
      </c>
      <c r="IPA66" s="960">
        <f>MIN(IPA60-IPA62,'Sources and Uses Budget'!IPA108-SUM('15 Year Pro Forma'!IOY66:IOZ66))</f>
        <v>0</v>
      </c>
      <c r="IPC66" s="960">
        <f>MIN(IPC60-IPC62,'Sources and Uses Budget'!IPC108-SUM('15 Year Pro Forma'!IPA66:IPB66))</f>
        <v>0</v>
      </c>
      <c r="IPE66" s="960">
        <f>MIN(IPE60-IPE62,'Sources and Uses Budget'!IPE108-SUM('15 Year Pro Forma'!IPC66:IPD66))</f>
        <v>0</v>
      </c>
      <c r="IPG66" s="960">
        <f>MIN(IPG60-IPG62,'Sources and Uses Budget'!IPG108-SUM('15 Year Pro Forma'!IPE66:IPF66))</f>
        <v>0</v>
      </c>
      <c r="IPI66" s="960">
        <f>MIN(IPI60-IPI62,'Sources and Uses Budget'!IPI108-SUM('15 Year Pro Forma'!IPG66:IPH66))</f>
        <v>0</v>
      </c>
      <c r="IPK66" s="960">
        <f>MIN(IPK60-IPK62,'Sources and Uses Budget'!IPK108-SUM('15 Year Pro Forma'!IPI66:IPJ66))</f>
        <v>0</v>
      </c>
      <c r="IPM66" s="960">
        <f>MIN(IPM60-IPM62,'Sources and Uses Budget'!IPM108-SUM('15 Year Pro Forma'!IPK66:IPL66))</f>
        <v>0</v>
      </c>
      <c r="IPO66" s="960">
        <f>MIN(IPO60-IPO62,'Sources and Uses Budget'!IPO108-SUM('15 Year Pro Forma'!IPM66:IPN66))</f>
        <v>0</v>
      </c>
      <c r="IPQ66" s="960">
        <f>MIN(IPQ60-IPQ62,'Sources and Uses Budget'!IPQ108-SUM('15 Year Pro Forma'!IPO66:IPP66))</f>
        <v>0</v>
      </c>
      <c r="IPS66" s="960">
        <f>MIN(IPS60-IPS62,'Sources and Uses Budget'!IPS108-SUM('15 Year Pro Forma'!IPQ66:IPR66))</f>
        <v>0</v>
      </c>
      <c r="IPU66" s="960">
        <f>MIN(IPU60-IPU62,'Sources and Uses Budget'!IPU108-SUM('15 Year Pro Forma'!IPS66:IPT66))</f>
        <v>0</v>
      </c>
      <c r="IPW66" s="960">
        <f>MIN(IPW60-IPW62,'Sources and Uses Budget'!IPW108-SUM('15 Year Pro Forma'!IPU66:IPV66))</f>
        <v>0</v>
      </c>
      <c r="IPY66" s="960">
        <f>MIN(IPY60-IPY62,'Sources and Uses Budget'!IPY108-SUM('15 Year Pro Forma'!IPW66:IPX66))</f>
        <v>0</v>
      </c>
      <c r="IQA66" s="960">
        <f>MIN(IQA60-IQA62,'Sources and Uses Budget'!IQA108-SUM('15 Year Pro Forma'!IPY66:IPZ66))</f>
        <v>0</v>
      </c>
      <c r="IQC66" s="960">
        <f>MIN(IQC60-IQC62,'Sources and Uses Budget'!IQC108-SUM('15 Year Pro Forma'!IQA66:IQB66))</f>
        <v>0</v>
      </c>
      <c r="IQE66" s="960">
        <f>MIN(IQE60-IQE62,'Sources and Uses Budget'!IQE108-SUM('15 Year Pro Forma'!IQC66:IQD66))</f>
        <v>0</v>
      </c>
      <c r="IQG66" s="960">
        <f>MIN(IQG60-IQG62,'Sources and Uses Budget'!IQG108-SUM('15 Year Pro Forma'!IQE66:IQF66))</f>
        <v>0</v>
      </c>
      <c r="IQI66" s="960">
        <f>MIN(IQI60-IQI62,'Sources and Uses Budget'!IQI108-SUM('15 Year Pro Forma'!IQG66:IQH66))</f>
        <v>0</v>
      </c>
      <c r="IQK66" s="960">
        <f>MIN(IQK60-IQK62,'Sources and Uses Budget'!IQK108-SUM('15 Year Pro Forma'!IQI66:IQJ66))</f>
        <v>0</v>
      </c>
      <c r="IQM66" s="960">
        <f>MIN(IQM60-IQM62,'Sources and Uses Budget'!IQM108-SUM('15 Year Pro Forma'!IQK66:IQL66))</f>
        <v>0</v>
      </c>
      <c r="IQO66" s="960">
        <f>MIN(IQO60-IQO62,'Sources and Uses Budget'!IQO108-SUM('15 Year Pro Forma'!IQM66:IQN66))</f>
        <v>0</v>
      </c>
      <c r="IQQ66" s="960">
        <f>MIN(IQQ60-IQQ62,'Sources and Uses Budget'!IQQ108-SUM('15 Year Pro Forma'!IQO66:IQP66))</f>
        <v>0</v>
      </c>
      <c r="IQS66" s="960">
        <f>MIN(IQS60-IQS62,'Sources and Uses Budget'!IQS108-SUM('15 Year Pro Forma'!IQQ66:IQR66))</f>
        <v>0</v>
      </c>
      <c r="IQU66" s="960">
        <f>MIN(IQU60-IQU62,'Sources and Uses Budget'!IQU108-SUM('15 Year Pro Forma'!IQS66:IQT66))</f>
        <v>0</v>
      </c>
      <c r="IQW66" s="960">
        <f>MIN(IQW60-IQW62,'Sources and Uses Budget'!IQW108-SUM('15 Year Pro Forma'!IQU66:IQV66))</f>
        <v>0</v>
      </c>
      <c r="IQY66" s="960">
        <f>MIN(IQY60-IQY62,'Sources and Uses Budget'!IQY108-SUM('15 Year Pro Forma'!IQW66:IQX66))</f>
        <v>0</v>
      </c>
      <c r="IRA66" s="960">
        <f>MIN(IRA60-IRA62,'Sources and Uses Budget'!IRA108-SUM('15 Year Pro Forma'!IQY66:IQZ66))</f>
        <v>0</v>
      </c>
      <c r="IRC66" s="960">
        <f>MIN(IRC60-IRC62,'Sources and Uses Budget'!IRC108-SUM('15 Year Pro Forma'!IRA66:IRB66))</f>
        <v>0</v>
      </c>
      <c r="IRE66" s="960">
        <f>MIN(IRE60-IRE62,'Sources and Uses Budget'!IRE108-SUM('15 Year Pro Forma'!IRC66:IRD66))</f>
        <v>0</v>
      </c>
      <c r="IRG66" s="960">
        <f>MIN(IRG60-IRG62,'Sources and Uses Budget'!IRG108-SUM('15 Year Pro Forma'!IRE66:IRF66))</f>
        <v>0</v>
      </c>
      <c r="IRI66" s="960">
        <f>MIN(IRI60-IRI62,'Sources and Uses Budget'!IRI108-SUM('15 Year Pro Forma'!IRG66:IRH66))</f>
        <v>0</v>
      </c>
      <c r="IRK66" s="960">
        <f>MIN(IRK60-IRK62,'Sources and Uses Budget'!IRK108-SUM('15 Year Pro Forma'!IRI66:IRJ66))</f>
        <v>0</v>
      </c>
      <c r="IRM66" s="960">
        <f>MIN(IRM60-IRM62,'Sources and Uses Budget'!IRM108-SUM('15 Year Pro Forma'!IRK66:IRL66))</f>
        <v>0</v>
      </c>
      <c r="IRO66" s="960">
        <f>MIN(IRO60-IRO62,'Sources and Uses Budget'!IRO108-SUM('15 Year Pro Forma'!IRM66:IRN66))</f>
        <v>0</v>
      </c>
      <c r="IRQ66" s="960">
        <f>MIN(IRQ60-IRQ62,'Sources and Uses Budget'!IRQ108-SUM('15 Year Pro Forma'!IRO66:IRP66))</f>
        <v>0</v>
      </c>
      <c r="IRS66" s="960">
        <f>MIN(IRS60-IRS62,'Sources and Uses Budget'!IRS108-SUM('15 Year Pro Forma'!IRQ66:IRR66))</f>
        <v>0</v>
      </c>
      <c r="IRU66" s="960">
        <f>MIN(IRU60-IRU62,'Sources and Uses Budget'!IRU108-SUM('15 Year Pro Forma'!IRS66:IRT66))</f>
        <v>0</v>
      </c>
      <c r="IRW66" s="960">
        <f>MIN(IRW60-IRW62,'Sources and Uses Budget'!IRW108-SUM('15 Year Pro Forma'!IRU66:IRV66))</f>
        <v>0</v>
      </c>
      <c r="IRY66" s="960">
        <f>MIN(IRY60-IRY62,'Sources and Uses Budget'!IRY108-SUM('15 Year Pro Forma'!IRW66:IRX66))</f>
        <v>0</v>
      </c>
      <c r="ISA66" s="960">
        <f>MIN(ISA60-ISA62,'Sources and Uses Budget'!ISA108-SUM('15 Year Pro Forma'!IRY66:IRZ66))</f>
        <v>0</v>
      </c>
      <c r="ISC66" s="960">
        <f>MIN(ISC60-ISC62,'Sources and Uses Budget'!ISC108-SUM('15 Year Pro Forma'!ISA66:ISB66))</f>
        <v>0</v>
      </c>
      <c r="ISE66" s="960">
        <f>MIN(ISE60-ISE62,'Sources and Uses Budget'!ISE108-SUM('15 Year Pro Forma'!ISC66:ISD66))</f>
        <v>0</v>
      </c>
      <c r="ISG66" s="960">
        <f>MIN(ISG60-ISG62,'Sources and Uses Budget'!ISG108-SUM('15 Year Pro Forma'!ISE66:ISF66))</f>
        <v>0</v>
      </c>
      <c r="ISI66" s="960">
        <f>MIN(ISI60-ISI62,'Sources and Uses Budget'!ISI108-SUM('15 Year Pro Forma'!ISG66:ISH66))</f>
        <v>0</v>
      </c>
      <c r="ISK66" s="960">
        <f>MIN(ISK60-ISK62,'Sources and Uses Budget'!ISK108-SUM('15 Year Pro Forma'!ISI66:ISJ66))</f>
        <v>0</v>
      </c>
      <c r="ISM66" s="960">
        <f>MIN(ISM60-ISM62,'Sources and Uses Budget'!ISM108-SUM('15 Year Pro Forma'!ISK66:ISL66))</f>
        <v>0</v>
      </c>
      <c r="ISO66" s="960">
        <f>MIN(ISO60-ISO62,'Sources and Uses Budget'!ISO108-SUM('15 Year Pro Forma'!ISM66:ISN66))</f>
        <v>0</v>
      </c>
      <c r="ISQ66" s="960">
        <f>MIN(ISQ60-ISQ62,'Sources and Uses Budget'!ISQ108-SUM('15 Year Pro Forma'!ISO66:ISP66))</f>
        <v>0</v>
      </c>
      <c r="ISS66" s="960">
        <f>MIN(ISS60-ISS62,'Sources and Uses Budget'!ISS108-SUM('15 Year Pro Forma'!ISQ66:ISR66))</f>
        <v>0</v>
      </c>
      <c r="ISU66" s="960">
        <f>MIN(ISU60-ISU62,'Sources and Uses Budget'!ISU108-SUM('15 Year Pro Forma'!ISS66:IST66))</f>
        <v>0</v>
      </c>
      <c r="ISW66" s="960">
        <f>MIN(ISW60-ISW62,'Sources and Uses Budget'!ISW108-SUM('15 Year Pro Forma'!ISU66:ISV66))</f>
        <v>0</v>
      </c>
      <c r="ISY66" s="960">
        <f>MIN(ISY60-ISY62,'Sources and Uses Budget'!ISY108-SUM('15 Year Pro Forma'!ISW66:ISX66))</f>
        <v>0</v>
      </c>
      <c r="ITA66" s="960">
        <f>MIN(ITA60-ITA62,'Sources and Uses Budget'!ITA108-SUM('15 Year Pro Forma'!ISY66:ISZ66))</f>
        <v>0</v>
      </c>
      <c r="ITC66" s="960">
        <f>MIN(ITC60-ITC62,'Sources and Uses Budget'!ITC108-SUM('15 Year Pro Forma'!ITA66:ITB66))</f>
        <v>0</v>
      </c>
      <c r="ITE66" s="960">
        <f>MIN(ITE60-ITE62,'Sources and Uses Budget'!ITE108-SUM('15 Year Pro Forma'!ITC66:ITD66))</f>
        <v>0</v>
      </c>
      <c r="ITG66" s="960">
        <f>MIN(ITG60-ITG62,'Sources and Uses Budget'!ITG108-SUM('15 Year Pro Forma'!ITE66:ITF66))</f>
        <v>0</v>
      </c>
      <c r="ITI66" s="960">
        <f>MIN(ITI60-ITI62,'Sources and Uses Budget'!ITI108-SUM('15 Year Pro Forma'!ITG66:ITH66))</f>
        <v>0</v>
      </c>
      <c r="ITK66" s="960">
        <f>MIN(ITK60-ITK62,'Sources and Uses Budget'!ITK108-SUM('15 Year Pro Forma'!ITI66:ITJ66))</f>
        <v>0</v>
      </c>
      <c r="ITM66" s="960">
        <f>MIN(ITM60-ITM62,'Sources and Uses Budget'!ITM108-SUM('15 Year Pro Forma'!ITK66:ITL66))</f>
        <v>0</v>
      </c>
      <c r="ITO66" s="960">
        <f>MIN(ITO60-ITO62,'Sources and Uses Budget'!ITO108-SUM('15 Year Pro Forma'!ITM66:ITN66))</f>
        <v>0</v>
      </c>
      <c r="ITQ66" s="960">
        <f>MIN(ITQ60-ITQ62,'Sources and Uses Budget'!ITQ108-SUM('15 Year Pro Forma'!ITO66:ITP66))</f>
        <v>0</v>
      </c>
      <c r="ITS66" s="960">
        <f>MIN(ITS60-ITS62,'Sources and Uses Budget'!ITS108-SUM('15 Year Pro Forma'!ITQ66:ITR66))</f>
        <v>0</v>
      </c>
      <c r="ITU66" s="960">
        <f>MIN(ITU60-ITU62,'Sources and Uses Budget'!ITU108-SUM('15 Year Pro Forma'!ITS66:ITT66))</f>
        <v>0</v>
      </c>
      <c r="ITW66" s="960">
        <f>MIN(ITW60-ITW62,'Sources and Uses Budget'!ITW108-SUM('15 Year Pro Forma'!ITU66:ITV66))</f>
        <v>0</v>
      </c>
      <c r="ITY66" s="960">
        <f>MIN(ITY60-ITY62,'Sources and Uses Budget'!ITY108-SUM('15 Year Pro Forma'!ITW66:ITX66))</f>
        <v>0</v>
      </c>
      <c r="IUA66" s="960">
        <f>MIN(IUA60-IUA62,'Sources and Uses Budget'!IUA108-SUM('15 Year Pro Forma'!ITY66:ITZ66))</f>
        <v>0</v>
      </c>
      <c r="IUC66" s="960">
        <f>MIN(IUC60-IUC62,'Sources and Uses Budget'!IUC108-SUM('15 Year Pro Forma'!IUA66:IUB66))</f>
        <v>0</v>
      </c>
      <c r="IUE66" s="960">
        <f>MIN(IUE60-IUE62,'Sources and Uses Budget'!IUE108-SUM('15 Year Pro Forma'!IUC66:IUD66))</f>
        <v>0</v>
      </c>
      <c r="IUG66" s="960">
        <f>MIN(IUG60-IUG62,'Sources and Uses Budget'!IUG108-SUM('15 Year Pro Forma'!IUE66:IUF66))</f>
        <v>0</v>
      </c>
      <c r="IUI66" s="960">
        <f>MIN(IUI60-IUI62,'Sources and Uses Budget'!IUI108-SUM('15 Year Pro Forma'!IUG66:IUH66))</f>
        <v>0</v>
      </c>
      <c r="IUK66" s="960">
        <f>MIN(IUK60-IUK62,'Sources and Uses Budget'!IUK108-SUM('15 Year Pro Forma'!IUI66:IUJ66))</f>
        <v>0</v>
      </c>
      <c r="IUM66" s="960">
        <f>MIN(IUM60-IUM62,'Sources and Uses Budget'!IUM108-SUM('15 Year Pro Forma'!IUK66:IUL66))</f>
        <v>0</v>
      </c>
      <c r="IUO66" s="960">
        <f>MIN(IUO60-IUO62,'Sources and Uses Budget'!IUO108-SUM('15 Year Pro Forma'!IUM66:IUN66))</f>
        <v>0</v>
      </c>
      <c r="IUQ66" s="960">
        <f>MIN(IUQ60-IUQ62,'Sources and Uses Budget'!IUQ108-SUM('15 Year Pro Forma'!IUO66:IUP66))</f>
        <v>0</v>
      </c>
      <c r="IUS66" s="960">
        <f>MIN(IUS60-IUS62,'Sources and Uses Budget'!IUS108-SUM('15 Year Pro Forma'!IUQ66:IUR66))</f>
        <v>0</v>
      </c>
      <c r="IUU66" s="960">
        <f>MIN(IUU60-IUU62,'Sources and Uses Budget'!IUU108-SUM('15 Year Pro Forma'!IUS66:IUT66))</f>
        <v>0</v>
      </c>
      <c r="IUW66" s="960">
        <f>MIN(IUW60-IUW62,'Sources and Uses Budget'!IUW108-SUM('15 Year Pro Forma'!IUU66:IUV66))</f>
        <v>0</v>
      </c>
      <c r="IUY66" s="960">
        <f>MIN(IUY60-IUY62,'Sources and Uses Budget'!IUY108-SUM('15 Year Pro Forma'!IUW66:IUX66))</f>
        <v>0</v>
      </c>
      <c r="IVA66" s="960">
        <f>MIN(IVA60-IVA62,'Sources and Uses Budget'!IVA108-SUM('15 Year Pro Forma'!IUY66:IUZ66))</f>
        <v>0</v>
      </c>
      <c r="IVC66" s="960">
        <f>MIN(IVC60-IVC62,'Sources and Uses Budget'!IVC108-SUM('15 Year Pro Forma'!IVA66:IVB66))</f>
        <v>0</v>
      </c>
      <c r="IVE66" s="960">
        <f>MIN(IVE60-IVE62,'Sources and Uses Budget'!IVE108-SUM('15 Year Pro Forma'!IVC66:IVD66))</f>
        <v>0</v>
      </c>
      <c r="IVG66" s="960">
        <f>MIN(IVG60-IVG62,'Sources and Uses Budget'!IVG108-SUM('15 Year Pro Forma'!IVE66:IVF66))</f>
        <v>0</v>
      </c>
      <c r="IVI66" s="960">
        <f>MIN(IVI60-IVI62,'Sources and Uses Budget'!IVI108-SUM('15 Year Pro Forma'!IVG66:IVH66))</f>
        <v>0</v>
      </c>
      <c r="IVK66" s="960">
        <f>MIN(IVK60-IVK62,'Sources and Uses Budget'!IVK108-SUM('15 Year Pro Forma'!IVI66:IVJ66))</f>
        <v>0</v>
      </c>
      <c r="IVM66" s="960">
        <f>MIN(IVM60-IVM62,'Sources and Uses Budget'!IVM108-SUM('15 Year Pro Forma'!IVK66:IVL66))</f>
        <v>0</v>
      </c>
      <c r="IVO66" s="960">
        <f>MIN(IVO60-IVO62,'Sources and Uses Budget'!IVO108-SUM('15 Year Pro Forma'!IVM66:IVN66))</f>
        <v>0</v>
      </c>
      <c r="IVQ66" s="960">
        <f>MIN(IVQ60-IVQ62,'Sources and Uses Budget'!IVQ108-SUM('15 Year Pro Forma'!IVO66:IVP66))</f>
        <v>0</v>
      </c>
      <c r="IVS66" s="960">
        <f>MIN(IVS60-IVS62,'Sources and Uses Budget'!IVS108-SUM('15 Year Pro Forma'!IVQ66:IVR66))</f>
        <v>0</v>
      </c>
      <c r="IVU66" s="960">
        <f>MIN(IVU60-IVU62,'Sources and Uses Budget'!IVU108-SUM('15 Year Pro Forma'!IVS66:IVT66))</f>
        <v>0</v>
      </c>
      <c r="IVW66" s="960">
        <f>MIN(IVW60-IVW62,'Sources and Uses Budget'!IVW108-SUM('15 Year Pro Forma'!IVU66:IVV66))</f>
        <v>0</v>
      </c>
      <c r="IVY66" s="960">
        <f>MIN(IVY60-IVY62,'Sources and Uses Budget'!IVY108-SUM('15 Year Pro Forma'!IVW66:IVX66))</f>
        <v>0</v>
      </c>
      <c r="IWA66" s="960">
        <f>MIN(IWA60-IWA62,'Sources and Uses Budget'!IWA108-SUM('15 Year Pro Forma'!IVY66:IVZ66))</f>
        <v>0</v>
      </c>
      <c r="IWC66" s="960">
        <f>MIN(IWC60-IWC62,'Sources and Uses Budget'!IWC108-SUM('15 Year Pro Forma'!IWA66:IWB66))</f>
        <v>0</v>
      </c>
      <c r="IWE66" s="960">
        <f>MIN(IWE60-IWE62,'Sources and Uses Budget'!IWE108-SUM('15 Year Pro Forma'!IWC66:IWD66))</f>
        <v>0</v>
      </c>
      <c r="IWG66" s="960">
        <f>MIN(IWG60-IWG62,'Sources and Uses Budget'!IWG108-SUM('15 Year Pro Forma'!IWE66:IWF66))</f>
        <v>0</v>
      </c>
      <c r="IWI66" s="960">
        <f>MIN(IWI60-IWI62,'Sources and Uses Budget'!IWI108-SUM('15 Year Pro Forma'!IWG66:IWH66))</f>
        <v>0</v>
      </c>
      <c r="IWK66" s="960">
        <f>MIN(IWK60-IWK62,'Sources and Uses Budget'!IWK108-SUM('15 Year Pro Forma'!IWI66:IWJ66))</f>
        <v>0</v>
      </c>
      <c r="IWM66" s="960">
        <f>MIN(IWM60-IWM62,'Sources and Uses Budget'!IWM108-SUM('15 Year Pro Forma'!IWK66:IWL66))</f>
        <v>0</v>
      </c>
      <c r="IWO66" s="960">
        <f>MIN(IWO60-IWO62,'Sources and Uses Budget'!IWO108-SUM('15 Year Pro Forma'!IWM66:IWN66))</f>
        <v>0</v>
      </c>
      <c r="IWQ66" s="960">
        <f>MIN(IWQ60-IWQ62,'Sources and Uses Budget'!IWQ108-SUM('15 Year Pro Forma'!IWO66:IWP66))</f>
        <v>0</v>
      </c>
      <c r="IWS66" s="960">
        <f>MIN(IWS60-IWS62,'Sources and Uses Budget'!IWS108-SUM('15 Year Pro Forma'!IWQ66:IWR66))</f>
        <v>0</v>
      </c>
      <c r="IWU66" s="960">
        <f>MIN(IWU60-IWU62,'Sources and Uses Budget'!IWU108-SUM('15 Year Pro Forma'!IWS66:IWT66))</f>
        <v>0</v>
      </c>
      <c r="IWW66" s="960">
        <f>MIN(IWW60-IWW62,'Sources and Uses Budget'!IWW108-SUM('15 Year Pro Forma'!IWU66:IWV66))</f>
        <v>0</v>
      </c>
      <c r="IWY66" s="960">
        <f>MIN(IWY60-IWY62,'Sources and Uses Budget'!IWY108-SUM('15 Year Pro Forma'!IWW66:IWX66))</f>
        <v>0</v>
      </c>
      <c r="IXA66" s="960">
        <f>MIN(IXA60-IXA62,'Sources and Uses Budget'!IXA108-SUM('15 Year Pro Forma'!IWY66:IWZ66))</f>
        <v>0</v>
      </c>
      <c r="IXC66" s="960">
        <f>MIN(IXC60-IXC62,'Sources and Uses Budget'!IXC108-SUM('15 Year Pro Forma'!IXA66:IXB66))</f>
        <v>0</v>
      </c>
      <c r="IXE66" s="960">
        <f>MIN(IXE60-IXE62,'Sources and Uses Budget'!IXE108-SUM('15 Year Pro Forma'!IXC66:IXD66))</f>
        <v>0</v>
      </c>
      <c r="IXG66" s="960">
        <f>MIN(IXG60-IXG62,'Sources and Uses Budget'!IXG108-SUM('15 Year Pro Forma'!IXE66:IXF66))</f>
        <v>0</v>
      </c>
      <c r="IXI66" s="960">
        <f>MIN(IXI60-IXI62,'Sources and Uses Budget'!IXI108-SUM('15 Year Pro Forma'!IXG66:IXH66))</f>
        <v>0</v>
      </c>
      <c r="IXK66" s="960">
        <f>MIN(IXK60-IXK62,'Sources and Uses Budget'!IXK108-SUM('15 Year Pro Forma'!IXI66:IXJ66))</f>
        <v>0</v>
      </c>
      <c r="IXM66" s="960">
        <f>MIN(IXM60-IXM62,'Sources and Uses Budget'!IXM108-SUM('15 Year Pro Forma'!IXK66:IXL66))</f>
        <v>0</v>
      </c>
      <c r="IXO66" s="960">
        <f>MIN(IXO60-IXO62,'Sources and Uses Budget'!IXO108-SUM('15 Year Pro Forma'!IXM66:IXN66))</f>
        <v>0</v>
      </c>
      <c r="IXQ66" s="960">
        <f>MIN(IXQ60-IXQ62,'Sources and Uses Budget'!IXQ108-SUM('15 Year Pro Forma'!IXO66:IXP66))</f>
        <v>0</v>
      </c>
      <c r="IXS66" s="960">
        <f>MIN(IXS60-IXS62,'Sources and Uses Budget'!IXS108-SUM('15 Year Pro Forma'!IXQ66:IXR66))</f>
        <v>0</v>
      </c>
      <c r="IXU66" s="960">
        <f>MIN(IXU60-IXU62,'Sources and Uses Budget'!IXU108-SUM('15 Year Pro Forma'!IXS66:IXT66))</f>
        <v>0</v>
      </c>
      <c r="IXW66" s="960">
        <f>MIN(IXW60-IXW62,'Sources and Uses Budget'!IXW108-SUM('15 Year Pro Forma'!IXU66:IXV66))</f>
        <v>0</v>
      </c>
      <c r="IXY66" s="960">
        <f>MIN(IXY60-IXY62,'Sources and Uses Budget'!IXY108-SUM('15 Year Pro Forma'!IXW66:IXX66))</f>
        <v>0</v>
      </c>
      <c r="IYA66" s="960">
        <f>MIN(IYA60-IYA62,'Sources and Uses Budget'!IYA108-SUM('15 Year Pro Forma'!IXY66:IXZ66))</f>
        <v>0</v>
      </c>
      <c r="IYC66" s="960">
        <f>MIN(IYC60-IYC62,'Sources and Uses Budget'!IYC108-SUM('15 Year Pro Forma'!IYA66:IYB66))</f>
        <v>0</v>
      </c>
      <c r="IYE66" s="960">
        <f>MIN(IYE60-IYE62,'Sources and Uses Budget'!IYE108-SUM('15 Year Pro Forma'!IYC66:IYD66))</f>
        <v>0</v>
      </c>
      <c r="IYG66" s="960">
        <f>MIN(IYG60-IYG62,'Sources and Uses Budget'!IYG108-SUM('15 Year Pro Forma'!IYE66:IYF66))</f>
        <v>0</v>
      </c>
      <c r="IYI66" s="960">
        <f>MIN(IYI60-IYI62,'Sources and Uses Budget'!IYI108-SUM('15 Year Pro Forma'!IYG66:IYH66))</f>
        <v>0</v>
      </c>
      <c r="IYK66" s="960">
        <f>MIN(IYK60-IYK62,'Sources and Uses Budget'!IYK108-SUM('15 Year Pro Forma'!IYI66:IYJ66))</f>
        <v>0</v>
      </c>
      <c r="IYM66" s="960">
        <f>MIN(IYM60-IYM62,'Sources and Uses Budget'!IYM108-SUM('15 Year Pro Forma'!IYK66:IYL66))</f>
        <v>0</v>
      </c>
      <c r="IYO66" s="960">
        <f>MIN(IYO60-IYO62,'Sources and Uses Budget'!IYO108-SUM('15 Year Pro Forma'!IYM66:IYN66))</f>
        <v>0</v>
      </c>
      <c r="IYQ66" s="960">
        <f>MIN(IYQ60-IYQ62,'Sources and Uses Budget'!IYQ108-SUM('15 Year Pro Forma'!IYO66:IYP66))</f>
        <v>0</v>
      </c>
      <c r="IYS66" s="960">
        <f>MIN(IYS60-IYS62,'Sources and Uses Budget'!IYS108-SUM('15 Year Pro Forma'!IYQ66:IYR66))</f>
        <v>0</v>
      </c>
      <c r="IYU66" s="960">
        <f>MIN(IYU60-IYU62,'Sources and Uses Budget'!IYU108-SUM('15 Year Pro Forma'!IYS66:IYT66))</f>
        <v>0</v>
      </c>
      <c r="IYW66" s="960">
        <f>MIN(IYW60-IYW62,'Sources and Uses Budget'!IYW108-SUM('15 Year Pro Forma'!IYU66:IYV66))</f>
        <v>0</v>
      </c>
      <c r="IYY66" s="960">
        <f>MIN(IYY60-IYY62,'Sources and Uses Budget'!IYY108-SUM('15 Year Pro Forma'!IYW66:IYX66))</f>
        <v>0</v>
      </c>
      <c r="IZA66" s="960">
        <f>MIN(IZA60-IZA62,'Sources and Uses Budget'!IZA108-SUM('15 Year Pro Forma'!IYY66:IYZ66))</f>
        <v>0</v>
      </c>
      <c r="IZC66" s="960">
        <f>MIN(IZC60-IZC62,'Sources and Uses Budget'!IZC108-SUM('15 Year Pro Forma'!IZA66:IZB66))</f>
        <v>0</v>
      </c>
      <c r="IZE66" s="960">
        <f>MIN(IZE60-IZE62,'Sources and Uses Budget'!IZE108-SUM('15 Year Pro Forma'!IZC66:IZD66))</f>
        <v>0</v>
      </c>
      <c r="IZG66" s="960">
        <f>MIN(IZG60-IZG62,'Sources and Uses Budget'!IZG108-SUM('15 Year Pro Forma'!IZE66:IZF66))</f>
        <v>0</v>
      </c>
      <c r="IZI66" s="960">
        <f>MIN(IZI60-IZI62,'Sources and Uses Budget'!IZI108-SUM('15 Year Pro Forma'!IZG66:IZH66))</f>
        <v>0</v>
      </c>
      <c r="IZK66" s="960">
        <f>MIN(IZK60-IZK62,'Sources and Uses Budget'!IZK108-SUM('15 Year Pro Forma'!IZI66:IZJ66))</f>
        <v>0</v>
      </c>
      <c r="IZM66" s="960">
        <f>MIN(IZM60-IZM62,'Sources and Uses Budget'!IZM108-SUM('15 Year Pro Forma'!IZK66:IZL66))</f>
        <v>0</v>
      </c>
      <c r="IZO66" s="960">
        <f>MIN(IZO60-IZO62,'Sources and Uses Budget'!IZO108-SUM('15 Year Pro Forma'!IZM66:IZN66))</f>
        <v>0</v>
      </c>
      <c r="IZQ66" s="960">
        <f>MIN(IZQ60-IZQ62,'Sources and Uses Budget'!IZQ108-SUM('15 Year Pro Forma'!IZO66:IZP66))</f>
        <v>0</v>
      </c>
      <c r="IZS66" s="960">
        <f>MIN(IZS60-IZS62,'Sources and Uses Budget'!IZS108-SUM('15 Year Pro Forma'!IZQ66:IZR66))</f>
        <v>0</v>
      </c>
      <c r="IZU66" s="960">
        <f>MIN(IZU60-IZU62,'Sources and Uses Budget'!IZU108-SUM('15 Year Pro Forma'!IZS66:IZT66))</f>
        <v>0</v>
      </c>
      <c r="IZW66" s="960">
        <f>MIN(IZW60-IZW62,'Sources and Uses Budget'!IZW108-SUM('15 Year Pro Forma'!IZU66:IZV66))</f>
        <v>0</v>
      </c>
      <c r="IZY66" s="960">
        <f>MIN(IZY60-IZY62,'Sources and Uses Budget'!IZY108-SUM('15 Year Pro Forma'!IZW66:IZX66))</f>
        <v>0</v>
      </c>
      <c r="JAA66" s="960">
        <f>MIN(JAA60-JAA62,'Sources and Uses Budget'!JAA108-SUM('15 Year Pro Forma'!IZY66:IZZ66))</f>
        <v>0</v>
      </c>
      <c r="JAC66" s="960">
        <f>MIN(JAC60-JAC62,'Sources and Uses Budget'!JAC108-SUM('15 Year Pro Forma'!JAA66:JAB66))</f>
        <v>0</v>
      </c>
      <c r="JAE66" s="960">
        <f>MIN(JAE60-JAE62,'Sources and Uses Budget'!JAE108-SUM('15 Year Pro Forma'!JAC66:JAD66))</f>
        <v>0</v>
      </c>
      <c r="JAG66" s="960">
        <f>MIN(JAG60-JAG62,'Sources and Uses Budget'!JAG108-SUM('15 Year Pro Forma'!JAE66:JAF66))</f>
        <v>0</v>
      </c>
      <c r="JAI66" s="960">
        <f>MIN(JAI60-JAI62,'Sources and Uses Budget'!JAI108-SUM('15 Year Pro Forma'!JAG66:JAH66))</f>
        <v>0</v>
      </c>
      <c r="JAK66" s="960">
        <f>MIN(JAK60-JAK62,'Sources and Uses Budget'!JAK108-SUM('15 Year Pro Forma'!JAI66:JAJ66))</f>
        <v>0</v>
      </c>
      <c r="JAM66" s="960">
        <f>MIN(JAM60-JAM62,'Sources and Uses Budget'!JAM108-SUM('15 Year Pro Forma'!JAK66:JAL66))</f>
        <v>0</v>
      </c>
      <c r="JAO66" s="960">
        <f>MIN(JAO60-JAO62,'Sources and Uses Budget'!JAO108-SUM('15 Year Pro Forma'!JAM66:JAN66))</f>
        <v>0</v>
      </c>
      <c r="JAQ66" s="960">
        <f>MIN(JAQ60-JAQ62,'Sources and Uses Budget'!JAQ108-SUM('15 Year Pro Forma'!JAO66:JAP66))</f>
        <v>0</v>
      </c>
      <c r="JAS66" s="960">
        <f>MIN(JAS60-JAS62,'Sources and Uses Budget'!JAS108-SUM('15 Year Pro Forma'!JAQ66:JAR66))</f>
        <v>0</v>
      </c>
      <c r="JAU66" s="960">
        <f>MIN(JAU60-JAU62,'Sources and Uses Budget'!JAU108-SUM('15 Year Pro Forma'!JAS66:JAT66))</f>
        <v>0</v>
      </c>
      <c r="JAW66" s="960">
        <f>MIN(JAW60-JAW62,'Sources and Uses Budget'!JAW108-SUM('15 Year Pro Forma'!JAU66:JAV66))</f>
        <v>0</v>
      </c>
      <c r="JAY66" s="960">
        <f>MIN(JAY60-JAY62,'Sources and Uses Budget'!JAY108-SUM('15 Year Pro Forma'!JAW66:JAX66))</f>
        <v>0</v>
      </c>
      <c r="JBA66" s="960">
        <f>MIN(JBA60-JBA62,'Sources and Uses Budget'!JBA108-SUM('15 Year Pro Forma'!JAY66:JAZ66))</f>
        <v>0</v>
      </c>
      <c r="JBC66" s="960">
        <f>MIN(JBC60-JBC62,'Sources and Uses Budget'!JBC108-SUM('15 Year Pro Forma'!JBA66:JBB66))</f>
        <v>0</v>
      </c>
      <c r="JBE66" s="960">
        <f>MIN(JBE60-JBE62,'Sources and Uses Budget'!JBE108-SUM('15 Year Pro Forma'!JBC66:JBD66))</f>
        <v>0</v>
      </c>
      <c r="JBG66" s="960">
        <f>MIN(JBG60-JBG62,'Sources and Uses Budget'!JBG108-SUM('15 Year Pro Forma'!JBE66:JBF66))</f>
        <v>0</v>
      </c>
      <c r="JBI66" s="960">
        <f>MIN(JBI60-JBI62,'Sources and Uses Budget'!JBI108-SUM('15 Year Pro Forma'!JBG66:JBH66))</f>
        <v>0</v>
      </c>
      <c r="JBK66" s="960">
        <f>MIN(JBK60-JBK62,'Sources and Uses Budget'!JBK108-SUM('15 Year Pro Forma'!JBI66:JBJ66))</f>
        <v>0</v>
      </c>
      <c r="JBM66" s="960">
        <f>MIN(JBM60-JBM62,'Sources and Uses Budget'!JBM108-SUM('15 Year Pro Forma'!JBK66:JBL66))</f>
        <v>0</v>
      </c>
      <c r="JBO66" s="960">
        <f>MIN(JBO60-JBO62,'Sources and Uses Budget'!JBO108-SUM('15 Year Pro Forma'!JBM66:JBN66))</f>
        <v>0</v>
      </c>
      <c r="JBQ66" s="960">
        <f>MIN(JBQ60-JBQ62,'Sources and Uses Budget'!JBQ108-SUM('15 Year Pro Forma'!JBO66:JBP66))</f>
        <v>0</v>
      </c>
      <c r="JBS66" s="960">
        <f>MIN(JBS60-JBS62,'Sources and Uses Budget'!JBS108-SUM('15 Year Pro Forma'!JBQ66:JBR66))</f>
        <v>0</v>
      </c>
      <c r="JBU66" s="960">
        <f>MIN(JBU60-JBU62,'Sources and Uses Budget'!JBU108-SUM('15 Year Pro Forma'!JBS66:JBT66))</f>
        <v>0</v>
      </c>
      <c r="JBW66" s="960">
        <f>MIN(JBW60-JBW62,'Sources and Uses Budget'!JBW108-SUM('15 Year Pro Forma'!JBU66:JBV66))</f>
        <v>0</v>
      </c>
      <c r="JBY66" s="960">
        <f>MIN(JBY60-JBY62,'Sources and Uses Budget'!JBY108-SUM('15 Year Pro Forma'!JBW66:JBX66))</f>
        <v>0</v>
      </c>
      <c r="JCA66" s="960">
        <f>MIN(JCA60-JCA62,'Sources and Uses Budget'!JCA108-SUM('15 Year Pro Forma'!JBY66:JBZ66))</f>
        <v>0</v>
      </c>
      <c r="JCC66" s="960">
        <f>MIN(JCC60-JCC62,'Sources and Uses Budget'!JCC108-SUM('15 Year Pro Forma'!JCA66:JCB66))</f>
        <v>0</v>
      </c>
      <c r="JCE66" s="960">
        <f>MIN(JCE60-JCE62,'Sources and Uses Budget'!JCE108-SUM('15 Year Pro Forma'!JCC66:JCD66))</f>
        <v>0</v>
      </c>
      <c r="JCG66" s="960">
        <f>MIN(JCG60-JCG62,'Sources and Uses Budget'!JCG108-SUM('15 Year Pro Forma'!JCE66:JCF66))</f>
        <v>0</v>
      </c>
      <c r="JCI66" s="960">
        <f>MIN(JCI60-JCI62,'Sources and Uses Budget'!JCI108-SUM('15 Year Pro Forma'!JCG66:JCH66))</f>
        <v>0</v>
      </c>
      <c r="JCK66" s="960">
        <f>MIN(JCK60-JCK62,'Sources and Uses Budget'!JCK108-SUM('15 Year Pro Forma'!JCI66:JCJ66))</f>
        <v>0</v>
      </c>
      <c r="JCM66" s="960">
        <f>MIN(JCM60-JCM62,'Sources and Uses Budget'!JCM108-SUM('15 Year Pro Forma'!JCK66:JCL66))</f>
        <v>0</v>
      </c>
      <c r="JCO66" s="960">
        <f>MIN(JCO60-JCO62,'Sources and Uses Budget'!JCO108-SUM('15 Year Pro Forma'!JCM66:JCN66))</f>
        <v>0</v>
      </c>
      <c r="JCQ66" s="960">
        <f>MIN(JCQ60-JCQ62,'Sources and Uses Budget'!JCQ108-SUM('15 Year Pro Forma'!JCO66:JCP66))</f>
        <v>0</v>
      </c>
      <c r="JCS66" s="960">
        <f>MIN(JCS60-JCS62,'Sources and Uses Budget'!JCS108-SUM('15 Year Pro Forma'!JCQ66:JCR66))</f>
        <v>0</v>
      </c>
      <c r="JCU66" s="960">
        <f>MIN(JCU60-JCU62,'Sources and Uses Budget'!JCU108-SUM('15 Year Pro Forma'!JCS66:JCT66))</f>
        <v>0</v>
      </c>
      <c r="JCW66" s="960">
        <f>MIN(JCW60-JCW62,'Sources and Uses Budget'!JCW108-SUM('15 Year Pro Forma'!JCU66:JCV66))</f>
        <v>0</v>
      </c>
      <c r="JCY66" s="960">
        <f>MIN(JCY60-JCY62,'Sources and Uses Budget'!JCY108-SUM('15 Year Pro Forma'!JCW66:JCX66))</f>
        <v>0</v>
      </c>
      <c r="JDA66" s="960">
        <f>MIN(JDA60-JDA62,'Sources and Uses Budget'!JDA108-SUM('15 Year Pro Forma'!JCY66:JCZ66))</f>
        <v>0</v>
      </c>
      <c r="JDC66" s="960">
        <f>MIN(JDC60-JDC62,'Sources and Uses Budget'!JDC108-SUM('15 Year Pro Forma'!JDA66:JDB66))</f>
        <v>0</v>
      </c>
      <c r="JDE66" s="960">
        <f>MIN(JDE60-JDE62,'Sources and Uses Budget'!JDE108-SUM('15 Year Pro Forma'!JDC66:JDD66))</f>
        <v>0</v>
      </c>
      <c r="JDG66" s="960">
        <f>MIN(JDG60-JDG62,'Sources and Uses Budget'!JDG108-SUM('15 Year Pro Forma'!JDE66:JDF66))</f>
        <v>0</v>
      </c>
      <c r="JDI66" s="960">
        <f>MIN(JDI60-JDI62,'Sources and Uses Budget'!JDI108-SUM('15 Year Pro Forma'!JDG66:JDH66))</f>
        <v>0</v>
      </c>
      <c r="JDK66" s="960">
        <f>MIN(JDK60-JDK62,'Sources and Uses Budget'!JDK108-SUM('15 Year Pro Forma'!JDI66:JDJ66))</f>
        <v>0</v>
      </c>
      <c r="JDM66" s="960">
        <f>MIN(JDM60-JDM62,'Sources and Uses Budget'!JDM108-SUM('15 Year Pro Forma'!JDK66:JDL66))</f>
        <v>0</v>
      </c>
      <c r="JDO66" s="960">
        <f>MIN(JDO60-JDO62,'Sources and Uses Budget'!JDO108-SUM('15 Year Pro Forma'!JDM66:JDN66))</f>
        <v>0</v>
      </c>
      <c r="JDQ66" s="960">
        <f>MIN(JDQ60-JDQ62,'Sources and Uses Budget'!JDQ108-SUM('15 Year Pro Forma'!JDO66:JDP66))</f>
        <v>0</v>
      </c>
      <c r="JDS66" s="960">
        <f>MIN(JDS60-JDS62,'Sources and Uses Budget'!JDS108-SUM('15 Year Pro Forma'!JDQ66:JDR66))</f>
        <v>0</v>
      </c>
      <c r="JDU66" s="960">
        <f>MIN(JDU60-JDU62,'Sources and Uses Budget'!JDU108-SUM('15 Year Pro Forma'!JDS66:JDT66))</f>
        <v>0</v>
      </c>
      <c r="JDW66" s="960">
        <f>MIN(JDW60-JDW62,'Sources and Uses Budget'!JDW108-SUM('15 Year Pro Forma'!JDU66:JDV66))</f>
        <v>0</v>
      </c>
      <c r="JDY66" s="960">
        <f>MIN(JDY60-JDY62,'Sources and Uses Budget'!JDY108-SUM('15 Year Pro Forma'!JDW66:JDX66))</f>
        <v>0</v>
      </c>
      <c r="JEA66" s="960">
        <f>MIN(JEA60-JEA62,'Sources and Uses Budget'!JEA108-SUM('15 Year Pro Forma'!JDY66:JDZ66))</f>
        <v>0</v>
      </c>
      <c r="JEC66" s="960">
        <f>MIN(JEC60-JEC62,'Sources and Uses Budget'!JEC108-SUM('15 Year Pro Forma'!JEA66:JEB66))</f>
        <v>0</v>
      </c>
      <c r="JEE66" s="960">
        <f>MIN(JEE60-JEE62,'Sources and Uses Budget'!JEE108-SUM('15 Year Pro Forma'!JEC66:JED66))</f>
        <v>0</v>
      </c>
      <c r="JEG66" s="960">
        <f>MIN(JEG60-JEG62,'Sources and Uses Budget'!JEG108-SUM('15 Year Pro Forma'!JEE66:JEF66))</f>
        <v>0</v>
      </c>
      <c r="JEI66" s="960">
        <f>MIN(JEI60-JEI62,'Sources and Uses Budget'!JEI108-SUM('15 Year Pro Forma'!JEG66:JEH66))</f>
        <v>0</v>
      </c>
      <c r="JEK66" s="960">
        <f>MIN(JEK60-JEK62,'Sources and Uses Budget'!JEK108-SUM('15 Year Pro Forma'!JEI66:JEJ66))</f>
        <v>0</v>
      </c>
      <c r="JEM66" s="960">
        <f>MIN(JEM60-JEM62,'Sources and Uses Budget'!JEM108-SUM('15 Year Pro Forma'!JEK66:JEL66))</f>
        <v>0</v>
      </c>
      <c r="JEO66" s="960">
        <f>MIN(JEO60-JEO62,'Sources and Uses Budget'!JEO108-SUM('15 Year Pro Forma'!JEM66:JEN66))</f>
        <v>0</v>
      </c>
      <c r="JEQ66" s="960">
        <f>MIN(JEQ60-JEQ62,'Sources and Uses Budget'!JEQ108-SUM('15 Year Pro Forma'!JEO66:JEP66))</f>
        <v>0</v>
      </c>
      <c r="JES66" s="960">
        <f>MIN(JES60-JES62,'Sources and Uses Budget'!JES108-SUM('15 Year Pro Forma'!JEQ66:JER66))</f>
        <v>0</v>
      </c>
      <c r="JEU66" s="960">
        <f>MIN(JEU60-JEU62,'Sources and Uses Budget'!JEU108-SUM('15 Year Pro Forma'!JES66:JET66))</f>
        <v>0</v>
      </c>
      <c r="JEW66" s="960">
        <f>MIN(JEW60-JEW62,'Sources and Uses Budget'!JEW108-SUM('15 Year Pro Forma'!JEU66:JEV66))</f>
        <v>0</v>
      </c>
      <c r="JEY66" s="960">
        <f>MIN(JEY60-JEY62,'Sources and Uses Budget'!JEY108-SUM('15 Year Pro Forma'!JEW66:JEX66))</f>
        <v>0</v>
      </c>
      <c r="JFA66" s="960">
        <f>MIN(JFA60-JFA62,'Sources and Uses Budget'!JFA108-SUM('15 Year Pro Forma'!JEY66:JEZ66))</f>
        <v>0</v>
      </c>
      <c r="JFC66" s="960">
        <f>MIN(JFC60-JFC62,'Sources and Uses Budget'!JFC108-SUM('15 Year Pro Forma'!JFA66:JFB66))</f>
        <v>0</v>
      </c>
      <c r="JFE66" s="960">
        <f>MIN(JFE60-JFE62,'Sources and Uses Budget'!JFE108-SUM('15 Year Pro Forma'!JFC66:JFD66))</f>
        <v>0</v>
      </c>
      <c r="JFG66" s="960">
        <f>MIN(JFG60-JFG62,'Sources and Uses Budget'!JFG108-SUM('15 Year Pro Forma'!JFE66:JFF66))</f>
        <v>0</v>
      </c>
      <c r="JFI66" s="960">
        <f>MIN(JFI60-JFI62,'Sources and Uses Budget'!JFI108-SUM('15 Year Pro Forma'!JFG66:JFH66))</f>
        <v>0</v>
      </c>
      <c r="JFK66" s="960">
        <f>MIN(JFK60-JFK62,'Sources and Uses Budget'!JFK108-SUM('15 Year Pro Forma'!JFI66:JFJ66))</f>
        <v>0</v>
      </c>
      <c r="JFM66" s="960">
        <f>MIN(JFM60-JFM62,'Sources and Uses Budget'!JFM108-SUM('15 Year Pro Forma'!JFK66:JFL66))</f>
        <v>0</v>
      </c>
      <c r="JFO66" s="960">
        <f>MIN(JFO60-JFO62,'Sources and Uses Budget'!JFO108-SUM('15 Year Pro Forma'!JFM66:JFN66))</f>
        <v>0</v>
      </c>
      <c r="JFQ66" s="960">
        <f>MIN(JFQ60-JFQ62,'Sources and Uses Budget'!JFQ108-SUM('15 Year Pro Forma'!JFO66:JFP66))</f>
        <v>0</v>
      </c>
      <c r="JFS66" s="960">
        <f>MIN(JFS60-JFS62,'Sources and Uses Budget'!JFS108-SUM('15 Year Pro Forma'!JFQ66:JFR66))</f>
        <v>0</v>
      </c>
      <c r="JFU66" s="960">
        <f>MIN(JFU60-JFU62,'Sources and Uses Budget'!JFU108-SUM('15 Year Pro Forma'!JFS66:JFT66))</f>
        <v>0</v>
      </c>
      <c r="JFW66" s="960">
        <f>MIN(JFW60-JFW62,'Sources and Uses Budget'!JFW108-SUM('15 Year Pro Forma'!JFU66:JFV66))</f>
        <v>0</v>
      </c>
      <c r="JFY66" s="960">
        <f>MIN(JFY60-JFY62,'Sources and Uses Budget'!JFY108-SUM('15 Year Pro Forma'!JFW66:JFX66))</f>
        <v>0</v>
      </c>
      <c r="JGA66" s="960">
        <f>MIN(JGA60-JGA62,'Sources and Uses Budget'!JGA108-SUM('15 Year Pro Forma'!JFY66:JFZ66))</f>
        <v>0</v>
      </c>
      <c r="JGC66" s="960">
        <f>MIN(JGC60-JGC62,'Sources and Uses Budget'!JGC108-SUM('15 Year Pro Forma'!JGA66:JGB66))</f>
        <v>0</v>
      </c>
      <c r="JGE66" s="960">
        <f>MIN(JGE60-JGE62,'Sources and Uses Budget'!JGE108-SUM('15 Year Pro Forma'!JGC66:JGD66))</f>
        <v>0</v>
      </c>
      <c r="JGG66" s="960">
        <f>MIN(JGG60-JGG62,'Sources and Uses Budget'!JGG108-SUM('15 Year Pro Forma'!JGE66:JGF66))</f>
        <v>0</v>
      </c>
      <c r="JGI66" s="960">
        <f>MIN(JGI60-JGI62,'Sources and Uses Budget'!JGI108-SUM('15 Year Pro Forma'!JGG66:JGH66))</f>
        <v>0</v>
      </c>
      <c r="JGK66" s="960">
        <f>MIN(JGK60-JGK62,'Sources and Uses Budget'!JGK108-SUM('15 Year Pro Forma'!JGI66:JGJ66))</f>
        <v>0</v>
      </c>
      <c r="JGM66" s="960">
        <f>MIN(JGM60-JGM62,'Sources and Uses Budget'!JGM108-SUM('15 Year Pro Forma'!JGK66:JGL66))</f>
        <v>0</v>
      </c>
      <c r="JGO66" s="960">
        <f>MIN(JGO60-JGO62,'Sources and Uses Budget'!JGO108-SUM('15 Year Pro Forma'!JGM66:JGN66))</f>
        <v>0</v>
      </c>
      <c r="JGQ66" s="960">
        <f>MIN(JGQ60-JGQ62,'Sources and Uses Budget'!JGQ108-SUM('15 Year Pro Forma'!JGO66:JGP66))</f>
        <v>0</v>
      </c>
      <c r="JGS66" s="960">
        <f>MIN(JGS60-JGS62,'Sources and Uses Budget'!JGS108-SUM('15 Year Pro Forma'!JGQ66:JGR66))</f>
        <v>0</v>
      </c>
      <c r="JGU66" s="960">
        <f>MIN(JGU60-JGU62,'Sources and Uses Budget'!JGU108-SUM('15 Year Pro Forma'!JGS66:JGT66))</f>
        <v>0</v>
      </c>
      <c r="JGW66" s="960">
        <f>MIN(JGW60-JGW62,'Sources and Uses Budget'!JGW108-SUM('15 Year Pro Forma'!JGU66:JGV66))</f>
        <v>0</v>
      </c>
      <c r="JGY66" s="960">
        <f>MIN(JGY60-JGY62,'Sources and Uses Budget'!JGY108-SUM('15 Year Pro Forma'!JGW66:JGX66))</f>
        <v>0</v>
      </c>
      <c r="JHA66" s="960">
        <f>MIN(JHA60-JHA62,'Sources and Uses Budget'!JHA108-SUM('15 Year Pro Forma'!JGY66:JGZ66))</f>
        <v>0</v>
      </c>
      <c r="JHC66" s="960">
        <f>MIN(JHC60-JHC62,'Sources and Uses Budget'!JHC108-SUM('15 Year Pro Forma'!JHA66:JHB66))</f>
        <v>0</v>
      </c>
      <c r="JHE66" s="960">
        <f>MIN(JHE60-JHE62,'Sources and Uses Budget'!JHE108-SUM('15 Year Pro Forma'!JHC66:JHD66))</f>
        <v>0</v>
      </c>
      <c r="JHG66" s="960">
        <f>MIN(JHG60-JHG62,'Sources and Uses Budget'!JHG108-SUM('15 Year Pro Forma'!JHE66:JHF66))</f>
        <v>0</v>
      </c>
      <c r="JHI66" s="960">
        <f>MIN(JHI60-JHI62,'Sources and Uses Budget'!JHI108-SUM('15 Year Pro Forma'!JHG66:JHH66))</f>
        <v>0</v>
      </c>
      <c r="JHK66" s="960">
        <f>MIN(JHK60-JHK62,'Sources and Uses Budget'!JHK108-SUM('15 Year Pro Forma'!JHI66:JHJ66))</f>
        <v>0</v>
      </c>
      <c r="JHM66" s="960">
        <f>MIN(JHM60-JHM62,'Sources and Uses Budget'!JHM108-SUM('15 Year Pro Forma'!JHK66:JHL66))</f>
        <v>0</v>
      </c>
      <c r="JHO66" s="960">
        <f>MIN(JHO60-JHO62,'Sources and Uses Budget'!JHO108-SUM('15 Year Pro Forma'!JHM66:JHN66))</f>
        <v>0</v>
      </c>
      <c r="JHQ66" s="960">
        <f>MIN(JHQ60-JHQ62,'Sources and Uses Budget'!JHQ108-SUM('15 Year Pro Forma'!JHO66:JHP66))</f>
        <v>0</v>
      </c>
      <c r="JHS66" s="960">
        <f>MIN(JHS60-JHS62,'Sources and Uses Budget'!JHS108-SUM('15 Year Pro Forma'!JHQ66:JHR66))</f>
        <v>0</v>
      </c>
      <c r="JHU66" s="960">
        <f>MIN(JHU60-JHU62,'Sources and Uses Budget'!JHU108-SUM('15 Year Pro Forma'!JHS66:JHT66))</f>
        <v>0</v>
      </c>
      <c r="JHW66" s="960">
        <f>MIN(JHW60-JHW62,'Sources and Uses Budget'!JHW108-SUM('15 Year Pro Forma'!JHU66:JHV66))</f>
        <v>0</v>
      </c>
      <c r="JHY66" s="960">
        <f>MIN(JHY60-JHY62,'Sources and Uses Budget'!JHY108-SUM('15 Year Pro Forma'!JHW66:JHX66))</f>
        <v>0</v>
      </c>
      <c r="JIA66" s="960">
        <f>MIN(JIA60-JIA62,'Sources and Uses Budget'!JIA108-SUM('15 Year Pro Forma'!JHY66:JHZ66))</f>
        <v>0</v>
      </c>
      <c r="JIC66" s="960">
        <f>MIN(JIC60-JIC62,'Sources and Uses Budget'!JIC108-SUM('15 Year Pro Forma'!JIA66:JIB66))</f>
        <v>0</v>
      </c>
      <c r="JIE66" s="960">
        <f>MIN(JIE60-JIE62,'Sources and Uses Budget'!JIE108-SUM('15 Year Pro Forma'!JIC66:JID66))</f>
        <v>0</v>
      </c>
      <c r="JIG66" s="960">
        <f>MIN(JIG60-JIG62,'Sources and Uses Budget'!JIG108-SUM('15 Year Pro Forma'!JIE66:JIF66))</f>
        <v>0</v>
      </c>
      <c r="JII66" s="960">
        <f>MIN(JII60-JII62,'Sources and Uses Budget'!JII108-SUM('15 Year Pro Forma'!JIG66:JIH66))</f>
        <v>0</v>
      </c>
      <c r="JIK66" s="960">
        <f>MIN(JIK60-JIK62,'Sources and Uses Budget'!JIK108-SUM('15 Year Pro Forma'!JII66:JIJ66))</f>
        <v>0</v>
      </c>
      <c r="JIM66" s="960">
        <f>MIN(JIM60-JIM62,'Sources and Uses Budget'!JIM108-SUM('15 Year Pro Forma'!JIK66:JIL66))</f>
        <v>0</v>
      </c>
      <c r="JIO66" s="960">
        <f>MIN(JIO60-JIO62,'Sources and Uses Budget'!JIO108-SUM('15 Year Pro Forma'!JIM66:JIN66))</f>
        <v>0</v>
      </c>
      <c r="JIQ66" s="960">
        <f>MIN(JIQ60-JIQ62,'Sources and Uses Budget'!JIQ108-SUM('15 Year Pro Forma'!JIO66:JIP66))</f>
        <v>0</v>
      </c>
      <c r="JIS66" s="960">
        <f>MIN(JIS60-JIS62,'Sources and Uses Budget'!JIS108-SUM('15 Year Pro Forma'!JIQ66:JIR66))</f>
        <v>0</v>
      </c>
      <c r="JIU66" s="960">
        <f>MIN(JIU60-JIU62,'Sources and Uses Budget'!JIU108-SUM('15 Year Pro Forma'!JIS66:JIT66))</f>
        <v>0</v>
      </c>
      <c r="JIW66" s="960">
        <f>MIN(JIW60-JIW62,'Sources and Uses Budget'!JIW108-SUM('15 Year Pro Forma'!JIU66:JIV66))</f>
        <v>0</v>
      </c>
      <c r="JIY66" s="960">
        <f>MIN(JIY60-JIY62,'Sources and Uses Budget'!JIY108-SUM('15 Year Pro Forma'!JIW66:JIX66))</f>
        <v>0</v>
      </c>
      <c r="JJA66" s="960">
        <f>MIN(JJA60-JJA62,'Sources and Uses Budget'!JJA108-SUM('15 Year Pro Forma'!JIY66:JIZ66))</f>
        <v>0</v>
      </c>
      <c r="JJC66" s="960">
        <f>MIN(JJC60-JJC62,'Sources and Uses Budget'!JJC108-SUM('15 Year Pro Forma'!JJA66:JJB66))</f>
        <v>0</v>
      </c>
      <c r="JJE66" s="960">
        <f>MIN(JJE60-JJE62,'Sources and Uses Budget'!JJE108-SUM('15 Year Pro Forma'!JJC66:JJD66))</f>
        <v>0</v>
      </c>
      <c r="JJG66" s="960">
        <f>MIN(JJG60-JJG62,'Sources and Uses Budget'!JJG108-SUM('15 Year Pro Forma'!JJE66:JJF66))</f>
        <v>0</v>
      </c>
      <c r="JJI66" s="960">
        <f>MIN(JJI60-JJI62,'Sources and Uses Budget'!JJI108-SUM('15 Year Pro Forma'!JJG66:JJH66))</f>
        <v>0</v>
      </c>
      <c r="JJK66" s="960">
        <f>MIN(JJK60-JJK62,'Sources and Uses Budget'!JJK108-SUM('15 Year Pro Forma'!JJI66:JJJ66))</f>
        <v>0</v>
      </c>
      <c r="JJM66" s="960">
        <f>MIN(JJM60-JJM62,'Sources and Uses Budget'!JJM108-SUM('15 Year Pro Forma'!JJK66:JJL66))</f>
        <v>0</v>
      </c>
      <c r="JJO66" s="960">
        <f>MIN(JJO60-JJO62,'Sources and Uses Budget'!JJO108-SUM('15 Year Pro Forma'!JJM66:JJN66))</f>
        <v>0</v>
      </c>
      <c r="JJQ66" s="960">
        <f>MIN(JJQ60-JJQ62,'Sources and Uses Budget'!JJQ108-SUM('15 Year Pro Forma'!JJO66:JJP66))</f>
        <v>0</v>
      </c>
      <c r="JJS66" s="960">
        <f>MIN(JJS60-JJS62,'Sources and Uses Budget'!JJS108-SUM('15 Year Pro Forma'!JJQ66:JJR66))</f>
        <v>0</v>
      </c>
      <c r="JJU66" s="960">
        <f>MIN(JJU60-JJU62,'Sources and Uses Budget'!JJU108-SUM('15 Year Pro Forma'!JJS66:JJT66))</f>
        <v>0</v>
      </c>
      <c r="JJW66" s="960">
        <f>MIN(JJW60-JJW62,'Sources and Uses Budget'!JJW108-SUM('15 Year Pro Forma'!JJU66:JJV66))</f>
        <v>0</v>
      </c>
      <c r="JJY66" s="960">
        <f>MIN(JJY60-JJY62,'Sources and Uses Budget'!JJY108-SUM('15 Year Pro Forma'!JJW66:JJX66))</f>
        <v>0</v>
      </c>
      <c r="JKA66" s="960">
        <f>MIN(JKA60-JKA62,'Sources and Uses Budget'!JKA108-SUM('15 Year Pro Forma'!JJY66:JJZ66))</f>
        <v>0</v>
      </c>
      <c r="JKC66" s="960">
        <f>MIN(JKC60-JKC62,'Sources and Uses Budget'!JKC108-SUM('15 Year Pro Forma'!JKA66:JKB66))</f>
        <v>0</v>
      </c>
      <c r="JKE66" s="960">
        <f>MIN(JKE60-JKE62,'Sources and Uses Budget'!JKE108-SUM('15 Year Pro Forma'!JKC66:JKD66))</f>
        <v>0</v>
      </c>
      <c r="JKG66" s="960">
        <f>MIN(JKG60-JKG62,'Sources and Uses Budget'!JKG108-SUM('15 Year Pro Forma'!JKE66:JKF66))</f>
        <v>0</v>
      </c>
      <c r="JKI66" s="960">
        <f>MIN(JKI60-JKI62,'Sources and Uses Budget'!JKI108-SUM('15 Year Pro Forma'!JKG66:JKH66))</f>
        <v>0</v>
      </c>
      <c r="JKK66" s="960">
        <f>MIN(JKK60-JKK62,'Sources and Uses Budget'!JKK108-SUM('15 Year Pro Forma'!JKI66:JKJ66))</f>
        <v>0</v>
      </c>
      <c r="JKM66" s="960">
        <f>MIN(JKM60-JKM62,'Sources and Uses Budget'!JKM108-SUM('15 Year Pro Forma'!JKK66:JKL66))</f>
        <v>0</v>
      </c>
      <c r="JKO66" s="960">
        <f>MIN(JKO60-JKO62,'Sources and Uses Budget'!JKO108-SUM('15 Year Pro Forma'!JKM66:JKN66))</f>
        <v>0</v>
      </c>
      <c r="JKQ66" s="960">
        <f>MIN(JKQ60-JKQ62,'Sources and Uses Budget'!JKQ108-SUM('15 Year Pro Forma'!JKO66:JKP66))</f>
        <v>0</v>
      </c>
      <c r="JKS66" s="960">
        <f>MIN(JKS60-JKS62,'Sources and Uses Budget'!JKS108-SUM('15 Year Pro Forma'!JKQ66:JKR66))</f>
        <v>0</v>
      </c>
      <c r="JKU66" s="960">
        <f>MIN(JKU60-JKU62,'Sources and Uses Budget'!JKU108-SUM('15 Year Pro Forma'!JKS66:JKT66))</f>
        <v>0</v>
      </c>
      <c r="JKW66" s="960">
        <f>MIN(JKW60-JKW62,'Sources and Uses Budget'!JKW108-SUM('15 Year Pro Forma'!JKU66:JKV66))</f>
        <v>0</v>
      </c>
      <c r="JKY66" s="960">
        <f>MIN(JKY60-JKY62,'Sources and Uses Budget'!JKY108-SUM('15 Year Pro Forma'!JKW66:JKX66))</f>
        <v>0</v>
      </c>
      <c r="JLA66" s="960">
        <f>MIN(JLA60-JLA62,'Sources and Uses Budget'!JLA108-SUM('15 Year Pro Forma'!JKY66:JKZ66))</f>
        <v>0</v>
      </c>
      <c r="JLC66" s="960">
        <f>MIN(JLC60-JLC62,'Sources and Uses Budget'!JLC108-SUM('15 Year Pro Forma'!JLA66:JLB66))</f>
        <v>0</v>
      </c>
      <c r="JLE66" s="960">
        <f>MIN(JLE60-JLE62,'Sources and Uses Budget'!JLE108-SUM('15 Year Pro Forma'!JLC66:JLD66))</f>
        <v>0</v>
      </c>
      <c r="JLG66" s="960">
        <f>MIN(JLG60-JLG62,'Sources and Uses Budget'!JLG108-SUM('15 Year Pro Forma'!JLE66:JLF66))</f>
        <v>0</v>
      </c>
      <c r="JLI66" s="960">
        <f>MIN(JLI60-JLI62,'Sources and Uses Budget'!JLI108-SUM('15 Year Pro Forma'!JLG66:JLH66))</f>
        <v>0</v>
      </c>
      <c r="JLK66" s="960">
        <f>MIN(JLK60-JLK62,'Sources and Uses Budget'!JLK108-SUM('15 Year Pro Forma'!JLI66:JLJ66))</f>
        <v>0</v>
      </c>
      <c r="JLM66" s="960">
        <f>MIN(JLM60-JLM62,'Sources and Uses Budget'!JLM108-SUM('15 Year Pro Forma'!JLK66:JLL66))</f>
        <v>0</v>
      </c>
      <c r="JLO66" s="960">
        <f>MIN(JLO60-JLO62,'Sources and Uses Budget'!JLO108-SUM('15 Year Pro Forma'!JLM66:JLN66))</f>
        <v>0</v>
      </c>
      <c r="JLQ66" s="960">
        <f>MIN(JLQ60-JLQ62,'Sources and Uses Budget'!JLQ108-SUM('15 Year Pro Forma'!JLO66:JLP66))</f>
        <v>0</v>
      </c>
      <c r="JLS66" s="960">
        <f>MIN(JLS60-JLS62,'Sources and Uses Budget'!JLS108-SUM('15 Year Pro Forma'!JLQ66:JLR66))</f>
        <v>0</v>
      </c>
      <c r="JLU66" s="960">
        <f>MIN(JLU60-JLU62,'Sources and Uses Budget'!JLU108-SUM('15 Year Pro Forma'!JLS66:JLT66))</f>
        <v>0</v>
      </c>
      <c r="JLW66" s="960">
        <f>MIN(JLW60-JLW62,'Sources and Uses Budget'!JLW108-SUM('15 Year Pro Forma'!JLU66:JLV66))</f>
        <v>0</v>
      </c>
      <c r="JLY66" s="960">
        <f>MIN(JLY60-JLY62,'Sources and Uses Budget'!JLY108-SUM('15 Year Pro Forma'!JLW66:JLX66))</f>
        <v>0</v>
      </c>
      <c r="JMA66" s="960">
        <f>MIN(JMA60-JMA62,'Sources and Uses Budget'!JMA108-SUM('15 Year Pro Forma'!JLY66:JLZ66))</f>
        <v>0</v>
      </c>
      <c r="JMC66" s="960">
        <f>MIN(JMC60-JMC62,'Sources and Uses Budget'!JMC108-SUM('15 Year Pro Forma'!JMA66:JMB66))</f>
        <v>0</v>
      </c>
      <c r="JME66" s="960">
        <f>MIN(JME60-JME62,'Sources and Uses Budget'!JME108-SUM('15 Year Pro Forma'!JMC66:JMD66))</f>
        <v>0</v>
      </c>
      <c r="JMG66" s="960">
        <f>MIN(JMG60-JMG62,'Sources and Uses Budget'!JMG108-SUM('15 Year Pro Forma'!JME66:JMF66))</f>
        <v>0</v>
      </c>
      <c r="JMI66" s="960">
        <f>MIN(JMI60-JMI62,'Sources and Uses Budget'!JMI108-SUM('15 Year Pro Forma'!JMG66:JMH66))</f>
        <v>0</v>
      </c>
      <c r="JMK66" s="960">
        <f>MIN(JMK60-JMK62,'Sources and Uses Budget'!JMK108-SUM('15 Year Pro Forma'!JMI66:JMJ66))</f>
        <v>0</v>
      </c>
      <c r="JMM66" s="960">
        <f>MIN(JMM60-JMM62,'Sources and Uses Budget'!JMM108-SUM('15 Year Pro Forma'!JMK66:JML66))</f>
        <v>0</v>
      </c>
      <c r="JMO66" s="960">
        <f>MIN(JMO60-JMO62,'Sources and Uses Budget'!JMO108-SUM('15 Year Pro Forma'!JMM66:JMN66))</f>
        <v>0</v>
      </c>
      <c r="JMQ66" s="960">
        <f>MIN(JMQ60-JMQ62,'Sources and Uses Budget'!JMQ108-SUM('15 Year Pro Forma'!JMO66:JMP66))</f>
        <v>0</v>
      </c>
      <c r="JMS66" s="960">
        <f>MIN(JMS60-JMS62,'Sources and Uses Budget'!JMS108-SUM('15 Year Pro Forma'!JMQ66:JMR66))</f>
        <v>0</v>
      </c>
      <c r="JMU66" s="960">
        <f>MIN(JMU60-JMU62,'Sources and Uses Budget'!JMU108-SUM('15 Year Pro Forma'!JMS66:JMT66))</f>
        <v>0</v>
      </c>
      <c r="JMW66" s="960">
        <f>MIN(JMW60-JMW62,'Sources and Uses Budget'!JMW108-SUM('15 Year Pro Forma'!JMU66:JMV66))</f>
        <v>0</v>
      </c>
      <c r="JMY66" s="960">
        <f>MIN(JMY60-JMY62,'Sources and Uses Budget'!JMY108-SUM('15 Year Pro Forma'!JMW66:JMX66))</f>
        <v>0</v>
      </c>
      <c r="JNA66" s="960">
        <f>MIN(JNA60-JNA62,'Sources and Uses Budget'!JNA108-SUM('15 Year Pro Forma'!JMY66:JMZ66))</f>
        <v>0</v>
      </c>
      <c r="JNC66" s="960">
        <f>MIN(JNC60-JNC62,'Sources and Uses Budget'!JNC108-SUM('15 Year Pro Forma'!JNA66:JNB66))</f>
        <v>0</v>
      </c>
      <c r="JNE66" s="960">
        <f>MIN(JNE60-JNE62,'Sources and Uses Budget'!JNE108-SUM('15 Year Pro Forma'!JNC66:JND66))</f>
        <v>0</v>
      </c>
      <c r="JNG66" s="960">
        <f>MIN(JNG60-JNG62,'Sources and Uses Budget'!JNG108-SUM('15 Year Pro Forma'!JNE66:JNF66))</f>
        <v>0</v>
      </c>
      <c r="JNI66" s="960">
        <f>MIN(JNI60-JNI62,'Sources and Uses Budget'!JNI108-SUM('15 Year Pro Forma'!JNG66:JNH66))</f>
        <v>0</v>
      </c>
      <c r="JNK66" s="960">
        <f>MIN(JNK60-JNK62,'Sources and Uses Budget'!JNK108-SUM('15 Year Pro Forma'!JNI66:JNJ66))</f>
        <v>0</v>
      </c>
      <c r="JNM66" s="960">
        <f>MIN(JNM60-JNM62,'Sources and Uses Budget'!JNM108-SUM('15 Year Pro Forma'!JNK66:JNL66))</f>
        <v>0</v>
      </c>
      <c r="JNO66" s="960">
        <f>MIN(JNO60-JNO62,'Sources and Uses Budget'!JNO108-SUM('15 Year Pro Forma'!JNM66:JNN66))</f>
        <v>0</v>
      </c>
      <c r="JNQ66" s="960">
        <f>MIN(JNQ60-JNQ62,'Sources and Uses Budget'!JNQ108-SUM('15 Year Pro Forma'!JNO66:JNP66))</f>
        <v>0</v>
      </c>
      <c r="JNS66" s="960">
        <f>MIN(JNS60-JNS62,'Sources and Uses Budget'!JNS108-SUM('15 Year Pro Forma'!JNQ66:JNR66))</f>
        <v>0</v>
      </c>
      <c r="JNU66" s="960">
        <f>MIN(JNU60-JNU62,'Sources and Uses Budget'!JNU108-SUM('15 Year Pro Forma'!JNS66:JNT66))</f>
        <v>0</v>
      </c>
      <c r="JNW66" s="960">
        <f>MIN(JNW60-JNW62,'Sources and Uses Budget'!JNW108-SUM('15 Year Pro Forma'!JNU66:JNV66))</f>
        <v>0</v>
      </c>
      <c r="JNY66" s="960">
        <f>MIN(JNY60-JNY62,'Sources and Uses Budget'!JNY108-SUM('15 Year Pro Forma'!JNW66:JNX66))</f>
        <v>0</v>
      </c>
      <c r="JOA66" s="960">
        <f>MIN(JOA60-JOA62,'Sources and Uses Budget'!JOA108-SUM('15 Year Pro Forma'!JNY66:JNZ66))</f>
        <v>0</v>
      </c>
      <c r="JOC66" s="960">
        <f>MIN(JOC60-JOC62,'Sources and Uses Budget'!JOC108-SUM('15 Year Pro Forma'!JOA66:JOB66))</f>
        <v>0</v>
      </c>
      <c r="JOE66" s="960">
        <f>MIN(JOE60-JOE62,'Sources and Uses Budget'!JOE108-SUM('15 Year Pro Forma'!JOC66:JOD66))</f>
        <v>0</v>
      </c>
      <c r="JOG66" s="960">
        <f>MIN(JOG60-JOG62,'Sources and Uses Budget'!JOG108-SUM('15 Year Pro Forma'!JOE66:JOF66))</f>
        <v>0</v>
      </c>
      <c r="JOI66" s="960">
        <f>MIN(JOI60-JOI62,'Sources and Uses Budget'!JOI108-SUM('15 Year Pro Forma'!JOG66:JOH66))</f>
        <v>0</v>
      </c>
      <c r="JOK66" s="960">
        <f>MIN(JOK60-JOK62,'Sources and Uses Budget'!JOK108-SUM('15 Year Pro Forma'!JOI66:JOJ66))</f>
        <v>0</v>
      </c>
      <c r="JOM66" s="960">
        <f>MIN(JOM60-JOM62,'Sources and Uses Budget'!JOM108-SUM('15 Year Pro Forma'!JOK66:JOL66))</f>
        <v>0</v>
      </c>
      <c r="JOO66" s="960">
        <f>MIN(JOO60-JOO62,'Sources and Uses Budget'!JOO108-SUM('15 Year Pro Forma'!JOM66:JON66))</f>
        <v>0</v>
      </c>
      <c r="JOQ66" s="960">
        <f>MIN(JOQ60-JOQ62,'Sources and Uses Budget'!JOQ108-SUM('15 Year Pro Forma'!JOO66:JOP66))</f>
        <v>0</v>
      </c>
      <c r="JOS66" s="960">
        <f>MIN(JOS60-JOS62,'Sources and Uses Budget'!JOS108-SUM('15 Year Pro Forma'!JOQ66:JOR66))</f>
        <v>0</v>
      </c>
      <c r="JOU66" s="960">
        <f>MIN(JOU60-JOU62,'Sources and Uses Budget'!JOU108-SUM('15 Year Pro Forma'!JOS66:JOT66))</f>
        <v>0</v>
      </c>
      <c r="JOW66" s="960">
        <f>MIN(JOW60-JOW62,'Sources and Uses Budget'!JOW108-SUM('15 Year Pro Forma'!JOU66:JOV66))</f>
        <v>0</v>
      </c>
      <c r="JOY66" s="960">
        <f>MIN(JOY60-JOY62,'Sources and Uses Budget'!JOY108-SUM('15 Year Pro Forma'!JOW66:JOX66))</f>
        <v>0</v>
      </c>
      <c r="JPA66" s="960">
        <f>MIN(JPA60-JPA62,'Sources and Uses Budget'!JPA108-SUM('15 Year Pro Forma'!JOY66:JOZ66))</f>
        <v>0</v>
      </c>
      <c r="JPC66" s="960">
        <f>MIN(JPC60-JPC62,'Sources and Uses Budget'!JPC108-SUM('15 Year Pro Forma'!JPA66:JPB66))</f>
        <v>0</v>
      </c>
      <c r="JPE66" s="960">
        <f>MIN(JPE60-JPE62,'Sources and Uses Budget'!JPE108-SUM('15 Year Pro Forma'!JPC66:JPD66))</f>
        <v>0</v>
      </c>
      <c r="JPG66" s="960">
        <f>MIN(JPG60-JPG62,'Sources and Uses Budget'!JPG108-SUM('15 Year Pro Forma'!JPE66:JPF66))</f>
        <v>0</v>
      </c>
      <c r="JPI66" s="960">
        <f>MIN(JPI60-JPI62,'Sources and Uses Budget'!JPI108-SUM('15 Year Pro Forma'!JPG66:JPH66))</f>
        <v>0</v>
      </c>
      <c r="JPK66" s="960">
        <f>MIN(JPK60-JPK62,'Sources and Uses Budget'!JPK108-SUM('15 Year Pro Forma'!JPI66:JPJ66))</f>
        <v>0</v>
      </c>
      <c r="JPM66" s="960">
        <f>MIN(JPM60-JPM62,'Sources and Uses Budget'!JPM108-SUM('15 Year Pro Forma'!JPK66:JPL66))</f>
        <v>0</v>
      </c>
      <c r="JPO66" s="960">
        <f>MIN(JPO60-JPO62,'Sources and Uses Budget'!JPO108-SUM('15 Year Pro Forma'!JPM66:JPN66))</f>
        <v>0</v>
      </c>
      <c r="JPQ66" s="960">
        <f>MIN(JPQ60-JPQ62,'Sources and Uses Budget'!JPQ108-SUM('15 Year Pro Forma'!JPO66:JPP66))</f>
        <v>0</v>
      </c>
      <c r="JPS66" s="960">
        <f>MIN(JPS60-JPS62,'Sources and Uses Budget'!JPS108-SUM('15 Year Pro Forma'!JPQ66:JPR66))</f>
        <v>0</v>
      </c>
      <c r="JPU66" s="960">
        <f>MIN(JPU60-JPU62,'Sources and Uses Budget'!JPU108-SUM('15 Year Pro Forma'!JPS66:JPT66))</f>
        <v>0</v>
      </c>
      <c r="JPW66" s="960">
        <f>MIN(JPW60-JPW62,'Sources and Uses Budget'!JPW108-SUM('15 Year Pro Forma'!JPU66:JPV66))</f>
        <v>0</v>
      </c>
      <c r="JPY66" s="960">
        <f>MIN(JPY60-JPY62,'Sources and Uses Budget'!JPY108-SUM('15 Year Pro Forma'!JPW66:JPX66))</f>
        <v>0</v>
      </c>
      <c r="JQA66" s="960">
        <f>MIN(JQA60-JQA62,'Sources and Uses Budget'!JQA108-SUM('15 Year Pro Forma'!JPY66:JPZ66))</f>
        <v>0</v>
      </c>
      <c r="JQC66" s="960">
        <f>MIN(JQC60-JQC62,'Sources and Uses Budget'!JQC108-SUM('15 Year Pro Forma'!JQA66:JQB66))</f>
        <v>0</v>
      </c>
      <c r="JQE66" s="960">
        <f>MIN(JQE60-JQE62,'Sources and Uses Budget'!JQE108-SUM('15 Year Pro Forma'!JQC66:JQD66))</f>
        <v>0</v>
      </c>
      <c r="JQG66" s="960">
        <f>MIN(JQG60-JQG62,'Sources and Uses Budget'!JQG108-SUM('15 Year Pro Forma'!JQE66:JQF66))</f>
        <v>0</v>
      </c>
      <c r="JQI66" s="960">
        <f>MIN(JQI60-JQI62,'Sources and Uses Budget'!JQI108-SUM('15 Year Pro Forma'!JQG66:JQH66))</f>
        <v>0</v>
      </c>
      <c r="JQK66" s="960">
        <f>MIN(JQK60-JQK62,'Sources and Uses Budget'!JQK108-SUM('15 Year Pro Forma'!JQI66:JQJ66))</f>
        <v>0</v>
      </c>
      <c r="JQM66" s="960">
        <f>MIN(JQM60-JQM62,'Sources and Uses Budget'!JQM108-SUM('15 Year Pro Forma'!JQK66:JQL66))</f>
        <v>0</v>
      </c>
      <c r="JQO66" s="960">
        <f>MIN(JQO60-JQO62,'Sources and Uses Budget'!JQO108-SUM('15 Year Pro Forma'!JQM66:JQN66))</f>
        <v>0</v>
      </c>
      <c r="JQQ66" s="960">
        <f>MIN(JQQ60-JQQ62,'Sources and Uses Budget'!JQQ108-SUM('15 Year Pro Forma'!JQO66:JQP66))</f>
        <v>0</v>
      </c>
      <c r="JQS66" s="960">
        <f>MIN(JQS60-JQS62,'Sources and Uses Budget'!JQS108-SUM('15 Year Pro Forma'!JQQ66:JQR66))</f>
        <v>0</v>
      </c>
      <c r="JQU66" s="960">
        <f>MIN(JQU60-JQU62,'Sources and Uses Budget'!JQU108-SUM('15 Year Pro Forma'!JQS66:JQT66))</f>
        <v>0</v>
      </c>
      <c r="JQW66" s="960">
        <f>MIN(JQW60-JQW62,'Sources and Uses Budget'!JQW108-SUM('15 Year Pro Forma'!JQU66:JQV66))</f>
        <v>0</v>
      </c>
      <c r="JQY66" s="960">
        <f>MIN(JQY60-JQY62,'Sources and Uses Budget'!JQY108-SUM('15 Year Pro Forma'!JQW66:JQX66))</f>
        <v>0</v>
      </c>
      <c r="JRA66" s="960">
        <f>MIN(JRA60-JRA62,'Sources and Uses Budget'!JRA108-SUM('15 Year Pro Forma'!JQY66:JQZ66))</f>
        <v>0</v>
      </c>
      <c r="JRC66" s="960">
        <f>MIN(JRC60-JRC62,'Sources and Uses Budget'!JRC108-SUM('15 Year Pro Forma'!JRA66:JRB66))</f>
        <v>0</v>
      </c>
      <c r="JRE66" s="960">
        <f>MIN(JRE60-JRE62,'Sources and Uses Budget'!JRE108-SUM('15 Year Pro Forma'!JRC66:JRD66))</f>
        <v>0</v>
      </c>
      <c r="JRG66" s="960">
        <f>MIN(JRG60-JRG62,'Sources and Uses Budget'!JRG108-SUM('15 Year Pro Forma'!JRE66:JRF66))</f>
        <v>0</v>
      </c>
      <c r="JRI66" s="960">
        <f>MIN(JRI60-JRI62,'Sources and Uses Budget'!JRI108-SUM('15 Year Pro Forma'!JRG66:JRH66))</f>
        <v>0</v>
      </c>
      <c r="JRK66" s="960">
        <f>MIN(JRK60-JRK62,'Sources and Uses Budget'!JRK108-SUM('15 Year Pro Forma'!JRI66:JRJ66))</f>
        <v>0</v>
      </c>
      <c r="JRM66" s="960">
        <f>MIN(JRM60-JRM62,'Sources and Uses Budget'!JRM108-SUM('15 Year Pro Forma'!JRK66:JRL66))</f>
        <v>0</v>
      </c>
      <c r="JRO66" s="960">
        <f>MIN(JRO60-JRO62,'Sources and Uses Budget'!JRO108-SUM('15 Year Pro Forma'!JRM66:JRN66))</f>
        <v>0</v>
      </c>
      <c r="JRQ66" s="960">
        <f>MIN(JRQ60-JRQ62,'Sources and Uses Budget'!JRQ108-SUM('15 Year Pro Forma'!JRO66:JRP66))</f>
        <v>0</v>
      </c>
      <c r="JRS66" s="960">
        <f>MIN(JRS60-JRS62,'Sources and Uses Budget'!JRS108-SUM('15 Year Pro Forma'!JRQ66:JRR66))</f>
        <v>0</v>
      </c>
      <c r="JRU66" s="960">
        <f>MIN(JRU60-JRU62,'Sources and Uses Budget'!JRU108-SUM('15 Year Pro Forma'!JRS66:JRT66))</f>
        <v>0</v>
      </c>
      <c r="JRW66" s="960">
        <f>MIN(JRW60-JRW62,'Sources and Uses Budget'!JRW108-SUM('15 Year Pro Forma'!JRU66:JRV66))</f>
        <v>0</v>
      </c>
      <c r="JRY66" s="960">
        <f>MIN(JRY60-JRY62,'Sources and Uses Budget'!JRY108-SUM('15 Year Pro Forma'!JRW66:JRX66))</f>
        <v>0</v>
      </c>
      <c r="JSA66" s="960">
        <f>MIN(JSA60-JSA62,'Sources and Uses Budget'!JSA108-SUM('15 Year Pro Forma'!JRY66:JRZ66))</f>
        <v>0</v>
      </c>
      <c r="JSC66" s="960">
        <f>MIN(JSC60-JSC62,'Sources and Uses Budget'!JSC108-SUM('15 Year Pro Forma'!JSA66:JSB66))</f>
        <v>0</v>
      </c>
      <c r="JSE66" s="960">
        <f>MIN(JSE60-JSE62,'Sources and Uses Budget'!JSE108-SUM('15 Year Pro Forma'!JSC66:JSD66))</f>
        <v>0</v>
      </c>
      <c r="JSG66" s="960">
        <f>MIN(JSG60-JSG62,'Sources and Uses Budget'!JSG108-SUM('15 Year Pro Forma'!JSE66:JSF66))</f>
        <v>0</v>
      </c>
      <c r="JSI66" s="960">
        <f>MIN(JSI60-JSI62,'Sources and Uses Budget'!JSI108-SUM('15 Year Pro Forma'!JSG66:JSH66))</f>
        <v>0</v>
      </c>
      <c r="JSK66" s="960">
        <f>MIN(JSK60-JSK62,'Sources and Uses Budget'!JSK108-SUM('15 Year Pro Forma'!JSI66:JSJ66))</f>
        <v>0</v>
      </c>
      <c r="JSM66" s="960">
        <f>MIN(JSM60-JSM62,'Sources and Uses Budget'!JSM108-SUM('15 Year Pro Forma'!JSK66:JSL66))</f>
        <v>0</v>
      </c>
      <c r="JSO66" s="960">
        <f>MIN(JSO60-JSO62,'Sources and Uses Budget'!JSO108-SUM('15 Year Pro Forma'!JSM66:JSN66))</f>
        <v>0</v>
      </c>
      <c r="JSQ66" s="960">
        <f>MIN(JSQ60-JSQ62,'Sources and Uses Budget'!JSQ108-SUM('15 Year Pro Forma'!JSO66:JSP66))</f>
        <v>0</v>
      </c>
      <c r="JSS66" s="960">
        <f>MIN(JSS60-JSS62,'Sources and Uses Budget'!JSS108-SUM('15 Year Pro Forma'!JSQ66:JSR66))</f>
        <v>0</v>
      </c>
      <c r="JSU66" s="960">
        <f>MIN(JSU60-JSU62,'Sources and Uses Budget'!JSU108-SUM('15 Year Pro Forma'!JSS66:JST66))</f>
        <v>0</v>
      </c>
      <c r="JSW66" s="960">
        <f>MIN(JSW60-JSW62,'Sources and Uses Budget'!JSW108-SUM('15 Year Pro Forma'!JSU66:JSV66))</f>
        <v>0</v>
      </c>
      <c r="JSY66" s="960">
        <f>MIN(JSY60-JSY62,'Sources and Uses Budget'!JSY108-SUM('15 Year Pro Forma'!JSW66:JSX66))</f>
        <v>0</v>
      </c>
      <c r="JTA66" s="960">
        <f>MIN(JTA60-JTA62,'Sources and Uses Budget'!JTA108-SUM('15 Year Pro Forma'!JSY66:JSZ66))</f>
        <v>0</v>
      </c>
      <c r="JTC66" s="960">
        <f>MIN(JTC60-JTC62,'Sources and Uses Budget'!JTC108-SUM('15 Year Pro Forma'!JTA66:JTB66))</f>
        <v>0</v>
      </c>
      <c r="JTE66" s="960">
        <f>MIN(JTE60-JTE62,'Sources and Uses Budget'!JTE108-SUM('15 Year Pro Forma'!JTC66:JTD66))</f>
        <v>0</v>
      </c>
      <c r="JTG66" s="960">
        <f>MIN(JTG60-JTG62,'Sources and Uses Budget'!JTG108-SUM('15 Year Pro Forma'!JTE66:JTF66))</f>
        <v>0</v>
      </c>
      <c r="JTI66" s="960">
        <f>MIN(JTI60-JTI62,'Sources and Uses Budget'!JTI108-SUM('15 Year Pro Forma'!JTG66:JTH66))</f>
        <v>0</v>
      </c>
      <c r="JTK66" s="960">
        <f>MIN(JTK60-JTK62,'Sources and Uses Budget'!JTK108-SUM('15 Year Pro Forma'!JTI66:JTJ66))</f>
        <v>0</v>
      </c>
      <c r="JTM66" s="960">
        <f>MIN(JTM60-JTM62,'Sources and Uses Budget'!JTM108-SUM('15 Year Pro Forma'!JTK66:JTL66))</f>
        <v>0</v>
      </c>
      <c r="JTO66" s="960">
        <f>MIN(JTO60-JTO62,'Sources and Uses Budget'!JTO108-SUM('15 Year Pro Forma'!JTM66:JTN66))</f>
        <v>0</v>
      </c>
      <c r="JTQ66" s="960">
        <f>MIN(JTQ60-JTQ62,'Sources and Uses Budget'!JTQ108-SUM('15 Year Pro Forma'!JTO66:JTP66))</f>
        <v>0</v>
      </c>
      <c r="JTS66" s="960">
        <f>MIN(JTS60-JTS62,'Sources and Uses Budget'!JTS108-SUM('15 Year Pro Forma'!JTQ66:JTR66))</f>
        <v>0</v>
      </c>
      <c r="JTU66" s="960">
        <f>MIN(JTU60-JTU62,'Sources and Uses Budget'!JTU108-SUM('15 Year Pro Forma'!JTS66:JTT66))</f>
        <v>0</v>
      </c>
      <c r="JTW66" s="960">
        <f>MIN(JTW60-JTW62,'Sources and Uses Budget'!JTW108-SUM('15 Year Pro Forma'!JTU66:JTV66))</f>
        <v>0</v>
      </c>
      <c r="JTY66" s="960">
        <f>MIN(JTY60-JTY62,'Sources and Uses Budget'!JTY108-SUM('15 Year Pro Forma'!JTW66:JTX66))</f>
        <v>0</v>
      </c>
      <c r="JUA66" s="960">
        <f>MIN(JUA60-JUA62,'Sources and Uses Budget'!JUA108-SUM('15 Year Pro Forma'!JTY66:JTZ66))</f>
        <v>0</v>
      </c>
      <c r="JUC66" s="960">
        <f>MIN(JUC60-JUC62,'Sources and Uses Budget'!JUC108-SUM('15 Year Pro Forma'!JUA66:JUB66))</f>
        <v>0</v>
      </c>
      <c r="JUE66" s="960">
        <f>MIN(JUE60-JUE62,'Sources and Uses Budget'!JUE108-SUM('15 Year Pro Forma'!JUC66:JUD66))</f>
        <v>0</v>
      </c>
      <c r="JUG66" s="960">
        <f>MIN(JUG60-JUG62,'Sources and Uses Budget'!JUG108-SUM('15 Year Pro Forma'!JUE66:JUF66))</f>
        <v>0</v>
      </c>
      <c r="JUI66" s="960">
        <f>MIN(JUI60-JUI62,'Sources and Uses Budget'!JUI108-SUM('15 Year Pro Forma'!JUG66:JUH66))</f>
        <v>0</v>
      </c>
      <c r="JUK66" s="960">
        <f>MIN(JUK60-JUK62,'Sources and Uses Budget'!JUK108-SUM('15 Year Pro Forma'!JUI66:JUJ66))</f>
        <v>0</v>
      </c>
      <c r="JUM66" s="960">
        <f>MIN(JUM60-JUM62,'Sources and Uses Budget'!JUM108-SUM('15 Year Pro Forma'!JUK66:JUL66))</f>
        <v>0</v>
      </c>
      <c r="JUO66" s="960">
        <f>MIN(JUO60-JUO62,'Sources and Uses Budget'!JUO108-SUM('15 Year Pro Forma'!JUM66:JUN66))</f>
        <v>0</v>
      </c>
      <c r="JUQ66" s="960">
        <f>MIN(JUQ60-JUQ62,'Sources and Uses Budget'!JUQ108-SUM('15 Year Pro Forma'!JUO66:JUP66))</f>
        <v>0</v>
      </c>
      <c r="JUS66" s="960">
        <f>MIN(JUS60-JUS62,'Sources and Uses Budget'!JUS108-SUM('15 Year Pro Forma'!JUQ66:JUR66))</f>
        <v>0</v>
      </c>
      <c r="JUU66" s="960">
        <f>MIN(JUU60-JUU62,'Sources and Uses Budget'!JUU108-SUM('15 Year Pro Forma'!JUS66:JUT66))</f>
        <v>0</v>
      </c>
      <c r="JUW66" s="960">
        <f>MIN(JUW60-JUW62,'Sources and Uses Budget'!JUW108-SUM('15 Year Pro Forma'!JUU66:JUV66))</f>
        <v>0</v>
      </c>
      <c r="JUY66" s="960">
        <f>MIN(JUY60-JUY62,'Sources and Uses Budget'!JUY108-SUM('15 Year Pro Forma'!JUW66:JUX66))</f>
        <v>0</v>
      </c>
      <c r="JVA66" s="960">
        <f>MIN(JVA60-JVA62,'Sources and Uses Budget'!JVA108-SUM('15 Year Pro Forma'!JUY66:JUZ66))</f>
        <v>0</v>
      </c>
      <c r="JVC66" s="960">
        <f>MIN(JVC60-JVC62,'Sources and Uses Budget'!JVC108-SUM('15 Year Pro Forma'!JVA66:JVB66))</f>
        <v>0</v>
      </c>
      <c r="JVE66" s="960">
        <f>MIN(JVE60-JVE62,'Sources and Uses Budget'!JVE108-SUM('15 Year Pro Forma'!JVC66:JVD66))</f>
        <v>0</v>
      </c>
      <c r="JVG66" s="960">
        <f>MIN(JVG60-JVG62,'Sources and Uses Budget'!JVG108-SUM('15 Year Pro Forma'!JVE66:JVF66))</f>
        <v>0</v>
      </c>
      <c r="JVI66" s="960">
        <f>MIN(JVI60-JVI62,'Sources and Uses Budget'!JVI108-SUM('15 Year Pro Forma'!JVG66:JVH66))</f>
        <v>0</v>
      </c>
      <c r="JVK66" s="960">
        <f>MIN(JVK60-JVK62,'Sources and Uses Budget'!JVK108-SUM('15 Year Pro Forma'!JVI66:JVJ66))</f>
        <v>0</v>
      </c>
      <c r="JVM66" s="960">
        <f>MIN(JVM60-JVM62,'Sources and Uses Budget'!JVM108-SUM('15 Year Pro Forma'!JVK66:JVL66))</f>
        <v>0</v>
      </c>
      <c r="JVO66" s="960">
        <f>MIN(JVO60-JVO62,'Sources and Uses Budget'!JVO108-SUM('15 Year Pro Forma'!JVM66:JVN66))</f>
        <v>0</v>
      </c>
      <c r="JVQ66" s="960">
        <f>MIN(JVQ60-JVQ62,'Sources and Uses Budget'!JVQ108-SUM('15 Year Pro Forma'!JVO66:JVP66))</f>
        <v>0</v>
      </c>
      <c r="JVS66" s="960">
        <f>MIN(JVS60-JVS62,'Sources and Uses Budget'!JVS108-SUM('15 Year Pro Forma'!JVQ66:JVR66))</f>
        <v>0</v>
      </c>
      <c r="JVU66" s="960">
        <f>MIN(JVU60-JVU62,'Sources and Uses Budget'!JVU108-SUM('15 Year Pro Forma'!JVS66:JVT66))</f>
        <v>0</v>
      </c>
      <c r="JVW66" s="960">
        <f>MIN(JVW60-JVW62,'Sources and Uses Budget'!JVW108-SUM('15 Year Pro Forma'!JVU66:JVV66))</f>
        <v>0</v>
      </c>
      <c r="JVY66" s="960">
        <f>MIN(JVY60-JVY62,'Sources and Uses Budget'!JVY108-SUM('15 Year Pro Forma'!JVW66:JVX66))</f>
        <v>0</v>
      </c>
      <c r="JWA66" s="960">
        <f>MIN(JWA60-JWA62,'Sources and Uses Budget'!JWA108-SUM('15 Year Pro Forma'!JVY66:JVZ66))</f>
        <v>0</v>
      </c>
      <c r="JWC66" s="960">
        <f>MIN(JWC60-JWC62,'Sources and Uses Budget'!JWC108-SUM('15 Year Pro Forma'!JWA66:JWB66))</f>
        <v>0</v>
      </c>
      <c r="JWE66" s="960">
        <f>MIN(JWE60-JWE62,'Sources and Uses Budget'!JWE108-SUM('15 Year Pro Forma'!JWC66:JWD66))</f>
        <v>0</v>
      </c>
      <c r="JWG66" s="960">
        <f>MIN(JWG60-JWG62,'Sources and Uses Budget'!JWG108-SUM('15 Year Pro Forma'!JWE66:JWF66))</f>
        <v>0</v>
      </c>
      <c r="JWI66" s="960">
        <f>MIN(JWI60-JWI62,'Sources and Uses Budget'!JWI108-SUM('15 Year Pro Forma'!JWG66:JWH66))</f>
        <v>0</v>
      </c>
      <c r="JWK66" s="960">
        <f>MIN(JWK60-JWK62,'Sources and Uses Budget'!JWK108-SUM('15 Year Pro Forma'!JWI66:JWJ66))</f>
        <v>0</v>
      </c>
      <c r="JWM66" s="960">
        <f>MIN(JWM60-JWM62,'Sources and Uses Budget'!JWM108-SUM('15 Year Pro Forma'!JWK66:JWL66))</f>
        <v>0</v>
      </c>
      <c r="JWO66" s="960">
        <f>MIN(JWO60-JWO62,'Sources and Uses Budget'!JWO108-SUM('15 Year Pro Forma'!JWM66:JWN66))</f>
        <v>0</v>
      </c>
      <c r="JWQ66" s="960">
        <f>MIN(JWQ60-JWQ62,'Sources and Uses Budget'!JWQ108-SUM('15 Year Pro Forma'!JWO66:JWP66))</f>
        <v>0</v>
      </c>
      <c r="JWS66" s="960">
        <f>MIN(JWS60-JWS62,'Sources and Uses Budget'!JWS108-SUM('15 Year Pro Forma'!JWQ66:JWR66))</f>
        <v>0</v>
      </c>
      <c r="JWU66" s="960">
        <f>MIN(JWU60-JWU62,'Sources and Uses Budget'!JWU108-SUM('15 Year Pro Forma'!JWS66:JWT66))</f>
        <v>0</v>
      </c>
      <c r="JWW66" s="960">
        <f>MIN(JWW60-JWW62,'Sources and Uses Budget'!JWW108-SUM('15 Year Pro Forma'!JWU66:JWV66))</f>
        <v>0</v>
      </c>
      <c r="JWY66" s="960">
        <f>MIN(JWY60-JWY62,'Sources and Uses Budget'!JWY108-SUM('15 Year Pro Forma'!JWW66:JWX66))</f>
        <v>0</v>
      </c>
      <c r="JXA66" s="960">
        <f>MIN(JXA60-JXA62,'Sources and Uses Budget'!JXA108-SUM('15 Year Pro Forma'!JWY66:JWZ66))</f>
        <v>0</v>
      </c>
      <c r="JXC66" s="960">
        <f>MIN(JXC60-JXC62,'Sources and Uses Budget'!JXC108-SUM('15 Year Pro Forma'!JXA66:JXB66))</f>
        <v>0</v>
      </c>
      <c r="JXE66" s="960">
        <f>MIN(JXE60-JXE62,'Sources and Uses Budget'!JXE108-SUM('15 Year Pro Forma'!JXC66:JXD66))</f>
        <v>0</v>
      </c>
      <c r="JXG66" s="960">
        <f>MIN(JXG60-JXG62,'Sources and Uses Budget'!JXG108-SUM('15 Year Pro Forma'!JXE66:JXF66))</f>
        <v>0</v>
      </c>
      <c r="JXI66" s="960">
        <f>MIN(JXI60-JXI62,'Sources and Uses Budget'!JXI108-SUM('15 Year Pro Forma'!JXG66:JXH66))</f>
        <v>0</v>
      </c>
      <c r="JXK66" s="960">
        <f>MIN(JXK60-JXK62,'Sources and Uses Budget'!JXK108-SUM('15 Year Pro Forma'!JXI66:JXJ66))</f>
        <v>0</v>
      </c>
      <c r="JXM66" s="960">
        <f>MIN(JXM60-JXM62,'Sources and Uses Budget'!JXM108-SUM('15 Year Pro Forma'!JXK66:JXL66))</f>
        <v>0</v>
      </c>
      <c r="JXO66" s="960">
        <f>MIN(JXO60-JXO62,'Sources and Uses Budget'!JXO108-SUM('15 Year Pro Forma'!JXM66:JXN66))</f>
        <v>0</v>
      </c>
      <c r="JXQ66" s="960">
        <f>MIN(JXQ60-JXQ62,'Sources and Uses Budget'!JXQ108-SUM('15 Year Pro Forma'!JXO66:JXP66))</f>
        <v>0</v>
      </c>
      <c r="JXS66" s="960">
        <f>MIN(JXS60-JXS62,'Sources and Uses Budget'!JXS108-SUM('15 Year Pro Forma'!JXQ66:JXR66))</f>
        <v>0</v>
      </c>
      <c r="JXU66" s="960">
        <f>MIN(JXU60-JXU62,'Sources and Uses Budget'!JXU108-SUM('15 Year Pro Forma'!JXS66:JXT66))</f>
        <v>0</v>
      </c>
      <c r="JXW66" s="960">
        <f>MIN(JXW60-JXW62,'Sources and Uses Budget'!JXW108-SUM('15 Year Pro Forma'!JXU66:JXV66))</f>
        <v>0</v>
      </c>
      <c r="JXY66" s="960">
        <f>MIN(JXY60-JXY62,'Sources and Uses Budget'!JXY108-SUM('15 Year Pro Forma'!JXW66:JXX66))</f>
        <v>0</v>
      </c>
      <c r="JYA66" s="960">
        <f>MIN(JYA60-JYA62,'Sources and Uses Budget'!JYA108-SUM('15 Year Pro Forma'!JXY66:JXZ66))</f>
        <v>0</v>
      </c>
      <c r="JYC66" s="960">
        <f>MIN(JYC60-JYC62,'Sources and Uses Budget'!JYC108-SUM('15 Year Pro Forma'!JYA66:JYB66))</f>
        <v>0</v>
      </c>
      <c r="JYE66" s="960">
        <f>MIN(JYE60-JYE62,'Sources and Uses Budget'!JYE108-SUM('15 Year Pro Forma'!JYC66:JYD66))</f>
        <v>0</v>
      </c>
      <c r="JYG66" s="960">
        <f>MIN(JYG60-JYG62,'Sources and Uses Budget'!JYG108-SUM('15 Year Pro Forma'!JYE66:JYF66))</f>
        <v>0</v>
      </c>
      <c r="JYI66" s="960">
        <f>MIN(JYI60-JYI62,'Sources and Uses Budget'!JYI108-SUM('15 Year Pro Forma'!JYG66:JYH66))</f>
        <v>0</v>
      </c>
      <c r="JYK66" s="960">
        <f>MIN(JYK60-JYK62,'Sources and Uses Budget'!JYK108-SUM('15 Year Pro Forma'!JYI66:JYJ66))</f>
        <v>0</v>
      </c>
      <c r="JYM66" s="960">
        <f>MIN(JYM60-JYM62,'Sources and Uses Budget'!JYM108-SUM('15 Year Pro Forma'!JYK66:JYL66))</f>
        <v>0</v>
      </c>
      <c r="JYO66" s="960">
        <f>MIN(JYO60-JYO62,'Sources and Uses Budget'!JYO108-SUM('15 Year Pro Forma'!JYM66:JYN66))</f>
        <v>0</v>
      </c>
      <c r="JYQ66" s="960">
        <f>MIN(JYQ60-JYQ62,'Sources and Uses Budget'!JYQ108-SUM('15 Year Pro Forma'!JYO66:JYP66))</f>
        <v>0</v>
      </c>
      <c r="JYS66" s="960">
        <f>MIN(JYS60-JYS62,'Sources and Uses Budget'!JYS108-SUM('15 Year Pro Forma'!JYQ66:JYR66))</f>
        <v>0</v>
      </c>
      <c r="JYU66" s="960">
        <f>MIN(JYU60-JYU62,'Sources and Uses Budget'!JYU108-SUM('15 Year Pro Forma'!JYS66:JYT66))</f>
        <v>0</v>
      </c>
      <c r="JYW66" s="960">
        <f>MIN(JYW60-JYW62,'Sources and Uses Budget'!JYW108-SUM('15 Year Pro Forma'!JYU66:JYV66))</f>
        <v>0</v>
      </c>
      <c r="JYY66" s="960">
        <f>MIN(JYY60-JYY62,'Sources and Uses Budget'!JYY108-SUM('15 Year Pro Forma'!JYW66:JYX66))</f>
        <v>0</v>
      </c>
      <c r="JZA66" s="960">
        <f>MIN(JZA60-JZA62,'Sources and Uses Budget'!JZA108-SUM('15 Year Pro Forma'!JYY66:JYZ66))</f>
        <v>0</v>
      </c>
      <c r="JZC66" s="960">
        <f>MIN(JZC60-JZC62,'Sources and Uses Budget'!JZC108-SUM('15 Year Pro Forma'!JZA66:JZB66))</f>
        <v>0</v>
      </c>
      <c r="JZE66" s="960">
        <f>MIN(JZE60-JZE62,'Sources and Uses Budget'!JZE108-SUM('15 Year Pro Forma'!JZC66:JZD66))</f>
        <v>0</v>
      </c>
      <c r="JZG66" s="960">
        <f>MIN(JZG60-JZG62,'Sources and Uses Budget'!JZG108-SUM('15 Year Pro Forma'!JZE66:JZF66))</f>
        <v>0</v>
      </c>
      <c r="JZI66" s="960">
        <f>MIN(JZI60-JZI62,'Sources and Uses Budget'!JZI108-SUM('15 Year Pro Forma'!JZG66:JZH66))</f>
        <v>0</v>
      </c>
      <c r="JZK66" s="960">
        <f>MIN(JZK60-JZK62,'Sources and Uses Budget'!JZK108-SUM('15 Year Pro Forma'!JZI66:JZJ66))</f>
        <v>0</v>
      </c>
      <c r="JZM66" s="960">
        <f>MIN(JZM60-JZM62,'Sources and Uses Budget'!JZM108-SUM('15 Year Pro Forma'!JZK66:JZL66))</f>
        <v>0</v>
      </c>
      <c r="JZO66" s="960">
        <f>MIN(JZO60-JZO62,'Sources and Uses Budget'!JZO108-SUM('15 Year Pro Forma'!JZM66:JZN66))</f>
        <v>0</v>
      </c>
      <c r="JZQ66" s="960">
        <f>MIN(JZQ60-JZQ62,'Sources and Uses Budget'!JZQ108-SUM('15 Year Pro Forma'!JZO66:JZP66))</f>
        <v>0</v>
      </c>
      <c r="JZS66" s="960">
        <f>MIN(JZS60-JZS62,'Sources and Uses Budget'!JZS108-SUM('15 Year Pro Forma'!JZQ66:JZR66))</f>
        <v>0</v>
      </c>
      <c r="JZU66" s="960">
        <f>MIN(JZU60-JZU62,'Sources and Uses Budget'!JZU108-SUM('15 Year Pro Forma'!JZS66:JZT66))</f>
        <v>0</v>
      </c>
      <c r="JZW66" s="960">
        <f>MIN(JZW60-JZW62,'Sources and Uses Budget'!JZW108-SUM('15 Year Pro Forma'!JZU66:JZV66))</f>
        <v>0</v>
      </c>
      <c r="JZY66" s="960">
        <f>MIN(JZY60-JZY62,'Sources and Uses Budget'!JZY108-SUM('15 Year Pro Forma'!JZW66:JZX66))</f>
        <v>0</v>
      </c>
      <c r="KAA66" s="960">
        <f>MIN(KAA60-KAA62,'Sources and Uses Budget'!KAA108-SUM('15 Year Pro Forma'!JZY66:JZZ66))</f>
        <v>0</v>
      </c>
      <c r="KAC66" s="960">
        <f>MIN(KAC60-KAC62,'Sources and Uses Budget'!KAC108-SUM('15 Year Pro Forma'!KAA66:KAB66))</f>
        <v>0</v>
      </c>
      <c r="KAE66" s="960">
        <f>MIN(KAE60-KAE62,'Sources and Uses Budget'!KAE108-SUM('15 Year Pro Forma'!KAC66:KAD66))</f>
        <v>0</v>
      </c>
      <c r="KAG66" s="960">
        <f>MIN(KAG60-KAG62,'Sources and Uses Budget'!KAG108-SUM('15 Year Pro Forma'!KAE66:KAF66))</f>
        <v>0</v>
      </c>
      <c r="KAI66" s="960">
        <f>MIN(KAI60-KAI62,'Sources and Uses Budget'!KAI108-SUM('15 Year Pro Forma'!KAG66:KAH66))</f>
        <v>0</v>
      </c>
      <c r="KAK66" s="960">
        <f>MIN(KAK60-KAK62,'Sources and Uses Budget'!KAK108-SUM('15 Year Pro Forma'!KAI66:KAJ66))</f>
        <v>0</v>
      </c>
      <c r="KAM66" s="960">
        <f>MIN(KAM60-KAM62,'Sources and Uses Budget'!KAM108-SUM('15 Year Pro Forma'!KAK66:KAL66))</f>
        <v>0</v>
      </c>
      <c r="KAO66" s="960">
        <f>MIN(KAO60-KAO62,'Sources and Uses Budget'!KAO108-SUM('15 Year Pro Forma'!KAM66:KAN66))</f>
        <v>0</v>
      </c>
      <c r="KAQ66" s="960">
        <f>MIN(KAQ60-KAQ62,'Sources and Uses Budget'!KAQ108-SUM('15 Year Pro Forma'!KAO66:KAP66))</f>
        <v>0</v>
      </c>
      <c r="KAS66" s="960">
        <f>MIN(KAS60-KAS62,'Sources and Uses Budget'!KAS108-SUM('15 Year Pro Forma'!KAQ66:KAR66))</f>
        <v>0</v>
      </c>
      <c r="KAU66" s="960">
        <f>MIN(KAU60-KAU62,'Sources and Uses Budget'!KAU108-SUM('15 Year Pro Forma'!KAS66:KAT66))</f>
        <v>0</v>
      </c>
      <c r="KAW66" s="960">
        <f>MIN(KAW60-KAW62,'Sources and Uses Budget'!KAW108-SUM('15 Year Pro Forma'!KAU66:KAV66))</f>
        <v>0</v>
      </c>
      <c r="KAY66" s="960">
        <f>MIN(KAY60-KAY62,'Sources and Uses Budget'!KAY108-SUM('15 Year Pro Forma'!KAW66:KAX66))</f>
        <v>0</v>
      </c>
      <c r="KBA66" s="960">
        <f>MIN(KBA60-KBA62,'Sources and Uses Budget'!KBA108-SUM('15 Year Pro Forma'!KAY66:KAZ66))</f>
        <v>0</v>
      </c>
      <c r="KBC66" s="960">
        <f>MIN(KBC60-KBC62,'Sources and Uses Budget'!KBC108-SUM('15 Year Pro Forma'!KBA66:KBB66))</f>
        <v>0</v>
      </c>
      <c r="KBE66" s="960">
        <f>MIN(KBE60-KBE62,'Sources and Uses Budget'!KBE108-SUM('15 Year Pro Forma'!KBC66:KBD66))</f>
        <v>0</v>
      </c>
      <c r="KBG66" s="960">
        <f>MIN(KBG60-KBG62,'Sources and Uses Budget'!KBG108-SUM('15 Year Pro Forma'!KBE66:KBF66))</f>
        <v>0</v>
      </c>
      <c r="KBI66" s="960">
        <f>MIN(KBI60-KBI62,'Sources and Uses Budget'!KBI108-SUM('15 Year Pro Forma'!KBG66:KBH66))</f>
        <v>0</v>
      </c>
      <c r="KBK66" s="960">
        <f>MIN(KBK60-KBK62,'Sources and Uses Budget'!KBK108-SUM('15 Year Pro Forma'!KBI66:KBJ66))</f>
        <v>0</v>
      </c>
      <c r="KBM66" s="960">
        <f>MIN(KBM60-KBM62,'Sources and Uses Budget'!KBM108-SUM('15 Year Pro Forma'!KBK66:KBL66))</f>
        <v>0</v>
      </c>
      <c r="KBO66" s="960">
        <f>MIN(KBO60-KBO62,'Sources and Uses Budget'!KBO108-SUM('15 Year Pro Forma'!KBM66:KBN66))</f>
        <v>0</v>
      </c>
      <c r="KBQ66" s="960">
        <f>MIN(KBQ60-KBQ62,'Sources and Uses Budget'!KBQ108-SUM('15 Year Pro Forma'!KBO66:KBP66))</f>
        <v>0</v>
      </c>
      <c r="KBS66" s="960">
        <f>MIN(KBS60-KBS62,'Sources and Uses Budget'!KBS108-SUM('15 Year Pro Forma'!KBQ66:KBR66))</f>
        <v>0</v>
      </c>
      <c r="KBU66" s="960">
        <f>MIN(KBU60-KBU62,'Sources and Uses Budget'!KBU108-SUM('15 Year Pro Forma'!KBS66:KBT66))</f>
        <v>0</v>
      </c>
      <c r="KBW66" s="960">
        <f>MIN(KBW60-KBW62,'Sources and Uses Budget'!KBW108-SUM('15 Year Pro Forma'!KBU66:KBV66))</f>
        <v>0</v>
      </c>
      <c r="KBY66" s="960">
        <f>MIN(KBY60-KBY62,'Sources and Uses Budget'!KBY108-SUM('15 Year Pro Forma'!KBW66:KBX66))</f>
        <v>0</v>
      </c>
      <c r="KCA66" s="960">
        <f>MIN(KCA60-KCA62,'Sources and Uses Budget'!KCA108-SUM('15 Year Pro Forma'!KBY66:KBZ66))</f>
        <v>0</v>
      </c>
      <c r="KCC66" s="960">
        <f>MIN(KCC60-KCC62,'Sources and Uses Budget'!KCC108-SUM('15 Year Pro Forma'!KCA66:KCB66))</f>
        <v>0</v>
      </c>
      <c r="KCE66" s="960">
        <f>MIN(KCE60-KCE62,'Sources and Uses Budget'!KCE108-SUM('15 Year Pro Forma'!KCC66:KCD66))</f>
        <v>0</v>
      </c>
      <c r="KCG66" s="960">
        <f>MIN(KCG60-KCG62,'Sources and Uses Budget'!KCG108-SUM('15 Year Pro Forma'!KCE66:KCF66))</f>
        <v>0</v>
      </c>
      <c r="KCI66" s="960">
        <f>MIN(KCI60-KCI62,'Sources and Uses Budget'!KCI108-SUM('15 Year Pro Forma'!KCG66:KCH66))</f>
        <v>0</v>
      </c>
      <c r="KCK66" s="960">
        <f>MIN(KCK60-KCK62,'Sources and Uses Budget'!KCK108-SUM('15 Year Pro Forma'!KCI66:KCJ66))</f>
        <v>0</v>
      </c>
      <c r="KCM66" s="960">
        <f>MIN(KCM60-KCM62,'Sources and Uses Budget'!KCM108-SUM('15 Year Pro Forma'!KCK66:KCL66))</f>
        <v>0</v>
      </c>
      <c r="KCO66" s="960">
        <f>MIN(KCO60-KCO62,'Sources and Uses Budget'!KCO108-SUM('15 Year Pro Forma'!KCM66:KCN66))</f>
        <v>0</v>
      </c>
      <c r="KCQ66" s="960">
        <f>MIN(KCQ60-KCQ62,'Sources and Uses Budget'!KCQ108-SUM('15 Year Pro Forma'!KCO66:KCP66))</f>
        <v>0</v>
      </c>
      <c r="KCS66" s="960">
        <f>MIN(KCS60-KCS62,'Sources and Uses Budget'!KCS108-SUM('15 Year Pro Forma'!KCQ66:KCR66))</f>
        <v>0</v>
      </c>
      <c r="KCU66" s="960">
        <f>MIN(KCU60-KCU62,'Sources and Uses Budget'!KCU108-SUM('15 Year Pro Forma'!KCS66:KCT66))</f>
        <v>0</v>
      </c>
      <c r="KCW66" s="960">
        <f>MIN(KCW60-KCW62,'Sources and Uses Budget'!KCW108-SUM('15 Year Pro Forma'!KCU66:KCV66))</f>
        <v>0</v>
      </c>
      <c r="KCY66" s="960">
        <f>MIN(KCY60-KCY62,'Sources and Uses Budget'!KCY108-SUM('15 Year Pro Forma'!KCW66:KCX66))</f>
        <v>0</v>
      </c>
      <c r="KDA66" s="960">
        <f>MIN(KDA60-KDA62,'Sources and Uses Budget'!KDA108-SUM('15 Year Pro Forma'!KCY66:KCZ66))</f>
        <v>0</v>
      </c>
      <c r="KDC66" s="960">
        <f>MIN(KDC60-KDC62,'Sources and Uses Budget'!KDC108-SUM('15 Year Pro Forma'!KDA66:KDB66))</f>
        <v>0</v>
      </c>
      <c r="KDE66" s="960">
        <f>MIN(KDE60-KDE62,'Sources and Uses Budget'!KDE108-SUM('15 Year Pro Forma'!KDC66:KDD66))</f>
        <v>0</v>
      </c>
      <c r="KDG66" s="960">
        <f>MIN(KDG60-KDG62,'Sources and Uses Budget'!KDG108-SUM('15 Year Pro Forma'!KDE66:KDF66))</f>
        <v>0</v>
      </c>
      <c r="KDI66" s="960">
        <f>MIN(KDI60-KDI62,'Sources and Uses Budget'!KDI108-SUM('15 Year Pro Forma'!KDG66:KDH66))</f>
        <v>0</v>
      </c>
      <c r="KDK66" s="960">
        <f>MIN(KDK60-KDK62,'Sources and Uses Budget'!KDK108-SUM('15 Year Pro Forma'!KDI66:KDJ66))</f>
        <v>0</v>
      </c>
      <c r="KDM66" s="960">
        <f>MIN(KDM60-KDM62,'Sources and Uses Budget'!KDM108-SUM('15 Year Pro Forma'!KDK66:KDL66))</f>
        <v>0</v>
      </c>
      <c r="KDO66" s="960">
        <f>MIN(KDO60-KDO62,'Sources and Uses Budget'!KDO108-SUM('15 Year Pro Forma'!KDM66:KDN66))</f>
        <v>0</v>
      </c>
      <c r="KDQ66" s="960">
        <f>MIN(KDQ60-KDQ62,'Sources and Uses Budget'!KDQ108-SUM('15 Year Pro Forma'!KDO66:KDP66))</f>
        <v>0</v>
      </c>
      <c r="KDS66" s="960">
        <f>MIN(KDS60-KDS62,'Sources and Uses Budget'!KDS108-SUM('15 Year Pro Forma'!KDQ66:KDR66))</f>
        <v>0</v>
      </c>
      <c r="KDU66" s="960">
        <f>MIN(KDU60-KDU62,'Sources and Uses Budget'!KDU108-SUM('15 Year Pro Forma'!KDS66:KDT66))</f>
        <v>0</v>
      </c>
      <c r="KDW66" s="960">
        <f>MIN(KDW60-KDW62,'Sources and Uses Budget'!KDW108-SUM('15 Year Pro Forma'!KDU66:KDV66))</f>
        <v>0</v>
      </c>
      <c r="KDY66" s="960">
        <f>MIN(KDY60-KDY62,'Sources and Uses Budget'!KDY108-SUM('15 Year Pro Forma'!KDW66:KDX66))</f>
        <v>0</v>
      </c>
      <c r="KEA66" s="960">
        <f>MIN(KEA60-KEA62,'Sources and Uses Budget'!KEA108-SUM('15 Year Pro Forma'!KDY66:KDZ66))</f>
        <v>0</v>
      </c>
      <c r="KEC66" s="960">
        <f>MIN(KEC60-KEC62,'Sources and Uses Budget'!KEC108-SUM('15 Year Pro Forma'!KEA66:KEB66))</f>
        <v>0</v>
      </c>
      <c r="KEE66" s="960">
        <f>MIN(KEE60-KEE62,'Sources and Uses Budget'!KEE108-SUM('15 Year Pro Forma'!KEC66:KED66))</f>
        <v>0</v>
      </c>
      <c r="KEG66" s="960">
        <f>MIN(KEG60-KEG62,'Sources and Uses Budget'!KEG108-SUM('15 Year Pro Forma'!KEE66:KEF66))</f>
        <v>0</v>
      </c>
      <c r="KEI66" s="960">
        <f>MIN(KEI60-KEI62,'Sources and Uses Budget'!KEI108-SUM('15 Year Pro Forma'!KEG66:KEH66))</f>
        <v>0</v>
      </c>
      <c r="KEK66" s="960">
        <f>MIN(KEK60-KEK62,'Sources and Uses Budget'!KEK108-SUM('15 Year Pro Forma'!KEI66:KEJ66))</f>
        <v>0</v>
      </c>
      <c r="KEM66" s="960">
        <f>MIN(KEM60-KEM62,'Sources and Uses Budget'!KEM108-SUM('15 Year Pro Forma'!KEK66:KEL66))</f>
        <v>0</v>
      </c>
      <c r="KEO66" s="960">
        <f>MIN(KEO60-KEO62,'Sources and Uses Budget'!KEO108-SUM('15 Year Pro Forma'!KEM66:KEN66))</f>
        <v>0</v>
      </c>
      <c r="KEQ66" s="960">
        <f>MIN(KEQ60-KEQ62,'Sources and Uses Budget'!KEQ108-SUM('15 Year Pro Forma'!KEO66:KEP66))</f>
        <v>0</v>
      </c>
      <c r="KES66" s="960">
        <f>MIN(KES60-KES62,'Sources and Uses Budget'!KES108-SUM('15 Year Pro Forma'!KEQ66:KER66))</f>
        <v>0</v>
      </c>
      <c r="KEU66" s="960">
        <f>MIN(KEU60-KEU62,'Sources and Uses Budget'!KEU108-SUM('15 Year Pro Forma'!KES66:KET66))</f>
        <v>0</v>
      </c>
      <c r="KEW66" s="960">
        <f>MIN(KEW60-KEW62,'Sources and Uses Budget'!KEW108-SUM('15 Year Pro Forma'!KEU66:KEV66))</f>
        <v>0</v>
      </c>
      <c r="KEY66" s="960">
        <f>MIN(KEY60-KEY62,'Sources and Uses Budget'!KEY108-SUM('15 Year Pro Forma'!KEW66:KEX66))</f>
        <v>0</v>
      </c>
      <c r="KFA66" s="960">
        <f>MIN(KFA60-KFA62,'Sources and Uses Budget'!KFA108-SUM('15 Year Pro Forma'!KEY66:KEZ66))</f>
        <v>0</v>
      </c>
      <c r="KFC66" s="960">
        <f>MIN(KFC60-KFC62,'Sources and Uses Budget'!KFC108-SUM('15 Year Pro Forma'!KFA66:KFB66))</f>
        <v>0</v>
      </c>
      <c r="KFE66" s="960">
        <f>MIN(KFE60-KFE62,'Sources and Uses Budget'!KFE108-SUM('15 Year Pro Forma'!KFC66:KFD66))</f>
        <v>0</v>
      </c>
      <c r="KFG66" s="960">
        <f>MIN(KFG60-KFG62,'Sources and Uses Budget'!KFG108-SUM('15 Year Pro Forma'!KFE66:KFF66))</f>
        <v>0</v>
      </c>
      <c r="KFI66" s="960">
        <f>MIN(KFI60-KFI62,'Sources and Uses Budget'!KFI108-SUM('15 Year Pro Forma'!KFG66:KFH66))</f>
        <v>0</v>
      </c>
      <c r="KFK66" s="960">
        <f>MIN(KFK60-KFK62,'Sources and Uses Budget'!KFK108-SUM('15 Year Pro Forma'!KFI66:KFJ66))</f>
        <v>0</v>
      </c>
      <c r="KFM66" s="960">
        <f>MIN(KFM60-KFM62,'Sources and Uses Budget'!KFM108-SUM('15 Year Pro Forma'!KFK66:KFL66))</f>
        <v>0</v>
      </c>
      <c r="KFO66" s="960">
        <f>MIN(KFO60-KFO62,'Sources and Uses Budget'!KFO108-SUM('15 Year Pro Forma'!KFM66:KFN66))</f>
        <v>0</v>
      </c>
      <c r="KFQ66" s="960">
        <f>MIN(KFQ60-KFQ62,'Sources and Uses Budget'!KFQ108-SUM('15 Year Pro Forma'!KFO66:KFP66))</f>
        <v>0</v>
      </c>
      <c r="KFS66" s="960">
        <f>MIN(KFS60-KFS62,'Sources and Uses Budget'!KFS108-SUM('15 Year Pro Forma'!KFQ66:KFR66))</f>
        <v>0</v>
      </c>
      <c r="KFU66" s="960">
        <f>MIN(KFU60-KFU62,'Sources and Uses Budget'!KFU108-SUM('15 Year Pro Forma'!KFS66:KFT66))</f>
        <v>0</v>
      </c>
      <c r="KFW66" s="960">
        <f>MIN(KFW60-KFW62,'Sources and Uses Budget'!KFW108-SUM('15 Year Pro Forma'!KFU66:KFV66))</f>
        <v>0</v>
      </c>
      <c r="KFY66" s="960">
        <f>MIN(KFY60-KFY62,'Sources and Uses Budget'!KFY108-SUM('15 Year Pro Forma'!KFW66:KFX66))</f>
        <v>0</v>
      </c>
      <c r="KGA66" s="960">
        <f>MIN(KGA60-KGA62,'Sources and Uses Budget'!KGA108-SUM('15 Year Pro Forma'!KFY66:KFZ66))</f>
        <v>0</v>
      </c>
      <c r="KGC66" s="960">
        <f>MIN(KGC60-KGC62,'Sources and Uses Budget'!KGC108-SUM('15 Year Pro Forma'!KGA66:KGB66))</f>
        <v>0</v>
      </c>
      <c r="KGE66" s="960">
        <f>MIN(KGE60-KGE62,'Sources and Uses Budget'!KGE108-SUM('15 Year Pro Forma'!KGC66:KGD66))</f>
        <v>0</v>
      </c>
      <c r="KGG66" s="960">
        <f>MIN(KGG60-KGG62,'Sources and Uses Budget'!KGG108-SUM('15 Year Pro Forma'!KGE66:KGF66))</f>
        <v>0</v>
      </c>
      <c r="KGI66" s="960">
        <f>MIN(KGI60-KGI62,'Sources and Uses Budget'!KGI108-SUM('15 Year Pro Forma'!KGG66:KGH66))</f>
        <v>0</v>
      </c>
      <c r="KGK66" s="960">
        <f>MIN(KGK60-KGK62,'Sources and Uses Budget'!KGK108-SUM('15 Year Pro Forma'!KGI66:KGJ66))</f>
        <v>0</v>
      </c>
      <c r="KGM66" s="960">
        <f>MIN(KGM60-KGM62,'Sources and Uses Budget'!KGM108-SUM('15 Year Pro Forma'!KGK66:KGL66))</f>
        <v>0</v>
      </c>
      <c r="KGO66" s="960">
        <f>MIN(KGO60-KGO62,'Sources and Uses Budget'!KGO108-SUM('15 Year Pro Forma'!KGM66:KGN66))</f>
        <v>0</v>
      </c>
      <c r="KGQ66" s="960">
        <f>MIN(KGQ60-KGQ62,'Sources and Uses Budget'!KGQ108-SUM('15 Year Pro Forma'!KGO66:KGP66))</f>
        <v>0</v>
      </c>
      <c r="KGS66" s="960">
        <f>MIN(KGS60-KGS62,'Sources and Uses Budget'!KGS108-SUM('15 Year Pro Forma'!KGQ66:KGR66))</f>
        <v>0</v>
      </c>
      <c r="KGU66" s="960">
        <f>MIN(KGU60-KGU62,'Sources and Uses Budget'!KGU108-SUM('15 Year Pro Forma'!KGS66:KGT66))</f>
        <v>0</v>
      </c>
      <c r="KGW66" s="960">
        <f>MIN(KGW60-KGW62,'Sources and Uses Budget'!KGW108-SUM('15 Year Pro Forma'!KGU66:KGV66))</f>
        <v>0</v>
      </c>
      <c r="KGY66" s="960">
        <f>MIN(KGY60-KGY62,'Sources and Uses Budget'!KGY108-SUM('15 Year Pro Forma'!KGW66:KGX66))</f>
        <v>0</v>
      </c>
      <c r="KHA66" s="960">
        <f>MIN(KHA60-KHA62,'Sources and Uses Budget'!KHA108-SUM('15 Year Pro Forma'!KGY66:KGZ66))</f>
        <v>0</v>
      </c>
      <c r="KHC66" s="960">
        <f>MIN(KHC60-KHC62,'Sources and Uses Budget'!KHC108-SUM('15 Year Pro Forma'!KHA66:KHB66))</f>
        <v>0</v>
      </c>
      <c r="KHE66" s="960">
        <f>MIN(KHE60-KHE62,'Sources and Uses Budget'!KHE108-SUM('15 Year Pro Forma'!KHC66:KHD66))</f>
        <v>0</v>
      </c>
      <c r="KHG66" s="960">
        <f>MIN(KHG60-KHG62,'Sources and Uses Budget'!KHG108-SUM('15 Year Pro Forma'!KHE66:KHF66))</f>
        <v>0</v>
      </c>
      <c r="KHI66" s="960">
        <f>MIN(KHI60-KHI62,'Sources and Uses Budget'!KHI108-SUM('15 Year Pro Forma'!KHG66:KHH66))</f>
        <v>0</v>
      </c>
      <c r="KHK66" s="960">
        <f>MIN(KHK60-KHK62,'Sources and Uses Budget'!KHK108-SUM('15 Year Pro Forma'!KHI66:KHJ66))</f>
        <v>0</v>
      </c>
      <c r="KHM66" s="960">
        <f>MIN(KHM60-KHM62,'Sources and Uses Budget'!KHM108-SUM('15 Year Pro Forma'!KHK66:KHL66))</f>
        <v>0</v>
      </c>
      <c r="KHO66" s="960">
        <f>MIN(KHO60-KHO62,'Sources and Uses Budget'!KHO108-SUM('15 Year Pro Forma'!KHM66:KHN66))</f>
        <v>0</v>
      </c>
      <c r="KHQ66" s="960">
        <f>MIN(KHQ60-KHQ62,'Sources and Uses Budget'!KHQ108-SUM('15 Year Pro Forma'!KHO66:KHP66))</f>
        <v>0</v>
      </c>
      <c r="KHS66" s="960">
        <f>MIN(KHS60-KHS62,'Sources and Uses Budget'!KHS108-SUM('15 Year Pro Forma'!KHQ66:KHR66))</f>
        <v>0</v>
      </c>
      <c r="KHU66" s="960">
        <f>MIN(KHU60-KHU62,'Sources and Uses Budget'!KHU108-SUM('15 Year Pro Forma'!KHS66:KHT66))</f>
        <v>0</v>
      </c>
      <c r="KHW66" s="960">
        <f>MIN(KHW60-KHW62,'Sources and Uses Budget'!KHW108-SUM('15 Year Pro Forma'!KHU66:KHV66))</f>
        <v>0</v>
      </c>
      <c r="KHY66" s="960">
        <f>MIN(KHY60-KHY62,'Sources and Uses Budget'!KHY108-SUM('15 Year Pro Forma'!KHW66:KHX66))</f>
        <v>0</v>
      </c>
      <c r="KIA66" s="960">
        <f>MIN(KIA60-KIA62,'Sources and Uses Budget'!KIA108-SUM('15 Year Pro Forma'!KHY66:KHZ66))</f>
        <v>0</v>
      </c>
      <c r="KIC66" s="960">
        <f>MIN(KIC60-KIC62,'Sources and Uses Budget'!KIC108-SUM('15 Year Pro Forma'!KIA66:KIB66))</f>
        <v>0</v>
      </c>
      <c r="KIE66" s="960">
        <f>MIN(KIE60-KIE62,'Sources and Uses Budget'!KIE108-SUM('15 Year Pro Forma'!KIC66:KID66))</f>
        <v>0</v>
      </c>
      <c r="KIG66" s="960">
        <f>MIN(KIG60-KIG62,'Sources and Uses Budget'!KIG108-SUM('15 Year Pro Forma'!KIE66:KIF66))</f>
        <v>0</v>
      </c>
      <c r="KII66" s="960">
        <f>MIN(KII60-KII62,'Sources and Uses Budget'!KII108-SUM('15 Year Pro Forma'!KIG66:KIH66))</f>
        <v>0</v>
      </c>
      <c r="KIK66" s="960">
        <f>MIN(KIK60-KIK62,'Sources and Uses Budget'!KIK108-SUM('15 Year Pro Forma'!KII66:KIJ66))</f>
        <v>0</v>
      </c>
      <c r="KIM66" s="960">
        <f>MIN(KIM60-KIM62,'Sources and Uses Budget'!KIM108-SUM('15 Year Pro Forma'!KIK66:KIL66))</f>
        <v>0</v>
      </c>
      <c r="KIO66" s="960">
        <f>MIN(KIO60-KIO62,'Sources and Uses Budget'!KIO108-SUM('15 Year Pro Forma'!KIM66:KIN66))</f>
        <v>0</v>
      </c>
      <c r="KIQ66" s="960">
        <f>MIN(KIQ60-KIQ62,'Sources and Uses Budget'!KIQ108-SUM('15 Year Pro Forma'!KIO66:KIP66))</f>
        <v>0</v>
      </c>
      <c r="KIS66" s="960">
        <f>MIN(KIS60-KIS62,'Sources and Uses Budget'!KIS108-SUM('15 Year Pro Forma'!KIQ66:KIR66))</f>
        <v>0</v>
      </c>
      <c r="KIU66" s="960">
        <f>MIN(KIU60-KIU62,'Sources and Uses Budget'!KIU108-SUM('15 Year Pro Forma'!KIS66:KIT66))</f>
        <v>0</v>
      </c>
      <c r="KIW66" s="960">
        <f>MIN(KIW60-KIW62,'Sources and Uses Budget'!KIW108-SUM('15 Year Pro Forma'!KIU66:KIV66))</f>
        <v>0</v>
      </c>
      <c r="KIY66" s="960">
        <f>MIN(KIY60-KIY62,'Sources and Uses Budget'!KIY108-SUM('15 Year Pro Forma'!KIW66:KIX66))</f>
        <v>0</v>
      </c>
      <c r="KJA66" s="960">
        <f>MIN(KJA60-KJA62,'Sources and Uses Budget'!KJA108-SUM('15 Year Pro Forma'!KIY66:KIZ66))</f>
        <v>0</v>
      </c>
      <c r="KJC66" s="960">
        <f>MIN(KJC60-KJC62,'Sources and Uses Budget'!KJC108-SUM('15 Year Pro Forma'!KJA66:KJB66))</f>
        <v>0</v>
      </c>
      <c r="KJE66" s="960">
        <f>MIN(KJE60-KJE62,'Sources and Uses Budget'!KJE108-SUM('15 Year Pro Forma'!KJC66:KJD66))</f>
        <v>0</v>
      </c>
      <c r="KJG66" s="960">
        <f>MIN(KJG60-KJG62,'Sources and Uses Budget'!KJG108-SUM('15 Year Pro Forma'!KJE66:KJF66))</f>
        <v>0</v>
      </c>
      <c r="KJI66" s="960">
        <f>MIN(KJI60-KJI62,'Sources and Uses Budget'!KJI108-SUM('15 Year Pro Forma'!KJG66:KJH66))</f>
        <v>0</v>
      </c>
      <c r="KJK66" s="960">
        <f>MIN(KJK60-KJK62,'Sources and Uses Budget'!KJK108-SUM('15 Year Pro Forma'!KJI66:KJJ66))</f>
        <v>0</v>
      </c>
      <c r="KJM66" s="960">
        <f>MIN(KJM60-KJM62,'Sources and Uses Budget'!KJM108-SUM('15 Year Pro Forma'!KJK66:KJL66))</f>
        <v>0</v>
      </c>
      <c r="KJO66" s="960">
        <f>MIN(KJO60-KJO62,'Sources and Uses Budget'!KJO108-SUM('15 Year Pro Forma'!KJM66:KJN66))</f>
        <v>0</v>
      </c>
      <c r="KJQ66" s="960">
        <f>MIN(KJQ60-KJQ62,'Sources and Uses Budget'!KJQ108-SUM('15 Year Pro Forma'!KJO66:KJP66))</f>
        <v>0</v>
      </c>
      <c r="KJS66" s="960">
        <f>MIN(KJS60-KJS62,'Sources and Uses Budget'!KJS108-SUM('15 Year Pro Forma'!KJQ66:KJR66))</f>
        <v>0</v>
      </c>
      <c r="KJU66" s="960">
        <f>MIN(KJU60-KJU62,'Sources and Uses Budget'!KJU108-SUM('15 Year Pro Forma'!KJS66:KJT66))</f>
        <v>0</v>
      </c>
      <c r="KJW66" s="960">
        <f>MIN(KJW60-KJW62,'Sources and Uses Budget'!KJW108-SUM('15 Year Pro Forma'!KJU66:KJV66))</f>
        <v>0</v>
      </c>
      <c r="KJY66" s="960">
        <f>MIN(KJY60-KJY62,'Sources and Uses Budget'!KJY108-SUM('15 Year Pro Forma'!KJW66:KJX66))</f>
        <v>0</v>
      </c>
      <c r="KKA66" s="960">
        <f>MIN(KKA60-KKA62,'Sources and Uses Budget'!KKA108-SUM('15 Year Pro Forma'!KJY66:KJZ66))</f>
        <v>0</v>
      </c>
      <c r="KKC66" s="960">
        <f>MIN(KKC60-KKC62,'Sources and Uses Budget'!KKC108-SUM('15 Year Pro Forma'!KKA66:KKB66))</f>
        <v>0</v>
      </c>
      <c r="KKE66" s="960">
        <f>MIN(KKE60-KKE62,'Sources and Uses Budget'!KKE108-SUM('15 Year Pro Forma'!KKC66:KKD66))</f>
        <v>0</v>
      </c>
      <c r="KKG66" s="960">
        <f>MIN(KKG60-KKG62,'Sources and Uses Budget'!KKG108-SUM('15 Year Pro Forma'!KKE66:KKF66))</f>
        <v>0</v>
      </c>
      <c r="KKI66" s="960">
        <f>MIN(KKI60-KKI62,'Sources and Uses Budget'!KKI108-SUM('15 Year Pro Forma'!KKG66:KKH66))</f>
        <v>0</v>
      </c>
      <c r="KKK66" s="960">
        <f>MIN(KKK60-KKK62,'Sources and Uses Budget'!KKK108-SUM('15 Year Pro Forma'!KKI66:KKJ66))</f>
        <v>0</v>
      </c>
      <c r="KKM66" s="960">
        <f>MIN(KKM60-KKM62,'Sources and Uses Budget'!KKM108-SUM('15 Year Pro Forma'!KKK66:KKL66))</f>
        <v>0</v>
      </c>
      <c r="KKO66" s="960">
        <f>MIN(KKO60-KKO62,'Sources and Uses Budget'!KKO108-SUM('15 Year Pro Forma'!KKM66:KKN66))</f>
        <v>0</v>
      </c>
      <c r="KKQ66" s="960">
        <f>MIN(KKQ60-KKQ62,'Sources and Uses Budget'!KKQ108-SUM('15 Year Pro Forma'!KKO66:KKP66))</f>
        <v>0</v>
      </c>
      <c r="KKS66" s="960">
        <f>MIN(KKS60-KKS62,'Sources and Uses Budget'!KKS108-SUM('15 Year Pro Forma'!KKQ66:KKR66))</f>
        <v>0</v>
      </c>
      <c r="KKU66" s="960">
        <f>MIN(KKU60-KKU62,'Sources and Uses Budget'!KKU108-SUM('15 Year Pro Forma'!KKS66:KKT66))</f>
        <v>0</v>
      </c>
      <c r="KKW66" s="960">
        <f>MIN(KKW60-KKW62,'Sources and Uses Budget'!KKW108-SUM('15 Year Pro Forma'!KKU66:KKV66))</f>
        <v>0</v>
      </c>
      <c r="KKY66" s="960">
        <f>MIN(KKY60-KKY62,'Sources and Uses Budget'!KKY108-SUM('15 Year Pro Forma'!KKW66:KKX66))</f>
        <v>0</v>
      </c>
      <c r="KLA66" s="960">
        <f>MIN(KLA60-KLA62,'Sources and Uses Budget'!KLA108-SUM('15 Year Pro Forma'!KKY66:KKZ66))</f>
        <v>0</v>
      </c>
      <c r="KLC66" s="960">
        <f>MIN(KLC60-KLC62,'Sources and Uses Budget'!KLC108-SUM('15 Year Pro Forma'!KLA66:KLB66))</f>
        <v>0</v>
      </c>
      <c r="KLE66" s="960">
        <f>MIN(KLE60-KLE62,'Sources and Uses Budget'!KLE108-SUM('15 Year Pro Forma'!KLC66:KLD66))</f>
        <v>0</v>
      </c>
      <c r="KLG66" s="960">
        <f>MIN(KLG60-KLG62,'Sources and Uses Budget'!KLG108-SUM('15 Year Pro Forma'!KLE66:KLF66))</f>
        <v>0</v>
      </c>
      <c r="KLI66" s="960">
        <f>MIN(KLI60-KLI62,'Sources and Uses Budget'!KLI108-SUM('15 Year Pro Forma'!KLG66:KLH66))</f>
        <v>0</v>
      </c>
      <c r="KLK66" s="960">
        <f>MIN(KLK60-KLK62,'Sources and Uses Budget'!KLK108-SUM('15 Year Pro Forma'!KLI66:KLJ66))</f>
        <v>0</v>
      </c>
      <c r="KLM66" s="960">
        <f>MIN(KLM60-KLM62,'Sources and Uses Budget'!KLM108-SUM('15 Year Pro Forma'!KLK66:KLL66))</f>
        <v>0</v>
      </c>
      <c r="KLO66" s="960">
        <f>MIN(KLO60-KLO62,'Sources and Uses Budget'!KLO108-SUM('15 Year Pro Forma'!KLM66:KLN66))</f>
        <v>0</v>
      </c>
      <c r="KLQ66" s="960">
        <f>MIN(KLQ60-KLQ62,'Sources and Uses Budget'!KLQ108-SUM('15 Year Pro Forma'!KLO66:KLP66))</f>
        <v>0</v>
      </c>
      <c r="KLS66" s="960">
        <f>MIN(KLS60-KLS62,'Sources and Uses Budget'!KLS108-SUM('15 Year Pro Forma'!KLQ66:KLR66))</f>
        <v>0</v>
      </c>
      <c r="KLU66" s="960">
        <f>MIN(KLU60-KLU62,'Sources and Uses Budget'!KLU108-SUM('15 Year Pro Forma'!KLS66:KLT66))</f>
        <v>0</v>
      </c>
      <c r="KLW66" s="960">
        <f>MIN(KLW60-KLW62,'Sources and Uses Budget'!KLW108-SUM('15 Year Pro Forma'!KLU66:KLV66))</f>
        <v>0</v>
      </c>
      <c r="KLY66" s="960">
        <f>MIN(KLY60-KLY62,'Sources and Uses Budget'!KLY108-SUM('15 Year Pro Forma'!KLW66:KLX66))</f>
        <v>0</v>
      </c>
      <c r="KMA66" s="960">
        <f>MIN(KMA60-KMA62,'Sources and Uses Budget'!KMA108-SUM('15 Year Pro Forma'!KLY66:KLZ66))</f>
        <v>0</v>
      </c>
      <c r="KMC66" s="960">
        <f>MIN(KMC60-KMC62,'Sources and Uses Budget'!KMC108-SUM('15 Year Pro Forma'!KMA66:KMB66))</f>
        <v>0</v>
      </c>
      <c r="KME66" s="960">
        <f>MIN(KME60-KME62,'Sources and Uses Budget'!KME108-SUM('15 Year Pro Forma'!KMC66:KMD66))</f>
        <v>0</v>
      </c>
      <c r="KMG66" s="960">
        <f>MIN(KMG60-KMG62,'Sources and Uses Budget'!KMG108-SUM('15 Year Pro Forma'!KME66:KMF66))</f>
        <v>0</v>
      </c>
      <c r="KMI66" s="960">
        <f>MIN(KMI60-KMI62,'Sources and Uses Budget'!KMI108-SUM('15 Year Pro Forma'!KMG66:KMH66))</f>
        <v>0</v>
      </c>
      <c r="KMK66" s="960">
        <f>MIN(KMK60-KMK62,'Sources and Uses Budget'!KMK108-SUM('15 Year Pro Forma'!KMI66:KMJ66))</f>
        <v>0</v>
      </c>
      <c r="KMM66" s="960">
        <f>MIN(KMM60-KMM62,'Sources and Uses Budget'!KMM108-SUM('15 Year Pro Forma'!KMK66:KML66))</f>
        <v>0</v>
      </c>
      <c r="KMO66" s="960">
        <f>MIN(KMO60-KMO62,'Sources and Uses Budget'!KMO108-SUM('15 Year Pro Forma'!KMM66:KMN66))</f>
        <v>0</v>
      </c>
      <c r="KMQ66" s="960">
        <f>MIN(KMQ60-KMQ62,'Sources and Uses Budget'!KMQ108-SUM('15 Year Pro Forma'!KMO66:KMP66))</f>
        <v>0</v>
      </c>
      <c r="KMS66" s="960">
        <f>MIN(KMS60-KMS62,'Sources and Uses Budget'!KMS108-SUM('15 Year Pro Forma'!KMQ66:KMR66))</f>
        <v>0</v>
      </c>
      <c r="KMU66" s="960">
        <f>MIN(KMU60-KMU62,'Sources and Uses Budget'!KMU108-SUM('15 Year Pro Forma'!KMS66:KMT66))</f>
        <v>0</v>
      </c>
      <c r="KMW66" s="960">
        <f>MIN(KMW60-KMW62,'Sources and Uses Budget'!KMW108-SUM('15 Year Pro Forma'!KMU66:KMV66))</f>
        <v>0</v>
      </c>
      <c r="KMY66" s="960">
        <f>MIN(KMY60-KMY62,'Sources and Uses Budget'!KMY108-SUM('15 Year Pro Forma'!KMW66:KMX66))</f>
        <v>0</v>
      </c>
      <c r="KNA66" s="960">
        <f>MIN(KNA60-KNA62,'Sources and Uses Budget'!KNA108-SUM('15 Year Pro Forma'!KMY66:KMZ66))</f>
        <v>0</v>
      </c>
      <c r="KNC66" s="960">
        <f>MIN(KNC60-KNC62,'Sources and Uses Budget'!KNC108-SUM('15 Year Pro Forma'!KNA66:KNB66))</f>
        <v>0</v>
      </c>
      <c r="KNE66" s="960">
        <f>MIN(KNE60-KNE62,'Sources and Uses Budget'!KNE108-SUM('15 Year Pro Forma'!KNC66:KND66))</f>
        <v>0</v>
      </c>
      <c r="KNG66" s="960">
        <f>MIN(KNG60-KNG62,'Sources and Uses Budget'!KNG108-SUM('15 Year Pro Forma'!KNE66:KNF66))</f>
        <v>0</v>
      </c>
      <c r="KNI66" s="960">
        <f>MIN(KNI60-KNI62,'Sources and Uses Budget'!KNI108-SUM('15 Year Pro Forma'!KNG66:KNH66))</f>
        <v>0</v>
      </c>
      <c r="KNK66" s="960">
        <f>MIN(KNK60-KNK62,'Sources and Uses Budget'!KNK108-SUM('15 Year Pro Forma'!KNI66:KNJ66))</f>
        <v>0</v>
      </c>
      <c r="KNM66" s="960">
        <f>MIN(KNM60-KNM62,'Sources and Uses Budget'!KNM108-SUM('15 Year Pro Forma'!KNK66:KNL66))</f>
        <v>0</v>
      </c>
      <c r="KNO66" s="960">
        <f>MIN(KNO60-KNO62,'Sources and Uses Budget'!KNO108-SUM('15 Year Pro Forma'!KNM66:KNN66))</f>
        <v>0</v>
      </c>
      <c r="KNQ66" s="960">
        <f>MIN(KNQ60-KNQ62,'Sources and Uses Budget'!KNQ108-SUM('15 Year Pro Forma'!KNO66:KNP66))</f>
        <v>0</v>
      </c>
      <c r="KNS66" s="960">
        <f>MIN(KNS60-KNS62,'Sources and Uses Budget'!KNS108-SUM('15 Year Pro Forma'!KNQ66:KNR66))</f>
        <v>0</v>
      </c>
      <c r="KNU66" s="960">
        <f>MIN(KNU60-KNU62,'Sources and Uses Budget'!KNU108-SUM('15 Year Pro Forma'!KNS66:KNT66))</f>
        <v>0</v>
      </c>
      <c r="KNW66" s="960">
        <f>MIN(KNW60-KNW62,'Sources and Uses Budget'!KNW108-SUM('15 Year Pro Forma'!KNU66:KNV66))</f>
        <v>0</v>
      </c>
      <c r="KNY66" s="960">
        <f>MIN(KNY60-KNY62,'Sources and Uses Budget'!KNY108-SUM('15 Year Pro Forma'!KNW66:KNX66))</f>
        <v>0</v>
      </c>
      <c r="KOA66" s="960">
        <f>MIN(KOA60-KOA62,'Sources and Uses Budget'!KOA108-SUM('15 Year Pro Forma'!KNY66:KNZ66))</f>
        <v>0</v>
      </c>
      <c r="KOC66" s="960">
        <f>MIN(KOC60-KOC62,'Sources and Uses Budget'!KOC108-SUM('15 Year Pro Forma'!KOA66:KOB66))</f>
        <v>0</v>
      </c>
      <c r="KOE66" s="960">
        <f>MIN(KOE60-KOE62,'Sources and Uses Budget'!KOE108-SUM('15 Year Pro Forma'!KOC66:KOD66))</f>
        <v>0</v>
      </c>
      <c r="KOG66" s="960">
        <f>MIN(KOG60-KOG62,'Sources and Uses Budget'!KOG108-SUM('15 Year Pro Forma'!KOE66:KOF66))</f>
        <v>0</v>
      </c>
      <c r="KOI66" s="960">
        <f>MIN(KOI60-KOI62,'Sources and Uses Budget'!KOI108-SUM('15 Year Pro Forma'!KOG66:KOH66))</f>
        <v>0</v>
      </c>
      <c r="KOK66" s="960">
        <f>MIN(KOK60-KOK62,'Sources and Uses Budget'!KOK108-SUM('15 Year Pro Forma'!KOI66:KOJ66))</f>
        <v>0</v>
      </c>
      <c r="KOM66" s="960">
        <f>MIN(KOM60-KOM62,'Sources and Uses Budget'!KOM108-SUM('15 Year Pro Forma'!KOK66:KOL66))</f>
        <v>0</v>
      </c>
      <c r="KOO66" s="960">
        <f>MIN(KOO60-KOO62,'Sources and Uses Budget'!KOO108-SUM('15 Year Pro Forma'!KOM66:KON66))</f>
        <v>0</v>
      </c>
      <c r="KOQ66" s="960">
        <f>MIN(KOQ60-KOQ62,'Sources and Uses Budget'!KOQ108-SUM('15 Year Pro Forma'!KOO66:KOP66))</f>
        <v>0</v>
      </c>
      <c r="KOS66" s="960">
        <f>MIN(KOS60-KOS62,'Sources and Uses Budget'!KOS108-SUM('15 Year Pro Forma'!KOQ66:KOR66))</f>
        <v>0</v>
      </c>
      <c r="KOU66" s="960">
        <f>MIN(KOU60-KOU62,'Sources and Uses Budget'!KOU108-SUM('15 Year Pro Forma'!KOS66:KOT66))</f>
        <v>0</v>
      </c>
      <c r="KOW66" s="960">
        <f>MIN(KOW60-KOW62,'Sources and Uses Budget'!KOW108-SUM('15 Year Pro Forma'!KOU66:KOV66))</f>
        <v>0</v>
      </c>
      <c r="KOY66" s="960">
        <f>MIN(KOY60-KOY62,'Sources and Uses Budget'!KOY108-SUM('15 Year Pro Forma'!KOW66:KOX66))</f>
        <v>0</v>
      </c>
      <c r="KPA66" s="960">
        <f>MIN(KPA60-KPA62,'Sources and Uses Budget'!KPA108-SUM('15 Year Pro Forma'!KOY66:KOZ66))</f>
        <v>0</v>
      </c>
      <c r="KPC66" s="960">
        <f>MIN(KPC60-KPC62,'Sources and Uses Budget'!KPC108-SUM('15 Year Pro Forma'!KPA66:KPB66))</f>
        <v>0</v>
      </c>
      <c r="KPE66" s="960">
        <f>MIN(KPE60-KPE62,'Sources and Uses Budget'!KPE108-SUM('15 Year Pro Forma'!KPC66:KPD66))</f>
        <v>0</v>
      </c>
      <c r="KPG66" s="960">
        <f>MIN(KPG60-KPG62,'Sources and Uses Budget'!KPG108-SUM('15 Year Pro Forma'!KPE66:KPF66))</f>
        <v>0</v>
      </c>
      <c r="KPI66" s="960">
        <f>MIN(KPI60-KPI62,'Sources and Uses Budget'!KPI108-SUM('15 Year Pro Forma'!KPG66:KPH66))</f>
        <v>0</v>
      </c>
      <c r="KPK66" s="960">
        <f>MIN(KPK60-KPK62,'Sources and Uses Budget'!KPK108-SUM('15 Year Pro Forma'!KPI66:KPJ66))</f>
        <v>0</v>
      </c>
      <c r="KPM66" s="960">
        <f>MIN(KPM60-KPM62,'Sources and Uses Budget'!KPM108-SUM('15 Year Pro Forma'!KPK66:KPL66))</f>
        <v>0</v>
      </c>
      <c r="KPO66" s="960">
        <f>MIN(KPO60-KPO62,'Sources and Uses Budget'!KPO108-SUM('15 Year Pro Forma'!KPM66:KPN66))</f>
        <v>0</v>
      </c>
      <c r="KPQ66" s="960">
        <f>MIN(KPQ60-KPQ62,'Sources and Uses Budget'!KPQ108-SUM('15 Year Pro Forma'!KPO66:KPP66))</f>
        <v>0</v>
      </c>
      <c r="KPS66" s="960">
        <f>MIN(KPS60-KPS62,'Sources and Uses Budget'!KPS108-SUM('15 Year Pro Forma'!KPQ66:KPR66))</f>
        <v>0</v>
      </c>
      <c r="KPU66" s="960">
        <f>MIN(KPU60-KPU62,'Sources and Uses Budget'!KPU108-SUM('15 Year Pro Forma'!KPS66:KPT66))</f>
        <v>0</v>
      </c>
      <c r="KPW66" s="960">
        <f>MIN(KPW60-KPW62,'Sources and Uses Budget'!KPW108-SUM('15 Year Pro Forma'!KPU66:KPV66))</f>
        <v>0</v>
      </c>
      <c r="KPY66" s="960">
        <f>MIN(KPY60-KPY62,'Sources and Uses Budget'!KPY108-SUM('15 Year Pro Forma'!KPW66:KPX66))</f>
        <v>0</v>
      </c>
      <c r="KQA66" s="960">
        <f>MIN(KQA60-KQA62,'Sources and Uses Budget'!KQA108-SUM('15 Year Pro Forma'!KPY66:KPZ66))</f>
        <v>0</v>
      </c>
      <c r="KQC66" s="960">
        <f>MIN(KQC60-KQC62,'Sources and Uses Budget'!KQC108-SUM('15 Year Pro Forma'!KQA66:KQB66))</f>
        <v>0</v>
      </c>
      <c r="KQE66" s="960">
        <f>MIN(KQE60-KQE62,'Sources and Uses Budget'!KQE108-SUM('15 Year Pro Forma'!KQC66:KQD66))</f>
        <v>0</v>
      </c>
      <c r="KQG66" s="960">
        <f>MIN(KQG60-KQG62,'Sources and Uses Budget'!KQG108-SUM('15 Year Pro Forma'!KQE66:KQF66))</f>
        <v>0</v>
      </c>
      <c r="KQI66" s="960">
        <f>MIN(KQI60-KQI62,'Sources and Uses Budget'!KQI108-SUM('15 Year Pro Forma'!KQG66:KQH66))</f>
        <v>0</v>
      </c>
      <c r="KQK66" s="960">
        <f>MIN(KQK60-KQK62,'Sources and Uses Budget'!KQK108-SUM('15 Year Pro Forma'!KQI66:KQJ66))</f>
        <v>0</v>
      </c>
      <c r="KQM66" s="960">
        <f>MIN(KQM60-KQM62,'Sources and Uses Budget'!KQM108-SUM('15 Year Pro Forma'!KQK66:KQL66))</f>
        <v>0</v>
      </c>
      <c r="KQO66" s="960">
        <f>MIN(KQO60-KQO62,'Sources and Uses Budget'!KQO108-SUM('15 Year Pro Forma'!KQM66:KQN66))</f>
        <v>0</v>
      </c>
      <c r="KQQ66" s="960">
        <f>MIN(KQQ60-KQQ62,'Sources and Uses Budget'!KQQ108-SUM('15 Year Pro Forma'!KQO66:KQP66))</f>
        <v>0</v>
      </c>
      <c r="KQS66" s="960">
        <f>MIN(KQS60-KQS62,'Sources and Uses Budget'!KQS108-SUM('15 Year Pro Forma'!KQQ66:KQR66))</f>
        <v>0</v>
      </c>
      <c r="KQU66" s="960">
        <f>MIN(KQU60-KQU62,'Sources and Uses Budget'!KQU108-SUM('15 Year Pro Forma'!KQS66:KQT66))</f>
        <v>0</v>
      </c>
      <c r="KQW66" s="960">
        <f>MIN(KQW60-KQW62,'Sources and Uses Budget'!KQW108-SUM('15 Year Pro Forma'!KQU66:KQV66))</f>
        <v>0</v>
      </c>
      <c r="KQY66" s="960">
        <f>MIN(KQY60-KQY62,'Sources and Uses Budget'!KQY108-SUM('15 Year Pro Forma'!KQW66:KQX66))</f>
        <v>0</v>
      </c>
      <c r="KRA66" s="960">
        <f>MIN(KRA60-KRA62,'Sources and Uses Budget'!KRA108-SUM('15 Year Pro Forma'!KQY66:KQZ66))</f>
        <v>0</v>
      </c>
      <c r="KRC66" s="960">
        <f>MIN(KRC60-KRC62,'Sources and Uses Budget'!KRC108-SUM('15 Year Pro Forma'!KRA66:KRB66))</f>
        <v>0</v>
      </c>
      <c r="KRE66" s="960">
        <f>MIN(KRE60-KRE62,'Sources and Uses Budget'!KRE108-SUM('15 Year Pro Forma'!KRC66:KRD66))</f>
        <v>0</v>
      </c>
      <c r="KRG66" s="960">
        <f>MIN(KRG60-KRG62,'Sources and Uses Budget'!KRG108-SUM('15 Year Pro Forma'!KRE66:KRF66))</f>
        <v>0</v>
      </c>
      <c r="KRI66" s="960">
        <f>MIN(KRI60-KRI62,'Sources and Uses Budget'!KRI108-SUM('15 Year Pro Forma'!KRG66:KRH66))</f>
        <v>0</v>
      </c>
      <c r="KRK66" s="960">
        <f>MIN(KRK60-KRK62,'Sources and Uses Budget'!KRK108-SUM('15 Year Pro Forma'!KRI66:KRJ66))</f>
        <v>0</v>
      </c>
      <c r="KRM66" s="960">
        <f>MIN(KRM60-KRM62,'Sources and Uses Budget'!KRM108-SUM('15 Year Pro Forma'!KRK66:KRL66))</f>
        <v>0</v>
      </c>
      <c r="KRO66" s="960">
        <f>MIN(KRO60-KRO62,'Sources and Uses Budget'!KRO108-SUM('15 Year Pro Forma'!KRM66:KRN66))</f>
        <v>0</v>
      </c>
      <c r="KRQ66" s="960">
        <f>MIN(KRQ60-KRQ62,'Sources and Uses Budget'!KRQ108-SUM('15 Year Pro Forma'!KRO66:KRP66))</f>
        <v>0</v>
      </c>
      <c r="KRS66" s="960">
        <f>MIN(KRS60-KRS62,'Sources and Uses Budget'!KRS108-SUM('15 Year Pro Forma'!KRQ66:KRR66))</f>
        <v>0</v>
      </c>
      <c r="KRU66" s="960">
        <f>MIN(KRU60-KRU62,'Sources and Uses Budget'!KRU108-SUM('15 Year Pro Forma'!KRS66:KRT66))</f>
        <v>0</v>
      </c>
      <c r="KRW66" s="960">
        <f>MIN(KRW60-KRW62,'Sources and Uses Budget'!KRW108-SUM('15 Year Pro Forma'!KRU66:KRV66))</f>
        <v>0</v>
      </c>
      <c r="KRY66" s="960">
        <f>MIN(KRY60-KRY62,'Sources and Uses Budget'!KRY108-SUM('15 Year Pro Forma'!KRW66:KRX66))</f>
        <v>0</v>
      </c>
      <c r="KSA66" s="960">
        <f>MIN(KSA60-KSA62,'Sources and Uses Budget'!KSA108-SUM('15 Year Pro Forma'!KRY66:KRZ66))</f>
        <v>0</v>
      </c>
      <c r="KSC66" s="960">
        <f>MIN(KSC60-KSC62,'Sources and Uses Budget'!KSC108-SUM('15 Year Pro Forma'!KSA66:KSB66))</f>
        <v>0</v>
      </c>
      <c r="KSE66" s="960">
        <f>MIN(KSE60-KSE62,'Sources and Uses Budget'!KSE108-SUM('15 Year Pro Forma'!KSC66:KSD66))</f>
        <v>0</v>
      </c>
      <c r="KSG66" s="960">
        <f>MIN(KSG60-KSG62,'Sources and Uses Budget'!KSG108-SUM('15 Year Pro Forma'!KSE66:KSF66))</f>
        <v>0</v>
      </c>
      <c r="KSI66" s="960">
        <f>MIN(KSI60-KSI62,'Sources and Uses Budget'!KSI108-SUM('15 Year Pro Forma'!KSG66:KSH66))</f>
        <v>0</v>
      </c>
      <c r="KSK66" s="960">
        <f>MIN(KSK60-KSK62,'Sources and Uses Budget'!KSK108-SUM('15 Year Pro Forma'!KSI66:KSJ66))</f>
        <v>0</v>
      </c>
      <c r="KSM66" s="960">
        <f>MIN(KSM60-KSM62,'Sources and Uses Budget'!KSM108-SUM('15 Year Pro Forma'!KSK66:KSL66))</f>
        <v>0</v>
      </c>
      <c r="KSO66" s="960">
        <f>MIN(KSO60-KSO62,'Sources and Uses Budget'!KSO108-SUM('15 Year Pro Forma'!KSM66:KSN66))</f>
        <v>0</v>
      </c>
      <c r="KSQ66" s="960">
        <f>MIN(KSQ60-KSQ62,'Sources and Uses Budget'!KSQ108-SUM('15 Year Pro Forma'!KSO66:KSP66))</f>
        <v>0</v>
      </c>
      <c r="KSS66" s="960">
        <f>MIN(KSS60-KSS62,'Sources and Uses Budget'!KSS108-SUM('15 Year Pro Forma'!KSQ66:KSR66))</f>
        <v>0</v>
      </c>
      <c r="KSU66" s="960">
        <f>MIN(KSU60-KSU62,'Sources and Uses Budget'!KSU108-SUM('15 Year Pro Forma'!KSS66:KST66))</f>
        <v>0</v>
      </c>
      <c r="KSW66" s="960">
        <f>MIN(KSW60-KSW62,'Sources and Uses Budget'!KSW108-SUM('15 Year Pro Forma'!KSU66:KSV66))</f>
        <v>0</v>
      </c>
      <c r="KSY66" s="960">
        <f>MIN(KSY60-KSY62,'Sources and Uses Budget'!KSY108-SUM('15 Year Pro Forma'!KSW66:KSX66))</f>
        <v>0</v>
      </c>
      <c r="KTA66" s="960">
        <f>MIN(KTA60-KTA62,'Sources and Uses Budget'!KTA108-SUM('15 Year Pro Forma'!KSY66:KSZ66))</f>
        <v>0</v>
      </c>
      <c r="KTC66" s="960">
        <f>MIN(KTC60-KTC62,'Sources and Uses Budget'!KTC108-SUM('15 Year Pro Forma'!KTA66:KTB66))</f>
        <v>0</v>
      </c>
      <c r="KTE66" s="960">
        <f>MIN(KTE60-KTE62,'Sources and Uses Budget'!KTE108-SUM('15 Year Pro Forma'!KTC66:KTD66))</f>
        <v>0</v>
      </c>
      <c r="KTG66" s="960">
        <f>MIN(KTG60-KTG62,'Sources and Uses Budget'!KTG108-SUM('15 Year Pro Forma'!KTE66:KTF66))</f>
        <v>0</v>
      </c>
      <c r="KTI66" s="960">
        <f>MIN(KTI60-KTI62,'Sources and Uses Budget'!KTI108-SUM('15 Year Pro Forma'!KTG66:KTH66))</f>
        <v>0</v>
      </c>
      <c r="KTK66" s="960">
        <f>MIN(KTK60-KTK62,'Sources and Uses Budget'!KTK108-SUM('15 Year Pro Forma'!KTI66:KTJ66))</f>
        <v>0</v>
      </c>
      <c r="KTM66" s="960">
        <f>MIN(KTM60-KTM62,'Sources and Uses Budget'!KTM108-SUM('15 Year Pro Forma'!KTK66:KTL66))</f>
        <v>0</v>
      </c>
      <c r="KTO66" s="960">
        <f>MIN(KTO60-KTO62,'Sources and Uses Budget'!KTO108-SUM('15 Year Pro Forma'!KTM66:KTN66))</f>
        <v>0</v>
      </c>
      <c r="KTQ66" s="960">
        <f>MIN(KTQ60-KTQ62,'Sources and Uses Budget'!KTQ108-SUM('15 Year Pro Forma'!KTO66:KTP66))</f>
        <v>0</v>
      </c>
      <c r="KTS66" s="960">
        <f>MIN(KTS60-KTS62,'Sources and Uses Budget'!KTS108-SUM('15 Year Pro Forma'!KTQ66:KTR66))</f>
        <v>0</v>
      </c>
      <c r="KTU66" s="960">
        <f>MIN(KTU60-KTU62,'Sources and Uses Budget'!KTU108-SUM('15 Year Pro Forma'!KTS66:KTT66))</f>
        <v>0</v>
      </c>
      <c r="KTW66" s="960">
        <f>MIN(KTW60-KTW62,'Sources and Uses Budget'!KTW108-SUM('15 Year Pro Forma'!KTU66:KTV66))</f>
        <v>0</v>
      </c>
      <c r="KTY66" s="960">
        <f>MIN(KTY60-KTY62,'Sources and Uses Budget'!KTY108-SUM('15 Year Pro Forma'!KTW66:KTX66))</f>
        <v>0</v>
      </c>
      <c r="KUA66" s="960">
        <f>MIN(KUA60-KUA62,'Sources and Uses Budget'!KUA108-SUM('15 Year Pro Forma'!KTY66:KTZ66))</f>
        <v>0</v>
      </c>
      <c r="KUC66" s="960">
        <f>MIN(KUC60-KUC62,'Sources and Uses Budget'!KUC108-SUM('15 Year Pro Forma'!KUA66:KUB66))</f>
        <v>0</v>
      </c>
      <c r="KUE66" s="960">
        <f>MIN(KUE60-KUE62,'Sources and Uses Budget'!KUE108-SUM('15 Year Pro Forma'!KUC66:KUD66))</f>
        <v>0</v>
      </c>
      <c r="KUG66" s="960">
        <f>MIN(KUG60-KUG62,'Sources and Uses Budget'!KUG108-SUM('15 Year Pro Forma'!KUE66:KUF66))</f>
        <v>0</v>
      </c>
      <c r="KUI66" s="960">
        <f>MIN(KUI60-KUI62,'Sources and Uses Budget'!KUI108-SUM('15 Year Pro Forma'!KUG66:KUH66))</f>
        <v>0</v>
      </c>
      <c r="KUK66" s="960">
        <f>MIN(KUK60-KUK62,'Sources and Uses Budget'!KUK108-SUM('15 Year Pro Forma'!KUI66:KUJ66))</f>
        <v>0</v>
      </c>
      <c r="KUM66" s="960">
        <f>MIN(KUM60-KUM62,'Sources and Uses Budget'!KUM108-SUM('15 Year Pro Forma'!KUK66:KUL66))</f>
        <v>0</v>
      </c>
      <c r="KUO66" s="960">
        <f>MIN(KUO60-KUO62,'Sources and Uses Budget'!KUO108-SUM('15 Year Pro Forma'!KUM66:KUN66))</f>
        <v>0</v>
      </c>
      <c r="KUQ66" s="960">
        <f>MIN(KUQ60-KUQ62,'Sources and Uses Budget'!KUQ108-SUM('15 Year Pro Forma'!KUO66:KUP66))</f>
        <v>0</v>
      </c>
      <c r="KUS66" s="960">
        <f>MIN(KUS60-KUS62,'Sources and Uses Budget'!KUS108-SUM('15 Year Pro Forma'!KUQ66:KUR66))</f>
        <v>0</v>
      </c>
      <c r="KUU66" s="960">
        <f>MIN(KUU60-KUU62,'Sources and Uses Budget'!KUU108-SUM('15 Year Pro Forma'!KUS66:KUT66))</f>
        <v>0</v>
      </c>
      <c r="KUW66" s="960">
        <f>MIN(KUW60-KUW62,'Sources and Uses Budget'!KUW108-SUM('15 Year Pro Forma'!KUU66:KUV66))</f>
        <v>0</v>
      </c>
      <c r="KUY66" s="960">
        <f>MIN(KUY60-KUY62,'Sources and Uses Budget'!KUY108-SUM('15 Year Pro Forma'!KUW66:KUX66))</f>
        <v>0</v>
      </c>
      <c r="KVA66" s="960">
        <f>MIN(KVA60-KVA62,'Sources and Uses Budget'!KVA108-SUM('15 Year Pro Forma'!KUY66:KUZ66))</f>
        <v>0</v>
      </c>
      <c r="KVC66" s="960">
        <f>MIN(KVC60-KVC62,'Sources and Uses Budget'!KVC108-SUM('15 Year Pro Forma'!KVA66:KVB66))</f>
        <v>0</v>
      </c>
      <c r="KVE66" s="960">
        <f>MIN(KVE60-KVE62,'Sources and Uses Budget'!KVE108-SUM('15 Year Pro Forma'!KVC66:KVD66))</f>
        <v>0</v>
      </c>
      <c r="KVG66" s="960">
        <f>MIN(KVG60-KVG62,'Sources and Uses Budget'!KVG108-SUM('15 Year Pro Forma'!KVE66:KVF66))</f>
        <v>0</v>
      </c>
      <c r="KVI66" s="960">
        <f>MIN(KVI60-KVI62,'Sources and Uses Budget'!KVI108-SUM('15 Year Pro Forma'!KVG66:KVH66))</f>
        <v>0</v>
      </c>
      <c r="KVK66" s="960">
        <f>MIN(KVK60-KVK62,'Sources and Uses Budget'!KVK108-SUM('15 Year Pro Forma'!KVI66:KVJ66))</f>
        <v>0</v>
      </c>
      <c r="KVM66" s="960">
        <f>MIN(KVM60-KVM62,'Sources and Uses Budget'!KVM108-SUM('15 Year Pro Forma'!KVK66:KVL66))</f>
        <v>0</v>
      </c>
      <c r="KVO66" s="960">
        <f>MIN(KVO60-KVO62,'Sources and Uses Budget'!KVO108-SUM('15 Year Pro Forma'!KVM66:KVN66))</f>
        <v>0</v>
      </c>
      <c r="KVQ66" s="960">
        <f>MIN(KVQ60-KVQ62,'Sources and Uses Budget'!KVQ108-SUM('15 Year Pro Forma'!KVO66:KVP66))</f>
        <v>0</v>
      </c>
      <c r="KVS66" s="960">
        <f>MIN(KVS60-KVS62,'Sources and Uses Budget'!KVS108-SUM('15 Year Pro Forma'!KVQ66:KVR66))</f>
        <v>0</v>
      </c>
      <c r="KVU66" s="960">
        <f>MIN(KVU60-KVU62,'Sources and Uses Budget'!KVU108-SUM('15 Year Pro Forma'!KVS66:KVT66))</f>
        <v>0</v>
      </c>
      <c r="KVW66" s="960">
        <f>MIN(KVW60-KVW62,'Sources and Uses Budget'!KVW108-SUM('15 Year Pro Forma'!KVU66:KVV66))</f>
        <v>0</v>
      </c>
      <c r="KVY66" s="960">
        <f>MIN(KVY60-KVY62,'Sources and Uses Budget'!KVY108-SUM('15 Year Pro Forma'!KVW66:KVX66))</f>
        <v>0</v>
      </c>
      <c r="KWA66" s="960">
        <f>MIN(KWA60-KWA62,'Sources and Uses Budget'!KWA108-SUM('15 Year Pro Forma'!KVY66:KVZ66))</f>
        <v>0</v>
      </c>
      <c r="KWC66" s="960">
        <f>MIN(KWC60-KWC62,'Sources and Uses Budget'!KWC108-SUM('15 Year Pro Forma'!KWA66:KWB66))</f>
        <v>0</v>
      </c>
      <c r="KWE66" s="960">
        <f>MIN(KWE60-KWE62,'Sources and Uses Budget'!KWE108-SUM('15 Year Pro Forma'!KWC66:KWD66))</f>
        <v>0</v>
      </c>
      <c r="KWG66" s="960">
        <f>MIN(KWG60-KWG62,'Sources and Uses Budget'!KWG108-SUM('15 Year Pro Forma'!KWE66:KWF66))</f>
        <v>0</v>
      </c>
      <c r="KWI66" s="960">
        <f>MIN(KWI60-KWI62,'Sources and Uses Budget'!KWI108-SUM('15 Year Pro Forma'!KWG66:KWH66))</f>
        <v>0</v>
      </c>
      <c r="KWK66" s="960">
        <f>MIN(KWK60-KWK62,'Sources and Uses Budget'!KWK108-SUM('15 Year Pro Forma'!KWI66:KWJ66))</f>
        <v>0</v>
      </c>
      <c r="KWM66" s="960">
        <f>MIN(KWM60-KWM62,'Sources and Uses Budget'!KWM108-SUM('15 Year Pro Forma'!KWK66:KWL66))</f>
        <v>0</v>
      </c>
      <c r="KWO66" s="960">
        <f>MIN(KWO60-KWO62,'Sources and Uses Budget'!KWO108-SUM('15 Year Pro Forma'!KWM66:KWN66))</f>
        <v>0</v>
      </c>
      <c r="KWQ66" s="960">
        <f>MIN(KWQ60-KWQ62,'Sources and Uses Budget'!KWQ108-SUM('15 Year Pro Forma'!KWO66:KWP66))</f>
        <v>0</v>
      </c>
      <c r="KWS66" s="960">
        <f>MIN(KWS60-KWS62,'Sources and Uses Budget'!KWS108-SUM('15 Year Pro Forma'!KWQ66:KWR66))</f>
        <v>0</v>
      </c>
      <c r="KWU66" s="960">
        <f>MIN(KWU60-KWU62,'Sources and Uses Budget'!KWU108-SUM('15 Year Pro Forma'!KWS66:KWT66))</f>
        <v>0</v>
      </c>
      <c r="KWW66" s="960">
        <f>MIN(KWW60-KWW62,'Sources and Uses Budget'!KWW108-SUM('15 Year Pro Forma'!KWU66:KWV66))</f>
        <v>0</v>
      </c>
      <c r="KWY66" s="960">
        <f>MIN(KWY60-KWY62,'Sources and Uses Budget'!KWY108-SUM('15 Year Pro Forma'!KWW66:KWX66))</f>
        <v>0</v>
      </c>
      <c r="KXA66" s="960">
        <f>MIN(KXA60-KXA62,'Sources and Uses Budget'!KXA108-SUM('15 Year Pro Forma'!KWY66:KWZ66))</f>
        <v>0</v>
      </c>
      <c r="KXC66" s="960">
        <f>MIN(KXC60-KXC62,'Sources and Uses Budget'!KXC108-SUM('15 Year Pro Forma'!KXA66:KXB66))</f>
        <v>0</v>
      </c>
      <c r="KXE66" s="960">
        <f>MIN(KXE60-KXE62,'Sources and Uses Budget'!KXE108-SUM('15 Year Pro Forma'!KXC66:KXD66))</f>
        <v>0</v>
      </c>
      <c r="KXG66" s="960">
        <f>MIN(KXG60-KXG62,'Sources and Uses Budget'!KXG108-SUM('15 Year Pro Forma'!KXE66:KXF66))</f>
        <v>0</v>
      </c>
      <c r="KXI66" s="960">
        <f>MIN(KXI60-KXI62,'Sources and Uses Budget'!KXI108-SUM('15 Year Pro Forma'!KXG66:KXH66))</f>
        <v>0</v>
      </c>
      <c r="KXK66" s="960">
        <f>MIN(KXK60-KXK62,'Sources and Uses Budget'!KXK108-SUM('15 Year Pro Forma'!KXI66:KXJ66))</f>
        <v>0</v>
      </c>
      <c r="KXM66" s="960">
        <f>MIN(KXM60-KXM62,'Sources and Uses Budget'!KXM108-SUM('15 Year Pro Forma'!KXK66:KXL66))</f>
        <v>0</v>
      </c>
      <c r="KXO66" s="960">
        <f>MIN(KXO60-KXO62,'Sources and Uses Budget'!KXO108-SUM('15 Year Pro Forma'!KXM66:KXN66))</f>
        <v>0</v>
      </c>
      <c r="KXQ66" s="960">
        <f>MIN(KXQ60-KXQ62,'Sources and Uses Budget'!KXQ108-SUM('15 Year Pro Forma'!KXO66:KXP66))</f>
        <v>0</v>
      </c>
      <c r="KXS66" s="960">
        <f>MIN(KXS60-KXS62,'Sources and Uses Budget'!KXS108-SUM('15 Year Pro Forma'!KXQ66:KXR66))</f>
        <v>0</v>
      </c>
      <c r="KXU66" s="960">
        <f>MIN(KXU60-KXU62,'Sources and Uses Budget'!KXU108-SUM('15 Year Pro Forma'!KXS66:KXT66))</f>
        <v>0</v>
      </c>
      <c r="KXW66" s="960">
        <f>MIN(KXW60-KXW62,'Sources and Uses Budget'!KXW108-SUM('15 Year Pro Forma'!KXU66:KXV66))</f>
        <v>0</v>
      </c>
      <c r="KXY66" s="960">
        <f>MIN(KXY60-KXY62,'Sources and Uses Budget'!KXY108-SUM('15 Year Pro Forma'!KXW66:KXX66))</f>
        <v>0</v>
      </c>
      <c r="KYA66" s="960">
        <f>MIN(KYA60-KYA62,'Sources and Uses Budget'!KYA108-SUM('15 Year Pro Forma'!KXY66:KXZ66))</f>
        <v>0</v>
      </c>
      <c r="KYC66" s="960">
        <f>MIN(KYC60-KYC62,'Sources and Uses Budget'!KYC108-SUM('15 Year Pro Forma'!KYA66:KYB66))</f>
        <v>0</v>
      </c>
      <c r="KYE66" s="960">
        <f>MIN(KYE60-KYE62,'Sources and Uses Budget'!KYE108-SUM('15 Year Pro Forma'!KYC66:KYD66))</f>
        <v>0</v>
      </c>
      <c r="KYG66" s="960">
        <f>MIN(KYG60-KYG62,'Sources and Uses Budget'!KYG108-SUM('15 Year Pro Forma'!KYE66:KYF66))</f>
        <v>0</v>
      </c>
      <c r="KYI66" s="960">
        <f>MIN(KYI60-KYI62,'Sources and Uses Budget'!KYI108-SUM('15 Year Pro Forma'!KYG66:KYH66))</f>
        <v>0</v>
      </c>
      <c r="KYK66" s="960">
        <f>MIN(KYK60-KYK62,'Sources and Uses Budget'!KYK108-SUM('15 Year Pro Forma'!KYI66:KYJ66))</f>
        <v>0</v>
      </c>
      <c r="KYM66" s="960">
        <f>MIN(KYM60-KYM62,'Sources and Uses Budget'!KYM108-SUM('15 Year Pro Forma'!KYK66:KYL66))</f>
        <v>0</v>
      </c>
      <c r="KYO66" s="960">
        <f>MIN(KYO60-KYO62,'Sources and Uses Budget'!KYO108-SUM('15 Year Pro Forma'!KYM66:KYN66))</f>
        <v>0</v>
      </c>
      <c r="KYQ66" s="960">
        <f>MIN(KYQ60-KYQ62,'Sources and Uses Budget'!KYQ108-SUM('15 Year Pro Forma'!KYO66:KYP66))</f>
        <v>0</v>
      </c>
      <c r="KYS66" s="960">
        <f>MIN(KYS60-KYS62,'Sources and Uses Budget'!KYS108-SUM('15 Year Pro Forma'!KYQ66:KYR66))</f>
        <v>0</v>
      </c>
      <c r="KYU66" s="960">
        <f>MIN(KYU60-KYU62,'Sources and Uses Budget'!KYU108-SUM('15 Year Pro Forma'!KYS66:KYT66))</f>
        <v>0</v>
      </c>
      <c r="KYW66" s="960">
        <f>MIN(KYW60-KYW62,'Sources and Uses Budget'!KYW108-SUM('15 Year Pro Forma'!KYU66:KYV66))</f>
        <v>0</v>
      </c>
      <c r="KYY66" s="960">
        <f>MIN(KYY60-KYY62,'Sources and Uses Budget'!KYY108-SUM('15 Year Pro Forma'!KYW66:KYX66))</f>
        <v>0</v>
      </c>
      <c r="KZA66" s="960">
        <f>MIN(KZA60-KZA62,'Sources and Uses Budget'!KZA108-SUM('15 Year Pro Forma'!KYY66:KYZ66))</f>
        <v>0</v>
      </c>
      <c r="KZC66" s="960">
        <f>MIN(KZC60-KZC62,'Sources and Uses Budget'!KZC108-SUM('15 Year Pro Forma'!KZA66:KZB66))</f>
        <v>0</v>
      </c>
      <c r="KZE66" s="960">
        <f>MIN(KZE60-KZE62,'Sources and Uses Budget'!KZE108-SUM('15 Year Pro Forma'!KZC66:KZD66))</f>
        <v>0</v>
      </c>
      <c r="KZG66" s="960">
        <f>MIN(KZG60-KZG62,'Sources and Uses Budget'!KZG108-SUM('15 Year Pro Forma'!KZE66:KZF66))</f>
        <v>0</v>
      </c>
      <c r="KZI66" s="960">
        <f>MIN(KZI60-KZI62,'Sources and Uses Budget'!KZI108-SUM('15 Year Pro Forma'!KZG66:KZH66))</f>
        <v>0</v>
      </c>
      <c r="KZK66" s="960">
        <f>MIN(KZK60-KZK62,'Sources and Uses Budget'!KZK108-SUM('15 Year Pro Forma'!KZI66:KZJ66))</f>
        <v>0</v>
      </c>
      <c r="KZM66" s="960">
        <f>MIN(KZM60-KZM62,'Sources and Uses Budget'!KZM108-SUM('15 Year Pro Forma'!KZK66:KZL66))</f>
        <v>0</v>
      </c>
      <c r="KZO66" s="960">
        <f>MIN(KZO60-KZO62,'Sources and Uses Budget'!KZO108-SUM('15 Year Pro Forma'!KZM66:KZN66))</f>
        <v>0</v>
      </c>
      <c r="KZQ66" s="960">
        <f>MIN(KZQ60-KZQ62,'Sources and Uses Budget'!KZQ108-SUM('15 Year Pro Forma'!KZO66:KZP66))</f>
        <v>0</v>
      </c>
      <c r="KZS66" s="960">
        <f>MIN(KZS60-KZS62,'Sources and Uses Budget'!KZS108-SUM('15 Year Pro Forma'!KZQ66:KZR66))</f>
        <v>0</v>
      </c>
      <c r="KZU66" s="960">
        <f>MIN(KZU60-KZU62,'Sources and Uses Budget'!KZU108-SUM('15 Year Pro Forma'!KZS66:KZT66))</f>
        <v>0</v>
      </c>
      <c r="KZW66" s="960">
        <f>MIN(KZW60-KZW62,'Sources and Uses Budget'!KZW108-SUM('15 Year Pro Forma'!KZU66:KZV66))</f>
        <v>0</v>
      </c>
      <c r="KZY66" s="960">
        <f>MIN(KZY60-KZY62,'Sources and Uses Budget'!KZY108-SUM('15 Year Pro Forma'!KZW66:KZX66))</f>
        <v>0</v>
      </c>
      <c r="LAA66" s="960">
        <f>MIN(LAA60-LAA62,'Sources and Uses Budget'!LAA108-SUM('15 Year Pro Forma'!KZY66:KZZ66))</f>
        <v>0</v>
      </c>
      <c r="LAC66" s="960">
        <f>MIN(LAC60-LAC62,'Sources and Uses Budget'!LAC108-SUM('15 Year Pro Forma'!LAA66:LAB66))</f>
        <v>0</v>
      </c>
      <c r="LAE66" s="960">
        <f>MIN(LAE60-LAE62,'Sources and Uses Budget'!LAE108-SUM('15 Year Pro Forma'!LAC66:LAD66))</f>
        <v>0</v>
      </c>
      <c r="LAG66" s="960">
        <f>MIN(LAG60-LAG62,'Sources and Uses Budget'!LAG108-SUM('15 Year Pro Forma'!LAE66:LAF66))</f>
        <v>0</v>
      </c>
      <c r="LAI66" s="960">
        <f>MIN(LAI60-LAI62,'Sources and Uses Budget'!LAI108-SUM('15 Year Pro Forma'!LAG66:LAH66))</f>
        <v>0</v>
      </c>
      <c r="LAK66" s="960">
        <f>MIN(LAK60-LAK62,'Sources and Uses Budget'!LAK108-SUM('15 Year Pro Forma'!LAI66:LAJ66))</f>
        <v>0</v>
      </c>
      <c r="LAM66" s="960">
        <f>MIN(LAM60-LAM62,'Sources and Uses Budget'!LAM108-SUM('15 Year Pro Forma'!LAK66:LAL66))</f>
        <v>0</v>
      </c>
      <c r="LAO66" s="960">
        <f>MIN(LAO60-LAO62,'Sources and Uses Budget'!LAO108-SUM('15 Year Pro Forma'!LAM66:LAN66))</f>
        <v>0</v>
      </c>
      <c r="LAQ66" s="960">
        <f>MIN(LAQ60-LAQ62,'Sources and Uses Budget'!LAQ108-SUM('15 Year Pro Forma'!LAO66:LAP66))</f>
        <v>0</v>
      </c>
      <c r="LAS66" s="960">
        <f>MIN(LAS60-LAS62,'Sources and Uses Budget'!LAS108-SUM('15 Year Pro Forma'!LAQ66:LAR66))</f>
        <v>0</v>
      </c>
      <c r="LAU66" s="960">
        <f>MIN(LAU60-LAU62,'Sources and Uses Budget'!LAU108-SUM('15 Year Pro Forma'!LAS66:LAT66))</f>
        <v>0</v>
      </c>
      <c r="LAW66" s="960">
        <f>MIN(LAW60-LAW62,'Sources and Uses Budget'!LAW108-SUM('15 Year Pro Forma'!LAU66:LAV66))</f>
        <v>0</v>
      </c>
      <c r="LAY66" s="960">
        <f>MIN(LAY60-LAY62,'Sources and Uses Budget'!LAY108-SUM('15 Year Pro Forma'!LAW66:LAX66))</f>
        <v>0</v>
      </c>
      <c r="LBA66" s="960">
        <f>MIN(LBA60-LBA62,'Sources and Uses Budget'!LBA108-SUM('15 Year Pro Forma'!LAY66:LAZ66))</f>
        <v>0</v>
      </c>
      <c r="LBC66" s="960">
        <f>MIN(LBC60-LBC62,'Sources and Uses Budget'!LBC108-SUM('15 Year Pro Forma'!LBA66:LBB66))</f>
        <v>0</v>
      </c>
      <c r="LBE66" s="960">
        <f>MIN(LBE60-LBE62,'Sources and Uses Budget'!LBE108-SUM('15 Year Pro Forma'!LBC66:LBD66))</f>
        <v>0</v>
      </c>
      <c r="LBG66" s="960">
        <f>MIN(LBG60-LBG62,'Sources and Uses Budget'!LBG108-SUM('15 Year Pro Forma'!LBE66:LBF66))</f>
        <v>0</v>
      </c>
      <c r="LBI66" s="960">
        <f>MIN(LBI60-LBI62,'Sources and Uses Budget'!LBI108-SUM('15 Year Pro Forma'!LBG66:LBH66))</f>
        <v>0</v>
      </c>
      <c r="LBK66" s="960">
        <f>MIN(LBK60-LBK62,'Sources and Uses Budget'!LBK108-SUM('15 Year Pro Forma'!LBI66:LBJ66))</f>
        <v>0</v>
      </c>
      <c r="LBM66" s="960">
        <f>MIN(LBM60-LBM62,'Sources and Uses Budget'!LBM108-SUM('15 Year Pro Forma'!LBK66:LBL66))</f>
        <v>0</v>
      </c>
      <c r="LBO66" s="960">
        <f>MIN(LBO60-LBO62,'Sources and Uses Budget'!LBO108-SUM('15 Year Pro Forma'!LBM66:LBN66))</f>
        <v>0</v>
      </c>
      <c r="LBQ66" s="960">
        <f>MIN(LBQ60-LBQ62,'Sources and Uses Budget'!LBQ108-SUM('15 Year Pro Forma'!LBO66:LBP66))</f>
        <v>0</v>
      </c>
      <c r="LBS66" s="960">
        <f>MIN(LBS60-LBS62,'Sources and Uses Budget'!LBS108-SUM('15 Year Pro Forma'!LBQ66:LBR66))</f>
        <v>0</v>
      </c>
      <c r="LBU66" s="960">
        <f>MIN(LBU60-LBU62,'Sources and Uses Budget'!LBU108-SUM('15 Year Pro Forma'!LBS66:LBT66))</f>
        <v>0</v>
      </c>
      <c r="LBW66" s="960">
        <f>MIN(LBW60-LBW62,'Sources and Uses Budget'!LBW108-SUM('15 Year Pro Forma'!LBU66:LBV66))</f>
        <v>0</v>
      </c>
      <c r="LBY66" s="960">
        <f>MIN(LBY60-LBY62,'Sources and Uses Budget'!LBY108-SUM('15 Year Pro Forma'!LBW66:LBX66))</f>
        <v>0</v>
      </c>
      <c r="LCA66" s="960">
        <f>MIN(LCA60-LCA62,'Sources and Uses Budget'!LCA108-SUM('15 Year Pro Forma'!LBY66:LBZ66))</f>
        <v>0</v>
      </c>
      <c r="LCC66" s="960">
        <f>MIN(LCC60-LCC62,'Sources and Uses Budget'!LCC108-SUM('15 Year Pro Forma'!LCA66:LCB66))</f>
        <v>0</v>
      </c>
      <c r="LCE66" s="960">
        <f>MIN(LCE60-LCE62,'Sources and Uses Budget'!LCE108-SUM('15 Year Pro Forma'!LCC66:LCD66))</f>
        <v>0</v>
      </c>
      <c r="LCG66" s="960">
        <f>MIN(LCG60-LCG62,'Sources and Uses Budget'!LCG108-SUM('15 Year Pro Forma'!LCE66:LCF66))</f>
        <v>0</v>
      </c>
      <c r="LCI66" s="960">
        <f>MIN(LCI60-LCI62,'Sources and Uses Budget'!LCI108-SUM('15 Year Pro Forma'!LCG66:LCH66))</f>
        <v>0</v>
      </c>
      <c r="LCK66" s="960">
        <f>MIN(LCK60-LCK62,'Sources and Uses Budget'!LCK108-SUM('15 Year Pro Forma'!LCI66:LCJ66))</f>
        <v>0</v>
      </c>
      <c r="LCM66" s="960">
        <f>MIN(LCM60-LCM62,'Sources and Uses Budget'!LCM108-SUM('15 Year Pro Forma'!LCK66:LCL66))</f>
        <v>0</v>
      </c>
      <c r="LCO66" s="960">
        <f>MIN(LCO60-LCO62,'Sources and Uses Budget'!LCO108-SUM('15 Year Pro Forma'!LCM66:LCN66))</f>
        <v>0</v>
      </c>
      <c r="LCQ66" s="960">
        <f>MIN(LCQ60-LCQ62,'Sources and Uses Budget'!LCQ108-SUM('15 Year Pro Forma'!LCO66:LCP66))</f>
        <v>0</v>
      </c>
      <c r="LCS66" s="960">
        <f>MIN(LCS60-LCS62,'Sources and Uses Budget'!LCS108-SUM('15 Year Pro Forma'!LCQ66:LCR66))</f>
        <v>0</v>
      </c>
      <c r="LCU66" s="960">
        <f>MIN(LCU60-LCU62,'Sources and Uses Budget'!LCU108-SUM('15 Year Pro Forma'!LCS66:LCT66))</f>
        <v>0</v>
      </c>
      <c r="LCW66" s="960">
        <f>MIN(LCW60-LCW62,'Sources and Uses Budget'!LCW108-SUM('15 Year Pro Forma'!LCU66:LCV66))</f>
        <v>0</v>
      </c>
      <c r="LCY66" s="960">
        <f>MIN(LCY60-LCY62,'Sources and Uses Budget'!LCY108-SUM('15 Year Pro Forma'!LCW66:LCX66))</f>
        <v>0</v>
      </c>
      <c r="LDA66" s="960">
        <f>MIN(LDA60-LDA62,'Sources and Uses Budget'!LDA108-SUM('15 Year Pro Forma'!LCY66:LCZ66))</f>
        <v>0</v>
      </c>
      <c r="LDC66" s="960">
        <f>MIN(LDC60-LDC62,'Sources and Uses Budget'!LDC108-SUM('15 Year Pro Forma'!LDA66:LDB66))</f>
        <v>0</v>
      </c>
      <c r="LDE66" s="960">
        <f>MIN(LDE60-LDE62,'Sources and Uses Budget'!LDE108-SUM('15 Year Pro Forma'!LDC66:LDD66))</f>
        <v>0</v>
      </c>
      <c r="LDG66" s="960">
        <f>MIN(LDG60-LDG62,'Sources and Uses Budget'!LDG108-SUM('15 Year Pro Forma'!LDE66:LDF66))</f>
        <v>0</v>
      </c>
      <c r="LDI66" s="960">
        <f>MIN(LDI60-LDI62,'Sources and Uses Budget'!LDI108-SUM('15 Year Pro Forma'!LDG66:LDH66))</f>
        <v>0</v>
      </c>
      <c r="LDK66" s="960">
        <f>MIN(LDK60-LDK62,'Sources and Uses Budget'!LDK108-SUM('15 Year Pro Forma'!LDI66:LDJ66))</f>
        <v>0</v>
      </c>
      <c r="LDM66" s="960">
        <f>MIN(LDM60-LDM62,'Sources and Uses Budget'!LDM108-SUM('15 Year Pro Forma'!LDK66:LDL66))</f>
        <v>0</v>
      </c>
      <c r="LDO66" s="960">
        <f>MIN(LDO60-LDO62,'Sources and Uses Budget'!LDO108-SUM('15 Year Pro Forma'!LDM66:LDN66))</f>
        <v>0</v>
      </c>
      <c r="LDQ66" s="960">
        <f>MIN(LDQ60-LDQ62,'Sources and Uses Budget'!LDQ108-SUM('15 Year Pro Forma'!LDO66:LDP66))</f>
        <v>0</v>
      </c>
      <c r="LDS66" s="960">
        <f>MIN(LDS60-LDS62,'Sources and Uses Budget'!LDS108-SUM('15 Year Pro Forma'!LDQ66:LDR66))</f>
        <v>0</v>
      </c>
      <c r="LDU66" s="960">
        <f>MIN(LDU60-LDU62,'Sources and Uses Budget'!LDU108-SUM('15 Year Pro Forma'!LDS66:LDT66))</f>
        <v>0</v>
      </c>
      <c r="LDW66" s="960">
        <f>MIN(LDW60-LDW62,'Sources and Uses Budget'!LDW108-SUM('15 Year Pro Forma'!LDU66:LDV66))</f>
        <v>0</v>
      </c>
      <c r="LDY66" s="960">
        <f>MIN(LDY60-LDY62,'Sources and Uses Budget'!LDY108-SUM('15 Year Pro Forma'!LDW66:LDX66))</f>
        <v>0</v>
      </c>
      <c r="LEA66" s="960">
        <f>MIN(LEA60-LEA62,'Sources and Uses Budget'!LEA108-SUM('15 Year Pro Forma'!LDY66:LDZ66))</f>
        <v>0</v>
      </c>
      <c r="LEC66" s="960">
        <f>MIN(LEC60-LEC62,'Sources and Uses Budget'!LEC108-SUM('15 Year Pro Forma'!LEA66:LEB66))</f>
        <v>0</v>
      </c>
      <c r="LEE66" s="960">
        <f>MIN(LEE60-LEE62,'Sources and Uses Budget'!LEE108-SUM('15 Year Pro Forma'!LEC66:LED66))</f>
        <v>0</v>
      </c>
      <c r="LEG66" s="960">
        <f>MIN(LEG60-LEG62,'Sources and Uses Budget'!LEG108-SUM('15 Year Pro Forma'!LEE66:LEF66))</f>
        <v>0</v>
      </c>
      <c r="LEI66" s="960">
        <f>MIN(LEI60-LEI62,'Sources and Uses Budget'!LEI108-SUM('15 Year Pro Forma'!LEG66:LEH66))</f>
        <v>0</v>
      </c>
      <c r="LEK66" s="960">
        <f>MIN(LEK60-LEK62,'Sources and Uses Budget'!LEK108-SUM('15 Year Pro Forma'!LEI66:LEJ66))</f>
        <v>0</v>
      </c>
      <c r="LEM66" s="960">
        <f>MIN(LEM60-LEM62,'Sources and Uses Budget'!LEM108-SUM('15 Year Pro Forma'!LEK66:LEL66))</f>
        <v>0</v>
      </c>
      <c r="LEO66" s="960">
        <f>MIN(LEO60-LEO62,'Sources and Uses Budget'!LEO108-SUM('15 Year Pro Forma'!LEM66:LEN66))</f>
        <v>0</v>
      </c>
      <c r="LEQ66" s="960">
        <f>MIN(LEQ60-LEQ62,'Sources and Uses Budget'!LEQ108-SUM('15 Year Pro Forma'!LEO66:LEP66))</f>
        <v>0</v>
      </c>
      <c r="LES66" s="960">
        <f>MIN(LES60-LES62,'Sources and Uses Budget'!LES108-SUM('15 Year Pro Forma'!LEQ66:LER66))</f>
        <v>0</v>
      </c>
      <c r="LEU66" s="960">
        <f>MIN(LEU60-LEU62,'Sources and Uses Budget'!LEU108-SUM('15 Year Pro Forma'!LES66:LET66))</f>
        <v>0</v>
      </c>
      <c r="LEW66" s="960">
        <f>MIN(LEW60-LEW62,'Sources and Uses Budget'!LEW108-SUM('15 Year Pro Forma'!LEU66:LEV66))</f>
        <v>0</v>
      </c>
      <c r="LEY66" s="960">
        <f>MIN(LEY60-LEY62,'Sources and Uses Budget'!LEY108-SUM('15 Year Pro Forma'!LEW66:LEX66))</f>
        <v>0</v>
      </c>
      <c r="LFA66" s="960">
        <f>MIN(LFA60-LFA62,'Sources and Uses Budget'!LFA108-SUM('15 Year Pro Forma'!LEY66:LEZ66))</f>
        <v>0</v>
      </c>
      <c r="LFC66" s="960">
        <f>MIN(LFC60-LFC62,'Sources and Uses Budget'!LFC108-SUM('15 Year Pro Forma'!LFA66:LFB66))</f>
        <v>0</v>
      </c>
      <c r="LFE66" s="960">
        <f>MIN(LFE60-LFE62,'Sources and Uses Budget'!LFE108-SUM('15 Year Pro Forma'!LFC66:LFD66))</f>
        <v>0</v>
      </c>
      <c r="LFG66" s="960">
        <f>MIN(LFG60-LFG62,'Sources and Uses Budget'!LFG108-SUM('15 Year Pro Forma'!LFE66:LFF66))</f>
        <v>0</v>
      </c>
      <c r="LFI66" s="960">
        <f>MIN(LFI60-LFI62,'Sources and Uses Budget'!LFI108-SUM('15 Year Pro Forma'!LFG66:LFH66))</f>
        <v>0</v>
      </c>
      <c r="LFK66" s="960">
        <f>MIN(LFK60-LFK62,'Sources and Uses Budget'!LFK108-SUM('15 Year Pro Forma'!LFI66:LFJ66))</f>
        <v>0</v>
      </c>
      <c r="LFM66" s="960">
        <f>MIN(LFM60-LFM62,'Sources and Uses Budget'!LFM108-SUM('15 Year Pro Forma'!LFK66:LFL66))</f>
        <v>0</v>
      </c>
      <c r="LFO66" s="960">
        <f>MIN(LFO60-LFO62,'Sources and Uses Budget'!LFO108-SUM('15 Year Pro Forma'!LFM66:LFN66))</f>
        <v>0</v>
      </c>
      <c r="LFQ66" s="960">
        <f>MIN(LFQ60-LFQ62,'Sources and Uses Budget'!LFQ108-SUM('15 Year Pro Forma'!LFO66:LFP66))</f>
        <v>0</v>
      </c>
      <c r="LFS66" s="960">
        <f>MIN(LFS60-LFS62,'Sources and Uses Budget'!LFS108-SUM('15 Year Pro Forma'!LFQ66:LFR66))</f>
        <v>0</v>
      </c>
      <c r="LFU66" s="960">
        <f>MIN(LFU60-LFU62,'Sources and Uses Budget'!LFU108-SUM('15 Year Pro Forma'!LFS66:LFT66))</f>
        <v>0</v>
      </c>
      <c r="LFW66" s="960">
        <f>MIN(LFW60-LFW62,'Sources and Uses Budget'!LFW108-SUM('15 Year Pro Forma'!LFU66:LFV66))</f>
        <v>0</v>
      </c>
      <c r="LFY66" s="960">
        <f>MIN(LFY60-LFY62,'Sources and Uses Budget'!LFY108-SUM('15 Year Pro Forma'!LFW66:LFX66))</f>
        <v>0</v>
      </c>
      <c r="LGA66" s="960">
        <f>MIN(LGA60-LGA62,'Sources and Uses Budget'!LGA108-SUM('15 Year Pro Forma'!LFY66:LFZ66))</f>
        <v>0</v>
      </c>
      <c r="LGC66" s="960">
        <f>MIN(LGC60-LGC62,'Sources and Uses Budget'!LGC108-SUM('15 Year Pro Forma'!LGA66:LGB66))</f>
        <v>0</v>
      </c>
      <c r="LGE66" s="960">
        <f>MIN(LGE60-LGE62,'Sources and Uses Budget'!LGE108-SUM('15 Year Pro Forma'!LGC66:LGD66))</f>
        <v>0</v>
      </c>
      <c r="LGG66" s="960">
        <f>MIN(LGG60-LGG62,'Sources and Uses Budget'!LGG108-SUM('15 Year Pro Forma'!LGE66:LGF66))</f>
        <v>0</v>
      </c>
      <c r="LGI66" s="960">
        <f>MIN(LGI60-LGI62,'Sources and Uses Budget'!LGI108-SUM('15 Year Pro Forma'!LGG66:LGH66))</f>
        <v>0</v>
      </c>
      <c r="LGK66" s="960">
        <f>MIN(LGK60-LGK62,'Sources and Uses Budget'!LGK108-SUM('15 Year Pro Forma'!LGI66:LGJ66))</f>
        <v>0</v>
      </c>
      <c r="LGM66" s="960">
        <f>MIN(LGM60-LGM62,'Sources and Uses Budget'!LGM108-SUM('15 Year Pro Forma'!LGK66:LGL66))</f>
        <v>0</v>
      </c>
      <c r="LGO66" s="960">
        <f>MIN(LGO60-LGO62,'Sources and Uses Budget'!LGO108-SUM('15 Year Pro Forma'!LGM66:LGN66))</f>
        <v>0</v>
      </c>
      <c r="LGQ66" s="960">
        <f>MIN(LGQ60-LGQ62,'Sources and Uses Budget'!LGQ108-SUM('15 Year Pro Forma'!LGO66:LGP66))</f>
        <v>0</v>
      </c>
      <c r="LGS66" s="960">
        <f>MIN(LGS60-LGS62,'Sources and Uses Budget'!LGS108-SUM('15 Year Pro Forma'!LGQ66:LGR66))</f>
        <v>0</v>
      </c>
      <c r="LGU66" s="960">
        <f>MIN(LGU60-LGU62,'Sources and Uses Budget'!LGU108-SUM('15 Year Pro Forma'!LGS66:LGT66))</f>
        <v>0</v>
      </c>
      <c r="LGW66" s="960">
        <f>MIN(LGW60-LGW62,'Sources and Uses Budget'!LGW108-SUM('15 Year Pro Forma'!LGU66:LGV66))</f>
        <v>0</v>
      </c>
      <c r="LGY66" s="960">
        <f>MIN(LGY60-LGY62,'Sources and Uses Budget'!LGY108-SUM('15 Year Pro Forma'!LGW66:LGX66))</f>
        <v>0</v>
      </c>
      <c r="LHA66" s="960">
        <f>MIN(LHA60-LHA62,'Sources and Uses Budget'!LHA108-SUM('15 Year Pro Forma'!LGY66:LGZ66))</f>
        <v>0</v>
      </c>
      <c r="LHC66" s="960">
        <f>MIN(LHC60-LHC62,'Sources and Uses Budget'!LHC108-SUM('15 Year Pro Forma'!LHA66:LHB66))</f>
        <v>0</v>
      </c>
      <c r="LHE66" s="960">
        <f>MIN(LHE60-LHE62,'Sources and Uses Budget'!LHE108-SUM('15 Year Pro Forma'!LHC66:LHD66))</f>
        <v>0</v>
      </c>
      <c r="LHG66" s="960">
        <f>MIN(LHG60-LHG62,'Sources and Uses Budget'!LHG108-SUM('15 Year Pro Forma'!LHE66:LHF66))</f>
        <v>0</v>
      </c>
      <c r="LHI66" s="960">
        <f>MIN(LHI60-LHI62,'Sources and Uses Budget'!LHI108-SUM('15 Year Pro Forma'!LHG66:LHH66))</f>
        <v>0</v>
      </c>
      <c r="LHK66" s="960">
        <f>MIN(LHK60-LHK62,'Sources and Uses Budget'!LHK108-SUM('15 Year Pro Forma'!LHI66:LHJ66))</f>
        <v>0</v>
      </c>
      <c r="LHM66" s="960">
        <f>MIN(LHM60-LHM62,'Sources and Uses Budget'!LHM108-SUM('15 Year Pro Forma'!LHK66:LHL66))</f>
        <v>0</v>
      </c>
      <c r="LHO66" s="960">
        <f>MIN(LHO60-LHO62,'Sources and Uses Budget'!LHO108-SUM('15 Year Pro Forma'!LHM66:LHN66))</f>
        <v>0</v>
      </c>
      <c r="LHQ66" s="960">
        <f>MIN(LHQ60-LHQ62,'Sources and Uses Budget'!LHQ108-SUM('15 Year Pro Forma'!LHO66:LHP66))</f>
        <v>0</v>
      </c>
      <c r="LHS66" s="960">
        <f>MIN(LHS60-LHS62,'Sources and Uses Budget'!LHS108-SUM('15 Year Pro Forma'!LHQ66:LHR66))</f>
        <v>0</v>
      </c>
      <c r="LHU66" s="960">
        <f>MIN(LHU60-LHU62,'Sources and Uses Budget'!LHU108-SUM('15 Year Pro Forma'!LHS66:LHT66))</f>
        <v>0</v>
      </c>
      <c r="LHW66" s="960">
        <f>MIN(LHW60-LHW62,'Sources and Uses Budget'!LHW108-SUM('15 Year Pro Forma'!LHU66:LHV66))</f>
        <v>0</v>
      </c>
      <c r="LHY66" s="960">
        <f>MIN(LHY60-LHY62,'Sources and Uses Budget'!LHY108-SUM('15 Year Pro Forma'!LHW66:LHX66))</f>
        <v>0</v>
      </c>
      <c r="LIA66" s="960">
        <f>MIN(LIA60-LIA62,'Sources and Uses Budget'!LIA108-SUM('15 Year Pro Forma'!LHY66:LHZ66))</f>
        <v>0</v>
      </c>
      <c r="LIC66" s="960">
        <f>MIN(LIC60-LIC62,'Sources and Uses Budget'!LIC108-SUM('15 Year Pro Forma'!LIA66:LIB66))</f>
        <v>0</v>
      </c>
      <c r="LIE66" s="960">
        <f>MIN(LIE60-LIE62,'Sources and Uses Budget'!LIE108-SUM('15 Year Pro Forma'!LIC66:LID66))</f>
        <v>0</v>
      </c>
      <c r="LIG66" s="960">
        <f>MIN(LIG60-LIG62,'Sources and Uses Budget'!LIG108-SUM('15 Year Pro Forma'!LIE66:LIF66))</f>
        <v>0</v>
      </c>
      <c r="LII66" s="960">
        <f>MIN(LII60-LII62,'Sources and Uses Budget'!LII108-SUM('15 Year Pro Forma'!LIG66:LIH66))</f>
        <v>0</v>
      </c>
      <c r="LIK66" s="960">
        <f>MIN(LIK60-LIK62,'Sources and Uses Budget'!LIK108-SUM('15 Year Pro Forma'!LII66:LIJ66))</f>
        <v>0</v>
      </c>
      <c r="LIM66" s="960">
        <f>MIN(LIM60-LIM62,'Sources and Uses Budget'!LIM108-SUM('15 Year Pro Forma'!LIK66:LIL66))</f>
        <v>0</v>
      </c>
      <c r="LIO66" s="960">
        <f>MIN(LIO60-LIO62,'Sources and Uses Budget'!LIO108-SUM('15 Year Pro Forma'!LIM66:LIN66))</f>
        <v>0</v>
      </c>
      <c r="LIQ66" s="960">
        <f>MIN(LIQ60-LIQ62,'Sources and Uses Budget'!LIQ108-SUM('15 Year Pro Forma'!LIO66:LIP66))</f>
        <v>0</v>
      </c>
      <c r="LIS66" s="960">
        <f>MIN(LIS60-LIS62,'Sources and Uses Budget'!LIS108-SUM('15 Year Pro Forma'!LIQ66:LIR66))</f>
        <v>0</v>
      </c>
      <c r="LIU66" s="960">
        <f>MIN(LIU60-LIU62,'Sources and Uses Budget'!LIU108-SUM('15 Year Pro Forma'!LIS66:LIT66))</f>
        <v>0</v>
      </c>
      <c r="LIW66" s="960">
        <f>MIN(LIW60-LIW62,'Sources and Uses Budget'!LIW108-SUM('15 Year Pro Forma'!LIU66:LIV66))</f>
        <v>0</v>
      </c>
      <c r="LIY66" s="960">
        <f>MIN(LIY60-LIY62,'Sources and Uses Budget'!LIY108-SUM('15 Year Pro Forma'!LIW66:LIX66))</f>
        <v>0</v>
      </c>
      <c r="LJA66" s="960">
        <f>MIN(LJA60-LJA62,'Sources and Uses Budget'!LJA108-SUM('15 Year Pro Forma'!LIY66:LIZ66))</f>
        <v>0</v>
      </c>
      <c r="LJC66" s="960">
        <f>MIN(LJC60-LJC62,'Sources and Uses Budget'!LJC108-SUM('15 Year Pro Forma'!LJA66:LJB66))</f>
        <v>0</v>
      </c>
      <c r="LJE66" s="960">
        <f>MIN(LJE60-LJE62,'Sources and Uses Budget'!LJE108-SUM('15 Year Pro Forma'!LJC66:LJD66))</f>
        <v>0</v>
      </c>
      <c r="LJG66" s="960">
        <f>MIN(LJG60-LJG62,'Sources and Uses Budget'!LJG108-SUM('15 Year Pro Forma'!LJE66:LJF66))</f>
        <v>0</v>
      </c>
      <c r="LJI66" s="960">
        <f>MIN(LJI60-LJI62,'Sources and Uses Budget'!LJI108-SUM('15 Year Pro Forma'!LJG66:LJH66))</f>
        <v>0</v>
      </c>
      <c r="LJK66" s="960">
        <f>MIN(LJK60-LJK62,'Sources and Uses Budget'!LJK108-SUM('15 Year Pro Forma'!LJI66:LJJ66))</f>
        <v>0</v>
      </c>
      <c r="LJM66" s="960">
        <f>MIN(LJM60-LJM62,'Sources and Uses Budget'!LJM108-SUM('15 Year Pro Forma'!LJK66:LJL66))</f>
        <v>0</v>
      </c>
      <c r="LJO66" s="960">
        <f>MIN(LJO60-LJO62,'Sources and Uses Budget'!LJO108-SUM('15 Year Pro Forma'!LJM66:LJN66))</f>
        <v>0</v>
      </c>
      <c r="LJQ66" s="960">
        <f>MIN(LJQ60-LJQ62,'Sources and Uses Budget'!LJQ108-SUM('15 Year Pro Forma'!LJO66:LJP66))</f>
        <v>0</v>
      </c>
      <c r="LJS66" s="960">
        <f>MIN(LJS60-LJS62,'Sources and Uses Budget'!LJS108-SUM('15 Year Pro Forma'!LJQ66:LJR66))</f>
        <v>0</v>
      </c>
      <c r="LJU66" s="960">
        <f>MIN(LJU60-LJU62,'Sources and Uses Budget'!LJU108-SUM('15 Year Pro Forma'!LJS66:LJT66))</f>
        <v>0</v>
      </c>
      <c r="LJW66" s="960">
        <f>MIN(LJW60-LJW62,'Sources and Uses Budget'!LJW108-SUM('15 Year Pro Forma'!LJU66:LJV66))</f>
        <v>0</v>
      </c>
      <c r="LJY66" s="960">
        <f>MIN(LJY60-LJY62,'Sources and Uses Budget'!LJY108-SUM('15 Year Pro Forma'!LJW66:LJX66))</f>
        <v>0</v>
      </c>
      <c r="LKA66" s="960">
        <f>MIN(LKA60-LKA62,'Sources and Uses Budget'!LKA108-SUM('15 Year Pro Forma'!LJY66:LJZ66))</f>
        <v>0</v>
      </c>
      <c r="LKC66" s="960">
        <f>MIN(LKC60-LKC62,'Sources and Uses Budget'!LKC108-SUM('15 Year Pro Forma'!LKA66:LKB66))</f>
        <v>0</v>
      </c>
      <c r="LKE66" s="960">
        <f>MIN(LKE60-LKE62,'Sources and Uses Budget'!LKE108-SUM('15 Year Pro Forma'!LKC66:LKD66))</f>
        <v>0</v>
      </c>
      <c r="LKG66" s="960">
        <f>MIN(LKG60-LKG62,'Sources and Uses Budget'!LKG108-SUM('15 Year Pro Forma'!LKE66:LKF66))</f>
        <v>0</v>
      </c>
      <c r="LKI66" s="960">
        <f>MIN(LKI60-LKI62,'Sources and Uses Budget'!LKI108-SUM('15 Year Pro Forma'!LKG66:LKH66))</f>
        <v>0</v>
      </c>
      <c r="LKK66" s="960">
        <f>MIN(LKK60-LKK62,'Sources and Uses Budget'!LKK108-SUM('15 Year Pro Forma'!LKI66:LKJ66))</f>
        <v>0</v>
      </c>
      <c r="LKM66" s="960">
        <f>MIN(LKM60-LKM62,'Sources and Uses Budget'!LKM108-SUM('15 Year Pro Forma'!LKK66:LKL66))</f>
        <v>0</v>
      </c>
      <c r="LKO66" s="960">
        <f>MIN(LKO60-LKO62,'Sources and Uses Budget'!LKO108-SUM('15 Year Pro Forma'!LKM66:LKN66))</f>
        <v>0</v>
      </c>
      <c r="LKQ66" s="960">
        <f>MIN(LKQ60-LKQ62,'Sources and Uses Budget'!LKQ108-SUM('15 Year Pro Forma'!LKO66:LKP66))</f>
        <v>0</v>
      </c>
      <c r="LKS66" s="960">
        <f>MIN(LKS60-LKS62,'Sources and Uses Budget'!LKS108-SUM('15 Year Pro Forma'!LKQ66:LKR66))</f>
        <v>0</v>
      </c>
      <c r="LKU66" s="960">
        <f>MIN(LKU60-LKU62,'Sources and Uses Budget'!LKU108-SUM('15 Year Pro Forma'!LKS66:LKT66))</f>
        <v>0</v>
      </c>
      <c r="LKW66" s="960">
        <f>MIN(LKW60-LKW62,'Sources and Uses Budget'!LKW108-SUM('15 Year Pro Forma'!LKU66:LKV66))</f>
        <v>0</v>
      </c>
      <c r="LKY66" s="960">
        <f>MIN(LKY60-LKY62,'Sources and Uses Budget'!LKY108-SUM('15 Year Pro Forma'!LKW66:LKX66))</f>
        <v>0</v>
      </c>
      <c r="LLA66" s="960">
        <f>MIN(LLA60-LLA62,'Sources and Uses Budget'!LLA108-SUM('15 Year Pro Forma'!LKY66:LKZ66))</f>
        <v>0</v>
      </c>
      <c r="LLC66" s="960">
        <f>MIN(LLC60-LLC62,'Sources and Uses Budget'!LLC108-SUM('15 Year Pro Forma'!LLA66:LLB66))</f>
        <v>0</v>
      </c>
      <c r="LLE66" s="960">
        <f>MIN(LLE60-LLE62,'Sources and Uses Budget'!LLE108-SUM('15 Year Pro Forma'!LLC66:LLD66))</f>
        <v>0</v>
      </c>
      <c r="LLG66" s="960">
        <f>MIN(LLG60-LLG62,'Sources and Uses Budget'!LLG108-SUM('15 Year Pro Forma'!LLE66:LLF66))</f>
        <v>0</v>
      </c>
      <c r="LLI66" s="960">
        <f>MIN(LLI60-LLI62,'Sources and Uses Budget'!LLI108-SUM('15 Year Pro Forma'!LLG66:LLH66))</f>
        <v>0</v>
      </c>
      <c r="LLK66" s="960">
        <f>MIN(LLK60-LLK62,'Sources and Uses Budget'!LLK108-SUM('15 Year Pro Forma'!LLI66:LLJ66))</f>
        <v>0</v>
      </c>
      <c r="LLM66" s="960">
        <f>MIN(LLM60-LLM62,'Sources and Uses Budget'!LLM108-SUM('15 Year Pro Forma'!LLK66:LLL66))</f>
        <v>0</v>
      </c>
      <c r="LLO66" s="960">
        <f>MIN(LLO60-LLO62,'Sources and Uses Budget'!LLO108-SUM('15 Year Pro Forma'!LLM66:LLN66))</f>
        <v>0</v>
      </c>
      <c r="LLQ66" s="960">
        <f>MIN(LLQ60-LLQ62,'Sources and Uses Budget'!LLQ108-SUM('15 Year Pro Forma'!LLO66:LLP66))</f>
        <v>0</v>
      </c>
      <c r="LLS66" s="960">
        <f>MIN(LLS60-LLS62,'Sources and Uses Budget'!LLS108-SUM('15 Year Pro Forma'!LLQ66:LLR66))</f>
        <v>0</v>
      </c>
      <c r="LLU66" s="960">
        <f>MIN(LLU60-LLU62,'Sources and Uses Budget'!LLU108-SUM('15 Year Pro Forma'!LLS66:LLT66))</f>
        <v>0</v>
      </c>
      <c r="LLW66" s="960">
        <f>MIN(LLW60-LLW62,'Sources and Uses Budget'!LLW108-SUM('15 Year Pro Forma'!LLU66:LLV66))</f>
        <v>0</v>
      </c>
      <c r="LLY66" s="960">
        <f>MIN(LLY60-LLY62,'Sources and Uses Budget'!LLY108-SUM('15 Year Pro Forma'!LLW66:LLX66))</f>
        <v>0</v>
      </c>
      <c r="LMA66" s="960">
        <f>MIN(LMA60-LMA62,'Sources and Uses Budget'!LMA108-SUM('15 Year Pro Forma'!LLY66:LLZ66))</f>
        <v>0</v>
      </c>
      <c r="LMC66" s="960">
        <f>MIN(LMC60-LMC62,'Sources and Uses Budget'!LMC108-SUM('15 Year Pro Forma'!LMA66:LMB66))</f>
        <v>0</v>
      </c>
      <c r="LME66" s="960">
        <f>MIN(LME60-LME62,'Sources and Uses Budget'!LME108-SUM('15 Year Pro Forma'!LMC66:LMD66))</f>
        <v>0</v>
      </c>
      <c r="LMG66" s="960">
        <f>MIN(LMG60-LMG62,'Sources and Uses Budget'!LMG108-SUM('15 Year Pro Forma'!LME66:LMF66))</f>
        <v>0</v>
      </c>
      <c r="LMI66" s="960">
        <f>MIN(LMI60-LMI62,'Sources and Uses Budget'!LMI108-SUM('15 Year Pro Forma'!LMG66:LMH66))</f>
        <v>0</v>
      </c>
      <c r="LMK66" s="960">
        <f>MIN(LMK60-LMK62,'Sources and Uses Budget'!LMK108-SUM('15 Year Pro Forma'!LMI66:LMJ66))</f>
        <v>0</v>
      </c>
      <c r="LMM66" s="960">
        <f>MIN(LMM60-LMM62,'Sources and Uses Budget'!LMM108-SUM('15 Year Pro Forma'!LMK66:LML66))</f>
        <v>0</v>
      </c>
      <c r="LMO66" s="960">
        <f>MIN(LMO60-LMO62,'Sources and Uses Budget'!LMO108-SUM('15 Year Pro Forma'!LMM66:LMN66))</f>
        <v>0</v>
      </c>
      <c r="LMQ66" s="960">
        <f>MIN(LMQ60-LMQ62,'Sources and Uses Budget'!LMQ108-SUM('15 Year Pro Forma'!LMO66:LMP66))</f>
        <v>0</v>
      </c>
      <c r="LMS66" s="960">
        <f>MIN(LMS60-LMS62,'Sources and Uses Budget'!LMS108-SUM('15 Year Pro Forma'!LMQ66:LMR66))</f>
        <v>0</v>
      </c>
      <c r="LMU66" s="960">
        <f>MIN(LMU60-LMU62,'Sources and Uses Budget'!LMU108-SUM('15 Year Pro Forma'!LMS66:LMT66))</f>
        <v>0</v>
      </c>
      <c r="LMW66" s="960">
        <f>MIN(LMW60-LMW62,'Sources and Uses Budget'!LMW108-SUM('15 Year Pro Forma'!LMU66:LMV66))</f>
        <v>0</v>
      </c>
      <c r="LMY66" s="960">
        <f>MIN(LMY60-LMY62,'Sources and Uses Budget'!LMY108-SUM('15 Year Pro Forma'!LMW66:LMX66))</f>
        <v>0</v>
      </c>
      <c r="LNA66" s="960">
        <f>MIN(LNA60-LNA62,'Sources and Uses Budget'!LNA108-SUM('15 Year Pro Forma'!LMY66:LMZ66))</f>
        <v>0</v>
      </c>
      <c r="LNC66" s="960">
        <f>MIN(LNC60-LNC62,'Sources and Uses Budget'!LNC108-SUM('15 Year Pro Forma'!LNA66:LNB66))</f>
        <v>0</v>
      </c>
      <c r="LNE66" s="960">
        <f>MIN(LNE60-LNE62,'Sources and Uses Budget'!LNE108-SUM('15 Year Pro Forma'!LNC66:LND66))</f>
        <v>0</v>
      </c>
      <c r="LNG66" s="960">
        <f>MIN(LNG60-LNG62,'Sources and Uses Budget'!LNG108-SUM('15 Year Pro Forma'!LNE66:LNF66))</f>
        <v>0</v>
      </c>
      <c r="LNI66" s="960">
        <f>MIN(LNI60-LNI62,'Sources and Uses Budget'!LNI108-SUM('15 Year Pro Forma'!LNG66:LNH66))</f>
        <v>0</v>
      </c>
      <c r="LNK66" s="960">
        <f>MIN(LNK60-LNK62,'Sources and Uses Budget'!LNK108-SUM('15 Year Pro Forma'!LNI66:LNJ66))</f>
        <v>0</v>
      </c>
      <c r="LNM66" s="960">
        <f>MIN(LNM60-LNM62,'Sources and Uses Budget'!LNM108-SUM('15 Year Pro Forma'!LNK66:LNL66))</f>
        <v>0</v>
      </c>
      <c r="LNO66" s="960">
        <f>MIN(LNO60-LNO62,'Sources and Uses Budget'!LNO108-SUM('15 Year Pro Forma'!LNM66:LNN66))</f>
        <v>0</v>
      </c>
      <c r="LNQ66" s="960">
        <f>MIN(LNQ60-LNQ62,'Sources and Uses Budget'!LNQ108-SUM('15 Year Pro Forma'!LNO66:LNP66))</f>
        <v>0</v>
      </c>
      <c r="LNS66" s="960">
        <f>MIN(LNS60-LNS62,'Sources and Uses Budget'!LNS108-SUM('15 Year Pro Forma'!LNQ66:LNR66))</f>
        <v>0</v>
      </c>
      <c r="LNU66" s="960">
        <f>MIN(LNU60-LNU62,'Sources and Uses Budget'!LNU108-SUM('15 Year Pro Forma'!LNS66:LNT66))</f>
        <v>0</v>
      </c>
      <c r="LNW66" s="960">
        <f>MIN(LNW60-LNW62,'Sources and Uses Budget'!LNW108-SUM('15 Year Pro Forma'!LNU66:LNV66))</f>
        <v>0</v>
      </c>
      <c r="LNY66" s="960">
        <f>MIN(LNY60-LNY62,'Sources and Uses Budget'!LNY108-SUM('15 Year Pro Forma'!LNW66:LNX66))</f>
        <v>0</v>
      </c>
      <c r="LOA66" s="960">
        <f>MIN(LOA60-LOA62,'Sources and Uses Budget'!LOA108-SUM('15 Year Pro Forma'!LNY66:LNZ66))</f>
        <v>0</v>
      </c>
      <c r="LOC66" s="960">
        <f>MIN(LOC60-LOC62,'Sources and Uses Budget'!LOC108-SUM('15 Year Pro Forma'!LOA66:LOB66))</f>
        <v>0</v>
      </c>
      <c r="LOE66" s="960">
        <f>MIN(LOE60-LOE62,'Sources and Uses Budget'!LOE108-SUM('15 Year Pro Forma'!LOC66:LOD66))</f>
        <v>0</v>
      </c>
      <c r="LOG66" s="960">
        <f>MIN(LOG60-LOG62,'Sources and Uses Budget'!LOG108-SUM('15 Year Pro Forma'!LOE66:LOF66))</f>
        <v>0</v>
      </c>
      <c r="LOI66" s="960">
        <f>MIN(LOI60-LOI62,'Sources and Uses Budget'!LOI108-SUM('15 Year Pro Forma'!LOG66:LOH66))</f>
        <v>0</v>
      </c>
      <c r="LOK66" s="960">
        <f>MIN(LOK60-LOK62,'Sources and Uses Budget'!LOK108-SUM('15 Year Pro Forma'!LOI66:LOJ66))</f>
        <v>0</v>
      </c>
      <c r="LOM66" s="960">
        <f>MIN(LOM60-LOM62,'Sources and Uses Budget'!LOM108-SUM('15 Year Pro Forma'!LOK66:LOL66))</f>
        <v>0</v>
      </c>
      <c r="LOO66" s="960">
        <f>MIN(LOO60-LOO62,'Sources and Uses Budget'!LOO108-SUM('15 Year Pro Forma'!LOM66:LON66))</f>
        <v>0</v>
      </c>
      <c r="LOQ66" s="960">
        <f>MIN(LOQ60-LOQ62,'Sources and Uses Budget'!LOQ108-SUM('15 Year Pro Forma'!LOO66:LOP66))</f>
        <v>0</v>
      </c>
      <c r="LOS66" s="960">
        <f>MIN(LOS60-LOS62,'Sources and Uses Budget'!LOS108-SUM('15 Year Pro Forma'!LOQ66:LOR66))</f>
        <v>0</v>
      </c>
      <c r="LOU66" s="960">
        <f>MIN(LOU60-LOU62,'Sources and Uses Budget'!LOU108-SUM('15 Year Pro Forma'!LOS66:LOT66))</f>
        <v>0</v>
      </c>
      <c r="LOW66" s="960">
        <f>MIN(LOW60-LOW62,'Sources and Uses Budget'!LOW108-SUM('15 Year Pro Forma'!LOU66:LOV66))</f>
        <v>0</v>
      </c>
      <c r="LOY66" s="960">
        <f>MIN(LOY60-LOY62,'Sources and Uses Budget'!LOY108-SUM('15 Year Pro Forma'!LOW66:LOX66))</f>
        <v>0</v>
      </c>
      <c r="LPA66" s="960">
        <f>MIN(LPA60-LPA62,'Sources and Uses Budget'!LPA108-SUM('15 Year Pro Forma'!LOY66:LOZ66))</f>
        <v>0</v>
      </c>
      <c r="LPC66" s="960">
        <f>MIN(LPC60-LPC62,'Sources and Uses Budget'!LPC108-SUM('15 Year Pro Forma'!LPA66:LPB66))</f>
        <v>0</v>
      </c>
      <c r="LPE66" s="960">
        <f>MIN(LPE60-LPE62,'Sources and Uses Budget'!LPE108-SUM('15 Year Pro Forma'!LPC66:LPD66))</f>
        <v>0</v>
      </c>
      <c r="LPG66" s="960">
        <f>MIN(LPG60-LPG62,'Sources and Uses Budget'!LPG108-SUM('15 Year Pro Forma'!LPE66:LPF66))</f>
        <v>0</v>
      </c>
      <c r="LPI66" s="960">
        <f>MIN(LPI60-LPI62,'Sources and Uses Budget'!LPI108-SUM('15 Year Pro Forma'!LPG66:LPH66))</f>
        <v>0</v>
      </c>
      <c r="LPK66" s="960">
        <f>MIN(LPK60-LPK62,'Sources and Uses Budget'!LPK108-SUM('15 Year Pro Forma'!LPI66:LPJ66))</f>
        <v>0</v>
      </c>
      <c r="LPM66" s="960">
        <f>MIN(LPM60-LPM62,'Sources and Uses Budget'!LPM108-SUM('15 Year Pro Forma'!LPK66:LPL66))</f>
        <v>0</v>
      </c>
      <c r="LPO66" s="960">
        <f>MIN(LPO60-LPO62,'Sources and Uses Budget'!LPO108-SUM('15 Year Pro Forma'!LPM66:LPN66))</f>
        <v>0</v>
      </c>
      <c r="LPQ66" s="960">
        <f>MIN(LPQ60-LPQ62,'Sources and Uses Budget'!LPQ108-SUM('15 Year Pro Forma'!LPO66:LPP66))</f>
        <v>0</v>
      </c>
      <c r="LPS66" s="960">
        <f>MIN(LPS60-LPS62,'Sources and Uses Budget'!LPS108-SUM('15 Year Pro Forma'!LPQ66:LPR66))</f>
        <v>0</v>
      </c>
      <c r="LPU66" s="960">
        <f>MIN(LPU60-LPU62,'Sources and Uses Budget'!LPU108-SUM('15 Year Pro Forma'!LPS66:LPT66))</f>
        <v>0</v>
      </c>
      <c r="LPW66" s="960">
        <f>MIN(LPW60-LPW62,'Sources and Uses Budget'!LPW108-SUM('15 Year Pro Forma'!LPU66:LPV66))</f>
        <v>0</v>
      </c>
      <c r="LPY66" s="960">
        <f>MIN(LPY60-LPY62,'Sources and Uses Budget'!LPY108-SUM('15 Year Pro Forma'!LPW66:LPX66))</f>
        <v>0</v>
      </c>
      <c r="LQA66" s="960">
        <f>MIN(LQA60-LQA62,'Sources and Uses Budget'!LQA108-SUM('15 Year Pro Forma'!LPY66:LPZ66))</f>
        <v>0</v>
      </c>
      <c r="LQC66" s="960">
        <f>MIN(LQC60-LQC62,'Sources and Uses Budget'!LQC108-SUM('15 Year Pro Forma'!LQA66:LQB66))</f>
        <v>0</v>
      </c>
      <c r="LQE66" s="960">
        <f>MIN(LQE60-LQE62,'Sources and Uses Budget'!LQE108-SUM('15 Year Pro Forma'!LQC66:LQD66))</f>
        <v>0</v>
      </c>
      <c r="LQG66" s="960">
        <f>MIN(LQG60-LQG62,'Sources and Uses Budget'!LQG108-SUM('15 Year Pro Forma'!LQE66:LQF66))</f>
        <v>0</v>
      </c>
      <c r="LQI66" s="960">
        <f>MIN(LQI60-LQI62,'Sources and Uses Budget'!LQI108-SUM('15 Year Pro Forma'!LQG66:LQH66))</f>
        <v>0</v>
      </c>
      <c r="LQK66" s="960">
        <f>MIN(LQK60-LQK62,'Sources and Uses Budget'!LQK108-SUM('15 Year Pro Forma'!LQI66:LQJ66))</f>
        <v>0</v>
      </c>
      <c r="LQM66" s="960">
        <f>MIN(LQM60-LQM62,'Sources and Uses Budget'!LQM108-SUM('15 Year Pro Forma'!LQK66:LQL66))</f>
        <v>0</v>
      </c>
      <c r="LQO66" s="960">
        <f>MIN(LQO60-LQO62,'Sources and Uses Budget'!LQO108-SUM('15 Year Pro Forma'!LQM66:LQN66))</f>
        <v>0</v>
      </c>
      <c r="LQQ66" s="960">
        <f>MIN(LQQ60-LQQ62,'Sources and Uses Budget'!LQQ108-SUM('15 Year Pro Forma'!LQO66:LQP66))</f>
        <v>0</v>
      </c>
      <c r="LQS66" s="960">
        <f>MIN(LQS60-LQS62,'Sources and Uses Budget'!LQS108-SUM('15 Year Pro Forma'!LQQ66:LQR66))</f>
        <v>0</v>
      </c>
      <c r="LQU66" s="960">
        <f>MIN(LQU60-LQU62,'Sources and Uses Budget'!LQU108-SUM('15 Year Pro Forma'!LQS66:LQT66))</f>
        <v>0</v>
      </c>
      <c r="LQW66" s="960">
        <f>MIN(LQW60-LQW62,'Sources and Uses Budget'!LQW108-SUM('15 Year Pro Forma'!LQU66:LQV66))</f>
        <v>0</v>
      </c>
      <c r="LQY66" s="960">
        <f>MIN(LQY60-LQY62,'Sources and Uses Budget'!LQY108-SUM('15 Year Pro Forma'!LQW66:LQX66))</f>
        <v>0</v>
      </c>
      <c r="LRA66" s="960">
        <f>MIN(LRA60-LRA62,'Sources and Uses Budget'!LRA108-SUM('15 Year Pro Forma'!LQY66:LQZ66))</f>
        <v>0</v>
      </c>
      <c r="LRC66" s="960">
        <f>MIN(LRC60-LRC62,'Sources and Uses Budget'!LRC108-SUM('15 Year Pro Forma'!LRA66:LRB66))</f>
        <v>0</v>
      </c>
      <c r="LRE66" s="960">
        <f>MIN(LRE60-LRE62,'Sources and Uses Budget'!LRE108-SUM('15 Year Pro Forma'!LRC66:LRD66))</f>
        <v>0</v>
      </c>
      <c r="LRG66" s="960">
        <f>MIN(LRG60-LRG62,'Sources and Uses Budget'!LRG108-SUM('15 Year Pro Forma'!LRE66:LRF66))</f>
        <v>0</v>
      </c>
      <c r="LRI66" s="960">
        <f>MIN(LRI60-LRI62,'Sources and Uses Budget'!LRI108-SUM('15 Year Pro Forma'!LRG66:LRH66))</f>
        <v>0</v>
      </c>
      <c r="LRK66" s="960">
        <f>MIN(LRK60-LRK62,'Sources and Uses Budget'!LRK108-SUM('15 Year Pro Forma'!LRI66:LRJ66))</f>
        <v>0</v>
      </c>
      <c r="LRM66" s="960">
        <f>MIN(LRM60-LRM62,'Sources and Uses Budget'!LRM108-SUM('15 Year Pro Forma'!LRK66:LRL66))</f>
        <v>0</v>
      </c>
      <c r="LRO66" s="960">
        <f>MIN(LRO60-LRO62,'Sources and Uses Budget'!LRO108-SUM('15 Year Pro Forma'!LRM66:LRN66))</f>
        <v>0</v>
      </c>
      <c r="LRQ66" s="960">
        <f>MIN(LRQ60-LRQ62,'Sources and Uses Budget'!LRQ108-SUM('15 Year Pro Forma'!LRO66:LRP66))</f>
        <v>0</v>
      </c>
      <c r="LRS66" s="960">
        <f>MIN(LRS60-LRS62,'Sources and Uses Budget'!LRS108-SUM('15 Year Pro Forma'!LRQ66:LRR66))</f>
        <v>0</v>
      </c>
      <c r="LRU66" s="960">
        <f>MIN(LRU60-LRU62,'Sources and Uses Budget'!LRU108-SUM('15 Year Pro Forma'!LRS66:LRT66))</f>
        <v>0</v>
      </c>
      <c r="LRW66" s="960">
        <f>MIN(LRW60-LRW62,'Sources and Uses Budget'!LRW108-SUM('15 Year Pro Forma'!LRU66:LRV66))</f>
        <v>0</v>
      </c>
      <c r="LRY66" s="960">
        <f>MIN(LRY60-LRY62,'Sources and Uses Budget'!LRY108-SUM('15 Year Pro Forma'!LRW66:LRX66))</f>
        <v>0</v>
      </c>
      <c r="LSA66" s="960">
        <f>MIN(LSA60-LSA62,'Sources and Uses Budget'!LSA108-SUM('15 Year Pro Forma'!LRY66:LRZ66))</f>
        <v>0</v>
      </c>
      <c r="LSC66" s="960">
        <f>MIN(LSC60-LSC62,'Sources and Uses Budget'!LSC108-SUM('15 Year Pro Forma'!LSA66:LSB66))</f>
        <v>0</v>
      </c>
      <c r="LSE66" s="960">
        <f>MIN(LSE60-LSE62,'Sources and Uses Budget'!LSE108-SUM('15 Year Pro Forma'!LSC66:LSD66))</f>
        <v>0</v>
      </c>
      <c r="LSG66" s="960">
        <f>MIN(LSG60-LSG62,'Sources and Uses Budget'!LSG108-SUM('15 Year Pro Forma'!LSE66:LSF66))</f>
        <v>0</v>
      </c>
      <c r="LSI66" s="960">
        <f>MIN(LSI60-LSI62,'Sources and Uses Budget'!LSI108-SUM('15 Year Pro Forma'!LSG66:LSH66))</f>
        <v>0</v>
      </c>
      <c r="LSK66" s="960">
        <f>MIN(LSK60-LSK62,'Sources and Uses Budget'!LSK108-SUM('15 Year Pro Forma'!LSI66:LSJ66))</f>
        <v>0</v>
      </c>
      <c r="LSM66" s="960">
        <f>MIN(LSM60-LSM62,'Sources and Uses Budget'!LSM108-SUM('15 Year Pro Forma'!LSK66:LSL66))</f>
        <v>0</v>
      </c>
      <c r="LSO66" s="960">
        <f>MIN(LSO60-LSO62,'Sources and Uses Budget'!LSO108-SUM('15 Year Pro Forma'!LSM66:LSN66))</f>
        <v>0</v>
      </c>
      <c r="LSQ66" s="960">
        <f>MIN(LSQ60-LSQ62,'Sources and Uses Budget'!LSQ108-SUM('15 Year Pro Forma'!LSO66:LSP66))</f>
        <v>0</v>
      </c>
      <c r="LSS66" s="960">
        <f>MIN(LSS60-LSS62,'Sources and Uses Budget'!LSS108-SUM('15 Year Pro Forma'!LSQ66:LSR66))</f>
        <v>0</v>
      </c>
      <c r="LSU66" s="960">
        <f>MIN(LSU60-LSU62,'Sources and Uses Budget'!LSU108-SUM('15 Year Pro Forma'!LSS66:LST66))</f>
        <v>0</v>
      </c>
      <c r="LSW66" s="960">
        <f>MIN(LSW60-LSW62,'Sources and Uses Budget'!LSW108-SUM('15 Year Pro Forma'!LSU66:LSV66))</f>
        <v>0</v>
      </c>
      <c r="LSY66" s="960">
        <f>MIN(LSY60-LSY62,'Sources and Uses Budget'!LSY108-SUM('15 Year Pro Forma'!LSW66:LSX66))</f>
        <v>0</v>
      </c>
      <c r="LTA66" s="960">
        <f>MIN(LTA60-LTA62,'Sources and Uses Budget'!LTA108-SUM('15 Year Pro Forma'!LSY66:LSZ66))</f>
        <v>0</v>
      </c>
      <c r="LTC66" s="960">
        <f>MIN(LTC60-LTC62,'Sources and Uses Budget'!LTC108-SUM('15 Year Pro Forma'!LTA66:LTB66))</f>
        <v>0</v>
      </c>
      <c r="LTE66" s="960">
        <f>MIN(LTE60-LTE62,'Sources and Uses Budget'!LTE108-SUM('15 Year Pro Forma'!LTC66:LTD66))</f>
        <v>0</v>
      </c>
      <c r="LTG66" s="960">
        <f>MIN(LTG60-LTG62,'Sources and Uses Budget'!LTG108-SUM('15 Year Pro Forma'!LTE66:LTF66))</f>
        <v>0</v>
      </c>
      <c r="LTI66" s="960">
        <f>MIN(LTI60-LTI62,'Sources and Uses Budget'!LTI108-SUM('15 Year Pro Forma'!LTG66:LTH66))</f>
        <v>0</v>
      </c>
      <c r="LTK66" s="960">
        <f>MIN(LTK60-LTK62,'Sources and Uses Budget'!LTK108-SUM('15 Year Pro Forma'!LTI66:LTJ66))</f>
        <v>0</v>
      </c>
      <c r="LTM66" s="960">
        <f>MIN(LTM60-LTM62,'Sources and Uses Budget'!LTM108-SUM('15 Year Pro Forma'!LTK66:LTL66))</f>
        <v>0</v>
      </c>
      <c r="LTO66" s="960">
        <f>MIN(LTO60-LTO62,'Sources and Uses Budget'!LTO108-SUM('15 Year Pro Forma'!LTM66:LTN66))</f>
        <v>0</v>
      </c>
      <c r="LTQ66" s="960">
        <f>MIN(LTQ60-LTQ62,'Sources and Uses Budget'!LTQ108-SUM('15 Year Pro Forma'!LTO66:LTP66))</f>
        <v>0</v>
      </c>
      <c r="LTS66" s="960">
        <f>MIN(LTS60-LTS62,'Sources and Uses Budget'!LTS108-SUM('15 Year Pro Forma'!LTQ66:LTR66))</f>
        <v>0</v>
      </c>
      <c r="LTU66" s="960">
        <f>MIN(LTU60-LTU62,'Sources and Uses Budget'!LTU108-SUM('15 Year Pro Forma'!LTS66:LTT66))</f>
        <v>0</v>
      </c>
      <c r="LTW66" s="960">
        <f>MIN(LTW60-LTW62,'Sources and Uses Budget'!LTW108-SUM('15 Year Pro Forma'!LTU66:LTV66))</f>
        <v>0</v>
      </c>
      <c r="LTY66" s="960">
        <f>MIN(LTY60-LTY62,'Sources and Uses Budget'!LTY108-SUM('15 Year Pro Forma'!LTW66:LTX66))</f>
        <v>0</v>
      </c>
      <c r="LUA66" s="960">
        <f>MIN(LUA60-LUA62,'Sources and Uses Budget'!LUA108-SUM('15 Year Pro Forma'!LTY66:LTZ66))</f>
        <v>0</v>
      </c>
      <c r="LUC66" s="960">
        <f>MIN(LUC60-LUC62,'Sources and Uses Budget'!LUC108-SUM('15 Year Pro Forma'!LUA66:LUB66))</f>
        <v>0</v>
      </c>
      <c r="LUE66" s="960">
        <f>MIN(LUE60-LUE62,'Sources and Uses Budget'!LUE108-SUM('15 Year Pro Forma'!LUC66:LUD66))</f>
        <v>0</v>
      </c>
      <c r="LUG66" s="960">
        <f>MIN(LUG60-LUG62,'Sources and Uses Budget'!LUG108-SUM('15 Year Pro Forma'!LUE66:LUF66))</f>
        <v>0</v>
      </c>
      <c r="LUI66" s="960">
        <f>MIN(LUI60-LUI62,'Sources and Uses Budget'!LUI108-SUM('15 Year Pro Forma'!LUG66:LUH66))</f>
        <v>0</v>
      </c>
      <c r="LUK66" s="960">
        <f>MIN(LUK60-LUK62,'Sources and Uses Budget'!LUK108-SUM('15 Year Pro Forma'!LUI66:LUJ66))</f>
        <v>0</v>
      </c>
      <c r="LUM66" s="960">
        <f>MIN(LUM60-LUM62,'Sources and Uses Budget'!LUM108-SUM('15 Year Pro Forma'!LUK66:LUL66))</f>
        <v>0</v>
      </c>
      <c r="LUO66" s="960">
        <f>MIN(LUO60-LUO62,'Sources and Uses Budget'!LUO108-SUM('15 Year Pro Forma'!LUM66:LUN66))</f>
        <v>0</v>
      </c>
      <c r="LUQ66" s="960">
        <f>MIN(LUQ60-LUQ62,'Sources and Uses Budget'!LUQ108-SUM('15 Year Pro Forma'!LUO66:LUP66))</f>
        <v>0</v>
      </c>
      <c r="LUS66" s="960">
        <f>MIN(LUS60-LUS62,'Sources and Uses Budget'!LUS108-SUM('15 Year Pro Forma'!LUQ66:LUR66))</f>
        <v>0</v>
      </c>
      <c r="LUU66" s="960">
        <f>MIN(LUU60-LUU62,'Sources and Uses Budget'!LUU108-SUM('15 Year Pro Forma'!LUS66:LUT66))</f>
        <v>0</v>
      </c>
      <c r="LUW66" s="960">
        <f>MIN(LUW60-LUW62,'Sources and Uses Budget'!LUW108-SUM('15 Year Pro Forma'!LUU66:LUV66))</f>
        <v>0</v>
      </c>
      <c r="LUY66" s="960">
        <f>MIN(LUY60-LUY62,'Sources and Uses Budget'!LUY108-SUM('15 Year Pro Forma'!LUW66:LUX66))</f>
        <v>0</v>
      </c>
      <c r="LVA66" s="960">
        <f>MIN(LVA60-LVA62,'Sources and Uses Budget'!LVA108-SUM('15 Year Pro Forma'!LUY66:LUZ66))</f>
        <v>0</v>
      </c>
      <c r="LVC66" s="960">
        <f>MIN(LVC60-LVC62,'Sources and Uses Budget'!LVC108-SUM('15 Year Pro Forma'!LVA66:LVB66))</f>
        <v>0</v>
      </c>
      <c r="LVE66" s="960">
        <f>MIN(LVE60-LVE62,'Sources and Uses Budget'!LVE108-SUM('15 Year Pro Forma'!LVC66:LVD66))</f>
        <v>0</v>
      </c>
      <c r="LVG66" s="960">
        <f>MIN(LVG60-LVG62,'Sources and Uses Budget'!LVG108-SUM('15 Year Pro Forma'!LVE66:LVF66))</f>
        <v>0</v>
      </c>
      <c r="LVI66" s="960">
        <f>MIN(LVI60-LVI62,'Sources and Uses Budget'!LVI108-SUM('15 Year Pro Forma'!LVG66:LVH66))</f>
        <v>0</v>
      </c>
      <c r="LVK66" s="960">
        <f>MIN(LVK60-LVK62,'Sources and Uses Budget'!LVK108-SUM('15 Year Pro Forma'!LVI66:LVJ66))</f>
        <v>0</v>
      </c>
      <c r="LVM66" s="960">
        <f>MIN(LVM60-LVM62,'Sources and Uses Budget'!LVM108-SUM('15 Year Pro Forma'!LVK66:LVL66))</f>
        <v>0</v>
      </c>
      <c r="LVO66" s="960">
        <f>MIN(LVO60-LVO62,'Sources and Uses Budget'!LVO108-SUM('15 Year Pro Forma'!LVM66:LVN66))</f>
        <v>0</v>
      </c>
      <c r="LVQ66" s="960">
        <f>MIN(LVQ60-LVQ62,'Sources and Uses Budget'!LVQ108-SUM('15 Year Pro Forma'!LVO66:LVP66))</f>
        <v>0</v>
      </c>
      <c r="LVS66" s="960">
        <f>MIN(LVS60-LVS62,'Sources and Uses Budget'!LVS108-SUM('15 Year Pro Forma'!LVQ66:LVR66))</f>
        <v>0</v>
      </c>
      <c r="LVU66" s="960">
        <f>MIN(LVU60-LVU62,'Sources and Uses Budget'!LVU108-SUM('15 Year Pro Forma'!LVS66:LVT66))</f>
        <v>0</v>
      </c>
      <c r="LVW66" s="960">
        <f>MIN(LVW60-LVW62,'Sources and Uses Budget'!LVW108-SUM('15 Year Pro Forma'!LVU66:LVV66))</f>
        <v>0</v>
      </c>
      <c r="LVY66" s="960">
        <f>MIN(LVY60-LVY62,'Sources and Uses Budget'!LVY108-SUM('15 Year Pro Forma'!LVW66:LVX66))</f>
        <v>0</v>
      </c>
      <c r="LWA66" s="960">
        <f>MIN(LWA60-LWA62,'Sources and Uses Budget'!LWA108-SUM('15 Year Pro Forma'!LVY66:LVZ66))</f>
        <v>0</v>
      </c>
      <c r="LWC66" s="960">
        <f>MIN(LWC60-LWC62,'Sources and Uses Budget'!LWC108-SUM('15 Year Pro Forma'!LWA66:LWB66))</f>
        <v>0</v>
      </c>
      <c r="LWE66" s="960">
        <f>MIN(LWE60-LWE62,'Sources and Uses Budget'!LWE108-SUM('15 Year Pro Forma'!LWC66:LWD66))</f>
        <v>0</v>
      </c>
      <c r="LWG66" s="960">
        <f>MIN(LWG60-LWG62,'Sources and Uses Budget'!LWG108-SUM('15 Year Pro Forma'!LWE66:LWF66))</f>
        <v>0</v>
      </c>
      <c r="LWI66" s="960">
        <f>MIN(LWI60-LWI62,'Sources and Uses Budget'!LWI108-SUM('15 Year Pro Forma'!LWG66:LWH66))</f>
        <v>0</v>
      </c>
      <c r="LWK66" s="960">
        <f>MIN(LWK60-LWK62,'Sources and Uses Budget'!LWK108-SUM('15 Year Pro Forma'!LWI66:LWJ66))</f>
        <v>0</v>
      </c>
      <c r="LWM66" s="960">
        <f>MIN(LWM60-LWM62,'Sources and Uses Budget'!LWM108-SUM('15 Year Pro Forma'!LWK66:LWL66))</f>
        <v>0</v>
      </c>
      <c r="LWO66" s="960">
        <f>MIN(LWO60-LWO62,'Sources and Uses Budget'!LWO108-SUM('15 Year Pro Forma'!LWM66:LWN66))</f>
        <v>0</v>
      </c>
      <c r="LWQ66" s="960">
        <f>MIN(LWQ60-LWQ62,'Sources and Uses Budget'!LWQ108-SUM('15 Year Pro Forma'!LWO66:LWP66))</f>
        <v>0</v>
      </c>
      <c r="LWS66" s="960">
        <f>MIN(LWS60-LWS62,'Sources and Uses Budget'!LWS108-SUM('15 Year Pro Forma'!LWQ66:LWR66))</f>
        <v>0</v>
      </c>
      <c r="LWU66" s="960">
        <f>MIN(LWU60-LWU62,'Sources and Uses Budget'!LWU108-SUM('15 Year Pro Forma'!LWS66:LWT66))</f>
        <v>0</v>
      </c>
      <c r="LWW66" s="960">
        <f>MIN(LWW60-LWW62,'Sources and Uses Budget'!LWW108-SUM('15 Year Pro Forma'!LWU66:LWV66))</f>
        <v>0</v>
      </c>
      <c r="LWY66" s="960">
        <f>MIN(LWY60-LWY62,'Sources and Uses Budget'!LWY108-SUM('15 Year Pro Forma'!LWW66:LWX66))</f>
        <v>0</v>
      </c>
      <c r="LXA66" s="960">
        <f>MIN(LXA60-LXA62,'Sources and Uses Budget'!LXA108-SUM('15 Year Pro Forma'!LWY66:LWZ66))</f>
        <v>0</v>
      </c>
      <c r="LXC66" s="960">
        <f>MIN(LXC60-LXC62,'Sources and Uses Budget'!LXC108-SUM('15 Year Pro Forma'!LXA66:LXB66))</f>
        <v>0</v>
      </c>
      <c r="LXE66" s="960">
        <f>MIN(LXE60-LXE62,'Sources and Uses Budget'!LXE108-SUM('15 Year Pro Forma'!LXC66:LXD66))</f>
        <v>0</v>
      </c>
      <c r="LXG66" s="960">
        <f>MIN(LXG60-LXG62,'Sources and Uses Budget'!LXG108-SUM('15 Year Pro Forma'!LXE66:LXF66))</f>
        <v>0</v>
      </c>
      <c r="LXI66" s="960">
        <f>MIN(LXI60-LXI62,'Sources and Uses Budget'!LXI108-SUM('15 Year Pro Forma'!LXG66:LXH66))</f>
        <v>0</v>
      </c>
      <c r="LXK66" s="960">
        <f>MIN(LXK60-LXK62,'Sources and Uses Budget'!LXK108-SUM('15 Year Pro Forma'!LXI66:LXJ66))</f>
        <v>0</v>
      </c>
      <c r="LXM66" s="960">
        <f>MIN(LXM60-LXM62,'Sources and Uses Budget'!LXM108-SUM('15 Year Pro Forma'!LXK66:LXL66))</f>
        <v>0</v>
      </c>
      <c r="LXO66" s="960">
        <f>MIN(LXO60-LXO62,'Sources and Uses Budget'!LXO108-SUM('15 Year Pro Forma'!LXM66:LXN66))</f>
        <v>0</v>
      </c>
      <c r="LXQ66" s="960">
        <f>MIN(LXQ60-LXQ62,'Sources and Uses Budget'!LXQ108-SUM('15 Year Pro Forma'!LXO66:LXP66))</f>
        <v>0</v>
      </c>
      <c r="LXS66" s="960">
        <f>MIN(LXS60-LXS62,'Sources and Uses Budget'!LXS108-SUM('15 Year Pro Forma'!LXQ66:LXR66))</f>
        <v>0</v>
      </c>
      <c r="LXU66" s="960">
        <f>MIN(LXU60-LXU62,'Sources and Uses Budget'!LXU108-SUM('15 Year Pro Forma'!LXS66:LXT66))</f>
        <v>0</v>
      </c>
      <c r="LXW66" s="960">
        <f>MIN(LXW60-LXW62,'Sources and Uses Budget'!LXW108-SUM('15 Year Pro Forma'!LXU66:LXV66))</f>
        <v>0</v>
      </c>
      <c r="LXY66" s="960">
        <f>MIN(LXY60-LXY62,'Sources and Uses Budget'!LXY108-SUM('15 Year Pro Forma'!LXW66:LXX66))</f>
        <v>0</v>
      </c>
      <c r="LYA66" s="960">
        <f>MIN(LYA60-LYA62,'Sources and Uses Budget'!LYA108-SUM('15 Year Pro Forma'!LXY66:LXZ66))</f>
        <v>0</v>
      </c>
      <c r="LYC66" s="960">
        <f>MIN(LYC60-LYC62,'Sources and Uses Budget'!LYC108-SUM('15 Year Pro Forma'!LYA66:LYB66))</f>
        <v>0</v>
      </c>
      <c r="LYE66" s="960">
        <f>MIN(LYE60-LYE62,'Sources and Uses Budget'!LYE108-SUM('15 Year Pro Forma'!LYC66:LYD66))</f>
        <v>0</v>
      </c>
      <c r="LYG66" s="960">
        <f>MIN(LYG60-LYG62,'Sources and Uses Budget'!LYG108-SUM('15 Year Pro Forma'!LYE66:LYF66))</f>
        <v>0</v>
      </c>
      <c r="LYI66" s="960">
        <f>MIN(LYI60-LYI62,'Sources and Uses Budget'!LYI108-SUM('15 Year Pro Forma'!LYG66:LYH66))</f>
        <v>0</v>
      </c>
      <c r="LYK66" s="960">
        <f>MIN(LYK60-LYK62,'Sources and Uses Budget'!LYK108-SUM('15 Year Pro Forma'!LYI66:LYJ66))</f>
        <v>0</v>
      </c>
      <c r="LYM66" s="960">
        <f>MIN(LYM60-LYM62,'Sources and Uses Budget'!LYM108-SUM('15 Year Pro Forma'!LYK66:LYL66))</f>
        <v>0</v>
      </c>
      <c r="LYO66" s="960">
        <f>MIN(LYO60-LYO62,'Sources and Uses Budget'!LYO108-SUM('15 Year Pro Forma'!LYM66:LYN66))</f>
        <v>0</v>
      </c>
      <c r="LYQ66" s="960">
        <f>MIN(LYQ60-LYQ62,'Sources and Uses Budget'!LYQ108-SUM('15 Year Pro Forma'!LYO66:LYP66))</f>
        <v>0</v>
      </c>
      <c r="LYS66" s="960">
        <f>MIN(LYS60-LYS62,'Sources and Uses Budget'!LYS108-SUM('15 Year Pro Forma'!LYQ66:LYR66))</f>
        <v>0</v>
      </c>
      <c r="LYU66" s="960">
        <f>MIN(LYU60-LYU62,'Sources and Uses Budget'!LYU108-SUM('15 Year Pro Forma'!LYS66:LYT66))</f>
        <v>0</v>
      </c>
      <c r="LYW66" s="960">
        <f>MIN(LYW60-LYW62,'Sources and Uses Budget'!LYW108-SUM('15 Year Pro Forma'!LYU66:LYV66))</f>
        <v>0</v>
      </c>
      <c r="LYY66" s="960">
        <f>MIN(LYY60-LYY62,'Sources and Uses Budget'!LYY108-SUM('15 Year Pro Forma'!LYW66:LYX66))</f>
        <v>0</v>
      </c>
      <c r="LZA66" s="960">
        <f>MIN(LZA60-LZA62,'Sources and Uses Budget'!LZA108-SUM('15 Year Pro Forma'!LYY66:LYZ66))</f>
        <v>0</v>
      </c>
      <c r="LZC66" s="960">
        <f>MIN(LZC60-LZC62,'Sources and Uses Budget'!LZC108-SUM('15 Year Pro Forma'!LZA66:LZB66))</f>
        <v>0</v>
      </c>
      <c r="LZE66" s="960">
        <f>MIN(LZE60-LZE62,'Sources and Uses Budget'!LZE108-SUM('15 Year Pro Forma'!LZC66:LZD66))</f>
        <v>0</v>
      </c>
      <c r="LZG66" s="960">
        <f>MIN(LZG60-LZG62,'Sources and Uses Budget'!LZG108-SUM('15 Year Pro Forma'!LZE66:LZF66))</f>
        <v>0</v>
      </c>
      <c r="LZI66" s="960">
        <f>MIN(LZI60-LZI62,'Sources and Uses Budget'!LZI108-SUM('15 Year Pro Forma'!LZG66:LZH66))</f>
        <v>0</v>
      </c>
      <c r="LZK66" s="960">
        <f>MIN(LZK60-LZK62,'Sources and Uses Budget'!LZK108-SUM('15 Year Pro Forma'!LZI66:LZJ66))</f>
        <v>0</v>
      </c>
      <c r="LZM66" s="960">
        <f>MIN(LZM60-LZM62,'Sources and Uses Budget'!LZM108-SUM('15 Year Pro Forma'!LZK66:LZL66))</f>
        <v>0</v>
      </c>
      <c r="LZO66" s="960">
        <f>MIN(LZO60-LZO62,'Sources and Uses Budget'!LZO108-SUM('15 Year Pro Forma'!LZM66:LZN66))</f>
        <v>0</v>
      </c>
      <c r="LZQ66" s="960">
        <f>MIN(LZQ60-LZQ62,'Sources and Uses Budget'!LZQ108-SUM('15 Year Pro Forma'!LZO66:LZP66))</f>
        <v>0</v>
      </c>
      <c r="LZS66" s="960">
        <f>MIN(LZS60-LZS62,'Sources and Uses Budget'!LZS108-SUM('15 Year Pro Forma'!LZQ66:LZR66))</f>
        <v>0</v>
      </c>
      <c r="LZU66" s="960">
        <f>MIN(LZU60-LZU62,'Sources and Uses Budget'!LZU108-SUM('15 Year Pro Forma'!LZS66:LZT66))</f>
        <v>0</v>
      </c>
      <c r="LZW66" s="960">
        <f>MIN(LZW60-LZW62,'Sources and Uses Budget'!LZW108-SUM('15 Year Pro Forma'!LZU66:LZV66))</f>
        <v>0</v>
      </c>
      <c r="LZY66" s="960">
        <f>MIN(LZY60-LZY62,'Sources and Uses Budget'!LZY108-SUM('15 Year Pro Forma'!LZW66:LZX66))</f>
        <v>0</v>
      </c>
      <c r="MAA66" s="960">
        <f>MIN(MAA60-MAA62,'Sources and Uses Budget'!MAA108-SUM('15 Year Pro Forma'!LZY66:LZZ66))</f>
        <v>0</v>
      </c>
      <c r="MAC66" s="960">
        <f>MIN(MAC60-MAC62,'Sources and Uses Budget'!MAC108-SUM('15 Year Pro Forma'!MAA66:MAB66))</f>
        <v>0</v>
      </c>
      <c r="MAE66" s="960">
        <f>MIN(MAE60-MAE62,'Sources and Uses Budget'!MAE108-SUM('15 Year Pro Forma'!MAC66:MAD66))</f>
        <v>0</v>
      </c>
      <c r="MAG66" s="960">
        <f>MIN(MAG60-MAG62,'Sources and Uses Budget'!MAG108-SUM('15 Year Pro Forma'!MAE66:MAF66))</f>
        <v>0</v>
      </c>
      <c r="MAI66" s="960">
        <f>MIN(MAI60-MAI62,'Sources and Uses Budget'!MAI108-SUM('15 Year Pro Forma'!MAG66:MAH66))</f>
        <v>0</v>
      </c>
      <c r="MAK66" s="960">
        <f>MIN(MAK60-MAK62,'Sources and Uses Budget'!MAK108-SUM('15 Year Pro Forma'!MAI66:MAJ66))</f>
        <v>0</v>
      </c>
      <c r="MAM66" s="960">
        <f>MIN(MAM60-MAM62,'Sources and Uses Budget'!MAM108-SUM('15 Year Pro Forma'!MAK66:MAL66))</f>
        <v>0</v>
      </c>
      <c r="MAO66" s="960">
        <f>MIN(MAO60-MAO62,'Sources and Uses Budget'!MAO108-SUM('15 Year Pro Forma'!MAM66:MAN66))</f>
        <v>0</v>
      </c>
      <c r="MAQ66" s="960">
        <f>MIN(MAQ60-MAQ62,'Sources and Uses Budget'!MAQ108-SUM('15 Year Pro Forma'!MAO66:MAP66))</f>
        <v>0</v>
      </c>
      <c r="MAS66" s="960">
        <f>MIN(MAS60-MAS62,'Sources and Uses Budget'!MAS108-SUM('15 Year Pro Forma'!MAQ66:MAR66))</f>
        <v>0</v>
      </c>
      <c r="MAU66" s="960">
        <f>MIN(MAU60-MAU62,'Sources and Uses Budget'!MAU108-SUM('15 Year Pro Forma'!MAS66:MAT66))</f>
        <v>0</v>
      </c>
      <c r="MAW66" s="960">
        <f>MIN(MAW60-MAW62,'Sources and Uses Budget'!MAW108-SUM('15 Year Pro Forma'!MAU66:MAV66))</f>
        <v>0</v>
      </c>
      <c r="MAY66" s="960">
        <f>MIN(MAY60-MAY62,'Sources and Uses Budget'!MAY108-SUM('15 Year Pro Forma'!MAW66:MAX66))</f>
        <v>0</v>
      </c>
      <c r="MBA66" s="960">
        <f>MIN(MBA60-MBA62,'Sources and Uses Budget'!MBA108-SUM('15 Year Pro Forma'!MAY66:MAZ66))</f>
        <v>0</v>
      </c>
      <c r="MBC66" s="960">
        <f>MIN(MBC60-MBC62,'Sources and Uses Budget'!MBC108-SUM('15 Year Pro Forma'!MBA66:MBB66))</f>
        <v>0</v>
      </c>
      <c r="MBE66" s="960">
        <f>MIN(MBE60-MBE62,'Sources and Uses Budget'!MBE108-SUM('15 Year Pro Forma'!MBC66:MBD66))</f>
        <v>0</v>
      </c>
      <c r="MBG66" s="960">
        <f>MIN(MBG60-MBG62,'Sources and Uses Budget'!MBG108-SUM('15 Year Pro Forma'!MBE66:MBF66))</f>
        <v>0</v>
      </c>
      <c r="MBI66" s="960">
        <f>MIN(MBI60-MBI62,'Sources and Uses Budget'!MBI108-SUM('15 Year Pro Forma'!MBG66:MBH66))</f>
        <v>0</v>
      </c>
      <c r="MBK66" s="960">
        <f>MIN(MBK60-MBK62,'Sources and Uses Budget'!MBK108-SUM('15 Year Pro Forma'!MBI66:MBJ66))</f>
        <v>0</v>
      </c>
      <c r="MBM66" s="960">
        <f>MIN(MBM60-MBM62,'Sources and Uses Budget'!MBM108-SUM('15 Year Pro Forma'!MBK66:MBL66))</f>
        <v>0</v>
      </c>
      <c r="MBO66" s="960">
        <f>MIN(MBO60-MBO62,'Sources and Uses Budget'!MBO108-SUM('15 Year Pro Forma'!MBM66:MBN66))</f>
        <v>0</v>
      </c>
      <c r="MBQ66" s="960">
        <f>MIN(MBQ60-MBQ62,'Sources and Uses Budget'!MBQ108-SUM('15 Year Pro Forma'!MBO66:MBP66))</f>
        <v>0</v>
      </c>
      <c r="MBS66" s="960">
        <f>MIN(MBS60-MBS62,'Sources and Uses Budget'!MBS108-SUM('15 Year Pro Forma'!MBQ66:MBR66))</f>
        <v>0</v>
      </c>
      <c r="MBU66" s="960">
        <f>MIN(MBU60-MBU62,'Sources and Uses Budget'!MBU108-SUM('15 Year Pro Forma'!MBS66:MBT66))</f>
        <v>0</v>
      </c>
      <c r="MBW66" s="960">
        <f>MIN(MBW60-MBW62,'Sources and Uses Budget'!MBW108-SUM('15 Year Pro Forma'!MBU66:MBV66))</f>
        <v>0</v>
      </c>
      <c r="MBY66" s="960">
        <f>MIN(MBY60-MBY62,'Sources and Uses Budget'!MBY108-SUM('15 Year Pro Forma'!MBW66:MBX66))</f>
        <v>0</v>
      </c>
      <c r="MCA66" s="960">
        <f>MIN(MCA60-MCA62,'Sources and Uses Budget'!MCA108-SUM('15 Year Pro Forma'!MBY66:MBZ66))</f>
        <v>0</v>
      </c>
      <c r="MCC66" s="960">
        <f>MIN(MCC60-MCC62,'Sources and Uses Budget'!MCC108-SUM('15 Year Pro Forma'!MCA66:MCB66))</f>
        <v>0</v>
      </c>
      <c r="MCE66" s="960">
        <f>MIN(MCE60-MCE62,'Sources and Uses Budget'!MCE108-SUM('15 Year Pro Forma'!MCC66:MCD66))</f>
        <v>0</v>
      </c>
      <c r="MCG66" s="960">
        <f>MIN(MCG60-MCG62,'Sources and Uses Budget'!MCG108-SUM('15 Year Pro Forma'!MCE66:MCF66))</f>
        <v>0</v>
      </c>
      <c r="MCI66" s="960">
        <f>MIN(MCI60-MCI62,'Sources and Uses Budget'!MCI108-SUM('15 Year Pro Forma'!MCG66:MCH66))</f>
        <v>0</v>
      </c>
      <c r="MCK66" s="960">
        <f>MIN(MCK60-MCK62,'Sources and Uses Budget'!MCK108-SUM('15 Year Pro Forma'!MCI66:MCJ66))</f>
        <v>0</v>
      </c>
      <c r="MCM66" s="960">
        <f>MIN(MCM60-MCM62,'Sources and Uses Budget'!MCM108-SUM('15 Year Pro Forma'!MCK66:MCL66))</f>
        <v>0</v>
      </c>
      <c r="MCO66" s="960">
        <f>MIN(MCO60-MCO62,'Sources and Uses Budget'!MCO108-SUM('15 Year Pro Forma'!MCM66:MCN66))</f>
        <v>0</v>
      </c>
      <c r="MCQ66" s="960">
        <f>MIN(MCQ60-MCQ62,'Sources and Uses Budget'!MCQ108-SUM('15 Year Pro Forma'!MCO66:MCP66))</f>
        <v>0</v>
      </c>
      <c r="MCS66" s="960">
        <f>MIN(MCS60-MCS62,'Sources and Uses Budget'!MCS108-SUM('15 Year Pro Forma'!MCQ66:MCR66))</f>
        <v>0</v>
      </c>
      <c r="MCU66" s="960">
        <f>MIN(MCU60-MCU62,'Sources and Uses Budget'!MCU108-SUM('15 Year Pro Forma'!MCS66:MCT66))</f>
        <v>0</v>
      </c>
      <c r="MCW66" s="960">
        <f>MIN(MCW60-MCW62,'Sources and Uses Budget'!MCW108-SUM('15 Year Pro Forma'!MCU66:MCV66))</f>
        <v>0</v>
      </c>
      <c r="MCY66" s="960">
        <f>MIN(MCY60-MCY62,'Sources and Uses Budget'!MCY108-SUM('15 Year Pro Forma'!MCW66:MCX66))</f>
        <v>0</v>
      </c>
      <c r="MDA66" s="960">
        <f>MIN(MDA60-MDA62,'Sources and Uses Budget'!MDA108-SUM('15 Year Pro Forma'!MCY66:MCZ66))</f>
        <v>0</v>
      </c>
      <c r="MDC66" s="960">
        <f>MIN(MDC60-MDC62,'Sources and Uses Budget'!MDC108-SUM('15 Year Pro Forma'!MDA66:MDB66))</f>
        <v>0</v>
      </c>
      <c r="MDE66" s="960">
        <f>MIN(MDE60-MDE62,'Sources and Uses Budget'!MDE108-SUM('15 Year Pro Forma'!MDC66:MDD66))</f>
        <v>0</v>
      </c>
      <c r="MDG66" s="960">
        <f>MIN(MDG60-MDG62,'Sources and Uses Budget'!MDG108-SUM('15 Year Pro Forma'!MDE66:MDF66))</f>
        <v>0</v>
      </c>
      <c r="MDI66" s="960">
        <f>MIN(MDI60-MDI62,'Sources and Uses Budget'!MDI108-SUM('15 Year Pro Forma'!MDG66:MDH66))</f>
        <v>0</v>
      </c>
      <c r="MDK66" s="960">
        <f>MIN(MDK60-MDK62,'Sources and Uses Budget'!MDK108-SUM('15 Year Pro Forma'!MDI66:MDJ66))</f>
        <v>0</v>
      </c>
      <c r="MDM66" s="960">
        <f>MIN(MDM60-MDM62,'Sources and Uses Budget'!MDM108-SUM('15 Year Pro Forma'!MDK66:MDL66))</f>
        <v>0</v>
      </c>
      <c r="MDO66" s="960">
        <f>MIN(MDO60-MDO62,'Sources and Uses Budget'!MDO108-SUM('15 Year Pro Forma'!MDM66:MDN66))</f>
        <v>0</v>
      </c>
      <c r="MDQ66" s="960">
        <f>MIN(MDQ60-MDQ62,'Sources and Uses Budget'!MDQ108-SUM('15 Year Pro Forma'!MDO66:MDP66))</f>
        <v>0</v>
      </c>
      <c r="MDS66" s="960">
        <f>MIN(MDS60-MDS62,'Sources and Uses Budget'!MDS108-SUM('15 Year Pro Forma'!MDQ66:MDR66))</f>
        <v>0</v>
      </c>
      <c r="MDU66" s="960">
        <f>MIN(MDU60-MDU62,'Sources and Uses Budget'!MDU108-SUM('15 Year Pro Forma'!MDS66:MDT66))</f>
        <v>0</v>
      </c>
      <c r="MDW66" s="960">
        <f>MIN(MDW60-MDW62,'Sources and Uses Budget'!MDW108-SUM('15 Year Pro Forma'!MDU66:MDV66))</f>
        <v>0</v>
      </c>
      <c r="MDY66" s="960">
        <f>MIN(MDY60-MDY62,'Sources and Uses Budget'!MDY108-SUM('15 Year Pro Forma'!MDW66:MDX66))</f>
        <v>0</v>
      </c>
      <c r="MEA66" s="960">
        <f>MIN(MEA60-MEA62,'Sources and Uses Budget'!MEA108-SUM('15 Year Pro Forma'!MDY66:MDZ66))</f>
        <v>0</v>
      </c>
      <c r="MEC66" s="960">
        <f>MIN(MEC60-MEC62,'Sources and Uses Budget'!MEC108-SUM('15 Year Pro Forma'!MEA66:MEB66))</f>
        <v>0</v>
      </c>
      <c r="MEE66" s="960">
        <f>MIN(MEE60-MEE62,'Sources and Uses Budget'!MEE108-SUM('15 Year Pro Forma'!MEC66:MED66))</f>
        <v>0</v>
      </c>
      <c r="MEG66" s="960">
        <f>MIN(MEG60-MEG62,'Sources and Uses Budget'!MEG108-SUM('15 Year Pro Forma'!MEE66:MEF66))</f>
        <v>0</v>
      </c>
      <c r="MEI66" s="960">
        <f>MIN(MEI60-MEI62,'Sources and Uses Budget'!MEI108-SUM('15 Year Pro Forma'!MEG66:MEH66))</f>
        <v>0</v>
      </c>
      <c r="MEK66" s="960">
        <f>MIN(MEK60-MEK62,'Sources and Uses Budget'!MEK108-SUM('15 Year Pro Forma'!MEI66:MEJ66))</f>
        <v>0</v>
      </c>
      <c r="MEM66" s="960">
        <f>MIN(MEM60-MEM62,'Sources and Uses Budget'!MEM108-SUM('15 Year Pro Forma'!MEK66:MEL66))</f>
        <v>0</v>
      </c>
      <c r="MEO66" s="960">
        <f>MIN(MEO60-MEO62,'Sources and Uses Budget'!MEO108-SUM('15 Year Pro Forma'!MEM66:MEN66))</f>
        <v>0</v>
      </c>
      <c r="MEQ66" s="960">
        <f>MIN(MEQ60-MEQ62,'Sources and Uses Budget'!MEQ108-SUM('15 Year Pro Forma'!MEO66:MEP66))</f>
        <v>0</v>
      </c>
      <c r="MES66" s="960">
        <f>MIN(MES60-MES62,'Sources and Uses Budget'!MES108-SUM('15 Year Pro Forma'!MEQ66:MER66))</f>
        <v>0</v>
      </c>
      <c r="MEU66" s="960">
        <f>MIN(MEU60-MEU62,'Sources and Uses Budget'!MEU108-SUM('15 Year Pro Forma'!MES66:MET66))</f>
        <v>0</v>
      </c>
      <c r="MEW66" s="960">
        <f>MIN(MEW60-MEW62,'Sources and Uses Budget'!MEW108-SUM('15 Year Pro Forma'!MEU66:MEV66))</f>
        <v>0</v>
      </c>
      <c r="MEY66" s="960">
        <f>MIN(MEY60-MEY62,'Sources and Uses Budget'!MEY108-SUM('15 Year Pro Forma'!MEW66:MEX66))</f>
        <v>0</v>
      </c>
      <c r="MFA66" s="960">
        <f>MIN(MFA60-MFA62,'Sources and Uses Budget'!MFA108-SUM('15 Year Pro Forma'!MEY66:MEZ66))</f>
        <v>0</v>
      </c>
      <c r="MFC66" s="960">
        <f>MIN(MFC60-MFC62,'Sources and Uses Budget'!MFC108-SUM('15 Year Pro Forma'!MFA66:MFB66))</f>
        <v>0</v>
      </c>
      <c r="MFE66" s="960">
        <f>MIN(MFE60-MFE62,'Sources and Uses Budget'!MFE108-SUM('15 Year Pro Forma'!MFC66:MFD66))</f>
        <v>0</v>
      </c>
      <c r="MFG66" s="960">
        <f>MIN(MFG60-MFG62,'Sources and Uses Budget'!MFG108-SUM('15 Year Pro Forma'!MFE66:MFF66))</f>
        <v>0</v>
      </c>
      <c r="MFI66" s="960">
        <f>MIN(MFI60-MFI62,'Sources and Uses Budget'!MFI108-SUM('15 Year Pro Forma'!MFG66:MFH66))</f>
        <v>0</v>
      </c>
      <c r="MFK66" s="960">
        <f>MIN(MFK60-MFK62,'Sources and Uses Budget'!MFK108-SUM('15 Year Pro Forma'!MFI66:MFJ66))</f>
        <v>0</v>
      </c>
      <c r="MFM66" s="960">
        <f>MIN(MFM60-MFM62,'Sources and Uses Budget'!MFM108-SUM('15 Year Pro Forma'!MFK66:MFL66))</f>
        <v>0</v>
      </c>
      <c r="MFO66" s="960">
        <f>MIN(MFO60-MFO62,'Sources and Uses Budget'!MFO108-SUM('15 Year Pro Forma'!MFM66:MFN66))</f>
        <v>0</v>
      </c>
      <c r="MFQ66" s="960">
        <f>MIN(MFQ60-MFQ62,'Sources and Uses Budget'!MFQ108-SUM('15 Year Pro Forma'!MFO66:MFP66))</f>
        <v>0</v>
      </c>
      <c r="MFS66" s="960">
        <f>MIN(MFS60-MFS62,'Sources and Uses Budget'!MFS108-SUM('15 Year Pro Forma'!MFQ66:MFR66))</f>
        <v>0</v>
      </c>
      <c r="MFU66" s="960">
        <f>MIN(MFU60-MFU62,'Sources and Uses Budget'!MFU108-SUM('15 Year Pro Forma'!MFS66:MFT66))</f>
        <v>0</v>
      </c>
      <c r="MFW66" s="960">
        <f>MIN(MFW60-MFW62,'Sources and Uses Budget'!MFW108-SUM('15 Year Pro Forma'!MFU66:MFV66))</f>
        <v>0</v>
      </c>
      <c r="MFY66" s="960">
        <f>MIN(MFY60-MFY62,'Sources and Uses Budget'!MFY108-SUM('15 Year Pro Forma'!MFW66:MFX66))</f>
        <v>0</v>
      </c>
      <c r="MGA66" s="960">
        <f>MIN(MGA60-MGA62,'Sources and Uses Budget'!MGA108-SUM('15 Year Pro Forma'!MFY66:MFZ66))</f>
        <v>0</v>
      </c>
      <c r="MGC66" s="960">
        <f>MIN(MGC60-MGC62,'Sources and Uses Budget'!MGC108-SUM('15 Year Pro Forma'!MGA66:MGB66))</f>
        <v>0</v>
      </c>
      <c r="MGE66" s="960">
        <f>MIN(MGE60-MGE62,'Sources and Uses Budget'!MGE108-SUM('15 Year Pro Forma'!MGC66:MGD66))</f>
        <v>0</v>
      </c>
      <c r="MGG66" s="960">
        <f>MIN(MGG60-MGG62,'Sources and Uses Budget'!MGG108-SUM('15 Year Pro Forma'!MGE66:MGF66))</f>
        <v>0</v>
      </c>
      <c r="MGI66" s="960">
        <f>MIN(MGI60-MGI62,'Sources and Uses Budget'!MGI108-SUM('15 Year Pro Forma'!MGG66:MGH66))</f>
        <v>0</v>
      </c>
      <c r="MGK66" s="960">
        <f>MIN(MGK60-MGK62,'Sources and Uses Budget'!MGK108-SUM('15 Year Pro Forma'!MGI66:MGJ66))</f>
        <v>0</v>
      </c>
      <c r="MGM66" s="960">
        <f>MIN(MGM60-MGM62,'Sources and Uses Budget'!MGM108-SUM('15 Year Pro Forma'!MGK66:MGL66))</f>
        <v>0</v>
      </c>
      <c r="MGO66" s="960">
        <f>MIN(MGO60-MGO62,'Sources and Uses Budget'!MGO108-SUM('15 Year Pro Forma'!MGM66:MGN66))</f>
        <v>0</v>
      </c>
      <c r="MGQ66" s="960">
        <f>MIN(MGQ60-MGQ62,'Sources and Uses Budget'!MGQ108-SUM('15 Year Pro Forma'!MGO66:MGP66))</f>
        <v>0</v>
      </c>
      <c r="MGS66" s="960">
        <f>MIN(MGS60-MGS62,'Sources and Uses Budget'!MGS108-SUM('15 Year Pro Forma'!MGQ66:MGR66))</f>
        <v>0</v>
      </c>
      <c r="MGU66" s="960">
        <f>MIN(MGU60-MGU62,'Sources and Uses Budget'!MGU108-SUM('15 Year Pro Forma'!MGS66:MGT66))</f>
        <v>0</v>
      </c>
      <c r="MGW66" s="960">
        <f>MIN(MGW60-MGW62,'Sources and Uses Budget'!MGW108-SUM('15 Year Pro Forma'!MGU66:MGV66))</f>
        <v>0</v>
      </c>
      <c r="MGY66" s="960">
        <f>MIN(MGY60-MGY62,'Sources and Uses Budget'!MGY108-SUM('15 Year Pro Forma'!MGW66:MGX66))</f>
        <v>0</v>
      </c>
      <c r="MHA66" s="960">
        <f>MIN(MHA60-MHA62,'Sources and Uses Budget'!MHA108-SUM('15 Year Pro Forma'!MGY66:MGZ66))</f>
        <v>0</v>
      </c>
      <c r="MHC66" s="960">
        <f>MIN(MHC60-MHC62,'Sources and Uses Budget'!MHC108-SUM('15 Year Pro Forma'!MHA66:MHB66))</f>
        <v>0</v>
      </c>
      <c r="MHE66" s="960">
        <f>MIN(MHE60-MHE62,'Sources and Uses Budget'!MHE108-SUM('15 Year Pro Forma'!MHC66:MHD66))</f>
        <v>0</v>
      </c>
      <c r="MHG66" s="960">
        <f>MIN(MHG60-MHG62,'Sources and Uses Budget'!MHG108-SUM('15 Year Pro Forma'!MHE66:MHF66))</f>
        <v>0</v>
      </c>
      <c r="MHI66" s="960">
        <f>MIN(MHI60-MHI62,'Sources and Uses Budget'!MHI108-SUM('15 Year Pro Forma'!MHG66:MHH66))</f>
        <v>0</v>
      </c>
      <c r="MHK66" s="960">
        <f>MIN(MHK60-MHK62,'Sources and Uses Budget'!MHK108-SUM('15 Year Pro Forma'!MHI66:MHJ66))</f>
        <v>0</v>
      </c>
      <c r="MHM66" s="960">
        <f>MIN(MHM60-MHM62,'Sources and Uses Budget'!MHM108-SUM('15 Year Pro Forma'!MHK66:MHL66))</f>
        <v>0</v>
      </c>
      <c r="MHO66" s="960">
        <f>MIN(MHO60-MHO62,'Sources and Uses Budget'!MHO108-SUM('15 Year Pro Forma'!MHM66:MHN66))</f>
        <v>0</v>
      </c>
      <c r="MHQ66" s="960">
        <f>MIN(MHQ60-MHQ62,'Sources and Uses Budget'!MHQ108-SUM('15 Year Pro Forma'!MHO66:MHP66))</f>
        <v>0</v>
      </c>
      <c r="MHS66" s="960">
        <f>MIN(MHS60-MHS62,'Sources and Uses Budget'!MHS108-SUM('15 Year Pro Forma'!MHQ66:MHR66))</f>
        <v>0</v>
      </c>
      <c r="MHU66" s="960">
        <f>MIN(MHU60-MHU62,'Sources and Uses Budget'!MHU108-SUM('15 Year Pro Forma'!MHS66:MHT66))</f>
        <v>0</v>
      </c>
      <c r="MHW66" s="960">
        <f>MIN(MHW60-MHW62,'Sources and Uses Budget'!MHW108-SUM('15 Year Pro Forma'!MHU66:MHV66))</f>
        <v>0</v>
      </c>
      <c r="MHY66" s="960">
        <f>MIN(MHY60-MHY62,'Sources and Uses Budget'!MHY108-SUM('15 Year Pro Forma'!MHW66:MHX66))</f>
        <v>0</v>
      </c>
      <c r="MIA66" s="960">
        <f>MIN(MIA60-MIA62,'Sources and Uses Budget'!MIA108-SUM('15 Year Pro Forma'!MHY66:MHZ66))</f>
        <v>0</v>
      </c>
      <c r="MIC66" s="960">
        <f>MIN(MIC60-MIC62,'Sources and Uses Budget'!MIC108-SUM('15 Year Pro Forma'!MIA66:MIB66))</f>
        <v>0</v>
      </c>
      <c r="MIE66" s="960">
        <f>MIN(MIE60-MIE62,'Sources and Uses Budget'!MIE108-SUM('15 Year Pro Forma'!MIC66:MID66))</f>
        <v>0</v>
      </c>
      <c r="MIG66" s="960">
        <f>MIN(MIG60-MIG62,'Sources and Uses Budget'!MIG108-SUM('15 Year Pro Forma'!MIE66:MIF66))</f>
        <v>0</v>
      </c>
      <c r="MII66" s="960">
        <f>MIN(MII60-MII62,'Sources and Uses Budget'!MII108-SUM('15 Year Pro Forma'!MIG66:MIH66))</f>
        <v>0</v>
      </c>
      <c r="MIK66" s="960">
        <f>MIN(MIK60-MIK62,'Sources and Uses Budget'!MIK108-SUM('15 Year Pro Forma'!MII66:MIJ66))</f>
        <v>0</v>
      </c>
      <c r="MIM66" s="960">
        <f>MIN(MIM60-MIM62,'Sources and Uses Budget'!MIM108-SUM('15 Year Pro Forma'!MIK66:MIL66))</f>
        <v>0</v>
      </c>
      <c r="MIO66" s="960">
        <f>MIN(MIO60-MIO62,'Sources and Uses Budget'!MIO108-SUM('15 Year Pro Forma'!MIM66:MIN66))</f>
        <v>0</v>
      </c>
      <c r="MIQ66" s="960">
        <f>MIN(MIQ60-MIQ62,'Sources and Uses Budget'!MIQ108-SUM('15 Year Pro Forma'!MIO66:MIP66))</f>
        <v>0</v>
      </c>
      <c r="MIS66" s="960">
        <f>MIN(MIS60-MIS62,'Sources and Uses Budget'!MIS108-SUM('15 Year Pro Forma'!MIQ66:MIR66))</f>
        <v>0</v>
      </c>
      <c r="MIU66" s="960">
        <f>MIN(MIU60-MIU62,'Sources and Uses Budget'!MIU108-SUM('15 Year Pro Forma'!MIS66:MIT66))</f>
        <v>0</v>
      </c>
      <c r="MIW66" s="960">
        <f>MIN(MIW60-MIW62,'Sources and Uses Budget'!MIW108-SUM('15 Year Pro Forma'!MIU66:MIV66))</f>
        <v>0</v>
      </c>
      <c r="MIY66" s="960">
        <f>MIN(MIY60-MIY62,'Sources and Uses Budget'!MIY108-SUM('15 Year Pro Forma'!MIW66:MIX66))</f>
        <v>0</v>
      </c>
      <c r="MJA66" s="960">
        <f>MIN(MJA60-MJA62,'Sources and Uses Budget'!MJA108-SUM('15 Year Pro Forma'!MIY66:MIZ66))</f>
        <v>0</v>
      </c>
      <c r="MJC66" s="960">
        <f>MIN(MJC60-MJC62,'Sources and Uses Budget'!MJC108-SUM('15 Year Pro Forma'!MJA66:MJB66))</f>
        <v>0</v>
      </c>
      <c r="MJE66" s="960">
        <f>MIN(MJE60-MJE62,'Sources and Uses Budget'!MJE108-SUM('15 Year Pro Forma'!MJC66:MJD66))</f>
        <v>0</v>
      </c>
      <c r="MJG66" s="960">
        <f>MIN(MJG60-MJG62,'Sources and Uses Budget'!MJG108-SUM('15 Year Pro Forma'!MJE66:MJF66))</f>
        <v>0</v>
      </c>
      <c r="MJI66" s="960">
        <f>MIN(MJI60-MJI62,'Sources and Uses Budget'!MJI108-SUM('15 Year Pro Forma'!MJG66:MJH66))</f>
        <v>0</v>
      </c>
      <c r="MJK66" s="960">
        <f>MIN(MJK60-MJK62,'Sources and Uses Budget'!MJK108-SUM('15 Year Pro Forma'!MJI66:MJJ66))</f>
        <v>0</v>
      </c>
      <c r="MJM66" s="960">
        <f>MIN(MJM60-MJM62,'Sources and Uses Budget'!MJM108-SUM('15 Year Pro Forma'!MJK66:MJL66))</f>
        <v>0</v>
      </c>
      <c r="MJO66" s="960">
        <f>MIN(MJO60-MJO62,'Sources and Uses Budget'!MJO108-SUM('15 Year Pro Forma'!MJM66:MJN66))</f>
        <v>0</v>
      </c>
      <c r="MJQ66" s="960">
        <f>MIN(MJQ60-MJQ62,'Sources and Uses Budget'!MJQ108-SUM('15 Year Pro Forma'!MJO66:MJP66))</f>
        <v>0</v>
      </c>
      <c r="MJS66" s="960">
        <f>MIN(MJS60-MJS62,'Sources and Uses Budget'!MJS108-SUM('15 Year Pro Forma'!MJQ66:MJR66))</f>
        <v>0</v>
      </c>
      <c r="MJU66" s="960">
        <f>MIN(MJU60-MJU62,'Sources and Uses Budget'!MJU108-SUM('15 Year Pro Forma'!MJS66:MJT66))</f>
        <v>0</v>
      </c>
      <c r="MJW66" s="960">
        <f>MIN(MJW60-MJW62,'Sources and Uses Budget'!MJW108-SUM('15 Year Pro Forma'!MJU66:MJV66))</f>
        <v>0</v>
      </c>
      <c r="MJY66" s="960">
        <f>MIN(MJY60-MJY62,'Sources and Uses Budget'!MJY108-SUM('15 Year Pro Forma'!MJW66:MJX66))</f>
        <v>0</v>
      </c>
      <c r="MKA66" s="960">
        <f>MIN(MKA60-MKA62,'Sources and Uses Budget'!MKA108-SUM('15 Year Pro Forma'!MJY66:MJZ66))</f>
        <v>0</v>
      </c>
      <c r="MKC66" s="960">
        <f>MIN(MKC60-MKC62,'Sources and Uses Budget'!MKC108-SUM('15 Year Pro Forma'!MKA66:MKB66))</f>
        <v>0</v>
      </c>
      <c r="MKE66" s="960">
        <f>MIN(MKE60-MKE62,'Sources and Uses Budget'!MKE108-SUM('15 Year Pro Forma'!MKC66:MKD66))</f>
        <v>0</v>
      </c>
      <c r="MKG66" s="960">
        <f>MIN(MKG60-MKG62,'Sources and Uses Budget'!MKG108-SUM('15 Year Pro Forma'!MKE66:MKF66))</f>
        <v>0</v>
      </c>
      <c r="MKI66" s="960">
        <f>MIN(MKI60-MKI62,'Sources and Uses Budget'!MKI108-SUM('15 Year Pro Forma'!MKG66:MKH66))</f>
        <v>0</v>
      </c>
      <c r="MKK66" s="960">
        <f>MIN(MKK60-MKK62,'Sources and Uses Budget'!MKK108-SUM('15 Year Pro Forma'!MKI66:MKJ66))</f>
        <v>0</v>
      </c>
      <c r="MKM66" s="960">
        <f>MIN(MKM60-MKM62,'Sources and Uses Budget'!MKM108-SUM('15 Year Pro Forma'!MKK66:MKL66))</f>
        <v>0</v>
      </c>
      <c r="MKO66" s="960">
        <f>MIN(MKO60-MKO62,'Sources and Uses Budget'!MKO108-SUM('15 Year Pro Forma'!MKM66:MKN66))</f>
        <v>0</v>
      </c>
      <c r="MKQ66" s="960">
        <f>MIN(MKQ60-MKQ62,'Sources and Uses Budget'!MKQ108-SUM('15 Year Pro Forma'!MKO66:MKP66))</f>
        <v>0</v>
      </c>
      <c r="MKS66" s="960">
        <f>MIN(MKS60-MKS62,'Sources and Uses Budget'!MKS108-SUM('15 Year Pro Forma'!MKQ66:MKR66))</f>
        <v>0</v>
      </c>
      <c r="MKU66" s="960">
        <f>MIN(MKU60-MKU62,'Sources and Uses Budget'!MKU108-SUM('15 Year Pro Forma'!MKS66:MKT66))</f>
        <v>0</v>
      </c>
      <c r="MKW66" s="960">
        <f>MIN(MKW60-MKW62,'Sources and Uses Budget'!MKW108-SUM('15 Year Pro Forma'!MKU66:MKV66))</f>
        <v>0</v>
      </c>
      <c r="MKY66" s="960">
        <f>MIN(MKY60-MKY62,'Sources and Uses Budget'!MKY108-SUM('15 Year Pro Forma'!MKW66:MKX66))</f>
        <v>0</v>
      </c>
      <c r="MLA66" s="960">
        <f>MIN(MLA60-MLA62,'Sources and Uses Budget'!MLA108-SUM('15 Year Pro Forma'!MKY66:MKZ66))</f>
        <v>0</v>
      </c>
      <c r="MLC66" s="960">
        <f>MIN(MLC60-MLC62,'Sources and Uses Budget'!MLC108-SUM('15 Year Pro Forma'!MLA66:MLB66))</f>
        <v>0</v>
      </c>
      <c r="MLE66" s="960">
        <f>MIN(MLE60-MLE62,'Sources and Uses Budget'!MLE108-SUM('15 Year Pro Forma'!MLC66:MLD66))</f>
        <v>0</v>
      </c>
      <c r="MLG66" s="960">
        <f>MIN(MLG60-MLG62,'Sources and Uses Budget'!MLG108-SUM('15 Year Pro Forma'!MLE66:MLF66))</f>
        <v>0</v>
      </c>
      <c r="MLI66" s="960">
        <f>MIN(MLI60-MLI62,'Sources and Uses Budget'!MLI108-SUM('15 Year Pro Forma'!MLG66:MLH66))</f>
        <v>0</v>
      </c>
      <c r="MLK66" s="960">
        <f>MIN(MLK60-MLK62,'Sources and Uses Budget'!MLK108-SUM('15 Year Pro Forma'!MLI66:MLJ66))</f>
        <v>0</v>
      </c>
      <c r="MLM66" s="960">
        <f>MIN(MLM60-MLM62,'Sources and Uses Budget'!MLM108-SUM('15 Year Pro Forma'!MLK66:MLL66))</f>
        <v>0</v>
      </c>
      <c r="MLO66" s="960">
        <f>MIN(MLO60-MLO62,'Sources and Uses Budget'!MLO108-SUM('15 Year Pro Forma'!MLM66:MLN66))</f>
        <v>0</v>
      </c>
      <c r="MLQ66" s="960">
        <f>MIN(MLQ60-MLQ62,'Sources and Uses Budget'!MLQ108-SUM('15 Year Pro Forma'!MLO66:MLP66))</f>
        <v>0</v>
      </c>
      <c r="MLS66" s="960">
        <f>MIN(MLS60-MLS62,'Sources and Uses Budget'!MLS108-SUM('15 Year Pro Forma'!MLQ66:MLR66))</f>
        <v>0</v>
      </c>
      <c r="MLU66" s="960">
        <f>MIN(MLU60-MLU62,'Sources and Uses Budget'!MLU108-SUM('15 Year Pro Forma'!MLS66:MLT66))</f>
        <v>0</v>
      </c>
      <c r="MLW66" s="960">
        <f>MIN(MLW60-MLW62,'Sources and Uses Budget'!MLW108-SUM('15 Year Pro Forma'!MLU66:MLV66))</f>
        <v>0</v>
      </c>
      <c r="MLY66" s="960">
        <f>MIN(MLY60-MLY62,'Sources and Uses Budget'!MLY108-SUM('15 Year Pro Forma'!MLW66:MLX66))</f>
        <v>0</v>
      </c>
      <c r="MMA66" s="960">
        <f>MIN(MMA60-MMA62,'Sources and Uses Budget'!MMA108-SUM('15 Year Pro Forma'!MLY66:MLZ66))</f>
        <v>0</v>
      </c>
      <c r="MMC66" s="960">
        <f>MIN(MMC60-MMC62,'Sources and Uses Budget'!MMC108-SUM('15 Year Pro Forma'!MMA66:MMB66))</f>
        <v>0</v>
      </c>
      <c r="MME66" s="960">
        <f>MIN(MME60-MME62,'Sources and Uses Budget'!MME108-SUM('15 Year Pro Forma'!MMC66:MMD66))</f>
        <v>0</v>
      </c>
      <c r="MMG66" s="960">
        <f>MIN(MMG60-MMG62,'Sources and Uses Budget'!MMG108-SUM('15 Year Pro Forma'!MME66:MMF66))</f>
        <v>0</v>
      </c>
      <c r="MMI66" s="960">
        <f>MIN(MMI60-MMI62,'Sources and Uses Budget'!MMI108-SUM('15 Year Pro Forma'!MMG66:MMH66))</f>
        <v>0</v>
      </c>
      <c r="MMK66" s="960">
        <f>MIN(MMK60-MMK62,'Sources and Uses Budget'!MMK108-SUM('15 Year Pro Forma'!MMI66:MMJ66))</f>
        <v>0</v>
      </c>
      <c r="MMM66" s="960">
        <f>MIN(MMM60-MMM62,'Sources and Uses Budget'!MMM108-SUM('15 Year Pro Forma'!MMK66:MML66))</f>
        <v>0</v>
      </c>
      <c r="MMO66" s="960">
        <f>MIN(MMO60-MMO62,'Sources and Uses Budget'!MMO108-SUM('15 Year Pro Forma'!MMM66:MMN66))</f>
        <v>0</v>
      </c>
      <c r="MMQ66" s="960">
        <f>MIN(MMQ60-MMQ62,'Sources and Uses Budget'!MMQ108-SUM('15 Year Pro Forma'!MMO66:MMP66))</f>
        <v>0</v>
      </c>
      <c r="MMS66" s="960">
        <f>MIN(MMS60-MMS62,'Sources and Uses Budget'!MMS108-SUM('15 Year Pro Forma'!MMQ66:MMR66))</f>
        <v>0</v>
      </c>
      <c r="MMU66" s="960">
        <f>MIN(MMU60-MMU62,'Sources and Uses Budget'!MMU108-SUM('15 Year Pro Forma'!MMS66:MMT66))</f>
        <v>0</v>
      </c>
      <c r="MMW66" s="960">
        <f>MIN(MMW60-MMW62,'Sources and Uses Budget'!MMW108-SUM('15 Year Pro Forma'!MMU66:MMV66))</f>
        <v>0</v>
      </c>
      <c r="MMY66" s="960">
        <f>MIN(MMY60-MMY62,'Sources and Uses Budget'!MMY108-SUM('15 Year Pro Forma'!MMW66:MMX66))</f>
        <v>0</v>
      </c>
      <c r="MNA66" s="960">
        <f>MIN(MNA60-MNA62,'Sources and Uses Budget'!MNA108-SUM('15 Year Pro Forma'!MMY66:MMZ66))</f>
        <v>0</v>
      </c>
      <c r="MNC66" s="960">
        <f>MIN(MNC60-MNC62,'Sources and Uses Budget'!MNC108-SUM('15 Year Pro Forma'!MNA66:MNB66))</f>
        <v>0</v>
      </c>
      <c r="MNE66" s="960">
        <f>MIN(MNE60-MNE62,'Sources and Uses Budget'!MNE108-SUM('15 Year Pro Forma'!MNC66:MND66))</f>
        <v>0</v>
      </c>
      <c r="MNG66" s="960">
        <f>MIN(MNG60-MNG62,'Sources and Uses Budget'!MNG108-SUM('15 Year Pro Forma'!MNE66:MNF66))</f>
        <v>0</v>
      </c>
      <c r="MNI66" s="960">
        <f>MIN(MNI60-MNI62,'Sources and Uses Budget'!MNI108-SUM('15 Year Pro Forma'!MNG66:MNH66))</f>
        <v>0</v>
      </c>
      <c r="MNK66" s="960">
        <f>MIN(MNK60-MNK62,'Sources and Uses Budget'!MNK108-SUM('15 Year Pro Forma'!MNI66:MNJ66))</f>
        <v>0</v>
      </c>
      <c r="MNM66" s="960">
        <f>MIN(MNM60-MNM62,'Sources and Uses Budget'!MNM108-SUM('15 Year Pro Forma'!MNK66:MNL66))</f>
        <v>0</v>
      </c>
      <c r="MNO66" s="960">
        <f>MIN(MNO60-MNO62,'Sources and Uses Budget'!MNO108-SUM('15 Year Pro Forma'!MNM66:MNN66))</f>
        <v>0</v>
      </c>
      <c r="MNQ66" s="960">
        <f>MIN(MNQ60-MNQ62,'Sources and Uses Budget'!MNQ108-SUM('15 Year Pro Forma'!MNO66:MNP66))</f>
        <v>0</v>
      </c>
      <c r="MNS66" s="960">
        <f>MIN(MNS60-MNS62,'Sources and Uses Budget'!MNS108-SUM('15 Year Pro Forma'!MNQ66:MNR66))</f>
        <v>0</v>
      </c>
      <c r="MNU66" s="960">
        <f>MIN(MNU60-MNU62,'Sources and Uses Budget'!MNU108-SUM('15 Year Pro Forma'!MNS66:MNT66))</f>
        <v>0</v>
      </c>
      <c r="MNW66" s="960">
        <f>MIN(MNW60-MNW62,'Sources and Uses Budget'!MNW108-SUM('15 Year Pro Forma'!MNU66:MNV66))</f>
        <v>0</v>
      </c>
      <c r="MNY66" s="960">
        <f>MIN(MNY60-MNY62,'Sources and Uses Budget'!MNY108-SUM('15 Year Pro Forma'!MNW66:MNX66))</f>
        <v>0</v>
      </c>
      <c r="MOA66" s="960">
        <f>MIN(MOA60-MOA62,'Sources and Uses Budget'!MOA108-SUM('15 Year Pro Forma'!MNY66:MNZ66))</f>
        <v>0</v>
      </c>
      <c r="MOC66" s="960">
        <f>MIN(MOC60-MOC62,'Sources and Uses Budget'!MOC108-SUM('15 Year Pro Forma'!MOA66:MOB66))</f>
        <v>0</v>
      </c>
      <c r="MOE66" s="960">
        <f>MIN(MOE60-MOE62,'Sources and Uses Budget'!MOE108-SUM('15 Year Pro Forma'!MOC66:MOD66))</f>
        <v>0</v>
      </c>
      <c r="MOG66" s="960">
        <f>MIN(MOG60-MOG62,'Sources and Uses Budget'!MOG108-SUM('15 Year Pro Forma'!MOE66:MOF66))</f>
        <v>0</v>
      </c>
      <c r="MOI66" s="960">
        <f>MIN(MOI60-MOI62,'Sources and Uses Budget'!MOI108-SUM('15 Year Pro Forma'!MOG66:MOH66))</f>
        <v>0</v>
      </c>
      <c r="MOK66" s="960">
        <f>MIN(MOK60-MOK62,'Sources and Uses Budget'!MOK108-SUM('15 Year Pro Forma'!MOI66:MOJ66))</f>
        <v>0</v>
      </c>
      <c r="MOM66" s="960">
        <f>MIN(MOM60-MOM62,'Sources and Uses Budget'!MOM108-SUM('15 Year Pro Forma'!MOK66:MOL66))</f>
        <v>0</v>
      </c>
      <c r="MOO66" s="960">
        <f>MIN(MOO60-MOO62,'Sources and Uses Budget'!MOO108-SUM('15 Year Pro Forma'!MOM66:MON66))</f>
        <v>0</v>
      </c>
      <c r="MOQ66" s="960">
        <f>MIN(MOQ60-MOQ62,'Sources and Uses Budget'!MOQ108-SUM('15 Year Pro Forma'!MOO66:MOP66))</f>
        <v>0</v>
      </c>
      <c r="MOS66" s="960">
        <f>MIN(MOS60-MOS62,'Sources and Uses Budget'!MOS108-SUM('15 Year Pro Forma'!MOQ66:MOR66))</f>
        <v>0</v>
      </c>
      <c r="MOU66" s="960">
        <f>MIN(MOU60-MOU62,'Sources and Uses Budget'!MOU108-SUM('15 Year Pro Forma'!MOS66:MOT66))</f>
        <v>0</v>
      </c>
      <c r="MOW66" s="960">
        <f>MIN(MOW60-MOW62,'Sources and Uses Budget'!MOW108-SUM('15 Year Pro Forma'!MOU66:MOV66))</f>
        <v>0</v>
      </c>
      <c r="MOY66" s="960">
        <f>MIN(MOY60-MOY62,'Sources and Uses Budget'!MOY108-SUM('15 Year Pro Forma'!MOW66:MOX66))</f>
        <v>0</v>
      </c>
      <c r="MPA66" s="960">
        <f>MIN(MPA60-MPA62,'Sources and Uses Budget'!MPA108-SUM('15 Year Pro Forma'!MOY66:MOZ66))</f>
        <v>0</v>
      </c>
      <c r="MPC66" s="960">
        <f>MIN(MPC60-MPC62,'Sources and Uses Budget'!MPC108-SUM('15 Year Pro Forma'!MPA66:MPB66))</f>
        <v>0</v>
      </c>
      <c r="MPE66" s="960">
        <f>MIN(MPE60-MPE62,'Sources and Uses Budget'!MPE108-SUM('15 Year Pro Forma'!MPC66:MPD66))</f>
        <v>0</v>
      </c>
      <c r="MPG66" s="960">
        <f>MIN(MPG60-MPG62,'Sources and Uses Budget'!MPG108-SUM('15 Year Pro Forma'!MPE66:MPF66))</f>
        <v>0</v>
      </c>
      <c r="MPI66" s="960">
        <f>MIN(MPI60-MPI62,'Sources and Uses Budget'!MPI108-SUM('15 Year Pro Forma'!MPG66:MPH66))</f>
        <v>0</v>
      </c>
      <c r="MPK66" s="960">
        <f>MIN(MPK60-MPK62,'Sources and Uses Budget'!MPK108-SUM('15 Year Pro Forma'!MPI66:MPJ66))</f>
        <v>0</v>
      </c>
      <c r="MPM66" s="960">
        <f>MIN(MPM60-MPM62,'Sources and Uses Budget'!MPM108-SUM('15 Year Pro Forma'!MPK66:MPL66))</f>
        <v>0</v>
      </c>
      <c r="MPO66" s="960">
        <f>MIN(MPO60-MPO62,'Sources and Uses Budget'!MPO108-SUM('15 Year Pro Forma'!MPM66:MPN66))</f>
        <v>0</v>
      </c>
      <c r="MPQ66" s="960">
        <f>MIN(MPQ60-MPQ62,'Sources and Uses Budget'!MPQ108-SUM('15 Year Pro Forma'!MPO66:MPP66))</f>
        <v>0</v>
      </c>
      <c r="MPS66" s="960">
        <f>MIN(MPS60-MPS62,'Sources and Uses Budget'!MPS108-SUM('15 Year Pro Forma'!MPQ66:MPR66))</f>
        <v>0</v>
      </c>
      <c r="MPU66" s="960">
        <f>MIN(MPU60-MPU62,'Sources and Uses Budget'!MPU108-SUM('15 Year Pro Forma'!MPS66:MPT66))</f>
        <v>0</v>
      </c>
      <c r="MPW66" s="960">
        <f>MIN(MPW60-MPW62,'Sources and Uses Budget'!MPW108-SUM('15 Year Pro Forma'!MPU66:MPV66))</f>
        <v>0</v>
      </c>
      <c r="MPY66" s="960">
        <f>MIN(MPY60-MPY62,'Sources and Uses Budget'!MPY108-SUM('15 Year Pro Forma'!MPW66:MPX66))</f>
        <v>0</v>
      </c>
      <c r="MQA66" s="960">
        <f>MIN(MQA60-MQA62,'Sources and Uses Budget'!MQA108-SUM('15 Year Pro Forma'!MPY66:MPZ66))</f>
        <v>0</v>
      </c>
      <c r="MQC66" s="960">
        <f>MIN(MQC60-MQC62,'Sources and Uses Budget'!MQC108-SUM('15 Year Pro Forma'!MQA66:MQB66))</f>
        <v>0</v>
      </c>
      <c r="MQE66" s="960">
        <f>MIN(MQE60-MQE62,'Sources and Uses Budget'!MQE108-SUM('15 Year Pro Forma'!MQC66:MQD66))</f>
        <v>0</v>
      </c>
      <c r="MQG66" s="960">
        <f>MIN(MQG60-MQG62,'Sources and Uses Budget'!MQG108-SUM('15 Year Pro Forma'!MQE66:MQF66))</f>
        <v>0</v>
      </c>
      <c r="MQI66" s="960">
        <f>MIN(MQI60-MQI62,'Sources and Uses Budget'!MQI108-SUM('15 Year Pro Forma'!MQG66:MQH66))</f>
        <v>0</v>
      </c>
      <c r="MQK66" s="960">
        <f>MIN(MQK60-MQK62,'Sources and Uses Budget'!MQK108-SUM('15 Year Pro Forma'!MQI66:MQJ66))</f>
        <v>0</v>
      </c>
      <c r="MQM66" s="960">
        <f>MIN(MQM60-MQM62,'Sources and Uses Budget'!MQM108-SUM('15 Year Pro Forma'!MQK66:MQL66))</f>
        <v>0</v>
      </c>
      <c r="MQO66" s="960">
        <f>MIN(MQO60-MQO62,'Sources and Uses Budget'!MQO108-SUM('15 Year Pro Forma'!MQM66:MQN66))</f>
        <v>0</v>
      </c>
      <c r="MQQ66" s="960">
        <f>MIN(MQQ60-MQQ62,'Sources and Uses Budget'!MQQ108-SUM('15 Year Pro Forma'!MQO66:MQP66))</f>
        <v>0</v>
      </c>
      <c r="MQS66" s="960">
        <f>MIN(MQS60-MQS62,'Sources and Uses Budget'!MQS108-SUM('15 Year Pro Forma'!MQQ66:MQR66))</f>
        <v>0</v>
      </c>
      <c r="MQU66" s="960">
        <f>MIN(MQU60-MQU62,'Sources and Uses Budget'!MQU108-SUM('15 Year Pro Forma'!MQS66:MQT66))</f>
        <v>0</v>
      </c>
      <c r="MQW66" s="960">
        <f>MIN(MQW60-MQW62,'Sources and Uses Budget'!MQW108-SUM('15 Year Pro Forma'!MQU66:MQV66))</f>
        <v>0</v>
      </c>
      <c r="MQY66" s="960">
        <f>MIN(MQY60-MQY62,'Sources and Uses Budget'!MQY108-SUM('15 Year Pro Forma'!MQW66:MQX66))</f>
        <v>0</v>
      </c>
      <c r="MRA66" s="960">
        <f>MIN(MRA60-MRA62,'Sources and Uses Budget'!MRA108-SUM('15 Year Pro Forma'!MQY66:MQZ66))</f>
        <v>0</v>
      </c>
      <c r="MRC66" s="960">
        <f>MIN(MRC60-MRC62,'Sources and Uses Budget'!MRC108-SUM('15 Year Pro Forma'!MRA66:MRB66))</f>
        <v>0</v>
      </c>
      <c r="MRE66" s="960">
        <f>MIN(MRE60-MRE62,'Sources and Uses Budget'!MRE108-SUM('15 Year Pro Forma'!MRC66:MRD66))</f>
        <v>0</v>
      </c>
      <c r="MRG66" s="960">
        <f>MIN(MRG60-MRG62,'Sources and Uses Budget'!MRG108-SUM('15 Year Pro Forma'!MRE66:MRF66))</f>
        <v>0</v>
      </c>
      <c r="MRI66" s="960">
        <f>MIN(MRI60-MRI62,'Sources and Uses Budget'!MRI108-SUM('15 Year Pro Forma'!MRG66:MRH66))</f>
        <v>0</v>
      </c>
      <c r="MRK66" s="960">
        <f>MIN(MRK60-MRK62,'Sources and Uses Budget'!MRK108-SUM('15 Year Pro Forma'!MRI66:MRJ66))</f>
        <v>0</v>
      </c>
      <c r="MRM66" s="960">
        <f>MIN(MRM60-MRM62,'Sources and Uses Budget'!MRM108-SUM('15 Year Pro Forma'!MRK66:MRL66))</f>
        <v>0</v>
      </c>
      <c r="MRO66" s="960">
        <f>MIN(MRO60-MRO62,'Sources and Uses Budget'!MRO108-SUM('15 Year Pro Forma'!MRM66:MRN66))</f>
        <v>0</v>
      </c>
      <c r="MRQ66" s="960">
        <f>MIN(MRQ60-MRQ62,'Sources and Uses Budget'!MRQ108-SUM('15 Year Pro Forma'!MRO66:MRP66))</f>
        <v>0</v>
      </c>
      <c r="MRS66" s="960">
        <f>MIN(MRS60-MRS62,'Sources and Uses Budget'!MRS108-SUM('15 Year Pro Forma'!MRQ66:MRR66))</f>
        <v>0</v>
      </c>
      <c r="MRU66" s="960">
        <f>MIN(MRU60-MRU62,'Sources and Uses Budget'!MRU108-SUM('15 Year Pro Forma'!MRS66:MRT66))</f>
        <v>0</v>
      </c>
      <c r="MRW66" s="960">
        <f>MIN(MRW60-MRW62,'Sources and Uses Budget'!MRW108-SUM('15 Year Pro Forma'!MRU66:MRV66))</f>
        <v>0</v>
      </c>
      <c r="MRY66" s="960">
        <f>MIN(MRY60-MRY62,'Sources and Uses Budget'!MRY108-SUM('15 Year Pro Forma'!MRW66:MRX66))</f>
        <v>0</v>
      </c>
      <c r="MSA66" s="960">
        <f>MIN(MSA60-MSA62,'Sources and Uses Budget'!MSA108-SUM('15 Year Pro Forma'!MRY66:MRZ66))</f>
        <v>0</v>
      </c>
      <c r="MSC66" s="960">
        <f>MIN(MSC60-MSC62,'Sources and Uses Budget'!MSC108-SUM('15 Year Pro Forma'!MSA66:MSB66))</f>
        <v>0</v>
      </c>
      <c r="MSE66" s="960">
        <f>MIN(MSE60-MSE62,'Sources and Uses Budget'!MSE108-SUM('15 Year Pro Forma'!MSC66:MSD66))</f>
        <v>0</v>
      </c>
      <c r="MSG66" s="960">
        <f>MIN(MSG60-MSG62,'Sources and Uses Budget'!MSG108-SUM('15 Year Pro Forma'!MSE66:MSF66))</f>
        <v>0</v>
      </c>
      <c r="MSI66" s="960">
        <f>MIN(MSI60-MSI62,'Sources and Uses Budget'!MSI108-SUM('15 Year Pro Forma'!MSG66:MSH66))</f>
        <v>0</v>
      </c>
      <c r="MSK66" s="960">
        <f>MIN(MSK60-MSK62,'Sources and Uses Budget'!MSK108-SUM('15 Year Pro Forma'!MSI66:MSJ66))</f>
        <v>0</v>
      </c>
      <c r="MSM66" s="960">
        <f>MIN(MSM60-MSM62,'Sources and Uses Budget'!MSM108-SUM('15 Year Pro Forma'!MSK66:MSL66))</f>
        <v>0</v>
      </c>
      <c r="MSO66" s="960">
        <f>MIN(MSO60-MSO62,'Sources and Uses Budget'!MSO108-SUM('15 Year Pro Forma'!MSM66:MSN66))</f>
        <v>0</v>
      </c>
      <c r="MSQ66" s="960">
        <f>MIN(MSQ60-MSQ62,'Sources and Uses Budget'!MSQ108-SUM('15 Year Pro Forma'!MSO66:MSP66))</f>
        <v>0</v>
      </c>
      <c r="MSS66" s="960">
        <f>MIN(MSS60-MSS62,'Sources and Uses Budget'!MSS108-SUM('15 Year Pro Forma'!MSQ66:MSR66))</f>
        <v>0</v>
      </c>
      <c r="MSU66" s="960">
        <f>MIN(MSU60-MSU62,'Sources and Uses Budget'!MSU108-SUM('15 Year Pro Forma'!MSS66:MST66))</f>
        <v>0</v>
      </c>
      <c r="MSW66" s="960">
        <f>MIN(MSW60-MSW62,'Sources and Uses Budget'!MSW108-SUM('15 Year Pro Forma'!MSU66:MSV66))</f>
        <v>0</v>
      </c>
      <c r="MSY66" s="960">
        <f>MIN(MSY60-MSY62,'Sources and Uses Budget'!MSY108-SUM('15 Year Pro Forma'!MSW66:MSX66))</f>
        <v>0</v>
      </c>
      <c r="MTA66" s="960">
        <f>MIN(MTA60-MTA62,'Sources and Uses Budget'!MTA108-SUM('15 Year Pro Forma'!MSY66:MSZ66))</f>
        <v>0</v>
      </c>
      <c r="MTC66" s="960">
        <f>MIN(MTC60-MTC62,'Sources and Uses Budget'!MTC108-SUM('15 Year Pro Forma'!MTA66:MTB66))</f>
        <v>0</v>
      </c>
      <c r="MTE66" s="960">
        <f>MIN(MTE60-MTE62,'Sources and Uses Budget'!MTE108-SUM('15 Year Pro Forma'!MTC66:MTD66))</f>
        <v>0</v>
      </c>
      <c r="MTG66" s="960">
        <f>MIN(MTG60-MTG62,'Sources and Uses Budget'!MTG108-SUM('15 Year Pro Forma'!MTE66:MTF66))</f>
        <v>0</v>
      </c>
      <c r="MTI66" s="960">
        <f>MIN(MTI60-MTI62,'Sources and Uses Budget'!MTI108-SUM('15 Year Pro Forma'!MTG66:MTH66))</f>
        <v>0</v>
      </c>
      <c r="MTK66" s="960">
        <f>MIN(MTK60-MTK62,'Sources and Uses Budget'!MTK108-SUM('15 Year Pro Forma'!MTI66:MTJ66))</f>
        <v>0</v>
      </c>
      <c r="MTM66" s="960">
        <f>MIN(MTM60-MTM62,'Sources and Uses Budget'!MTM108-SUM('15 Year Pro Forma'!MTK66:MTL66))</f>
        <v>0</v>
      </c>
      <c r="MTO66" s="960">
        <f>MIN(MTO60-MTO62,'Sources and Uses Budget'!MTO108-SUM('15 Year Pro Forma'!MTM66:MTN66))</f>
        <v>0</v>
      </c>
      <c r="MTQ66" s="960">
        <f>MIN(MTQ60-MTQ62,'Sources and Uses Budget'!MTQ108-SUM('15 Year Pro Forma'!MTO66:MTP66))</f>
        <v>0</v>
      </c>
      <c r="MTS66" s="960">
        <f>MIN(MTS60-MTS62,'Sources and Uses Budget'!MTS108-SUM('15 Year Pro Forma'!MTQ66:MTR66))</f>
        <v>0</v>
      </c>
      <c r="MTU66" s="960">
        <f>MIN(MTU60-MTU62,'Sources and Uses Budget'!MTU108-SUM('15 Year Pro Forma'!MTS66:MTT66))</f>
        <v>0</v>
      </c>
      <c r="MTW66" s="960">
        <f>MIN(MTW60-MTW62,'Sources and Uses Budget'!MTW108-SUM('15 Year Pro Forma'!MTU66:MTV66))</f>
        <v>0</v>
      </c>
      <c r="MTY66" s="960">
        <f>MIN(MTY60-MTY62,'Sources and Uses Budget'!MTY108-SUM('15 Year Pro Forma'!MTW66:MTX66))</f>
        <v>0</v>
      </c>
      <c r="MUA66" s="960">
        <f>MIN(MUA60-MUA62,'Sources and Uses Budget'!MUA108-SUM('15 Year Pro Forma'!MTY66:MTZ66))</f>
        <v>0</v>
      </c>
      <c r="MUC66" s="960">
        <f>MIN(MUC60-MUC62,'Sources and Uses Budget'!MUC108-SUM('15 Year Pro Forma'!MUA66:MUB66))</f>
        <v>0</v>
      </c>
      <c r="MUE66" s="960">
        <f>MIN(MUE60-MUE62,'Sources and Uses Budget'!MUE108-SUM('15 Year Pro Forma'!MUC66:MUD66))</f>
        <v>0</v>
      </c>
      <c r="MUG66" s="960">
        <f>MIN(MUG60-MUG62,'Sources and Uses Budget'!MUG108-SUM('15 Year Pro Forma'!MUE66:MUF66))</f>
        <v>0</v>
      </c>
      <c r="MUI66" s="960">
        <f>MIN(MUI60-MUI62,'Sources and Uses Budget'!MUI108-SUM('15 Year Pro Forma'!MUG66:MUH66))</f>
        <v>0</v>
      </c>
      <c r="MUK66" s="960">
        <f>MIN(MUK60-MUK62,'Sources and Uses Budget'!MUK108-SUM('15 Year Pro Forma'!MUI66:MUJ66))</f>
        <v>0</v>
      </c>
      <c r="MUM66" s="960">
        <f>MIN(MUM60-MUM62,'Sources and Uses Budget'!MUM108-SUM('15 Year Pro Forma'!MUK66:MUL66))</f>
        <v>0</v>
      </c>
      <c r="MUO66" s="960">
        <f>MIN(MUO60-MUO62,'Sources and Uses Budget'!MUO108-SUM('15 Year Pro Forma'!MUM66:MUN66))</f>
        <v>0</v>
      </c>
      <c r="MUQ66" s="960">
        <f>MIN(MUQ60-MUQ62,'Sources and Uses Budget'!MUQ108-SUM('15 Year Pro Forma'!MUO66:MUP66))</f>
        <v>0</v>
      </c>
      <c r="MUS66" s="960">
        <f>MIN(MUS60-MUS62,'Sources and Uses Budget'!MUS108-SUM('15 Year Pro Forma'!MUQ66:MUR66))</f>
        <v>0</v>
      </c>
      <c r="MUU66" s="960">
        <f>MIN(MUU60-MUU62,'Sources and Uses Budget'!MUU108-SUM('15 Year Pro Forma'!MUS66:MUT66))</f>
        <v>0</v>
      </c>
      <c r="MUW66" s="960">
        <f>MIN(MUW60-MUW62,'Sources and Uses Budget'!MUW108-SUM('15 Year Pro Forma'!MUU66:MUV66))</f>
        <v>0</v>
      </c>
      <c r="MUY66" s="960">
        <f>MIN(MUY60-MUY62,'Sources and Uses Budget'!MUY108-SUM('15 Year Pro Forma'!MUW66:MUX66))</f>
        <v>0</v>
      </c>
      <c r="MVA66" s="960">
        <f>MIN(MVA60-MVA62,'Sources and Uses Budget'!MVA108-SUM('15 Year Pro Forma'!MUY66:MUZ66))</f>
        <v>0</v>
      </c>
      <c r="MVC66" s="960">
        <f>MIN(MVC60-MVC62,'Sources and Uses Budget'!MVC108-SUM('15 Year Pro Forma'!MVA66:MVB66))</f>
        <v>0</v>
      </c>
      <c r="MVE66" s="960">
        <f>MIN(MVE60-MVE62,'Sources and Uses Budget'!MVE108-SUM('15 Year Pro Forma'!MVC66:MVD66))</f>
        <v>0</v>
      </c>
      <c r="MVG66" s="960">
        <f>MIN(MVG60-MVG62,'Sources and Uses Budget'!MVG108-SUM('15 Year Pro Forma'!MVE66:MVF66))</f>
        <v>0</v>
      </c>
      <c r="MVI66" s="960">
        <f>MIN(MVI60-MVI62,'Sources and Uses Budget'!MVI108-SUM('15 Year Pro Forma'!MVG66:MVH66))</f>
        <v>0</v>
      </c>
      <c r="MVK66" s="960">
        <f>MIN(MVK60-MVK62,'Sources and Uses Budget'!MVK108-SUM('15 Year Pro Forma'!MVI66:MVJ66))</f>
        <v>0</v>
      </c>
      <c r="MVM66" s="960">
        <f>MIN(MVM60-MVM62,'Sources and Uses Budget'!MVM108-SUM('15 Year Pro Forma'!MVK66:MVL66))</f>
        <v>0</v>
      </c>
      <c r="MVO66" s="960">
        <f>MIN(MVO60-MVO62,'Sources and Uses Budget'!MVO108-SUM('15 Year Pro Forma'!MVM66:MVN66))</f>
        <v>0</v>
      </c>
      <c r="MVQ66" s="960">
        <f>MIN(MVQ60-MVQ62,'Sources and Uses Budget'!MVQ108-SUM('15 Year Pro Forma'!MVO66:MVP66))</f>
        <v>0</v>
      </c>
      <c r="MVS66" s="960">
        <f>MIN(MVS60-MVS62,'Sources and Uses Budget'!MVS108-SUM('15 Year Pro Forma'!MVQ66:MVR66))</f>
        <v>0</v>
      </c>
      <c r="MVU66" s="960">
        <f>MIN(MVU60-MVU62,'Sources and Uses Budget'!MVU108-SUM('15 Year Pro Forma'!MVS66:MVT66))</f>
        <v>0</v>
      </c>
      <c r="MVW66" s="960">
        <f>MIN(MVW60-MVW62,'Sources and Uses Budget'!MVW108-SUM('15 Year Pro Forma'!MVU66:MVV66))</f>
        <v>0</v>
      </c>
      <c r="MVY66" s="960">
        <f>MIN(MVY60-MVY62,'Sources and Uses Budget'!MVY108-SUM('15 Year Pro Forma'!MVW66:MVX66))</f>
        <v>0</v>
      </c>
      <c r="MWA66" s="960">
        <f>MIN(MWA60-MWA62,'Sources and Uses Budget'!MWA108-SUM('15 Year Pro Forma'!MVY66:MVZ66))</f>
        <v>0</v>
      </c>
      <c r="MWC66" s="960">
        <f>MIN(MWC60-MWC62,'Sources and Uses Budget'!MWC108-SUM('15 Year Pro Forma'!MWA66:MWB66))</f>
        <v>0</v>
      </c>
      <c r="MWE66" s="960">
        <f>MIN(MWE60-MWE62,'Sources and Uses Budget'!MWE108-SUM('15 Year Pro Forma'!MWC66:MWD66))</f>
        <v>0</v>
      </c>
      <c r="MWG66" s="960">
        <f>MIN(MWG60-MWG62,'Sources and Uses Budget'!MWG108-SUM('15 Year Pro Forma'!MWE66:MWF66))</f>
        <v>0</v>
      </c>
      <c r="MWI66" s="960">
        <f>MIN(MWI60-MWI62,'Sources and Uses Budget'!MWI108-SUM('15 Year Pro Forma'!MWG66:MWH66))</f>
        <v>0</v>
      </c>
      <c r="MWK66" s="960">
        <f>MIN(MWK60-MWK62,'Sources and Uses Budget'!MWK108-SUM('15 Year Pro Forma'!MWI66:MWJ66))</f>
        <v>0</v>
      </c>
      <c r="MWM66" s="960">
        <f>MIN(MWM60-MWM62,'Sources and Uses Budget'!MWM108-SUM('15 Year Pro Forma'!MWK66:MWL66))</f>
        <v>0</v>
      </c>
      <c r="MWO66" s="960">
        <f>MIN(MWO60-MWO62,'Sources and Uses Budget'!MWO108-SUM('15 Year Pro Forma'!MWM66:MWN66))</f>
        <v>0</v>
      </c>
      <c r="MWQ66" s="960">
        <f>MIN(MWQ60-MWQ62,'Sources and Uses Budget'!MWQ108-SUM('15 Year Pro Forma'!MWO66:MWP66))</f>
        <v>0</v>
      </c>
      <c r="MWS66" s="960">
        <f>MIN(MWS60-MWS62,'Sources and Uses Budget'!MWS108-SUM('15 Year Pro Forma'!MWQ66:MWR66))</f>
        <v>0</v>
      </c>
      <c r="MWU66" s="960">
        <f>MIN(MWU60-MWU62,'Sources and Uses Budget'!MWU108-SUM('15 Year Pro Forma'!MWS66:MWT66))</f>
        <v>0</v>
      </c>
      <c r="MWW66" s="960">
        <f>MIN(MWW60-MWW62,'Sources and Uses Budget'!MWW108-SUM('15 Year Pro Forma'!MWU66:MWV66))</f>
        <v>0</v>
      </c>
      <c r="MWY66" s="960">
        <f>MIN(MWY60-MWY62,'Sources and Uses Budget'!MWY108-SUM('15 Year Pro Forma'!MWW66:MWX66))</f>
        <v>0</v>
      </c>
      <c r="MXA66" s="960">
        <f>MIN(MXA60-MXA62,'Sources and Uses Budget'!MXA108-SUM('15 Year Pro Forma'!MWY66:MWZ66))</f>
        <v>0</v>
      </c>
      <c r="MXC66" s="960">
        <f>MIN(MXC60-MXC62,'Sources and Uses Budget'!MXC108-SUM('15 Year Pro Forma'!MXA66:MXB66))</f>
        <v>0</v>
      </c>
      <c r="MXE66" s="960">
        <f>MIN(MXE60-MXE62,'Sources and Uses Budget'!MXE108-SUM('15 Year Pro Forma'!MXC66:MXD66))</f>
        <v>0</v>
      </c>
      <c r="MXG66" s="960">
        <f>MIN(MXG60-MXG62,'Sources and Uses Budget'!MXG108-SUM('15 Year Pro Forma'!MXE66:MXF66))</f>
        <v>0</v>
      </c>
      <c r="MXI66" s="960">
        <f>MIN(MXI60-MXI62,'Sources and Uses Budget'!MXI108-SUM('15 Year Pro Forma'!MXG66:MXH66))</f>
        <v>0</v>
      </c>
      <c r="MXK66" s="960">
        <f>MIN(MXK60-MXK62,'Sources and Uses Budget'!MXK108-SUM('15 Year Pro Forma'!MXI66:MXJ66))</f>
        <v>0</v>
      </c>
      <c r="MXM66" s="960">
        <f>MIN(MXM60-MXM62,'Sources and Uses Budget'!MXM108-SUM('15 Year Pro Forma'!MXK66:MXL66))</f>
        <v>0</v>
      </c>
      <c r="MXO66" s="960">
        <f>MIN(MXO60-MXO62,'Sources and Uses Budget'!MXO108-SUM('15 Year Pro Forma'!MXM66:MXN66))</f>
        <v>0</v>
      </c>
      <c r="MXQ66" s="960">
        <f>MIN(MXQ60-MXQ62,'Sources and Uses Budget'!MXQ108-SUM('15 Year Pro Forma'!MXO66:MXP66))</f>
        <v>0</v>
      </c>
      <c r="MXS66" s="960">
        <f>MIN(MXS60-MXS62,'Sources and Uses Budget'!MXS108-SUM('15 Year Pro Forma'!MXQ66:MXR66))</f>
        <v>0</v>
      </c>
      <c r="MXU66" s="960">
        <f>MIN(MXU60-MXU62,'Sources and Uses Budget'!MXU108-SUM('15 Year Pro Forma'!MXS66:MXT66))</f>
        <v>0</v>
      </c>
      <c r="MXW66" s="960">
        <f>MIN(MXW60-MXW62,'Sources and Uses Budget'!MXW108-SUM('15 Year Pro Forma'!MXU66:MXV66))</f>
        <v>0</v>
      </c>
      <c r="MXY66" s="960">
        <f>MIN(MXY60-MXY62,'Sources and Uses Budget'!MXY108-SUM('15 Year Pro Forma'!MXW66:MXX66))</f>
        <v>0</v>
      </c>
      <c r="MYA66" s="960">
        <f>MIN(MYA60-MYA62,'Sources and Uses Budget'!MYA108-SUM('15 Year Pro Forma'!MXY66:MXZ66))</f>
        <v>0</v>
      </c>
      <c r="MYC66" s="960">
        <f>MIN(MYC60-MYC62,'Sources and Uses Budget'!MYC108-SUM('15 Year Pro Forma'!MYA66:MYB66))</f>
        <v>0</v>
      </c>
      <c r="MYE66" s="960">
        <f>MIN(MYE60-MYE62,'Sources and Uses Budget'!MYE108-SUM('15 Year Pro Forma'!MYC66:MYD66))</f>
        <v>0</v>
      </c>
      <c r="MYG66" s="960">
        <f>MIN(MYG60-MYG62,'Sources and Uses Budget'!MYG108-SUM('15 Year Pro Forma'!MYE66:MYF66))</f>
        <v>0</v>
      </c>
      <c r="MYI66" s="960">
        <f>MIN(MYI60-MYI62,'Sources and Uses Budget'!MYI108-SUM('15 Year Pro Forma'!MYG66:MYH66))</f>
        <v>0</v>
      </c>
      <c r="MYK66" s="960">
        <f>MIN(MYK60-MYK62,'Sources and Uses Budget'!MYK108-SUM('15 Year Pro Forma'!MYI66:MYJ66))</f>
        <v>0</v>
      </c>
      <c r="MYM66" s="960">
        <f>MIN(MYM60-MYM62,'Sources and Uses Budget'!MYM108-SUM('15 Year Pro Forma'!MYK66:MYL66))</f>
        <v>0</v>
      </c>
      <c r="MYO66" s="960">
        <f>MIN(MYO60-MYO62,'Sources and Uses Budget'!MYO108-SUM('15 Year Pro Forma'!MYM66:MYN66))</f>
        <v>0</v>
      </c>
      <c r="MYQ66" s="960">
        <f>MIN(MYQ60-MYQ62,'Sources and Uses Budget'!MYQ108-SUM('15 Year Pro Forma'!MYO66:MYP66))</f>
        <v>0</v>
      </c>
      <c r="MYS66" s="960">
        <f>MIN(MYS60-MYS62,'Sources and Uses Budget'!MYS108-SUM('15 Year Pro Forma'!MYQ66:MYR66))</f>
        <v>0</v>
      </c>
      <c r="MYU66" s="960">
        <f>MIN(MYU60-MYU62,'Sources and Uses Budget'!MYU108-SUM('15 Year Pro Forma'!MYS66:MYT66))</f>
        <v>0</v>
      </c>
      <c r="MYW66" s="960">
        <f>MIN(MYW60-MYW62,'Sources and Uses Budget'!MYW108-SUM('15 Year Pro Forma'!MYU66:MYV66))</f>
        <v>0</v>
      </c>
      <c r="MYY66" s="960">
        <f>MIN(MYY60-MYY62,'Sources and Uses Budget'!MYY108-SUM('15 Year Pro Forma'!MYW66:MYX66))</f>
        <v>0</v>
      </c>
      <c r="MZA66" s="960">
        <f>MIN(MZA60-MZA62,'Sources and Uses Budget'!MZA108-SUM('15 Year Pro Forma'!MYY66:MYZ66))</f>
        <v>0</v>
      </c>
      <c r="MZC66" s="960">
        <f>MIN(MZC60-MZC62,'Sources and Uses Budget'!MZC108-SUM('15 Year Pro Forma'!MZA66:MZB66))</f>
        <v>0</v>
      </c>
      <c r="MZE66" s="960">
        <f>MIN(MZE60-MZE62,'Sources and Uses Budget'!MZE108-SUM('15 Year Pro Forma'!MZC66:MZD66))</f>
        <v>0</v>
      </c>
      <c r="MZG66" s="960">
        <f>MIN(MZG60-MZG62,'Sources and Uses Budget'!MZG108-SUM('15 Year Pro Forma'!MZE66:MZF66))</f>
        <v>0</v>
      </c>
      <c r="MZI66" s="960">
        <f>MIN(MZI60-MZI62,'Sources and Uses Budget'!MZI108-SUM('15 Year Pro Forma'!MZG66:MZH66))</f>
        <v>0</v>
      </c>
      <c r="MZK66" s="960">
        <f>MIN(MZK60-MZK62,'Sources and Uses Budget'!MZK108-SUM('15 Year Pro Forma'!MZI66:MZJ66))</f>
        <v>0</v>
      </c>
      <c r="MZM66" s="960">
        <f>MIN(MZM60-MZM62,'Sources and Uses Budget'!MZM108-SUM('15 Year Pro Forma'!MZK66:MZL66))</f>
        <v>0</v>
      </c>
      <c r="MZO66" s="960">
        <f>MIN(MZO60-MZO62,'Sources and Uses Budget'!MZO108-SUM('15 Year Pro Forma'!MZM66:MZN66))</f>
        <v>0</v>
      </c>
      <c r="MZQ66" s="960">
        <f>MIN(MZQ60-MZQ62,'Sources and Uses Budget'!MZQ108-SUM('15 Year Pro Forma'!MZO66:MZP66))</f>
        <v>0</v>
      </c>
      <c r="MZS66" s="960">
        <f>MIN(MZS60-MZS62,'Sources and Uses Budget'!MZS108-SUM('15 Year Pro Forma'!MZQ66:MZR66))</f>
        <v>0</v>
      </c>
      <c r="MZU66" s="960">
        <f>MIN(MZU60-MZU62,'Sources and Uses Budget'!MZU108-SUM('15 Year Pro Forma'!MZS66:MZT66))</f>
        <v>0</v>
      </c>
      <c r="MZW66" s="960">
        <f>MIN(MZW60-MZW62,'Sources and Uses Budget'!MZW108-SUM('15 Year Pro Forma'!MZU66:MZV66))</f>
        <v>0</v>
      </c>
      <c r="MZY66" s="960">
        <f>MIN(MZY60-MZY62,'Sources and Uses Budget'!MZY108-SUM('15 Year Pro Forma'!MZW66:MZX66))</f>
        <v>0</v>
      </c>
      <c r="NAA66" s="960">
        <f>MIN(NAA60-NAA62,'Sources and Uses Budget'!NAA108-SUM('15 Year Pro Forma'!MZY66:MZZ66))</f>
        <v>0</v>
      </c>
      <c r="NAC66" s="960">
        <f>MIN(NAC60-NAC62,'Sources and Uses Budget'!NAC108-SUM('15 Year Pro Forma'!NAA66:NAB66))</f>
        <v>0</v>
      </c>
      <c r="NAE66" s="960">
        <f>MIN(NAE60-NAE62,'Sources and Uses Budget'!NAE108-SUM('15 Year Pro Forma'!NAC66:NAD66))</f>
        <v>0</v>
      </c>
      <c r="NAG66" s="960">
        <f>MIN(NAG60-NAG62,'Sources and Uses Budget'!NAG108-SUM('15 Year Pro Forma'!NAE66:NAF66))</f>
        <v>0</v>
      </c>
      <c r="NAI66" s="960">
        <f>MIN(NAI60-NAI62,'Sources and Uses Budget'!NAI108-SUM('15 Year Pro Forma'!NAG66:NAH66))</f>
        <v>0</v>
      </c>
      <c r="NAK66" s="960">
        <f>MIN(NAK60-NAK62,'Sources and Uses Budget'!NAK108-SUM('15 Year Pro Forma'!NAI66:NAJ66))</f>
        <v>0</v>
      </c>
      <c r="NAM66" s="960">
        <f>MIN(NAM60-NAM62,'Sources and Uses Budget'!NAM108-SUM('15 Year Pro Forma'!NAK66:NAL66))</f>
        <v>0</v>
      </c>
      <c r="NAO66" s="960">
        <f>MIN(NAO60-NAO62,'Sources and Uses Budget'!NAO108-SUM('15 Year Pro Forma'!NAM66:NAN66))</f>
        <v>0</v>
      </c>
      <c r="NAQ66" s="960">
        <f>MIN(NAQ60-NAQ62,'Sources and Uses Budget'!NAQ108-SUM('15 Year Pro Forma'!NAO66:NAP66))</f>
        <v>0</v>
      </c>
      <c r="NAS66" s="960">
        <f>MIN(NAS60-NAS62,'Sources and Uses Budget'!NAS108-SUM('15 Year Pro Forma'!NAQ66:NAR66))</f>
        <v>0</v>
      </c>
      <c r="NAU66" s="960">
        <f>MIN(NAU60-NAU62,'Sources and Uses Budget'!NAU108-SUM('15 Year Pro Forma'!NAS66:NAT66))</f>
        <v>0</v>
      </c>
      <c r="NAW66" s="960">
        <f>MIN(NAW60-NAW62,'Sources and Uses Budget'!NAW108-SUM('15 Year Pro Forma'!NAU66:NAV66))</f>
        <v>0</v>
      </c>
      <c r="NAY66" s="960">
        <f>MIN(NAY60-NAY62,'Sources and Uses Budget'!NAY108-SUM('15 Year Pro Forma'!NAW66:NAX66))</f>
        <v>0</v>
      </c>
      <c r="NBA66" s="960">
        <f>MIN(NBA60-NBA62,'Sources and Uses Budget'!NBA108-SUM('15 Year Pro Forma'!NAY66:NAZ66))</f>
        <v>0</v>
      </c>
      <c r="NBC66" s="960">
        <f>MIN(NBC60-NBC62,'Sources and Uses Budget'!NBC108-SUM('15 Year Pro Forma'!NBA66:NBB66))</f>
        <v>0</v>
      </c>
      <c r="NBE66" s="960">
        <f>MIN(NBE60-NBE62,'Sources and Uses Budget'!NBE108-SUM('15 Year Pro Forma'!NBC66:NBD66))</f>
        <v>0</v>
      </c>
      <c r="NBG66" s="960">
        <f>MIN(NBG60-NBG62,'Sources and Uses Budget'!NBG108-SUM('15 Year Pro Forma'!NBE66:NBF66))</f>
        <v>0</v>
      </c>
      <c r="NBI66" s="960">
        <f>MIN(NBI60-NBI62,'Sources and Uses Budget'!NBI108-SUM('15 Year Pro Forma'!NBG66:NBH66))</f>
        <v>0</v>
      </c>
      <c r="NBK66" s="960">
        <f>MIN(NBK60-NBK62,'Sources and Uses Budget'!NBK108-SUM('15 Year Pro Forma'!NBI66:NBJ66))</f>
        <v>0</v>
      </c>
      <c r="NBM66" s="960">
        <f>MIN(NBM60-NBM62,'Sources and Uses Budget'!NBM108-SUM('15 Year Pro Forma'!NBK66:NBL66))</f>
        <v>0</v>
      </c>
      <c r="NBO66" s="960">
        <f>MIN(NBO60-NBO62,'Sources and Uses Budget'!NBO108-SUM('15 Year Pro Forma'!NBM66:NBN66))</f>
        <v>0</v>
      </c>
      <c r="NBQ66" s="960">
        <f>MIN(NBQ60-NBQ62,'Sources and Uses Budget'!NBQ108-SUM('15 Year Pro Forma'!NBO66:NBP66))</f>
        <v>0</v>
      </c>
      <c r="NBS66" s="960">
        <f>MIN(NBS60-NBS62,'Sources and Uses Budget'!NBS108-SUM('15 Year Pro Forma'!NBQ66:NBR66))</f>
        <v>0</v>
      </c>
      <c r="NBU66" s="960">
        <f>MIN(NBU60-NBU62,'Sources and Uses Budget'!NBU108-SUM('15 Year Pro Forma'!NBS66:NBT66))</f>
        <v>0</v>
      </c>
      <c r="NBW66" s="960">
        <f>MIN(NBW60-NBW62,'Sources and Uses Budget'!NBW108-SUM('15 Year Pro Forma'!NBU66:NBV66))</f>
        <v>0</v>
      </c>
      <c r="NBY66" s="960">
        <f>MIN(NBY60-NBY62,'Sources and Uses Budget'!NBY108-SUM('15 Year Pro Forma'!NBW66:NBX66))</f>
        <v>0</v>
      </c>
      <c r="NCA66" s="960">
        <f>MIN(NCA60-NCA62,'Sources and Uses Budget'!NCA108-SUM('15 Year Pro Forma'!NBY66:NBZ66))</f>
        <v>0</v>
      </c>
      <c r="NCC66" s="960">
        <f>MIN(NCC60-NCC62,'Sources and Uses Budget'!NCC108-SUM('15 Year Pro Forma'!NCA66:NCB66))</f>
        <v>0</v>
      </c>
      <c r="NCE66" s="960">
        <f>MIN(NCE60-NCE62,'Sources and Uses Budget'!NCE108-SUM('15 Year Pro Forma'!NCC66:NCD66))</f>
        <v>0</v>
      </c>
      <c r="NCG66" s="960">
        <f>MIN(NCG60-NCG62,'Sources and Uses Budget'!NCG108-SUM('15 Year Pro Forma'!NCE66:NCF66))</f>
        <v>0</v>
      </c>
      <c r="NCI66" s="960">
        <f>MIN(NCI60-NCI62,'Sources and Uses Budget'!NCI108-SUM('15 Year Pro Forma'!NCG66:NCH66))</f>
        <v>0</v>
      </c>
      <c r="NCK66" s="960">
        <f>MIN(NCK60-NCK62,'Sources and Uses Budget'!NCK108-SUM('15 Year Pro Forma'!NCI66:NCJ66))</f>
        <v>0</v>
      </c>
      <c r="NCM66" s="960">
        <f>MIN(NCM60-NCM62,'Sources and Uses Budget'!NCM108-SUM('15 Year Pro Forma'!NCK66:NCL66))</f>
        <v>0</v>
      </c>
      <c r="NCO66" s="960">
        <f>MIN(NCO60-NCO62,'Sources and Uses Budget'!NCO108-SUM('15 Year Pro Forma'!NCM66:NCN66))</f>
        <v>0</v>
      </c>
      <c r="NCQ66" s="960">
        <f>MIN(NCQ60-NCQ62,'Sources and Uses Budget'!NCQ108-SUM('15 Year Pro Forma'!NCO66:NCP66))</f>
        <v>0</v>
      </c>
      <c r="NCS66" s="960">
        <f>MIN(NCS60-NCS62,'Sources and Uses Budget'!NCS108-SUM('15 Year Pro Forma'!NCQ66:NCR66))</f>
        <v>0</v>
      </c>
      <c r="NCU66" s="960">
        <f>MIN(NCU60-NCU62,'Sources and Uses Budget'!NCU108-SUM('15 Year Pro Forma'!NCS66:NCT66))</f>
        <v>0</v>
      </c>
      <c r="NCW66" s="960">
        <f>MIN(NCW60-NCW62,'Sources and Uses Budget'!NCW108-SUM('15 Year Pro Forma'!NCU66:NCV66))</f>
        <v>0</v>
      </c>
      <c r="NCY66" s="960">
        <f>MIN(NCY60-NCY62,'Sources and Uses Budget'!NCY108-SUM('15 Year Pro Forma'!NCW66:NCX66))</f>
        <v>0</v>
      </c>
      <c r="NDA66" s="960">
        <f>MIN(NDA60-NDA62,'Sources and Uses Budget'!NDA108-SUM('15 Year Pro Forma'!NCY66:NCZ66))</f>
        <v>0</v>
      </c>
      <c r="NDC66" s="960">
        <f>MIN(NDC60-NDC62,'Sources and Uses Budget'!NDC108-SUM('15 Year Pro Forma'!NDA66:NDB66))</f>
        <v>0</v>
      </c>
      <c r="NDE66" s="960">
        <f>MIN(NDE60-NDE62,'Sources and Uses Budget'!NDE108-SUM('15 Year Pro Forma'!NDC66:NDD66))</f>
        <v>0</v>
      </c>
      <c r="NDG66" s="960">
        <f>MIN(NDG60-NDG62,'Sources and Uses Budget'!NDG108-SUM('15 Year Pro Forma'!NDE66:NDF66))</f>
        <v>0</v>
      </c>
      <c r="NDI66" s="960">
        <f>MIN(NDI60-NDI62,'Sources and Uses Budget'!NDI108-SUM('15 Year Pro Forma'!NDG66:NDH66))</f>
        <v>0</v>
      </c>
      <c r="NDK66" s="960">
        <f>MIN(NDK60-NDK62,'Sources and Uses Budget'!NDK108-SUM('15 Year Pro Forma'!NDI66:NDJ66))</f>
        <v>0</v>
      </c>
      <c r="NDM66" s="960">
        <f>MIN(NDM60-NDM62,'Sources and Uses Budget'!NDM108-SUM('15 Year Pro Forma'!NDK66:NDL66))</f>
        <v>0</v>
      </c>
      <c r="NDO66" s="960">
        <f>MIN(NDO60-NDO62,'Sources and Uses Budget'!NDO108-SUM('15 Year Pro Forma'!NDM66:NDN66))</f>
        <v>0</v>
      </c>
      <c r="NDQ66" s="960">
        <f>MIN(NDQ60-NDQ62,'Sources and Uses Budget'!NDQ108-SUM('15 Year Pro Forma'!NDO66:NDP66))</f>
        <v>0</v>
      </c>
      <c r="NDS66" s="960">
        <f>MIN(NDS60-NDS62,'Sources and Uses Budget'!NDS108-SUM('15 Year Pro Forma'!NDQ66:NDR66))</f>
        <v>0</v>
      </c>
      <c r="NDU66" s="960">
        <f>MIN(NDU60-NDU62,'Sources and Uses Budget'!NDU108-SUM('15 Year Pro Forma'!NDS66:NDT66))</f>
        <v>0</v>
      </c>
      <c r="NDW66" s="960">
        <f>MIN(NDW60-NDW62,'Sources and Uses Budget'!NDW108-SUM('15 Year Pro Forma'!NDU66:NDV66))</f>
        <v>0</v>
      </c>
      <c r="NDY66" s="960">
        <f>MIN(NDY60-NDY62,'Sources and Uses Budget'!NDY108-SUM('15 Year Pro Forma'!NDW66:NDX66))</f>
        <v>0</v>
      </c>
      <c r="NEA66" s="960">
        <f>MIN(NEA60-NEA62,'Sources and Uses Budget'!NEA108-SUM('15 Year Pro Forma'!NDY66:NDZ66))</f>
        <v>0</v>
      </c>
      <c r="NEC66" s="960">
        <f>MIN(NEC60-NEC62,'Sources and Uses Budget'!NEC108-SUM('15 Year Pro Forma'!NEA66:NEB66))</f>
        <v>0</v>
      </c>
      <c r="NEE66" s="960">
        <f>MIN(NEE60-NEE62,'Sources and Uses Budget'!NEE108-SUM('15 Year Pro Forma'!NEC66:NED66))</f>
        <v>0</v>
      </c>
      <c r="NEG66" s="960">
        <f>MIN(NEG60-NEG62,'Sources and Uses Budget'!NEG108-SUM('15 Year Pro Forma'!NEE66:NEF66))</f>
        <v>0</v>
      </c>
      <c r="NEI66" s="960">
        <f>MIN(NEI60-NEI62,'Sources and Uses Budget'!NEI108-SUM('15 Year Pro Forma'!NEG66:NEH66))</f>
        <v>0</v>
      </c>
      <c r="NEK66" s="960">
        <f>MIN(NEK60-NEK62,'Sources and Uses Budget'!NEK108-SUM('15 Year Pro Forma'!NEI66:NEJ66))</f>
        <v>0</v>
      </c>
      <c r="NEM66" s="960">
        <f>MIN(NEM60-NEM62,'Sources and Uses Budget'!NEM108-SUM('15 Year Pro Forma'!NEK66:NEL66))</f>
        <v>0</v>
      </c>
      <c r="NEO66" s="960">
        <f>MIN(NEO60-NEO62,'Sources and Uses Budget'!NEO108-SUM('15 Year Pro Forma'!NEM66:NEN66))</f>
        <v>0</v>
      </c>
      <c r="NEQ66" s="960">
        <f>MIN(NEQ60-NEQ62,'Sources and Uses Budget'!NEQ108-SUM('15 Year Pro Forma'!NEO66:NEP66))</f>
        <v>0</v>
      </c>
      <c r="NES66" s="960">
        <f>MIN(NES60-NES62,'Sources and Uses Budget'!NES108-SUM('15 Year Pro Forma'!NEQ66:NER66))</f>
        <v>0</v>
      </c>
      <c r="NEU66" s="960">
        <f>MIN(NEU60-NEU62,'Sources and Uses Budget'!NEU108-SUM('15 Year Pro Forma'!NES66:NET66))</f>
        <v>0</v>
      </c>
      <c r="NEW66" s="960">
        <f>MIN(NEW60-NEW62,'Sources and Uses Budget'!NEW108-SUM('15 Year Pro Forma'!NEU66:NEV66))</f>
        <v>0</v>
      </c>
      <c r="NEY66" s="960">
        <f>MIN(NEY60-NEY62,'Sources and Uses Budget'!NEY108-SUM('15 Year Pro Forma'!NEW66:NEX66))</f>
        <v>0</v>
      </c>
      <c r="NFA66" s="960">
        <f>MIN(NFA60-NFA62,'Sources and Uses Budget'!NFA108-SUM('15 Year Pro Forma'!NEY66:NEZ66))</f>
        <v>0</v>
      </c>
      <c r="NFC66" s="960">
        <f>MIN(NFC60-NFC62,'Sources and Uses Budget'!NFC108-SUM('15 Year Pro Forma'!NFA66:NFB66))</f>
        <v>0</v>
      </c>
      <c r="NFE66" s="960">
        <f>MIN(NFE60-NFE62,'Sources and Uses Budget'!NFE108-SUM('15 Year Pro Forma'!NFC66:NFD66))</f>
        <v>0</v>
      </c>
      <c r="NFG66" s="960">
        <f>MIN(NFG60-NFG62,'Sources and Uses Budget'!NFG108-SUM('15 Year Pro Forma'!NFE66:NFF66))</f>
        <v>0</v>
      </c>
      <c r="NFI66" s="960">
        <f>MIN(NFI60-NFI62,'Sources and Uses Budget'!NFI108-SUM('15 Year Pro Forma'!NFG66:NFH66))</f>
        <v>0</v>
      </c>
      <c r="NFK66" s="960">
        <f>MIN(NFK60-NFK62,'Sources and Uses Budget'!NFK108-SUM('15 Year Pro Forma'!NFI66:NFJ66))</f>
        <v>0</v>
      </c>
      <c r="NFM66" s="960">
        <f>MIN(NFM60-NFM62,'Sources and Uses Budget'!NFM108-SUM('15 Year Pro Forma'!NFK66:NFL66))</f>
        <v>0</v>
      </c>
      <c r="NFO66" s="960">
        <f>MIN(NFO60-NFO62,'Sources and Uses Budget'!NFO108-SUM('15 Year Pro Forma'!NFM66:NFN66))</f>
        <v>0</v>
      </c>
      <c r="NFQ66" s="960">
        <f>MIN(NFQ60-NFQ62,'Sources and Uses Budget'!NFQ108-SUM('15 Year Pro Forma'!NFO66:NFP66))</f>
        <v>0</v>
      </c>
      <c r="NFS66" s="960">
        <f>MIN(NFS60-NFS62,'Sources and Uses Budget'!NFS108-SUM('15 Year Pro Forma'!NFQ66:NFR66))</f>
        <v>0</v>
      </c>
      <c r="NFU66" s="960">
        <f>MIN(NFU60-NFU62,'Sources and Uses Budget'!NFU108-SUM('15 Year Pro Forma'!NFS66:NFT66))</f>
        <v>0</v>
      </c>
      <c r="NFW66" s="960">
        <f>MIN(NFW60-NFW62,'Sources and Uses Budget'!NFW108-SUM('15 Year Pro Forma'!NFU66:NFV66))</f>
        <v>0</v>
      </c>
      <c r="NFY66" s="960">
        <f>MIN(NFY60-NFY62,'Sources and Uses Budget'!NFY108-SUM('15 Year Pro Forma'!NFW66:NFX66))</f>
        <v>0</v>
      </c>
      <c r="NGA66" s="960">
        <f>MIN(NGA60-NGA62,'Sources and Uses Budget'!NGA108-SUM('15 Year Pro Forma'!NFY66:NFZ66))</f>
        <v>0</v>
      </c>
      <c r="NGC66" s="960">
        <f>MIN(NGC60-NGC62,'Sources and Uses Budget'!NGC108-SUM('15 Year Pro Forma'!NGA66:NGB66))</f>
        <v>0</v>
      </c>
      <c r="NGE66" s="960">
        <f>MIN(NGE60-NGE62,'Sources and Uses Budget'!NGE108-SUM('15 Year Pro Forma'!NGC66:NGD66))</f>
        <v>0</v>
      </c>
      <c r="NGG66" s="960">
        <f>MIN(NGG60-NGG62,'Sources and Uses Budget'!NGG108-SUM('15 Year Pro Forma'!NGE66:NGF66))</f>
        <v>0</v>
      </c>
      <c r="NGI66" s="960">
        <f>MIN(NGI60-NGI62,'Sources and Uses Budget'!NGI108-SUM('15 Year Pro Forma'!NGG66:NGH66))</f>
        <v>0</v>
      </c>
      <c r="NGK66" s="960">
        <f>MIN(NGK60-NGK62,'Sources and Uses Budget'!NGK108-SUM('15 Year Pro Forma'!NGI66:NGJ66))</f>
        <v>0</v>
      </c>
      <c r="NGM66" s="960">
        <f>MIN(NGM60-NGM62,'Sources and Uses Budget'!NGM108-SUM('15 Year Pro Forma'!NGK66:NGL66))</f>
        <v>0</v>
      </c>
      <c r="NGO66" s="960">
        <f>MIN(NGO60-NGO62,'Sources and Uses Budget'!NGO108-SUM('15 Year Pro Forma'!NGM66:NGN66))</f>
        <v>0</v>
      </c>
      <c r="NGQ66" s="960">
        <f>MIN(NGQ60-NGQ62,'Sources and Uses Budget'!NGQ108-SUM('15 Year Pro Forma'!NGO66:NGP66))</f>
        <v>0</v>
      </c>
      <c r="NGS66" s="960">
        <f>MIN(NGS60-NGS62,'Sources and Uses Budget'!NGS108-SUM('15 Year Pro Forma'!NGQ66:NGR66))</f>
        <v>0</v>
      </c>
      <c r="NGU66" s="960">
        <f>MIN(NGU60-NGU62,'Sources and Uses Budget'!NGU108-SUM('15 Year Pro Forma'!NGS66:NGT66))</f>
        <v>0</v>
      </c>
      <c r="NGW66" s="960">
        <f>MIN(NGW60-NGW62,'Sources and Uses Budget'!NGW108-SUM('15 Year Pro Forma'!NGU66:NGV66))</f>
        <v>0</v>
      </c>
      <c r="NGY66" s="960">
        <f>MIN(NGY60-NGY62,'Sources and Uses Budget'!NGY108-SUM('15 Year Pro Forma'!NGW66:NGX66))</f>
        <v>0</v>
      </c>
      <c r="NHA66" s="960">
        <f>MIN(NHA60-NHA62,'Sources and Uses Budget'!NHA108-SUM('15 Year Pro Forma'!NGY66:NGZ66))</f>
        <v>0</v>
      </c>
      <c r="NHC66" s="960">
        <f>MIN(NHC60-NHC62,'Sources and Uses Budget'!NHC108-SUM('15 Year Pro Forma'!NHA66:NHB66))</f>
        <v>0</v>
      </c>
      <c r="NHE66" s="960">
        <f>MIN(NHE60-NHE62,'Sources and Uses Budget'!NHE108-SUM('15 Year Pro Forma'!NHC66:NHD66))</f>
        <v>0</v>
      </c>
      <c r="NHG66" s="960">
        <f>MIN(NHG60-NHG62,'Sources and Uses Budget'!NHG108-SUM('15 Year Pro Forma'!NHE66:NHF66))</f>
        <v>0</v>
      </c>
      <c r="NHI66" s="960">
        <f>MIN(NHI60-NHI62,'Sources and Uses Budget'!NHI108-SUM('15 Year Pro Forma'!NHG66:NHH66))</f>
        <v>0</v>
      </c>
      <c r="NHK66" s="960">
        <f>MIN(NHK60-NHK62,'Sources and Uses Budget'!NHK108-SUM('15 Year Pro Forma'!NHI66:NHJ66))</f>
        <v>0</v>
      </c>
      <c r="NHM66" s="960">
        <f>MIN(NHM60-NHM62,'Sources and Uses Budget'!NHM108-SUM('15 Year Pro Forma'!NHK66:NHL66))</f>
        <v>0</v>
      </c>
      <c r="NHO66" s="960">
        <f>MIN(NHO60-NHO62,'Sources and Uses Budget'!NHO108-SUM('15 Year Pro Forma'!NHM66:NHN66))</f>
        <v>0</v>
      </c>
      <c r="NHQ66" s="960">
        <f>MIN(NHQ60-NHQ62,'Sources and Uses Budget'!NHQ108-SUM('15 Year Pro Forma'!NHO66:NHP66))</f>
        <v>0</v>
      </c>
      <c r="NHS66" s="960">
        <f>MIN(NHS60-NHS62,'Sources and Uses Budget'!NHS108-SUM('15 Year Pro Forma'!NHQ66:NHR66))</f>
        <v>0</v>
      </c>
      <c r="NHU66" s="960">
        <f>MIN(NHU60-NHU62,'Sources and Uses Budget'!NHU108-SUM('15 Year Pro Forma'!NHS66:NHT66))</f>
        <v>0</v>
      </c>
      <c r="NHW66" s="960">
        <f>MIN(NHW60-NHW62,'Sources and Uses Budget'!NHW108-SUM('15 Year Pro Forma'!NHU66:NHV66))</f>
        <v>0</v>
      </c>
      <c r="NHY66" s="960">
        <f>MIN(NHY60-NHY62,'Sources and Uses Budget'!NHY108-SUM('15 Year Pro Forma'!NHW66:NHX66))</f>
        <v>0</v>
      </c>
      <c r="NIA66" s="960">
        <f>MIN(NIA60-NIA62,'Sources and Uses Budget'!NIA108-SUM('15 Year Pro Forma'!NHY66:NHZ66))</f>
        <v>0</v>
      </c>
      <c r="NIC66" s="960">
        <f>MIN(NIC60-NIC62,'Sources and Uses Budget'!NIC108-SUM('15 Year Pro Forma'!NIA66:NIB66))</f>
        <v>0</v>
      </c>
      <c r="NIE66" s="960">
        <f>MIN(NIE60-NIE62,'Sources and Uses Budget'!NIE108-SUM('15 Year Pro Forma'!NIC66:NID66))</f>
        <v>0</v>
      </c>
      <c r="NIG66" s="960">
        <f>MIN(NIG60-NIG62,'Sources and Uses Budget'!NIG108-SUM('15 Year Pro Forma'!NIE66:NIF66))</f>
        <v>0</v>
      </c>
      <c r="NII66" s="960">
        <f>MIN(NII60-NII62,'Sources and Uses Budget'!NII108-SUM('15 Year Pro Forma'!NIG66:NIH66))</f>
        <v>0</v>
      </c>
      <c r="NIK66" s="960">
        <f>MIN(NIK60-NIK62,'Sources and Uses Budget'!NIK108-SUM('15 Year Pro Forma'!NII66:NIJ66))</f>
        <v>0</v>
      </c>
      <c r="NIM66" s="960">
        <f>MIN(NIM60-NIM62,'Sources and Uses Budget'!NIM108-SUM('15 Year Pro Forma'!NIK66:NIL66))</f>
        <v>0</v>
      </c>
      <c r="NIO66" s="960">
        <f>MIN(NIO60-NIO62,'Sources and Uses Budget'!NIO108-SUM('15 Year Pro Forma'!NIM66:NIN66))</f>
        <v>0</v>
      </c>
      <c r="NIQ66" s="960">
        <f>MIN(NIQ60-NIQ62,'Sources and Uses Budget'!NIQ108-SUM('15 Year Pro Forma'!NIO66:NIP66))</f>
        <v>0</v>
      </c>
      <c r="NIS66" s="960">
        <f>MIN(NIS60-NIS62,'Sources and Uses Budget'!NIS108-SUM('15 Year Pro Forma'!NIQ66:NIR66))</f>
        <v>0</v>
      </c>
      <c r="NIU66" s="960">
        <f>MIN(NIU60-NIU62,'Sources and Uses Budget'!NIU108-SUM('15 Year Pro Forma'!NIS66:NIT66))</f>
        <v>0</v>
      </c>
      <c r="NIW66" s="960">
        <f>MIN(NIW60-NIW62,'Sources and Uses Budget'!NIW108-SUM('15 Year Pro Forma'!NIU66:NIV66))</f>
        <v>0</v>
      </c>
      <c r="NIY66" s="960">
        <f>MIN(NIY60-NIY62,'Sources and Uses Budget'!NIY108-SUM('15 Year Pro Forma'!NIW66:NIX66))</f>
        <v>0</v>
      </c>
      <c r="NJA66" s="960">
        <f>MIN(NJA60-NJA62,'Sources and Uses Budget'!NJA108-SUM('15 Year Pro Forma'!NIY66:NIZ66))</f>
        <v>0</v>
      </c>
      <c r="NJC66" s="960">
        <f>MIN(NJC60-NJC62,'Sources and Uses Budget'!NJC108-SUM('15 Year Pro Forma'!NJA66:NJB66))</f>
        <v>0</v>
      </c>
      <c r="NJE66" s="960">
        <f>MIN(NJE60-NJE62,'Sources and Uses Budget'!NJE108-SUM('15 Year Pro Forma'!NJC66:NJD66))</f>
        <v>0</v>
      </c>
      <c r="NJG66" s="960">
        <f>MIN(NJG60-NJG62,'Sources and Uses Budget'!NJG108-SUM('15 Year Pro Forma'!NJE66:NJF66))</f>
        <v>0</v>
      </c>
      <c r="NJI66" s="960">
        <f>MIN(NJI60-NJI62,'Sources and Uses Budget'!NJI108-SUM('15 Year Pro Forma'!NJG66:NJH66))</f>
        <v>0</v>
      </c>
      <c r="NJK66" s="960">
        <f>MIN(NJK60-NJK62,'Sources and Uses Budget'!NJK108-SUM('15 Year Pro Forma'!NJI66:NJJ66))</f>
        <v>0</v>
      </c>
      <c r="NJM66" s="960">
        <f>MIN(NJM60-NJM62,'Sources and Uses Budget'!NJM108-SUM('15 Year Pro Forma'!NJK66:NJL66))</f>
        <v>0</v>
      </c>
      <c r="NJO66" s="960">
        <f>MIN(NJO60-NJO62,'Sources and Uses Budget'!NJO108-SUM('15 Year Pro Forma'!NJM66:NJN66))</f>
        <v>0</v>
      </c>
      <c r="NJQ66" s="960">
        <f>MIN(NJQ60-NJQ62,'Sources and Uses Budget'!NJQ108-SUM('15 Year Pro Forma'!NJO66:NJP66))</f>
        <v>0</v>
      </c>
      <c r="NJS66" s="960">
        <f>MIN(NJS60-NJS62,'Sources and Uses Budget'!NJS108-SUM('15 Year Pro Forma'!NJQ66:NJR66))</f>
        <v>0</v>
      </c>
      <c r="NJU66" s="960">
        <f>MIN(NJU60-NJU62,'Sources and Uses Budget'!NJU108-SUM('15 Year Pro Forma'!NJS66:NJT66))</f>
        <v>0</v>
      </c>
      <c r="NJW66" s="960">
        <f>MIN(NJW60-NJW62,'Sources and Uses Budget'!NJW108-SUM('15 Year Pro Forma'!NJU66:NJV66))</f>
        <v>0</v>
      </c>
      <c r="NJY66" s="960">
        <f>MIN(NJY60-NJY62,'Sources and Uses Budget'!NJY108-SUM('15 Year Pro Forma'!NJW66:NJX66))</f>
        <v>0</v>
      </c>
      <c r="NKA66" s="960">
        <f>MIN(NKA60-NKA62,'Sources and Uses Budget'!NKA108-SUM('15 Year Pro Forma'!NJY66:NJZ66))</f>
        <v>0</v>
      </c>
      <c r="NKC66" s="960">
        <f>MIN(NKC60-NKC62,'Sources and Uses Budget'!NKC108-SUM('15 Year Pro Forma'!NKA66:NKB66))</f>
        <v>0</v>
      </c>
      <c r="NKE66" s="960">
        <f>MIN(NKE60-NKE62,'Sources and Uses Budget'!NKE108-SUM('15 Year Pro Forma'!NKC66:NKD66))</f>
        <v>0</v>
      </c>
      <c r="NKG66" s="960">
        <f>MIN(NKG60-NKG62,'Sources and Uses Budget'!NKG108-SUM('15 Year Pro Forma'!NKE66:NKF66))</f>
        <v>0</v>
      </c>
      <c r="NKI66" s="960">
        <f>MIN(NKI60-NKI62,'Sources and Uses Budget'!NKI108-SUM('15 Year Pro Forma'!NKG66:NKH66))</f>
        <v>0</v>
      </c>
      <c r="NKK66" s="960">
        <f>MIN(NKK60-NKK62,'Sources and Uses Budget'!NKK108-SUM('15 Year Pro Forma'!NKI66:NKJ66))</f>
        <v>0</v>
      </c>
      <c r="NKM66" s="960">
        <f>MIN(NKM60-NKM62,'Sources and Uses Budget'!NKM108-SUM('15 Year Pro Forma'!NKK66:NKL66))</f>
        <v>0</v>
      </c>
      <c r="NKO66" s="960">
        <f>MIN(NKO60-NKO62,'Sources and Uses Budget'!NKO108-SUM('15 Year Pro Forma'!NKM66:NKN66))</f>
        <v>0</v>
      </c>
      <c r="NKQ66" s="960">
        <f>MIN(NKQ60-NKQ62,'Sources and Uses Budget'!NKQ108-SUM('15 Year Pro Forma'!NKO66:NKP66))</f>
        <v>0</v>
      </c>
      <c r="NKS66" s="960">
        <f>MIN(NKS60-NKS62,'Sources and Uses Budget'!NKS108-SUM('15 Year Pro Forma'!NKQ66:NKR66))</f>
        <v>0</v>
      </c>
      <c r="NKU66" s="960">
        <f>MIN(NKU60-NKU62,'Sources and Uses Budget'!NKU108-SUM('15 Year Pro Forma'!NKS66:NKT66))</f>
        <v>0</v>
      </c>
      <c r="NKW66" s="960">
        <f>MIN(NKW60-NKW62,'Sources and Uses Budget'!NKW108-SUM('15 Year Pro Forma'!NKU66:NKV66))</f>
        <v>0</v>
      </c>
      <c r="NKY66" s="960">
        <f>MIN(NKY60-NKY62,'Sources and Uses Budget'!NKY108-SUM('15 Year Pro Forma'!NKW66:NKX66))</f>
        <v>0</v>
      </c>
      <c r="NLA66" s="960">
        <f>MIN(NLA60-NLA62,'Sources and Uses Budget'!NLA108-SUM('15 Year Pro Forma'!NKY66:NKZ66))</f>
        <v>0</v>
      </c>
      <c r="NLC66" s="960">
        <f>MIN(NLC60-NLC62,'Sources and Uses Budget'!NLC108-SUM('15 Year Pro Forma'!NLA66:NLB66))</f>
        <v>0</v>
      </c>
      <c r="NLE66" s="960">
        <f>MIN(NLE60-NLE62,'Sources and Uses Budget'!NLE108-SUM('15 Year Pro Forma'!NLC66:NLD66))</f>
        <v>0</v>
      </c>
      <c r="NLG66" s="960">
        <f>MIN(NLG60-NLG62,'Sources and Uses Budget'!NLG108-SUM('15 Year Pro Forma'!NLE66:NLF66))</f>
        <v>0</v>
      </c>
      <c r="NLI66" s="960">
        <f>MIN(NLI60-NLI62,'Sources and Uses Budget'!NLI108-SUM('15 Year Pro Forma'!NLG66:NLH66))</f>
        <v>0</v>
      </c>
      <c r="NLK66" s="960">
        <f>MIN(NLK60-NLK62,'Sources and Uses Budget'!NLK108-SUM('15 Year Pro Forma'!NLI66:NLJ66))</f>
        <v>0</v>
      </c>
      <c r="NLM66" s="960">
        <f>MIN(NLM60-NLM62,'Sources and Uses Budget'!NLM108-SUM('15 Year Pro Forma'!NLK66:NLL66))</f>
        <v>0</v>
      </c>
      <c r="NLO66" s="960">
        <f>MIN(NLO60-NLO62,'Sources and Uses Budget'!NLO108-SUM('15 Year Pro Forma'!NLM66:NLN66))</f>
        <v>0</v>
      </c>
      <c r="NLQ66" s="960">
        <f>MIN(NLQ60-NLQ62,'Sources and Uses Budget'!NLQ108-SUM('15 Year Pro Forma'!NLO66:NLP66))</f>
        <v>0</v>
      </c>
      <c r="NLS66" s="960">
        <f>MIN(NLS60-NLS62,'Sources and Uses Budget'!NLS108-SUM('15 Year Pro Forma'!NLQ66:NLR66))</f>
        <v>0</v>
      </c>
      <c r="NLU66" s="960">
        <f>MIN(NLU60-NLU62,'Sources and Uses Budget'!NLU108-SUM('15 Year Pro Forma'!NLS66:NLT66))</f>
        <v>0</v>
      </c>
      <c r="NLW66" s="960">
        <f>MIN(NLW60-NLW62,'Sources and Uses Budget'!NLW108-SUM('15 Year Pro Forma'!NLU66:NLV66))</f>
        <v>0</v>
      </c>
      <c r="NLY66" s="960">
        <f>MIN(NLY60-NLY62,'Sources and Uses Budget'!NLY108-SUM('15 Year Pro Forma'!NLW66:NLX66))</f>
        <v>0</v>
      </c>
      <c r="NMA66" s="960">
        <f>MIN(NMA60-NMA62,'Sources and Uses Budget'!NMA108-SUM('15 Year Pro Forma'!NLY66:NLZ66))</f>
        <v>0</v>
      </c>
      <c r="NMC66" s="960">
        <f>MIN(NMC60-NMC62,'Sources and Uses Budget'!NMC108-SUM('15 Year Pro Forma'!NMA66:NMB66))</f>
        <v>0</v>
      </c>
      <c r="NME66" s="960">
        <f>MIN(NME60-NME62,'Sources and Uses Budget'!NME108-SUM('15 Year Pro Forma'!NMC66:NMD66))</f>
        <v>0</v>
      </c>
      <c r="NMG66" s="960">
        <f>MIN(NMG60-NMG62,'Sources and Uses Budget'!NMG108-SUM('15 Year Pro Forma'!NME66:NMF66))</f>
        <v>0</v>
      </c>
      <c r="NMI66" s="960">
        <f>MIN(NMI60-NMI62,'Sources and Uses Budget'!NMI108-SUM('15 Year Pro Forma'!NMG66:NMH66))</f>
        <v>0</v>
      </c>
      <c r="NMK66" s="960">
        <f>MIN(NMK60-NMK62,'Sources and Uses Budget'!NMK108-SUM('15 Year Pro Forma'!NMI66:NMJ66))</f>
        <v>0</v>
      </c>
      <c r="NMM66" s="960">
        <f>MIN(NMM60-NMM62,'Sources and Uses Budget'!NMM108-SUM('15 Year Pro Forma'!NMK66:NML66))</f>
        <v>0</v>
      </c>
      <c r="NMO66" s="960">
        <f>MIN(NMO60-NMO62,'Sources and Uses Budget'!NMO108-SUM('15 Year Pro Forma'!NMM66:NMN66))</f>
        <v>0</v>
      </c>
      <c r="NMQ66" s="960">
        <f>MIN(NMQ60-NMQ62,'Sources and Uses Budget'!NMQ108-SUM('15 Year Pro Forma'!NMO66:NMP66))</f>
        <v>0</v>
      </c>
      <c r="NMS66" s="960">
        <f>MIN(NMS60-NMS62,'Sources and Uses Budget'!NMS108-SUM('15 Year Pro Forma'!NMQ66:NMR66))</f>
        <v>0</v>
      </c>
      <c r="NMU66" s="960">
        <f>MIN(NMU60-NMU62,'Sources and Uses Budget'!NMU108-SUM('15 Year Pro Forma'!NMS66:NMT66))</f>
        <v>0</v>
      </c>
      <c r="NMW66" s="960">
        <f>MIN(NMW60-NMW62,'Sources and Uses Budget'!NMW108-SUM('15 Year Pro Forma'!NMU66:NMV66))</f>
        <v>0</v>
      </c>
      <c r="NMY66" s="960">
        <f>MIN(NMY60-NMY62,'Sources and Uses Budget'!NMY108-SUM('15 Year Pro Forma'!NMW66:NMX66))</f>
        <v>0</v>
      </c>
      <c r="NNA66" s="960">
        <f>MIN(NNA60-NNA62,'Sources and Uses Budget'!NNA108-SUM('15 Year Pro Forma'!NMY66:NMZ66))</f>
        <v>0</v>
      </c>
      <c r="NNC66" s="960">
        <f>MIN(NNC60-NNC62,'Sources and Uses Budget'!NNC108-SUM('15 Year Pro Forma'!NNA66:NNB66))</f>
        <v>0</v>
      </c>
      <c r="NNE66" s="960">
        <f>MIN(NNE60-NNE62,'Sources and Uses Budget'!NNE108-SUM('15 Year Pro Forma'!NNC66:NND66))</f>
        <v>0</v>
      </c>
      <c r="NNG66" s="960">
        <f>MIN(NNG60-NNG62,'Sources and Uses Budget'!NNG108-SUM('15 Year Pro Forma'!NNE66:NNF66))</f>
        <v>0</v>
      </c>
      <c r="NNI66" s="960">
        <f>MIN(NNI60-NNI62,'Sources and Uses Budget'!NNI108-SUM('15 Year Pro Forma'!NNG66:NNH66))</f>
        <v>0</v>
      </c>
      <c r="NNK66" s="960">
        <f>MIN(NNK60-NNK62,'Sources and Uses Budget'!NNK108-SUM('15 Year Pro Forma'!NNI66:NNJ66))</f>
        <v>0</v>
      </c>
      <c r="NNM66" s="960">
        <f>MIN(NNM60-NNM62,'Sources and Uses Budget'!NNM108-SUM('15 Year Pro Forma'!NNK66:NNL66))</f>
        <v>0</v>
      </c>
      <c r="NNO66" s="960">
        <f>MIN(NNO60-NNO62,'Sources and Uses Budget'!NNO108-SUM('15 Year Pro Forma'!NNM66:NNN66))</f>
        <v>0</v>
      </c>
      <c r="NNQ66" s="960">
        <f>MIN(NNQ60-NNQ62,'Sources and Uses Budget'!NNQ108-SUM('15 Year Pro Forma'!NNO66:NNP66))</f>
        <v>0</v>
      </c>
      <c r="NNS66" s="960">
        <f>MIN(NNS60-NNS62,'Sources and Uses Budget'!NNS108-SUM('15 Year Pro Forma'!NNQ66:NNR66))</f>
        <v>0</v>
      </c>
      <c r="NNU66" s="960">
        <f>MIN(NNU60-NNU62,'Sources and Uses Budget'!NNU108-SUM('15 Year Pro Forma'!NNS66:NNT66))</f>
        <v>0</v>
      </c>
      <c r="NNW66" s="960">
        <f>MIN(NNW60-NNW62,'Sources and Uses Budget'!NNW108-SUM('15 Year Pro Forma'!NNU66:NNV66))</f>
        <v>0</v>
      </c>
      <c r="NNY66" s="960">
        <f>MIN(NNY60-NNY62,'Sources and Uses Budget'!NNY108-SUM('15 Year Pro Forma'!NNW66:NNX66))</f>
        <v>0</v>
      </c>
      <c r="NOA66" s="960">
        <f>MIN(NOA60-NOA62,'Sources and Uses Budget'!NOA108-SUM('15 Year Pro Forma'!NNY66:NNZ66))</f>
        <v>0</v>
      </c>
      <c r="NOC66" s="960">
        <f>MIN(NOC60-NOC62,'Sources and Uses Budget'!NOC108-SUM('15 Year Pro Forma'!NOA66:NOB66))</f>
        <v>0</v>
      </c>
      <c r="NOE66" s="960">
        <f>MIN(NOE60-NOE62,'Sources and Uses Budget'!NOE108-SUM('15 Year Pro Forma'!NOC66:NOD66))</f>
        <v>0</v>
      </c>
      <c r="NOG66" s="960">
        <f>MIN(NOG60-NOG62,'Sources and Uses Budget'!NOG108-SUM('15 Year Pro Forma'!NOE66:NOF66))</f>
        <v>0</v>
      </c>
      <c r="NOI66" s="960">
        <f>MIN(NOI60-NOI62,'Sources and Uses Budget'!NOI108-SUM('15 Year Pro Forma'!NOG66:NOH66))</f>
        <v>0</v>
      </c>
      <c r="NOK66" s="960">
        <f>MIN(NOK60-NOK62,'Sources and Uses Budget'!NOK108-SUM('15 Year Pro Forma'!NOI66:NOJ66))</f>
        <v>0</v>
      </c>
      <c r="NOM66" s="960">
        <f>MIN(NOM60-NOM62,'Sources and Uses Budget'!NOM108-SUM('15 Year Pro Forma'!NOK66:NOL66))</f>
        <v>0</v>
      </c>
      <c r="NOO66" s="960">
        <f>MIN(NOO60-NOO62,'Sources and Uses Budget'!NOO108-SUM('15 Year Pro Forma'!NOM66:NON66))</f>
        <v>0</v>
      </c>
      <c r="NOQ66" s="960">
        <f>MIN(NOQ60-NOQ62,'Sources and Uses Budget'!NOQ108-SUM('15 Year Pro Forma'!NOO66:NOP66))</f>
        <v>0</v>
      </c>
      <c r="NOS66" s="960">
        <f>MIN(NOS60-NOS62,'Sources and Uses Budget'!NOS108-SUM('15 Year Pro Forma'!NOQ66:NOR66))</f>
        <v>0</v>
      </c>
      <c r="NOU66" s="960">
        <f>MIN(NOU60-NOU62,'Sources and Uses Budget'!NOU108-SUM('15 Year Pro Forma'!NOS66:NOT66))</f>
        <v>0</v>
      </c>
      <c r="NOW66" s="960">
        <f>MIN(NOW60-NOW62,'Sources and Uses Budget'!NOW108-SUM('15 Year Pro Forma'!NOU66:NOV66))</f>
        <v>0</v>
      </c>
      <c r="NOY66" s="960">
        <f>MIN(NOY60-NOY62,'Sources and Uses Budget'!NOY108-SUM('15 Year Pro Forma'!NOW66:NOX66))</f>
        <v>0</v>
      </c>
      <c r="NPA66" s="960">
        <f>MIN(NPA60-NPA62,'Sources and Uses Budget'!NPA108-SUM('15 Year Pro Forma'!NOY66:NOZ66))</f>
        <v>0</v>
      </c>
      <c r="NPC66" s="960">
        <f>MIN(NPC60-NPC62,'Sources and Uses Budget'!NPC108-SUM('15 Year Pro Forma'!NPA66:NPB66))</f>
        <v>0</v>
      </c>
      <c r="NPE66" s="960">
        <f>MIN(NPE60-NPE62,'Sources and Uses Budget'!NPE108-SUM('15 Year Pro Forma'!NPC66:NPD66))</f>
        <v>0</v>
      </c>
      <c r="NPG66" s="960">
        <f>MIN(NPG60-NPG62,'Sources and Uses Budget'!NPG108-SUM('15 Year Pro Forma'!NPE66:NPF66))</f>
        <v>0</v>
      </c>
      <c r="NPI66" s="960">
        <f>MIN(NPI60-NPI62,'Sources and Uses Budget'!NPI108-SUM('15 Year Pro Forma'!NPG66:NPH66))</f>
        <v>0</v>
      </c>
      <c r="NPK66" s="960">
        <f>MIN(NPK60-NPK62,'Sources and Uses Budget'!NPK108-SUM('15 Year Pro Forma'!NPI66:NPJ66))</f>
        <v>0</v>
      </c>
      <c r="NPM66" s="960">
        <f>MIN(NPM60-NPM62,'Sources and Uses Budget'!NPM108-SUM('15 Year Pro Forma'!NPK66:NPL66))</f>
        <v>0</v>
      </c>
      <c r="NPO66" s="960">
        <f>MIN(NPO60-NPO62,'Sources and Uses Budget'!NPO108-SUM('15 Year Pro Forma'!NPM66:NPN66))</f>
        <v>0</v>
      </c>
      <c r="NPQ66" s="960">
        <f>MIN(NPQ60-NPQ62,'Sources and Uses Budget'!NPQ108-SUM('15 Year Pro Forma'!NPO66:NPP66))</f>
        <v>0</v>
      </c>
      <c r="NPS66" s="960">
        <f>MIN(NPS60-NPS62,'Sources and Uses Budget'!NPS108-SUM('15 Year Pro Forma'!NPQ66:NPR66))</f>
        <v>0</v>
      </c>
      <c r="NPU66" s="960">
        <f>MIN(NPU60-NPU62,'Sources and Uses Budget'!NPU108-SUM('15 Year Pro Forma'!NPS66:NPT66))</f>
        <v>0</v>
      </c>
      <c r="NPW66" s="960">
        <f>MIN(NPW60-NPW62,'Sources and Uses Budget'!NPW108-SUM('15 Year Pro Forma'!NPU66:NPV66))</f>
        <v>0</v>
      </c>
      <c r="NPY66" s="960">
        <f>MIN(NPY60-NPY62,'Sources and Uses Budget'!NPY108-SUM('15 Year Pro Forma'!NPW66:NPX66))</f>
        <v>0</v>
      </c>
      <c r="NQA66" s="960">
        <f>MIN(NQA60-NQA62,'Sources and Uses Budget'!NQA108-SUM('15 Year Pro Forma'!NPY66:NPZ66))</f>
        <v>0</v>
      </c>
      <c r="NQC66" s="960">
        <f>MIN(NQC60-NQC62,'Sources and Uses Budget'!NQC108-SUM('15 Year Pro Forma'!NQA66:NQB66))</f>
        <v>0</v>
      </c>
      <c r="NQE66" s="960">
        <f>MIN(NQE60-NQE62,'Sources and Uses Budget'!NQE108-SUM('15 Year Pro Forma'!NQC66:NQD66))</f>
        <v>0</v>
      </c>
      <c r="NQG66" s="960">
        <f>MIN(NQG60-NQG62,'Sources and Uses Budget'!NQG108-SUM('15 Year Pro Forma'!NQE66:NQF66))</f>
        <v>0</v>
      </c>
      <c r="NQI66" s="960">
        <f>MIN(NQI60-NQI62,'Sources and Uses Budget'!NQI108-SUM('15 Year Pro Forma'!NQG66:NQH66))</f>
        <v>0</v>
      </c>
      <c r="NQK66" s="960">
        <f>MIN(NQK60-NQK62,'Sources and Uses Budget'!NQK108-SUM('15 Year Pro Forma'!NQI66:NQJ66))</f>
        <v>0</v>
      </c>
      <c r="NQM66" s="960">
        <f>MIN(NQM60-NQM62,'Sources and Uses Budget'!NQM108-SUM('15 Year Pro Forma'!NQK66:NQL66))</f>
        <v>0</v>
      </c>
      <c r="NQO66" s="960">
        <f>MIN(NQO60-NQO62,'Sources and Uses Budget'!NQO108-SUM('15 Year Pro Forma'!NQM66:NQN66))</f>
        <v>0</v>
      </c>
      <c r="NQQ66" s="960">
        <f>MIN(NQQ60-NQQ62,'Sources and Uses Budget'!NQQ108-SUM('15 Year Pro Forma'!NQO66:NQP66))</f>
        <v>0</v>
      </c>
      <c r="NQS66" s="960">
        <f>MIN(NQS60-NQS62,'Sources and Uses Budget'!NQS108-SUM('15 Year Pro Forma'!NQQ66:NQR66))</f>
        <v>0</v>
      </c>
      <c r="NQU66" s="960">
        <f>MIN(NQU60-NQU62,'Sources and Uses Budget'!NQU108-SUM('15 Year Pro Forma'!NQS66:NQT66))</f>
        <v>0</v>
      </c>
      <c r="NQW66" s="960">
        <f>MIN(NQW60-NQW62,'Sources and Uses Budget'!NQW108-SUM('15 Year Pro Forma'!NQU66:NQV66))</f>
        <v>0</v>
      </c>
      <c r="NQY66" s="960">
        <f>MIN(NQY60-NQY62,'Sources and Uses Budget'!NQY108-SUM('15 Year Pro Forma'!NQW66:NQX66))</f>
        <v>0</v>
      </c>
      <c r="NRA66" s="960">
        <f>MIN(NRA60-NRA62,'Sources and Uses Budget'!NRA108-SUM('15 Year Pro Forma'!NQY66:NQZ66))</f>
        <v>0</v>
      </c>
      <c r="NRC66" s="960">
        <f>MIN(NRC60-NRC62,'Sources and Uses Budget'!NRC108-SUM('15 Year Pro Forma'!NRA66:NRB66))</f>
        <v>0</v>
      </c>
      <c r="NRE66" s="960">
        <f>MIN(NRE60-NRE62,'Sources and Uses Budget'!NRE108-SUM('15 Year Pro Forma'!NRC66:NRD66))</f>
        <v>0</v>
      </c>
      <c r="NRG66" s="960">
        <f>MIN(NRG60-NRG62,'Sources and Uses Budget'!NRG108-SUM('15 Year Pro Forma'!NRE66:NRF66))</f>
        <v>0</v>
      </c>
      <c r="NRI66" s="960">
        <f>MIN(NRI60-NRI62,'Sources and Uses Budget'!NRI108-SUM('15 Year Pro Forma'!NRG66:NRH66))</f>
        <v>0</v>
      </c>
      <c r="NRK66" s="960">
        <f>MIN(NRK60-NRK62,'Sources and Uses Budget'!NRK108-SUM('15 Year Pro Forma'!NRI66:NRJ66))</f>
        <v>0</v>
      </c>
      <c r="NRM66" s="960">
        <f>MIN(NRM60-NRM62,'Sources and Uses Budget'!NRM108-SUM('15 Year Pro Forma'!NRK66:NRL66))</f>
        <v>0</v>
      </c>
      <c r="NRO66" s="960">
        <f>MIN(NRO60-NRO62,'Sources and Uses Budget'!NRO108-SUM('15 Year Pro Forma'!NRM66:NRN66))</f>
        <v>0</v>
      </c>
      <c r="NRQ66" s="960">
        <f>MIN(NRQ60-NRQ62,'Sources and Uses Budget'!NRQ108-SUM('15 Year Pro Forma'!NRO66:NRP66))</f>
        <v>0</v>
      </c>
      <c r="NRS66" s="960">
        <f>MIN(NRS60-NRS62,'Sources and Uses Budget'!NRS108-SUM('15 Year Pro Forma'!NRQ66:NRR66))</f>
        <v>0</v>
      </c>
      <c r="NRU66" s="960">
        <f>MIN(NRU60-NRU62,'Sources and Uses Budget'!NRU108-SUM('15 Year Pro Forma'!NRS66:NRT66))</f>
        <v>0</v>
      </c>
      <c r="NRW66" s="960">
        <f>MIN(NRW60-NRW62,'Sources and Uses Budget'!NRW108-SUM('15 Year Pro Forma'!NRU66:NRV66))</f>
        <v>0</v>
      </c>
      <c r="NRY66" s="960">
        <f>MIN(NRY60-NRY62,'Sources and Uses Budget'!NRY108-SUM('15 Year Pro Forma'!NRW66:NRX66))</f>
        <v>0</v>
      </c>
      <c r="NSA66" s="960">
        <f>MIN(NSA60-NSA62,'Sources and Uses Budget'!NSA108-SUM('15 Year Pro Forma'!NRY66:NRZ66))</f>
        <v>0</v>
      </c>
      <c r="NSC66" s="960">
        <f>MIN(NSC60-NSC62,'Sources and Uses Budget'!NSC108-SUM('15 Year Pro Forma'!NSA66:NSB66))</f>
        <v>0</v>
      </c>
      <c r="NSE66" s="960">
        <f>MIN(NSE60-NSE62,'Sources and Uses Budget'!NSE108-SUM('15 Year Pro Forma'!NSC66:NSD66))</f>
        <v>0</v>
      </c>
      <c r="NSG66" s="960">
        <f>MIN(NSG60-NSG62,'Sources and Uses Budget'!NSG108-SUM('15 Year Pro Forma'!NSE66:NSF66))</f>
        <v>0</v>
      </c>
      <c r="NSI66" s="960">
        <f>MIN(NSI60-NSI62,'Sources and Uses Budget'!NSI108-SUM('15 Year Pro Forma'!NSG66:NSH66))</f>
        <v>0</v>
      </c>
      <c r="NSK66" s="960">
        <f>MIN(NSK60-NSK62,'Sources and Uses Budget'!NSK108-SUM('15 Year Pro Forma'!NSI66:NSJ66))</f>
        <v>0</v>
      </c>
      <c r="NSM66" s="960">
        <f>MIN(NSM60-NSM62,'Sources and Uses Budget'!NSM108-SUM('15 Year Pro Forma'!NSK66:NSL66))</f>
        <v>0</v>
      </c>
      <c r="NSO66" s="960">
        <f>MIN(NSO60-NSO62,'Sources and Uses Budget'!NSO108-SUM('15 Year Pro Forma'!NSM66:NSN66))</f>
        <v>0</v>
      </c>
      <c r="NSQ66" s="960">
        <f>MIN(NSQ60-NSQ62,'Sources and Uses Budget'!NSQ108-SUM('15 Year Pro Forma'!NSO66:NSP66))</f>
        <v>0</v>
      </c>
      <c r="NSS66" s="960">
        <f>MIN(NSS60-NSS62,'Sources and Uses Budget'!NSS108-SUM('15 Year Pro Forma'!NSQ66:NSR66))</f>
        <v>0</v>
      </c>
      <c r="NSU66" s="960">
        <f>MIN(NSU60-NSU62,'Sources and Uses Budget'!NSU108-SUM('15 Year Pro Forma'!NSS66:NST66))</f>
        <v>0</v>
      </c>
      <c r="NSW66" s="960">
        <f>MIN(NSW60-NSW62,'Sources and Uses Budget'!NSW108-SUM('15 Year Pro Forma'!NSU66:NSV66))</f>
        <v>0</v>
      </c>
      <c r="NSY66" s="960">
        <f>MIN(NSY60-NSY62,'Sources and Uses Budget'!NSY108-SUM('15 Year Pro Forma'!NSW66:NSX66))</f>
        <v>0</v>
      </c>
      <c r="NTA66" s="960">
        <f>MIN(NTA60-NTA62,'Sources and Uses Budget'!NTA108-SUM('15 Year Pro Forma'!NSY66:NSZ66))</f>
        <v>0</v>
      </c>
      <c r="NTC66" s="960">
        <f>MIN(NTC60-NTC62,'Sources and Uses Budget'!NTC108-SUM('15 Year Pro Forma'!NTA66:NTB66))</f>
        <v>0</v>
      </c>
      <c r="NTE66" s="960">
        <f>MIN(NTE60-NTE62,'Sources and Uses Budget'!NTE108-SUM('15 Year Pro Forma'!NTC66:NTD66))</f>
        <v>0</v>
      </c>
      <c r="NTG66" s="960">
        <f>MIN(NTG60-NTG62,'Sources and Uses Budget'!NTG108-SUM('15 Year Pro Forma'!NTE66:NTF66))</f>
        <v>0</v>
      </c>
      <c r="NTI66" s="960">
        <f>MIN(NTI60-NTI62,'Sources and Uses Budget'!NTI108-SUM('15 Year Pro Forma'!NTG66:NTH66))</f>
        <v>0</v>
      </c>
      <c r="NTK66" s="960">
        <f>MIN(NTK60-NTK62,'Sources and Uses Budget'!NTK108-SUM('15 Year Pro Forma'!NTI66:NTJ66))</f>
        <v>0</v>
      </c>
      <c r="NTM66" s="960">
        <f>MIN(NTM60-NTM62,'Sources and Uses Budget'!NTM108-SUM('15 Year Pro Forma'!NTK66:NTL66))</f>
        <v>0</v>
      </c>
      <c r="NTO66" s="960">
        <f>MIN(NTO60-NTO62,'Sources and Uses Budget'!NTO108-SUM('15 Year Pro Forma'!NTM66:NTN66))</f>
        <v>0</v>
      </c>
      <c r="NTQ66" s="960">
        <f>MIN(NTQ60-NTQ62,'Sources and Uses Budget'!NTQ108-SUM('15 Year Pro Forma'!NTO66:NTP66))</f>
        <v>0</v>
      </c>
      <c r="NTS66" s="960">
        <f>MIN(NTS60-NTS62,'Sources and Uses Budget'!NTS108-SUM('15 Year Pro Forma'!NTQ66:NTR66))</f>
        <v>0</v>
      </c>
      <c r="NTU66" s="960">
        <f>MIN(NTU60-NTU62,'Sources and Uses Budget'!NTU108-SUM('15 Year Pro Forma'!NTS66:NTT66))</f>
        <v>0</v>
      </c>
      <c r="NTW66" s="960">
        <f>MIN(NTW60-NTW62,'Sources and Uses Budget'!NTW108-SUM('15 Year Pro Forma'!NTU66:NTV66))</f>
        <v>0</v>
      </c>
      <c r="NTY66" s="960">
        <f>MIN(NTY60-NTY62,'Sources and Uses Budget'!NTY108-SUM('15 Year Pro Forma'!NTW66:NTX66))</f>
        <v>0</v>
      </c>
      <c r="NUA66" s="960">
        <f>MIN(NUA60-NUA62,'Sources and Uses Budget'!NUA108-SUM('15 Year Pro Forma'!NTY66:NTZ66))</f>
        <v>0</v>
      </c>
      <c r="NUC66" s="960">
        <f>MIN(NUC60-NUC62,'Sources and Uses Budget'!NUC108-SUM('15 Year Pro Forma'!NUA66:NUB66))</f>
        <v>0</v>
      </c>
      <c r="NUE66" s="960">
        <f>MIN(NUE60-NUE62,'Sources and Uses Budget'!NUE108-SUM('15 Year Pro Forma'!NUC66:NUD66))</f>
        <v>0</v>
      </c>
      <c r="NUG66" s="960">
        <f>MIN(NUG60-NUG62,'Sources and Uses Budget'!NUG108-SUM('15 Year Pro Forma'!NUE66:NUF66))</f>
        <v>0</v>
      </c>
      <c r="NUI66" s="960">
        <f>MIN(NUI60-NUI62,'Sources and Uses Budget'!NUI108-SUM('15 Year Pro Forma'!NUG66:NUH66))</f>
        <v>0</v>
      </c>
      <c r="NUK66" s="960">
        <f>MIN(NUK60-NUK62,'Sources and Uses Budget'!NUK108-SUM('15 Year Pro Forma'!NUI66:NUJ66))</f>
        <v>0</v>
      </c>
      <c r="NUM66" s="960">
        <f>MIN(NUM60-NUM62,'Sources and Uses Budget'!NUM108-SUM('15 Year Pro Forma'!NUK66:NUL66))</f>
        <v>0</v>
      </c>
      <c r="NUO66" s="960">
        <f>MIN(NUO60-NUO62,'Sources and Uses Budget'!NUO108-SUM('15 Year Pro Forma'!NUM66:NUN66))</f>
        <v>0</v>
      </c>
      <c r="NUQ66" s="960">
        <f>MIN(NUQ60-NUQ62,'Sources and Uses Budget'!NUQ108-SUM('15 Year Pro Forma'!NUO66:NUP66))</f>
        <v>0</v>
      </c>
      <c r="NUS66" s="960">
        <f>MIN(NUS60-NUS62,'Sources and Uses Budget'!NUS108-SUM('15 Year Pro Forma'!NUQ66:NUR66))</f>
        <v>0</v>
      </c>
      <c r="NUU66" s="960">
        <f>MIN(NUU60-NUU62,'Sources and Uses Budget'!NUU108-SUM('15 Year Pro Forma'!NUS66:NUT66))</f>
        <v>0</v>
      </c>
      <c r="NUW66" s="960">
        <f>MIN(NUW60-NUW62,'Sources and Uses Budget'!NUW108-SUM('15 Year Pro Forma'!NUU66:NUV66))</f>
        <v>0</v>
      </c>
      <c r="NUY66" s="960">
        <f>MIN(NUY60-NUY62,'Sources and Uses Budget'!NUY108-SUM('15 Year Pro Forma'!NUW66:NUX66))</f>
        <v>0</v>
      </c>
      <c r="NVA66" s="960">
        <f>MIN(NVA60-NVA62,'Sources and Uses Budget'!NVA108-SUM('15 Year Pro Forma'!NUY66:NUZ66))</f>
        <v>0</v>
      </c>
      <c r="NVC66" s="960">
        <f>MIN(NVC60-NVC62,'Sources and Uses Budget'!NVC108-SUM('15 Year Pro Forma'!NVA66:NVB66))</f>
        <v>0</v>
      </c>
      <c r="NVE66" s="960">
        <f>MIN(NVE60-NVE62,'Sources and Uses Budget'!NVE108-SUM('15 Year Pro Forma'!NVC66:NVD66))</f>
        <v>0</v>
      </c>
      <c r="NVG66" s="960">
        <f>MIN(NVG60-NVG62,'Sources and Uses Budget'!NVG108-SUM('15 Year Pro Forma'!NVE66:NVF66))</f>
        <v>0</v>
      </c>
      <c r="NVI66" s="960">
        <f>MIN(NVI60-NVI62,'Sources and Uses Budget'!NVI108-SUM('15 Year Pro Forma'!NVG66:NVH66))</f>
        <v>0</v>
      </c>
      <c r="NVK66" s="960">
        <f>MIN(NVK60-NVK62,'Sources and Uses Budget'!NVK108-SUM('15 Year Pro Forma'!NVI66:NVJ66))</f>
        <v>0</v>
      </c>
      <c r="NVM66" s="960">
        <f>MIN(NVM60-NVM62,'Sources and Uses Budget'!NVM108-SUM('15 Year Pro Forma'!NVK66:NVL66))</f>
        <v>0</v>
      </c>
      <c r="NVO66" s="960">
        <f>MIN(NVO60-NVO62,'Sources and Uses Budget'!NVO108-SUM('15 Year Pro Forma'!NVM66:NVN66))</f>
        <v>0</v>
      </c>
      <c r="NVQ66" s="960">
        <f>MIN(NVQ60-NVQ62,'Sources and Uses Budget'!NVQ108-SUM('15 Year Pro Forma'!NVO66:NVP66))</f>
        <v>0</v>
      </c>
      <c r="NVS66" s="960">
        <f>MIN(NVS60-NVS62,'Sources and Uses Budget'!NVS108-SUM('15 Year Pro Forma'!NVQ66:NVR66))</f>
        <v>0</v>
      </c>
      <c r="NVU66" s="960">
        <f>MIN(NVU60-NVU62,'Sources and Uses Budget'!NVU108-SUM('15 Year Pro Forma'!NVS66:NVT66))</f>
        <v>0</v>
      </c>
      <c r="NVW66" s="960">
        <f>MIN(NVW60-NVW62,'Sources and Uses Budget'!NVW108-SUM('15 Year Pro Forma'!NVU66:NVV66))</f>
        <v>0</v>
      </c>
      <c r="NVY66" s="960">
        <f>MIN(NVY60-NVY62,'Sources and Uses Budget'!NVY108-SUM('15 Year Pro Forma'!NVW66:NVX66))</f>
        <v>0</v>
      </c>
      <c r="NWA66" s="960">
        <f>MIN(NWA60-NWA62,'Sources and Uses Budget'!NWA108-SUM('15 Year Pro Forma'!NVY66:NVZ66))</f>
        <v>0</v>
      </c>
      <c r="NWC66" s="960">
        <f>MIN(NWC60-NWC62,'Sources and Uses Budget'!NWC108-SUM('15 Year Pro Forma'!NWA66:NWB66))</f>
        <v>0</v>
      </c>
      <c r="NWE66" s="960">
        <f>MIN(NWE60-NWE62,'Sources and Uses Budget'!NWE108-SUM('15 Year Pro Forma'!NWC66:NWD66))</f>
        <v>0</v>
      </c>
      <c r="NWG66" s="960">
        <f>MIN(NWG60-NWG62,'Sources and Uses Budget'!NWG108-SUM('15 Year Pro Forma'!NWE66:NWF66))</f>
        <v>0</v>
      </c>
      <c r="NWI66" s="960">
        <f>MIN(NWI60-NWI62,'Sources and Uses Budget'!NWI108-SUM('15 Year Pro Forma'!NWG66:NWH66))</f>
        <v>0</v>
      </c>
      <c r="NWK66" s="960">
        <f>MIN(NWK60-NWK62,'Sources and Uses Budget'!NWK108-SUM('15 Year Pro Forma'!NWI66:NWJ66))</f>
        <v>0</v>
      </c>
      <c r="NWM66" s="960">
        <f>MIN(NWM60-NWM62,'Sources and Uses Budget'!NWM108-SUM('15 Year Pro Forma'!NWK66:NWL66))</f>
        <v>0</v>
      </c>
      <c r="NWO66" s="960">
        <f>MIN(NWO60-NWO62,'Sources and Uses Budget'!NWO108-SUM('15 Year Pro Forma'!NWM66:NWN66))</f>
        <v>0</v>
      </c>
      <c r="NWQ66" s="960">
        <f>MIN(NWQ60-NWQ62,'Sources and Uses Budget'!NWQ108-SUM('15 Year Pro Forma'!NWO66:NWP66))</f>
        <v>0</v>
      </c>
      <c r="NWS66" s="960">
        <f>MIN(NWS60-NWS62,'Sources and Uses Budget'!NWS108-SUM('15 Year Pro Forma'!NWQ66:NWR66))</f>
        <v>0</v>
      </c>
      <c r="NWU66" s="960">
        <f>MIN(NWU60-NWU62,'Sources and Uses Budget'!NWU108-SUM('15 Year Pro Forma'!NWS66:NWT66))</f>
        <v>0</v>
      </c>
      <c r="NWW66" s="960">
        <f>MIN(NWW60-NWW62,'Sources and Uses Budget'!NWW108-SUM('15 Year Pro Forma'!NWU66:NWV66))</f>
        <v>0</v>
      </c>
      <c r="NWY66" s="960">
        <f>MIN(NWY60-NWY62,'Sources and Uses Budget'!NWY108-SUM('15 Year Pro Forma'!NWW66:NWX66))</f>
        <v>0</v>
      </c>
      <c r="NXA66" s="960">
        <f>MIN(NXA60-NXA62,'Sources and Uses Budget'!NXA108-SUM('15 Year Pro Forma'!NWY66:NWZ66))</f>
        <v>0</v>
      </c>
      <c r="NXC66" s="960">
        <f>MIN(NXC60-NXC62,'Sources and Uses Budget'!NXC108-SUM('15 Year Pro Forma'!NXA66:NXB66))</f>
        <v>0</v>
      </c>
      <c r="NXE66" s="960">
        <f>MIN(NXE60-NXE62,'Sources and Uses Budget'!NXE108-SUM('15 Year Pro Forma'!NXC66:NXD66))</f>
        <v>0</v>
      </c>
      <c r="NXG66" s="960">
        <f>MIN(NXG60-NXG62,'Sources and Uses Budget'!NXG108-SUM('15 Year Pro Forma'!NXE66:NXF66))</f>
        <v>0</v>
      </c>
      <c r="NXI66" s="960">
        <f>MIN(NXI60-NXI62,'Sources and Uses Budget'!NXI108-SUM('15 Year Pro Forma'!NXG66:NXH66))</f>
        <v>0</v>
      </c>
      <c r="NXK66" s="960">
        <f>MIN(NXK60-NXK62,'Sources and Uses Budget'!NXK108-SUM('15 Year Pro Forma'!NXI66:NXJ66))</f>
        <v>0</v>
      </c>
      <c r="NXM66" s="960">
        <f>MIN(NXM60-NXM62,'Sources and Uses Budget'!NXM108-SUM('15 Year Pro Forma'!NXK66:NXL66))</f>
        <v>0</v>
      </c>
      <c r="NXO66" s="960">
        <f>MIN(NXO60-NXO62,'Sources and Uses Budget'!NXO108-SUM('15 Year Pro Forma'!NXM66:NXN66))</f>
        <v>0</v>
      </c>
      <c r="NXQ66" s="960">
        <f>MIN(NXQ60-NXQ62,'Sources and Uses Budget'!NXQ108-SUM('15 Year Pro Forma'!NXO66:NXP66))</f>
        <v>0</v>
      </c>
      <c r="NXS66" s="960">
        <f>MIN(NXS60-NXS62,'Sources and Uses Budget'!NXS108-SUM('15 Year Pro Forma'!NXQ66:NXR66))</f>
        <v>0</v>
      </c>
      <c r="NXU66" s="960">
        <f>MIN(NXU60-NXU62,'Sources and Uses Budget'!NXU108-SUM('15 Year Pro Forma'!NXS66:NXT66))</f>
        <v>0</v>
      </c>
      <c r="NXW66" s="960">
        <f>MIN(NXW60-NXW62,'Sources and Uses Budget'!NXW108-SUM('15 Year Pro Forma'!NXU66:NXV66))</f>
        <v>0</v>
      </c>
      <c r="NXY66" s="960">
        <f>MIN(NXY60-NXY62,'Sources and Uses Budget'!NXY108-SUM('15 Year Pro Forma'!NXW66:NXX66))</f>
        <v>0</v>
      </c>
      <c r="NYA66" s="960">
        <f>MIN(NYA60-NYA62,'Sources and Uses Budget'!NYA108-SUM('15 Year Pro Forma'!NXY66:NXZ66))</f>
        <v>0</v>
      </c>
      <c r="NYC66" s="960">
        <f>MIN(NYC60-NYC62,'Sources and Uses Budget'!NYC108-SUM('15 Year Pro Forma'!NYA66:NYB66))</f>
        <v>0</v>
      </c>
      <c r="NYE66" s="960">
        <f>MIN(NYE60-NYE62,'Sources and Uses Budget'!NYE108-SUM('15 Year Pro Forma'!NYC66:NYD66))</f>
        <v>0</v>
      </c>
      <c r="NYG66" s="960">
        <f>MIN(NYG60-NYG62,'Sources and Uses Budget'!NYG108-SUM('15 Year Pro Forma'!NYE66:NYF66))</f>
        <v>0</v>
      </c>
      <c r="NYI66" s="960">
        <f>MIN(NYI60-NYI62,'Sources and Uses Budget'!NYI108-SUM('15 Year Pro Forma'!NYG66:NYH66))</f>
        <v>0</v>
      </c>
      <c r="NYK66" s="960">
        <f>MIN(NYK60-NYK62,'Sources and Uses Budget'!NYK108-SUM('15 Year Pro Forma'!NYI66:NYJ66))</f>
        <v>0</v>
      </c>
      <c r="NYM66" s="960">
        <f>MIN(NYM60-NYM62,'Sources and Uses Budget'!NYM108-SUM('15 Year Pro Forma'!NYK66:NYL66))</f>
        <v>0</v>
      </c>
      <c r="NYO66" s="960">
        <f>MIN(NYO60-NYO62,'Sources and Uses Budget'!NYO108-SUM('15 Year Pro Forma'!NYM66:NYN66))</f>
        <v>0</v>
      </c>
      <c r="NYQ66" s="960">
        <f>MIN(NYQ60-NYQ62,'Sources and Uses Budget'!NYQ108-SUM('15 Year Pro Forma'!NYO66:NYP66))</f>
        <v>0</v>
      </c>
      <c r="NYS66" s="960">
        <f>MIN(NYS60-NYS62,'Sources and Uses Budget'!NYS108-SUM('15 Year Pro Forma'!NYQ66:NYR66))</f>
        <v>0</v>
      </c>
      <c r="NYU66" s="960">
        <f>MIN(NYU60-NYU62,'Sources and Uses Budget'!NYU108-SUM('15 Year Pro Forma'!NYS66:NYT66))</f>
        <v>0</v>
      </c>
      <c r="NYW66" s="960">
        <f>MIN(NYW60-NYW62,'Sources and Uses Budget'!NYW108-SUM('15 Year Pro Forma'!NYU66:NYV66))</f>
        <v>0</v>
      </c>
      <c r="NYY66" s="960">
        <f>MIN(NYY60-NYY62,'Sources and Uses Budget'!NYY108-SUM('15 Year Pro Forma'!NYW66:NYX66))</f>
        <v>0</v>
      </c>
      <c r="NZA66" s="960">
        <f>MIN(NZA60-NZA62,'Sources and Uses Budget'!NZA108-SUM('15 Year Pro Forma'!NYY66:NYZ66))</f>
        <v>0</v>
      </c>
      <c r="NZC66" s="960">
        <f>MIN(NZC60-NZC62,'Sources and Uses Budget'!NZC108-SUM('15 Year Pro Forma'!NZA66:NZB66))</f>
        <v>0</v>
      </c>
      <c r="NZE66" s="960">
        <f>MIN(NZE60-NZE62,'Sources and Uses Budget'!NZE108-SUM('15 Year Pro Forma'!NZC66:NZD66))</f>
        <v>0</v>
      </c>
      <c r="NZG66" s="960">
        <f>MIN(NZG60-NZG62,'Sources and Uses Budget'!NZG108-SUM('15 Year Pro Forma'!NZE66:NZF66))</f>
        <v>0</v>
      </c>
      <c r="NZI66" s="960">
        <f>MIN(NZI60-NZI62,'Sources and Uses Budget'!NZI108-SUM('15 Year Pro Forma'!NZG66:NZH66))</f>
        <v>0</v>
      </c>
      <c r="NZK66" s="960">
        <f>MIN(NZK60-NZK62,'Sources and Uses Budget'!NZK108-SUM('15 Year Pro Forma'!NZI66:NZJ66))</f>
        <v>0</v>
      </c>
      <c r="NZM66" s="960">
        <f>MIN(NZM60-NZM62,'Sources and Uses Budget'!NZM108-SUM('15 Year Pro Forma'!NZK66:NZL66))</f>
        <v>0</v>
      </c>
      <c r="NZO66" s="960">
        <f>MIN(NZO60-NZO62,'Sources and Uses Budget'!NZO108-SUM('15 Year Pro Forma'!NZM66:NZN66))</f>
        <v>0</v>
      </c>
      <c r="NZQ66" s="960">
        <f>MIN(NZQ60-NZQ62,'Sources and Uses Budget'!NZQ108-SUM('15 Year Pro Forma'!NZO66:NZP66))</f>
        <v>0</v>
      </c>
      <c r="NZS66" s="960">
        <f>MIN(NZS60-NZS62,'Sources and Uses Budget'!NZS108-SUM('15 Year Pro Forma'!NZQ66:NZR66))</f>
        <v>0</v>
      </c>
      <c r="NZU66" s="960">
        <f>MIN(NZU60-NZU62,'Sources and Uses Budget'!NZU108-SUM('15 Year Pro Forma'!NZS66:NZT66))</f>
        <v>0</v>
      </c>
      <c r="NZW66" s="960">
        <f>MIN(NZW60-NZW62,'Sources and Uses Budget'!NZW108-SUM('15 Year Pro Forma'!NZU66:NZV66))</f>
        <v>0</v>
      </c>
      <c r="NZY66" s="960">
        <f>MIN(NZY60-NZY62,'Sources and Uses Budget'!NZY108-SUM('15 Year Pro Forma'!NZW66:NZX66))</f>
        <v>0</v>
      </c>
      <c r="OAA66" s="960">
        <f>MIN(OAA60-OAA62,'Sources and Uses Budget'!OAA108-SUM('15 Year Pro Forma'!NZY66:NZZ66))</f>
        <v>0</v>
      </c>
      <c r="OAC66" s="960">
        <f>MIN(OAC60-OAC62,'Sources and Uses Budget'!OAC108-SUM('15 Year Pro Forma'!OAA66:OAB66))</f>
        <v>0</v>
      </c>
      <c r="OAE66" s="960">
        <f>MIN(OAE60-OAE62,'Sources and Uses Budget'!OAE108-SUM('15 Year Pro Forma'!OAC66:OAD66))</f>
        <v>0</v>
      </c>
      <c r="OAG66" s="960">
        <f>MIN(OAG60-OAG62,'Sources and Uses Budget'!OAG108-SUM('15 Year Pro Forma'!OAE66:OAF66))</f>
        <v>0</v>
      </c>
      <c r="OAI66" s="960">
        <f>MIN(OAI60-OAI62,'Sources and Uses Budget'!OAI108-SUM('15 Year Pro Forma'!OAG66:OAH66))</f>
        <v>0</v>
      </c>
      <c r="OAK66" s="960">
        <f>MIN(OAK60-OAK62,'Sources and Uses Budget'!OAK108-SUM('15 Year Pro Forma'!OAI66:OAJ66))</f>
        <v>0</v>
      </c>
      <c r="OAM66" s="960">
        <f>MIN(OAM60-OAM62,'Sources and Uses Budget'!OAM108-SUM('15 Year Pro Forma'!OAK66:OAL66))</f>
        <v>0</v>
      </c>
      <c r="OAO66" s="960">
        <f>MIN(OAO60-OAO62,'Sources and Uses Budget'!OAO108-SUM('15 Year Pro Forma'!OAM66:OAN66))</f>
        <v>0</v>
      </c>
      <c r="OAQ66" s="960">
        <f>MIN(OAQ60-OAQ62,'Sources and Uses Budget'!OAQ108-SUM('15 Year Pro Forma'!OAO66:OAP66))</f>
        <v>0</v>
      </c>
      <c r="OAS66" s="960">
        <f>MIN(OAS60-OAS62,'Sources and Uses Budget'!OAS108-SUM('15 Year Pro Forma'!OAQ66:OAR66))</f>
        <v>0</v>
      </c>
      <c r="OAU66" s="960">
        <f>MIN(OAU60-OAU62,'Sources and Uses Budget'!OAU108-SUM('15 Year Pro Forma'!OAS66:OAT66))</f>
        <v>0</v>
      </c>
      <c r="OAW66" s="960">
        <f>MIN(OAW60-OAW62,'Sources and Uses Budget'!OAW108-SUM('15 Year Pro Forma'!OAU66:OAV66))</f>
        <v>0</v>
      </c>
      <c r="OAY66" s="960">
        <f>MIN(OAY60-OAY62,'Sources and Uses Budget'!OAY108-SUM('15 Year Pro Forma'!OAW66:OAX66))</f>
        <v>0</v>
      </c>
      <c r="OBA66" s="960">
        <f>MIN(OBA60-OBA62,'Sources and Uses Budget'!OBA108-SUM('15 Year Pro Forma'!OAY66:OAZ66))</f>
        <v>0</v>
      </c>
      <c r="OBC66" s="960">
        <f>MIN(OBC60-OBC62,'Sources and Uses Budget'!OBC108-SUM('15 Year Pro Forma'!OBA66:OBB66))</f>
        <v>0</v>
      </c>
      <c r="OBE66" s="960">
        <f>MIN(OBE60-OBE62,'Sources and Uses Budget'!OBE108-SUM('15 Year Pro Forma'!OBC66:OBD66))</f>
        <v>0</v>
      </c>
      <c r="OBG66" s="960">
        <f>MIN(OBG60-OBG62,'Sources and Uses Budget'!OBG108-SUM('15 Year Pro Forma'!OBE66:OBF66))</f>
        <v>0</v>
      </c>
      <c r="OBI66" s="960">
        <f>MIN(OBI60-OBI62,'Sources and Uses Budget'!OBI108-SUM('15 Year Pro Forma'!OBG66:OBH66))</f>
        <v>0</v>
      </c>
      <c r="OBK66" s="960">
        <f>MIN(OBK60-OBK62,'Sources and Uses Budget'!OBK108-SUM('15 Year Pro Forma'!OBI66:OBJ66))</f>
        <v>0</v>
      </c>
      <c r="OBM66" s="960">
        <f>MIN(OBM60-OBM62,'Sources and Uses Budget'!OBM108-SUM('15 Year Pro Forma'!OBK66:OBL66))</f>
        <v>0</v>
      </c>
      <c r="OBO66" s="960">
        <f>MIN(OBO60-OBO62,'Sources and Uses Budget'!OBO108-SUM('15 Year Pro Forma'!OBM66:OBN66))</f>
        <v>0</v>
      </c>
      <c r="OBQ66" s="960">
        <f>MIN(OBQ60-OBQ62,'Sources and Uses Budget'!OBQ108-SUM('15 Year Pro Forma'!OBO66:OBP66))</f>
        <v>0</v>
      </c>
      <c r="OBS66" s="960">
        <f>MIN(OBS60-OBS62,'Sources and Uses Budget'!OBS108-SUM('15 Year Pro Forma'!OBQ66:OBR66))</f>
        <v>0</v>
      </c>
      <c r="OBU66" s="960">
        <f>MIN(OBU60-OBU62,'Sources and Uses Budget'!OBU108-SUM('15 Year Pro Forma'!OBS66:OBT66))</f>
        <v>0</v>
      </c>
      <c r="OBW66" s="960">
        <f>MIN(OBW60-OBW62,'Sources and Uses Budget'!OBW108-SUM('15 Year Pro Forma'!OBU66:OBV66))</f>
        <v>0</v>
      </c>
      <c r="OBY66" s="960">
        <f>MIN(OBY60-OBY62,'Sources and Uses Budget'!OBY108-SUM('15 Year Pro Forma'!OBW66:OBX66))</f>
        <v>0</v>
      </c>
      <c r="OCA66" s="960">
        <f>MIN(OCA60-OCA62,'Sources and Uses Budget'!OCA108-SUM('15 Year Pro Forma'!OBY66:OBZ66))</f>
        <v>0</v>
      </c>
      <c r="OCC66" s="960">
        <f>MIN(OCC60-OCC62,'Sources and Uses Budget'!OCC108-SUM('15 Year Pro Forma'!OCA66:OCB66))</f>
        <v>0</v>
      </c>
      <c r="OCE66" s="960">
        <f>MIN(OCE60-OCE62,'Sources and Uses Budget'!OCE108-SUM('15 Year Pro Forma'!OCC66:OCD66))</f>
        <v>0</v>
      </c>
      <c r="OCG66" s="960">
        <f>MIN(OCG60-OCG62,'Sources and Uses Budget'!OCG108-SUM('15 Year Pro Forma'!OCE66:OCF66))</f>
        <v>0</v>
      </c>
      <c r="OCI66" s="960">
        <f>MIN(OCI60-OCI62,'Sources and Uses Budget'!OCI108-SUM('15 Year Pro Forma'!OCG66:OCH66))</f>
        <v>0</v>
      </c>
      <c r="OCK66" s="960">
        <f>MIN(OCK60-OCK62,'Sources and Uses Budget'!OCK108-SUM('15 Year Pro Forma'!OCI66:OCJ66))</f>
        <v>0</v>
      </c>
      <c r="OCM66" s="960">
        <f>MIN(OCM60-OCM62,'Sources and Uses Budget'!OCM108-SUM('15 Year Pro Forma'!OCK66:OCL66))</f>
        <v>0</v>
      </c>
      <c r="OCO66" s="960">
        <f>MIN(OCO60-OCO62,'Sources and Uses Budget'!OCO108-SUM('15 Year Pro Forma'!OCM66:OCN66))</f>
        <v>0</v>
      </c>
      <c r="OCQ66" s="960">
        <f>MIN(OCQ60-OCQ62,'Sources and Uses Budget'!OCQ108-SUM('15 Year Pro Forma'!OCO66:OCP66))</f>
        <v>0</v>
      </c>
      <c r="OCS66" s="960">
        <f>MIN(OCS60-OCS62,'Sources and Uses Budget'!OCS108-SUM('15 Year Pro Forma'!OCQ66:OCR66))</f>
        <v>0</v>
      </c>
      <c r="OCU66" s="960">
        <f>MIN(OCU60-OCU62,'Sources and Uses Budget'!OCU108-SUM('15 Year Pro Forma'!OCS66:OCT66))</f>
        <v>0</v>
      </c>
      <c r="OCW66" s="960">
        <f>MIN(OCW60-OCW62,'Sources and Uses Budget'!OCW108-SUM('15 Year Pro Forma'!OCU66:OCV66))</f>
        <v>0</v>
      </c>
      <c r="OCY66" s="960">
        <f>MIN(OCY60-OCY62,'Sources and Uses Budget'!OCY108-SUM('15 Year Pro Forma'!OCW66:OCX66))</f>
        <v>0</v>
      </c>
      <c r="ODA66" s="960">
        <f>MIN(ODA60-ODA62,'Sources and Uses Budget'!ODA108-SUM('15 Year Pro Forma'!OCY66:OCZ66))</f>
        <v>0</v>
      </c>
      <c r="ODC66" s="960">
        <f>MIN(ODC60-ODC62,'Sources and Uses Budget'!ODC108-SUM('15 Year Pro Forma'!ODA66:ODB66))</f>
        <v>0</v>
      </c>
      <c r="ODE66" s="960">
        <f>MIN(ODE60-ODE62,'Sources and Uses Budget'!ODE108-SUM('15 Year Pro Forma'!ODC66:ODD66))</f>
        <v>0</v>
      </c>
      <c r="ODG66" s="960">
        <f>MIN(ODG60-ODG62,'Sources and Uses Budget'!ODG108-SUM('15 Year Pro Forma'!ODE66:ODF66))</f>
        <v>0</v>
      </c>
      <c r="ODI66" s="960">
        <f>MIN(ODI60-ODI62,'Sources and Uses Budget'!ODI108-SUM('15 Year Pro Forma'!ODG66:ODH66))</f>
        <v>0</v>
      </c>
      <c r="ODK66" s="960">
        <f>MIN(ODK60-ODK62,'Sources and Uses Budget'!ODK108-SUM('15 Year Pro Forma'!ODI66:ODJ66))</f>
        <v>0</v>
      </c>
      <c r="ODM66" s="960">
        <f>MIN(ODM60-ODM62,'Sources and Uses Budget'!ODM108-SUM('15 Year Pro Forma'!ODK66:ODL66))</f>
        <v>0</v>
      </c>
      <c r="ODO66" s="960">
        <f>MIN(ODO60-ODO62,'Sources and Uses Budget'!ODO108-SUM('15 Year Pro Forma'!ODM66:ODN66))</f>
        <v>0</v>
      </c>
      <c r="ODQ66" s="960">
        <f>MIN(ODQ60-ODQ62,'Sources and Uses Budget'!ODQ108-SUM('15 Year Pro Forma'!ODO66:ODP66))</f>
        <v>0</v>
      </c>
      <c r="ODS66" s="960">
        <f>MIN(ODS60-ODS62,'Sources and Uses Budget'!ODS108-SUM('15 Year Pro Forma'!ODQ66:ODR66))</f>
        <v>0</v>
      </c>
      <c r="ODU66" s="960">
        <f>MIN(ODU60-ODU62,'Sources and Uses Budget'!ODU108-SUM('15 Year Pro Forma'!ODS66:ODT66))</f>
        <v>0</v>
      </c>
      <c r="ODW66" s="960">
        <f>MIN(ODW60-ODW62,'Sources and Uses Budget'!ODW108-SUM('15 Year Pro Forma'!ODU66:ODV66))</f>
        <v>0</v>
      </c>
      <c r="ODY66" s="960">
        <f>MIN(ODY60-ODY62,'Sources and Uses Budget'!ODY108-SUM('15 Year Pro Forma'!ODW66:ODX66))</f>
        <v>0</v>
      </c>
      <c r="OEA66" s="960">
        <f>MIN(OEA60-OEA62,'Sources and Uses Budget'!OEA108-SUM('15 Year Pro Forma'!ODY66:ODZ66))</f>
        <v>0</v>
      </c>
      <c r="OEC66" s="960">
        <f>MIN(OEC60-OEC62,'Sources and Uses Budget'!OEC108-SUM('15 Year Pro Forma'!OEA66:OEB66))</f>
        <v>0</v>
      </c>
      <c r="OEE66" s="960">
        <f>MIN(OEE60-OEE62,'Sources and Uses Budget'!OEE108-SUM('15 Year Pro Forma'!OEC66:OED66))</f>
        <v>0</v>
      </c>
      <c r="OEG66" s="960">
        <f>MIN(OEG60-OEG62,'Sources and Uses Budget'!OEG108-SUM('15 Year Pro Forma'!OEE66:OEF66))</f>
        <v>0</v>
      </c>
      <c r="OEI66" s="960">
        <f>MIN(OEI60-OEI62,'Sources and Uses Budget'!OEI108-SUM('15 Year Pro Forma'!OEG66:OEH66))</f>
        <v>0</v>
      </c>
      <c r="OEK66" s="960">
        <f>MIN(OEK60-OEK62,'Sources and Uses Budget'!OEK108-SUM('15 Year Pro Forma'!OEI66:OEJ66))</f>
        <v>0</v>
      </c>
      <c r="OEM66" s="960">
        <f>MIN(OEM60-OEM62,'Sources and Uses Budget'!OEM108-SUM('15 Year Pro Forma'!OEK66:OEL66))</f>
        <v>0</v>
      </c>
      <c r="OEO66" s="960">
        <f>MIN(OEO60-OEO62,'Sources and Uses Budget'!OEO108-SUM('15 Year Pro Forma'!OEM66:OEN66))</f>
        <v>0</v>
      </c>
      <c r="OEQ66" s="960">
        <f>MIN(OEQ60-OEQ62,'Sources and Uses Budget'!OEQ108-SUM('15 Year Pro Forma'!OEO66:OEP66))</f>
        <v>0</v>
      </c>
      <c r="OES66" s="960">
        <f>MIN(OES60-OES62,'Sources and Uses Budget'!OES108-SUM('15 Year Pro Forma'!OEQ66:OER66))</f>
        <v>0</v>
      </c>
      <c r="OEU66" s="960">
        <f>MIN(OEU60-OEU62,'Sources and Uses Budget'!OEU108-SUM('15 Year Pro Forma'!OES66:OET66))</f>
        <v>0</v>
      </c>
      <c r="OEW66" s="960">
        <f>MIN(OEW60-OEW62,'Sources and Uses Budget'!OEW108-SUM('15 Year Pro Forma'!OEU66:OEV66))</f>
        <v>0</v>
      </c>
      <c r="OEY66" s="960">
        <f>MIN(OEY60-OEY62,'Sources and Uses Budget'!OEY108-SUM('15 Year Pro Forma'!OEW66:OEX66))</f>
        <v>0</v>
      </c>
      <c r="OFA66" s="960">
        <f>MIN(OFA60-OFA62,'Sources and Uses Budget'!OFA108-SUM('15 Year Pro Forma'!OEY66:OEZ66))</f>
        <v>0</v>
      </c>
      <c r="OFC66" s="960">
        <f>MIN(OFC60-OFC62,'Sources and Uses Budget'!OFC108-SUM('15 Year Pro Forma'!OFA66:OFB66))</f>
        <v>0</v>
      </c>
      <c r="OFE66" s="960">
        <f>MIN(OFE60-OFE62,'Sources and Uses Budget'!OFE108-SUM('15 Year Pro Forma'!OFC66:OFD66))</f>
        <v>0</v>
      </c>
      <c r="OFG66" s="960">
        <f>MIN(OFG60-OFG62,'Sources and Uses Budget'!OFG108-SUM('15 Year Pro Forma'!OFE66:OFF66))</f>
        <v>0</v>
      </c>
      <c r="OFI66" s="960">
        <f>MIN(OFI60-OFI62,'Sources and Uses Budget'!OFI108-SUM('15 Year Pro Forma'!OFG66:OFH66))</f>
        <v>0</v>
      </c>
      <c r="OFK66" s="960">
        <f>MIN(OFK60-OFK62,'Sources and Uses Budget'!OFK108-SUM('15 Year Pro Forma'!OFI66:OFJ66))</f>
        <v>0</v>
      </c>
      <c r="OFM66" s="960">
        <f>MIN(OFM60-OFM62,'Sources and Uses Budget'!OFM108-SUM('15 Year Pro Forma'!OFK66:OFL66))</f>
        <v>0</v>
      </c>
      <c r="OFO66" s="960">
        <f>MIN(OFO60-OFO62,'Sources and Uses Budget'!OFO108-SUM('15 Year Pro Forma'!OFM66:OFN66))</f>
        <v>0</v>
      </c>
      <c r="OFQ66" s="960">
        <f>MIN(OFQ60-OFQ62,'Sources and Uses Budget'!OFQ108-SUM('15 Year Pro Forma'!OFO66:OFP66))</f>
        <v>0</v>
      </c>
      <c r="OFS66" s="960">
        <f>MIN(OFS60-OFS62,'Sources and Uses Budget'!OFS108-SUM('15 Year Pro Forma'!OFQ66:OFR66))</f>
        <v>0</v>
      </c>
      <c r="OFU66" s="960">
        <f>MIN(OFU60-OFU62,'Sources and Uses Budget'!OFU108-SUM('15 Year Pro Forma'!OFS66:OFT66))</f>
        <v>0</v>
      </c>
      <c r="OFW66" s="960">
        <f>MIN(OFW60-OFW62,'Sources and Uses Budget'!OFW108-SUM('15 Year Pro Forma'!OFU66:OFV66))</f>
        <v>0</v>
      </c>
      <c r="OFY66" s="960">
        <f>MIN(OFY60-OFY62,'Sources and Uses Budget'!OFY108-SUM('15 Year Pro Forma'!OFW66:OFX66))</f>
        <v>0</v>
      </c>
      <c r="OGA66" s="960">
        <f>MIN(OGA60-OGA62,'Sources and Uses Budget'!OGA108-SUM('15 Year Pro Forma'!OFY66:OFZ66))</f>
        <v>0</v>
      </c>
      <c r="OGC66" s="960">
        <f>MIN(OGC60-OGC62,'Sources and Uses Budget'!OGC108-SUM('15 Year Pro Forma'!OGA66:OGB66))</f>
        <v>0</v>
      </c>
      <c r="OGE66" s="960">
        <f>MIN(OGE60-OGE62,'Sources and Uses Budget'!OGE108-SUM('15 Year Pro Forma'!OGC66:OGD66))</f>
        <v>0</v>
      </c>
      <c r="OGG66" s="960">
        <f>MIN(OGG60-OGG62,'Sources and Uses Budget'!OGG108-SUM('15 Year Pro Forma'!OGE66:OGF66))</f>
        <v>0</v>
      </c>
      <c r="OGI66" s="960">
        <f>MIN(OGI60-OGI62,'Sources and Uses Budget'!OGI108-SUM('15 Year Pro Forma'!OGG66:OGH66))</f>
        <v>0</v>
      </c>
      <c r="OGK66" s="960">
        <f>MIN(OGK60-OGK62,'Sources and Uses Budget'!OGK108-SUM('15 Year Pro Forma'!OGI66:OGJ66))</f>
        <v>0</v>
      </c>
      <c r="OGM66" s="960">
        <f>MIN(OGM60-OGM62,'Sources and Uses Budget'!OGM108-SUM('15 Year Pro Forma'!OGK66:OGL66))</f>
        <v>0</v>
      </c>
      <c r="OGO66" s="960">
        <f>MIN(OGO60-OGO62,'Sources and Uses Budget'!OGO108-SUM('15 Year Pro Forma'!OGM66:OGN66))</f>
        <v>0</v>
      </c>
      <c r="OGQ66" s="960">
        <f>MIN(OGQ60-OGQ62,'Sources and Uses Budget'!OGQ108-SUM('15 Year Pro Forma'!OGO66:OGP66))</f>
        <v>0</v>
      </c>
      <c r="OGS66" s="960">
        <f>MIN(OGS60-OGS62,'Sources and Uses Budget'!OGS108-SUM('15 Year Pro Forma'!OGQ66:OGR66))</f>
        <v>0</v>
      </c>
      <c r="OGU66" s="960">
        <f>MIN(OGU60-OGU62,'Sources and Uses Budget'!OGU108-SUM('15 Year Pro Forma'!OGS66:OGT66))</f>
        <v>0</v>
      </c>
      <c r="OGW66" s="960">
        <f>MIN(OGW60-OGW62,'Sources and Uses Budget'!OGW108-SUM('15 Year Pro Forma'!OGU66:OGV66))</f>
        <v>0</v>
      </c>
      <c r="OGY66" s="960">
        <f>MIN(OGY60-OGY62,'Sources and Uses Budget'!OGY108-SUM('15 Year Pro Forma'!OGW66:OGX66))</f>
        <v>0</v>
      </c>
      <c r="OHA66" s="960">
        <f>MIN(OHA60-OHA62,'Sources and Uses Budget'!OHA108-SUM('15 Year Pro Forma'!OGY66:OGZ66))</f>
        <v>0</v>
      </c>
      <c r="OHC66" s="960">
        <f>MIN(OHC60-OHC62,'Sources and Uses Budget'!OHC108-SUM('15 Year Pro Forma'!OHA66:OHB66))</f>
        <v>0</v>
      </c>
      <c r="OHE66" s="960">
        <f>MIN(OHE60-OHE62,'Sources and Uses Budget'!OHE108-SUM('15 Year Pro Forma'!OHC66:OHD66))</f>
        <v>0</v>
      </c>
      <c r="OHG66" s="960">
        <f>MIN(OHG60-OHG62,'Sources and Uses Budget'!OHG108-SUM('15 Year Pro Forma'!OHE66:OHF66))</f>
        <v>0</v>
      </c>
      <c r="OHI66" s="960">
        <f>MIN(OHI60-OHI62,'Sources and Uses Budget'!OHI108-SUM('15 Year Pro Forma'!OHG66:OHH66))</f>
        <v>0</v>
      </c>
      <c r="OHK66" s="960">
        <f>MIN(OHK60-OHK62,'Sources and Uses Budget'!OHK108-SUM('15 Year Pro Forma'!OHI66:OHJ66))</f>
        <v>0</v>
      </c>
      <c r="OHM66" s="960">
        <f>MIN(OHM60-OHM62,'Sources and Uses Budget'!OHM108-SUM('15 Year Pro Forma'!OHK66:OHL66))</f>
        <v>0</v>
      </c>
      <c r="OHO66" s="960">
        <f>MIN(OHO60-OHO62,'Sources and Uses Budget'!OHO108-SUM('15 Year Pro Forma'!OHM66:OHN66))</f>
        <v>0</v>
      </c>
      <c r="OHQ66" s="960">
        <f>MIN(OHQ60-OHQ62,'Sources and Uses Budget'!OHQ108-SUM('15 Year Pro Forma'!OHO66:OHP66))</f>
        <v>0</v>
      </c>
      <c r="OHS66" s="960">
        <f>MIN(OHS60-OHS62,'Sources and Uses Budget'!OHS108-SUM('15 Year Pro Forma'!OHQ66:OHR66))</f>
        <v>0</v>
      </c>
      <c r="OHU66" s="960">
        <f>MIN(OHU60-OHU62,'Sources and Uses Budget'!OHU108-SUM('15 Year Pro Forma'!OHS66:OHT66))</f>
        <v>0</v>
      </c>
      <c r="OHW66" s="960">
        <f>MIN(OHW60-OHW62,'Sources and Uses Budget'!OHW108-SUM('15 Year Pro Forma'!OHU66:OHV66))</f>
        <v>0</v>
      </c>
      <c r="OHY66" s="960">
        <f>MIN(OHY60-OHY62,'Sources and Uses Budget'!OHY108-SUM('15 Year Pro Forma'!OHW66:OHX66))</f>
        <v>0</v>
      </c>
      <c r="OIA66" s="960">
        <f>MIN(OIA60-OIA62,'Sources and Uses Budget'!OIA108-SUM('15 Year Pro Forma'!OHY66:OHZ66))</f>
        <v>0</v>
      </c>
      <c r="OIC66" s="960">
        <f>MIN(OIC60-OIC62,'Sources and Uses Budget'!OIC108-SUM('15 Year Pro Forma'!OIA66:OIB66))</f>
        <v>0</v>
      </c>
      <c r="OIE66" s="960">
        <f>MIN(OIE60-OIE62,'Sources and Uses Budget'!OIE108-SUM('15 Year Pro Forma'!OIC66:OID66))</f>
        <v>0</v>
      </c>
      <c r="OIG66" s="960">
        <f>MIN(OIG60-OIG62,'Sources and Uses Budget'!OIG108-SUM('15 Year Pro Forma'!OIE66:OIF66))</f>
        <v>0</v>
      </c>
      <c r="OII66" s="960">
        <f>MIN(OII60-OII62,'Sources and Uses Budget'!OII108-SUM('15 Year Pro Forma'!OIG66:OIH66))</f>
        <v>0</v>
      </c>
      <c r="OIK66" s="960">
        <f>MIN(OIK60-OIK62,'Sources and Uses Budget'!OIK108-SUM('15 Year Pro Forma'!OII66:OIJ66))</f>
        <v>0</v>
      </c>
      <c r="OIM66" s="960">
        <f>MIN(OIM60-OIM62,'Sources and Uses Budget'!OIM108-SUM('15 Year Pro Forma'!OIK66:OIL66))</f>
        <v>0</v>
      </c>
      <c r="OIO66" s="960">
        <f>MIN(OIO60-OIO62,'Sources and Uses Budget'!OIO108-SUM('15 Year Pro Forma'!OIM66:OIN66))</f>
        <v>0</v>
      </c>
      <c r="OIQ66" s="960">
        <f>MIN(OIQ60-OIQ62,'Sources and Uses Budget'!OIQ108-SUM('15 Year Pro Forma'!OIO66:OIP66))</f>
        <v>0</v>
      </c>
      <c r="OIS66" s="960">
        <f>MIN(OIS60-OIS62,'Sources and Uses Budget'!OIS108-SUM('15 Year Pro Forma'!OIQ66:OIR66))</f>
        <v>0</v>
      </c>
      <c r="OIU66" s="960">
        <f>MIN(OIU60-OIU62,'Sources and Uses Budget'!OIU108-SUM('15 Year Pro Forma'!OIS66:OIT66))</f>
        <v>0</v>
      </c>
      <c r="OIW66" s="960">
        <f>MIN(OIW60-OIW62,'Sources and Uses Budget'!OIW108-SUM('15 Year Pro Forma'!OIU66:OIV66))</f>
        <v>0</v>
      </c>
      <c r="OIY66" s="960">
        <f>MIN(OIY60-OIY62,'Sources and Uses Budget'!OIY108-SUM('15 Year Pro Forma'!OIW66:OIX66))</f>
        <v>0</v>
      </c>
      <c r="OJA66" s="960">
        <f>MIN(OJA60-OJA62,'Sources and Uses Budget'!OJA108-SUM('15 Year Pro Forma'!OIY66:OIZ66))</f>
        <v>0</v>
      </c>
      <c r="OJC66" s="960">
        <f>MIN(OJC60-OJC62,'Sources and Uses Budget'!OJC108-SUM('15 Year Pro Forma'!OJA66:OJB66))</f>
        <v>0</v>
      </c>
      <c r="OJE66" s="960">
        <f>MIN(OJE60-OJE62,'Sources and Uses Budget'!OJE108-SUM('15 Year Pro Forma'!OJC66:OJD66))</f>
        <v>0</v>
      </c>
      <c r="OJG66" s="960">
        <f>MIN(OJG60-OJG62,'Sources and Uses Budget'!OJG108-SUM('15 Year Pro Forma'!OJE66:OJF66))</f>
        <v>0</v>
      </c>
      <c r="OJI66" s="960">
        <f>MIN(OJI60-OJI62,'Sources and Uses Budget'!OJI108-SUM('15 Year Pro Forma'!OJG66:OJH66))</f>
        <v>0</v>
      </c>
      <c r="OJK66" s="960">
        <f>MIN(OJK60-OJK62,'Sources and Uses Budget'!OJK108-SUM('15 Year Pro Forma'!OJI66:OJJ66))</f>
        <v>0</v>
      </c>
      <c r="OJM66" s="960">
        <f>MIN(OJM60-OJM62,'Sources and Uses Budget'!OJM108-SUM('15 Year Pro Forma'!OJK66:OJL66))</f>
        <v>0</v>
      </c>
      <c r="OJO66" s="960">
        <f>MIN(OJO60-OJO62,'Sources and Uses Budget'!OJO108-SUM('15 Year Pro Forma'!OJM66:OJN66))</f>
        <v>0</v>
      </c>
      <c r="OJQ66" s="960">
        <f>MIN(OJQ60-OJQ62,'Sources and Uses Budget'!OJQ108-SUM('15 Year Pro Forma'!OJO66:OJP66))</f>
        <v>0</v>
      </c>
      <c r="OJS66" s="960">
        <f>MIN(OJS60-OJS62,'Sources and Uses Budget'!OJS108-SUM('15 Year Pro Forma'!OJQ66:OJR66))</f>
        <v>0</v>
      </c>
      <c r="OJU66" s="960">
        <f>MIN(OJU60-OJU62,'Sources and Uses Budget'!OJU108-SUM('15 Year Pro Forma'!OJS66:OJT66))</f>
        <v>0</v>
      </c>
      <c r="OJW66" s="960">
        <f>MIN(OJW60-OJW62,'Sources and Uses Budget'!OJW108-SUM('15 Year Pro Forma'!OJU66:OJV66))</f>
        <v>0</v>
      </c>
      <c r="OJY66" s="960">
        <f>MIN(OJY60-OJY62,'Sources and Uses Budget'!OJY108-SUM('15 Year Pro Forma'!OJW66:OJX66))</f>
        <v>0</v>
      </c>
      <c r="OKA66" s="960">
        <f>MIN(OKA60-OKA62,'Sources and Uses Budget'!OKA108-SUM('15 Year Pro Forma'!OJY66:OJZ66))</f>
        <v>0</v>
      </c>
      <c r="OKC66" s="960">
        <f>MIN(OKC60-OKC62,'Sources and Uses Budget'!OKC108-SUM('15 Year Pro Forma'!OKA66:OKB66))</f>
        <v>0</v>
      </c>
      <c r="OKE66" s="960">
        <f>MIN(OKE60-OKE62,'Sources and Uses Budget'!OKE108-SUM('15 Year Pro Forma'!OKC66:OKD66))</f>
        <v>0</v>
      </c>
      <c r="OKG66" s="960">
        <f>MIN(OKG60-OKG62,'Sources and Uses Budget'!OKG108-SUM('15 Year Pro Forma'!OKE66:OKF66))</f>
        <v>0</v>
      </c>
      <c r="OKI66" s="960">
        <f>MIN(OKI60-OKI62,'Sources and Uses Budget'!OKI108-SUM('15 Year Pro Forma'!OKG66:OKH66))</f>
        <v>0</v>
      </c>
      <c r="OKK66" s="960">
        <f>MIN(OKK60-OKK62,'Sources and Uses Budget'!OKK108-SUM('15 Year Pro Forma'!OKI66:OKJ66))</f>
        <v>0</v>
      </c>
      <c r="OKM66" s="960">
        <f>MIN(OKM60-OKM62,'Sources and Uses Budget'!OKM108-SUM('15 Year Pro Forma'!OKK66:OKL66))</f>
        <v>0</v>
      </c>
      <c r="OKO66" s="960">
        <f>MIN(OKO60-OKO62,'Sources and Uses Budget'!OKO108-SUM('15 Year Pro Forma'!OKM66:OKN66))</f>
        <v>0</v>
      </c>
      <c r="OKQ66" s="960">
        <f>MIN(OKQ60-OKQ62,'Sources and Uses Budget'!OKQ108-SUM('15 Year Pro Forma'!OKO66:OKP66))</f>
        <v>0</v>
      </c>
      <c r="OKS66" s="960">
        <f>MIN(OKS60-OKS62,'Sources and Uses Budget'!OKS108-SUM('15 Year Pro Forma'!OKQ66:OKR66))</f>
        <v>0</v>
      </c>
      <c r="OKU66" s="960">
        <f>MIN(OKU60-OKU62,'Sources and Uses Budget'!OKU108-SUM('15 Year Pro Forma'!OKS66:OKT66))</f>
        <v>0</v>
      </c>
      <c r="OKW66" s="960">
        <f>MIN(OKW60-OKW62,'Sources and Uses Budget'!OKW108-SUM('15 Year Pro Forma'!OKU66:OKV66))</f>
        <v>0</v>
      </c>
      <c r="OKY66" s="960">
        <f>MIN(OKY60-OKY62,'Sources and Uses Budget'!OKY108-SUM('15 Year Pro Forma'!OKW66:OKX66))</f>
        <v>0</v>
      </c>
      <c r="OLA66" s="960">
        <f>MIN(OLA60-OLA62,'Sources and Uses Budget'!OLA108-SUM('15 Year Pro Forma'!OKY66:OKZ66))</f>
        <v>0</v>
      </c>
      <c r="OLC66" s="960">
        <f>MIN(OLC60-OLC62,'Sources and Uses Budget'!OLC108-SUM('15 Year Pro Forma'!OLA66:OLB66))</f>
        <v>0</v>
      </c>
      <c r="OLE66" s="960">
        <f>MIN(OLE60-OLE62,'Sources and Uses Budget'!OLE108-SUM('15 Year Pro Forma'!OLC66:OLD66))</f>
        <v>0</v>
      </c>
      <c r="OLG66" s="960">
        <f>MIN(OLG60-OLG62,'Sources and Uses Budget'!OLG108-SUM('15 Year Pro Forma'!OLE66:OLF66))</f>
        <v>0</v>
      </c>
      <c r="OLI66" s="960">
        <f>MIN(OLI60-OLI62,'Sources and Uses Budget'!OLI108-SUM('15 Year Pro Forma'!OLG66:OLH66))</f>
        <v>0</v>
      </c>
      <c r="OLK66" s="960">
        <f>MIN(OLK60-OLK62,'Sources and Uses Budget'!OLK108-SUM('15 Year Pro Forma'!OLI66:OLJ66))</f>
        <v>0</v>
      </c>
      <c r="OLM66" s="960">
        <f>MIN(OLM60-OLM62,'Sources and Uses Budget'!OLM108-SUM('15 Year Pro Forma'!OLK66:OLL66))</f>
        <v>0</v>
      </c>
      <c r="OLO66" s="960">
        <f>MIN(OLO60-OLO62,'Sources and Uses Budget'!OLO108-SUM('15 Year Pro Forma'!OLM66:OLN66))</f>
        <v>0</v>
      </c>
      <c r="OLQ66" s="960">
        <f>MIN(OLQ60-OLQ62,'Sources and Uses Budget'!OLQ108-SUM('15 Year Pro Forma'!OLO66:OLP66))</f>
        <v>0</v>
      </c>
      <c r="OLS66" s="960">
        <f>MIN(OLS60-OLS62,'Sources and Uses Budget'!OLS108-SUM('15 Year Pro Forma'!OLQ66:OLR66))</f>
        <v>0</v>
      </c>
      <c r="OLU66" s="960">
        <f>MIN(OLU60-OLU62,'Sources and Uses Budget'!OLU108-SUM('15 Year Pro Forma'!OLS66:OLT66))</f>
        <v>0</v>
      </c>
      <c r="OLW66" s="960">
        <f>MIN(OLW60-OLW62,'Sources and Uses Budget'!OLW108-SUM('15 Year Pro Forma'!OLU66:OLV66))</f>
        <v>0</v>
      </c>
      <c r="OLY66" s="960">
        <f>MIN(OLY60-OLY62,'Sources and Uses Budget'!OLY108-SUM('15 Year Pro Forma'!OLW66:OLX66))</f>
        <v>0</v>
      </c>
      <c r="OMA66" s="960">
        <f>MIN(OMA60-OMA62,'Sources and Uses Budget'!OMA108-SUM('15 Year Pro Forma'!OLY66:OLZ66))</f>
        <v>0</v>
      </c>
      <c r="OMC66" s="960">
        <f>MIN(OMC60-OMC62,'Sources and Uses Budget'!OMC108-SUM('15 Year Pro Forma'!OMA66:OMB66))</f>
        <v>0</v>
      </c>
      <c r="OME66" s="960">
        <f>MIN(OME60-OME62,'Sources and Uses Budget'!OME108-SUM('15 Year Pro Forma'!OMC66:OMD66))</f>
        <v>0</v>
      </c>
      <c r="OMG66" s="960">
        <f>MIN(OMG60-OMG62,'Sources and Uses Budget'!OMG108-SUM('15 Year Pro Forma'!OME66:OMF66))</f>
        <v>0</v>
      </c>
      <c r="OMI66" s="960">
        <f>MIN(OMI60-OMI62,'Sources and Uses Budget'!OMI108-SUM('15 Year Pro Forma'!OMG66:OMH66))</f>
        <v>0</v>
      </c>
      <c r="OMK66" s="960">
        <f>MIN(OMK60-OMK62,'Sources and Uses Budget'!OMK108-SUM('15 Year Pro Forma'!OMI66:OMJ66))</f>
        <v>0</v>
      </c>
      <c r="OMM66" s="960">
        <f>MIN(OMM60-OMM62,'Sources and Uses Budget'!OMM108-SUM('15 Year Pro Forma'!OMK66:OML66))</f>
        <v>0</v>
      </c>
      <c r="OMO66" s="960">
        <f>MIN(OMO60-OMO62,'Sources and Uses Budget'!OMO108-SUM('15 Year Pro Forma'!OMM66:OMN66))</f>
        <v>0</v>
      </c>
      <c r="OMQ66" s="960">
        <f>MIN(OMQ60-OMQ62,'Sources and Uses Budget'!OMQ108-SUM('15 Year Pro Forma'!OMO66:OMP66))</f>
        <v>0</v>
      </c>
      <c r="OMS66" s="960">
        <f>MIN(OMS60-OMS62,'Sources and Uses Budget'!OMS108-SUM('15 Year Pro Forma'!OMQ66:OMR66))</f>
        <v>0</v>
      </c>
      <c r="OMU66" s="960">
        <f>MIN(OMU60-OMU62,'Sources and Uses Budget'!OMU108-SUM('15 Year Pro Forma'!OMS66:OMT66))</f>
        <v>0</v>
      </c>
      <c r="OMW66" s="960">
        <f>MIN(OMW60-OMW62,'Sources and Uses Budget'!OMW108-SUM('15 Year Pro Forma'!OMU66:OMV66))</f>
        <v>0</v>
      </c>
      <c r="OMY66" s="960">
        <f>MIN(OMY60-OMY62,'Sources and Uses Budget'!OMY108-SUM('15 Year Pro Forma'!OMW66:OMX66))</f>
        <v>0</v>
      </c>
      <c r="ONA66" s="960">
        <f>MIN(ONA60-ONA62,'Sources and Uses Budget'!ONA108-SUM('15 Year Pro Forma'!OMY66:OMZ66))</f>
        <v>0</v>
      </c>
      <c r="ONC66" s="960">
        <f>MIN(ONC60-ONC62,'Sources and Uses Budget'!ONC108-SUM('15 Year Pro Forma'!ONA66:ONB66))</f>
        <v>0</v>
      </c>
      <c r="ONE66" s="960">
        <f>MIN(ONE60-ONE62,'Sources and Uses Budget'!ONE108-SUM('15 Year Pro Forma'!ONC66:OND66))</f>
        <v>0</v>
      </c>
      <c r="ONG66" s="960">
        <f>MIN(ONG60-ONG62,'Sources and Uses Budget'!ONG108-SUM('15 Year Pro Forma'!ONE66:ONF66))</f>
        <v>0</v>
      </c>
      <c r="ONI66" s="960">
        <f>MIN(ONI60-ONI62,'Sources and Uses Budget'!ONI108-SUM('15 Year Pro Forma'!ONG66:ONH66))</f>
        <v>0</v>
      </c>
      <c r="ONK66" s="960">
        <f>MIN(ONK60-ONK62,'Sources and Uses Budget'!ONK108-SUM('15 Year Pro Forma'!ONI66:ONJ66))</f>
        <v>0</v>
      </c>
      <c r="ONM66" s="960">
        <f>MIN(ONM60-ONM62,'Sources and Uses Budget'!ONM108-SUM('15 Year Pro Forma'!ONK66:ONL66))</f>
        <v>0</v>
      </c>
      <c r="ONO66" s="960">
        <f>MIN(ONO60-ONO62,'Sources and Uses Budget'!ONO108-SUM('15 Year Pro Forma'!ONM66:ONN66))</f>
        <v>0</v>
      </c>
      <c r="ONQ66" s="960">
        <f>MIN(ONQ60-ONQ62,'Sources and Uses Budget'!ONQ108-SUM('15 Year Pro Forma'!ONO66:ONP66))</f>
        <v>0</v>
      </c>
      <c r="ONS66" s="960">
        <f>MIN(ONS60-ONS62,'Sources and Uses Budget'!ONS108-SUM('15 Year Pro Forma'!ONQ66:ONR66))</f>
        <v>0</v>
      </c>
      <c r="ONU66" s="960">
        <f>MIN(ONU60-ONU62,'Sources and Uses Budget'!ONU108-SUM('15 Year Pro Forma'!ONS66:ONT66))</f>
        <v>0</v>
      </c>
      <c r="ONW66" s="960">
        <f>MIN(ONW60-ONW62,'Sources and Uses Budget'!ONW108-SUM('15 Year Pro Forma'!ONU66:ONV66))</f>
        <v>0</v>
      </c>
      <c r="ONY66" s="960">
        <f>MIN(ONY60-ONY62,'Sources and Uses Budget'!ONY108-SUM('15 Year Pro Forma'!ONW66:ONX66))</f>
        <v>0</v>
      </c>
      <c r="OOA66" s="960">
        <f>MIN(OOA60-OOA62,'Sources and Uses Budget'!OOA108-SUM('15 Year Pro Forma'!ONY66:ONZ66))</f>
        <v>0</v>
      </c>
      <c r="OOC66" s="960">
        <f>MIN(OOC60-OOC62,'Sources and Uses Budget'!OOC108-SUM('15 Year Pro Forma'!OOA66:OOB66))</f>
        <v>0</v>
      </c>
      <c r="OOE66" s="960">
        <f>MIN(OOE60-OOE62,'Sources and Uses Budget'!OOE108-SUM('15 Year Pro Forma'!OOC66:OOD66))</f>
        <v>0</v>
      </c>
      <c r="OOG66" s="960">
        <f>MIN(OOG60-OOG62,'Sources and Uses Budget'!OOG108-SUM('15 Year Pro Forma'!OOE66:OOF66))</f>
        <v>0</v>
      </c>
      <c r="OOI66" s="960">
        <f>MIN(OOI60-OOI62,'Sources and Uses Budget'!OOI108-SUM('15 Year Pro Forma'!OOG66:OOH66))</f>
        <v>0</v>
      </c>
      <c r="OOK66" s="960">
        <f>MIN(OOK60-OOK62,'Sources and Uses Budget'!OOK108-SUM('15 Year Pro Forma'!OOI66:OOJ66))</f>
        <v>0</v>
      </c>
      <c r="OOM66" s="960">
        <f>MIN(OOM60-OOM62,'Sources and Uses Budget'!OOM108-SUM('15 Year Pro Forma'!OOK66:OOL66))</f>
        <v>0</v>
      </c>
      <c r="OOO66" s="960">
        <f>MIN(OOO60-OOO62,'Sources and Uses Budget'!OOO108-SUM('15 Year Pro Forma'!OOM66:OON66))</f>
        <v>0</v>
      </c>
      <c r="OOQ66" s="960">
        <f>MIN(OOQ60-OOQ62,'Sources and Uses Budget'!OOQ108-SUM('15 Year Pro Forma'!OOO66:OOP66))</f>
        <v>0</v>
      </c>
      <c r="OOS66" s="960">
        <f>MIN(OOS60-OOS62,'Sources and Uses Budget'!OOS108-SUM('15 Year Pro Forma'!OOQ66:OOR66))</f>
        <v>0</v>
      </c>
      <c r="OOU66" s="960">
        <f>MIN(OOU60-OOU62,'Sources and Uses Budget'!OOU108-SUM('15 Year Pro Forma'!OOS66:OOT66))</f>
        <v>0</v>
      </c>
      <c r="OOW66" s="960">
        <f>MIN(OOW60-OOW62,'Sources and Uses Budget'!OOW108-SUM('15 Year Pro Forma'!OOU66:OOV66))</f>
        <v>0</v>
      </c>
      <c r="OOY66" s="960">
        <f>MIN(OOY60-OOY62,'Sources and Uses Budget'!OOY108-SUM('15 Year Pro Forma'!OOW66:OOX66))</f>
        <v>0</v>
      </c>
      <c r="OPA66" s="960">
        <f>MIN(OPA60-OPA62,'Sources and Uses Budget'!OPA108-SUM('15 Year Pro Forma'!OOY66:OOZ66))</f>
        <v>0</v>
      </c>
      <c r="OPC66" s="960">
        <f>MIN(OPC60-OPC62,'Sources and Uses Budget'!OPC108-SUM('15 Year Pro Forma'!OPA66:OPB66))</f>
        <v>0</v>
      </c>
      <c r="OPE66" s="960">
        <f>MIN(OPE60-OPE62,'Sources and Uses Budget'!OPE108-SUM('15 Year Pro Forma'!OPC66:OPD66))</f>
        <v>0</v>
      </c>
      <c r="OPG66" s="960">
        <f>MIN(OPG60-OPG62,'Sources and Uses Budget'!OPG108-SUM('15 Year Pro Forma'!OPE66:OPF66))</f>
        <v>0</v>
      </c>
      <c r="OPI66" s="960">
        <f>MIN(OPI60-OPI62,'Sources and Uses Budget'!OPI108-SUM('15 Year Pro Forma'!OPG66:OPH66))</f>
        <v>0</v>
      </c>
      <c r="OPK66" s="960">
        <f>MIN(OPK60-OPK62,'Sources and Uses Budget'!OPK108-SUM('15 Year Pro Forma'!OPI66:OPJ66))</f>
        <v>0</v>
      </c>
      <c r="OPM66" s="960">
        <f>MIN(OPM60-OPM62,'Sources and Uses Budget'!OPM108-SUM('15 Year Pro Forma'!OPK66:OPL66))</f>
        <v>0</v>
      </c>
      <c r="OPO66" s="960">
        <f>MIN(OPO60-OPO62,'Sources and Uses Budget'!OPO108-SUM('15 Year Pro Forma'!OPM66:OPN66))</f>
        <v>0</v>
      </c>
      <c r="OPQ66" s="960">
        <f>MIN(OPQ60-OPQ62,'Sources and Uses Budget'!OPQ108-SUM('15 Year Pro Forma'!OPO66:OPP66))</f>
        <v>0</v>
      </c>
      <c r="OPS66" s="960">
        <f>MIN(OPS60-OPS62,'Sources and Uses Budget'!OPS108-SUM('15 Year Pro Forma'!OPQ66:OPR66))</f>
        <v>0</v>
      </c>
      <c r="OPU66" s="960">
        <f>MIN(OPU60-OPU62,'Sources and Uses Budget'!OPU108-SUM('15 Year Pro Forma'!OPS66:OPT66))</f>
        <v>0</v>
      </c>
      <c r="OPW66" s="960">
        <f>MIN(OPW60-OPW62,'Sources and Uses Budget'!OPW108-SUM('15 Year Pro Forma'!OPU66:OPV66))</f>
        <v>0</v>
      </c>
      <c r="OPY66" s="960">
        <f>MIN(OPY60-OPY62,'Sources and Uses Budget'!OPY108-SUM('15 Year Pro Forma'!OPW66:OPX66))</f>
        <v>0</v>
      </c>
      <c r="OQA66" s="960">
        <f>MIN(OQA60-OQA62,'Sources and Uses Budget'!OQA108-SUM('15 Year Pro Forma'!OPY66:OPZ66))</f>
        <v>0</v>
      </c>
      <c r="OQC66" s="960">
        <f>MIN(OQC60-OQC62,'Sources and Uses Budget'!OQC108-SUM('15 Year Pro Forma'!OQA66:OQB66))</f>
        <v>0</v>
      </c>
      <c r="OQE66" s="960">
        <f>MIN(OQE60-OQE62,'Sources and Uses Budget'!OQE108-SUM('15 Year Pro Forma'!OQC66:OQD66))</f>
        <v>0</v>
      </c>
      <c r="OQG66" s="960">
        <f>MIN(OQG60-OQG62,'Sources and Uses Budget'!OQG108-SUM('15 Year Pro Forma'!OQE66:OQF66))</f>
        <v>0</v>
      </c>
      <c r="OQI66" s="960">
        <f>MIN(OQI60-OQI62,'Sources and Uses Budget'!OQI108-SUM('15 Year Pro Forma'!OQG66:OQH66))</f>
        <v>0</v>
      </c>
      <c r="OQK66" s="960">
        <f>MIN(OQK60-OQK62,'Sources and Uses Budget'!OQK108-SUM('15 Year Pro Forma'!OQI66:OQJ66))</f>
        <v>0</v>
      </c>
      <c r="OQM66" s="960">
        <f>MIN(OQM60-OQM62,'Sources and Uses Budget'!OQM108-SUM('15 Year Pro Forma'!OQK66:OQL66))</f>
        <v>0</v>
      </c>
      <c r="OQO66" s="960">
        <f>MIN(OQO60-OQO62,'Sources and Uses Budget'!OQO108-SUM('15 Year Pro Forma'!OQM66:OQN66))</f>
        <v>0</v>
      </c>
      <c r="OQQ66" s="960">
        <f>MIN(OQQ60-OQQ62,'Sources and Uses Budget'!OQQ108-SUM('15 Year Pro Forma'!OQO66:OQP66))</f>
        <v>0</v>
      </c>
      <c r="OQS66" s="960">
        <f>MIN(OQS60-OQS62,'Sources and Uses Budget'!OQS108-SUM('15 Year Pro Forma'!OQQ66:OQR66))</f>
        <v>0</v>
      </c>
      <c r="OQU66" s="960">
        <f>MIN(OQU60-OQU62,'Sources and Uses Budget'!OQU108-SUM('15 Year Pro Forma'!OQS66:OQT66))</f>
        <v>0</v>
      </c>
      <c r="OQW66" s="960">
        <f>MIN(OQW60-OQW62,'Sources and Uses Budget'!OQW108-SUM('15 Year Pro Forma'!OQU66:OQV66))</f>
        <v>0</v>
      </c>
      <c r="OQY66" s="960">
        <f>MIN(OQY60-OQY62,'Sources and Uses Budget'!OQY108-SUM('15 Year Pro Forma'!OQW66:OQX66))</f>
        <v>0</v>
      </c>
      <c r="ORA66" s="960">
        <f>MIN(ORA60-ORA62,'Sources and Uses Budget'!ORA108-SUM('15 Year Pro Forma'!OQY66:OQZ66))</f>
        <v>0</v>
      </c>
      <c r="ORC66" s="960">
        <f>MIN(ORC60-ORC62,'Sources and Uses Budget'!ORC108-SUM('15 Year Pro Forma'!ORA66:ORB66))</f>
        <v>0</v>
      </c>
      <c r="ORE66" s="960">
        <f>MIN(ORE60-ORE62,'Sources and Uses Budget'!ORE108-SUM('15 Year Pro Forma'!ORC66:ORD66))</f>
        <v>0</v>
      </c>
      <c r="ORG66" s="960">
        <f>MIN(ORG60-ORG62,'Sources and Uses Budget'!ORG108-SUM('15 Year Pro Forma'!ORE66:ORF66))</f>
        <v>0</v>
      </c>
      <c r="ORI66" s="960">
        <f>MIN(ORI60-ORI62,'Sources and Uses Budget'!ORI108-SUM('15 Year Pro Forma'!ORG66:ORH66))</f>
        <v>0</v>
      </c>
      <c r="ORK66" s="960">
        <f>MIN(ORK60-ORK62,'Sources and Uses Budget'!ORK108-SUM('15 Year Pro Forma'!ORI66:ORJ66))</f>
        <v>0</v>
      </c>
      <c r="ORM66" s="960">
        <f>MIN(ORM60-ORM62,'Sources and Uses Budget'!ORM108-SUM('15 Year Pro Forma'!ORK66:ORL66))</f>
        <v>0</v>
      </c>
      <c r="ORO66" s="960">
        <f>MIN(ORO60-ORO62,'Sources and Uses Budget'!ORO108-SUM('15 Year Pro Forma'!ORM66:ORN66))</f>
        <v>0</v>
      </c>
      <c r="ORQ66" s="960">
        <f>MIN(ORQ60-ORQ62,'Sources and Uses Budget'!ORQ108-SUM('15 Year Pro Forma'!ORO66:ORP66))</f>
        <v>0</v>
      </c>
      <c r="ORS66" s="960">
        <f>MIN(ORS60-ORS62,'Sources and Uses Budget'!ORS108-SUM('15 Year Pro Forma'!ORQ66:ORR66))</f>
        <v>0</v>
      </c>
      <c r="ORU66" s="960">
        <f>MIN(ORU60-ORU62,'Sources and Uses Budget'!ORU108-SUM('15 Year Pro Forma'!ORS66:ORT66))</f>
        <v>0</v>
      </c>
      <c r="ORW66" s="960">
        <f>MIN(ORW60-ORW62,'Sources and Uses Budget'!ORW108-SUM('15 Year Pro Forma'!ORU66:ORV66))</f>
        <v>0</v>
      </c>
      <c r="ORY66" s="960">
        <f>MIN(ORY60-ORY62,'Sources and Uses Budget'!ORY108-SUM('15 Year Pro Forma'!ORW66:ORX66))</f>
        <v>0</v>
      </c>
      <c r="OSA66" s="960">
        <f>MIN(OSA60-OSA62,'Sources and Uses Budget'!OSA108-SUM('15 Year Pro Forma'!ORY66:ORZ66))</f>
        <v>0</v>
      </c>
      <c r="OSC66" s="960">
        <f>MIN(OSC60-OSC62,'Sources and Uses Budget'!OSC108-SUM('15 Year Pro Forma'!OSA66:OSB66))</f>
        <v>0</v>
      </c>
      <c r="OSE66" s="960">
        <f>MIN(OSE60-OSE62,'Sources and Uses Budget'!OSE108-SUM('15 Year Pro Forma'!OSC66:OSD66))</f>
        <v>0</v>
      </c>
      <c r="OSG66" s="960">
        <f>MIN(OSG60-OSG62,'Sources and Uses Budget'!OSG108-SUM('15 Year Pro Forma'!OSE66:OSF66))</f>
        <v>0</v>
      </c>
      <c r="OSI66" s="960">
        <f>MIN(OSI60-OSI62,'Sources and Uses Budget'!OSI108-SUM('15 Year Pro Forma'!OSG66:OSH66))</f>
        <v>0</v>
      </c>
      <c r="OSK66" s="960">
        <f>MIN(OSK60-OSK62,'Sources and Uses Budget'!OSK108-SUM('15 Year Pro Forma'!OSI66:OSJ66))</f>
        <v>0</v>
      </c>
      <c r="OSM66" s="960">
        <f>MIN(OSM60-OSM62,'Sources and Uses Budget'!OSM108-SUM('15 Year Pro Forma'!OSK66:OSL66))</f>
        <v>0</v>
      </c>
      <c r="OSO66" s="960">
        <f>MIN(OSO60-OSO62,'Sources and Uses Budget'!OSO108-SUM('15 Year Pro Forma'!OSM66:OSN66))</f>
        <v>0</v>
      </c>
      <c r="OSQ66" s="960">
        <f>MIN(OSQ60-OSQ62,'Sources and Uses Budget'!OSQ108-SUM('15 Year Pro Forma'!OSO66:OSP66))</f>
        <v>0</v>
      </c>
      <c r="OSS66" s="960">
        <f>MIN(OSS60-OSS62,'Sources and Uses Budget'!OSS108-SUM('15 Year Pro Forma'!OSQ66:OSR66))</f>
        <v>0</v>
      </c>
      <c r="OSU66" s="960">
        <f>MIN(OSU60-OSU62,'Sources and Uses Budget'!OSU108-SUM('15 Year Pro Forma'!OSS66:OST66))</f>
        <v>0</v>
      </c>
      <c r="OSW66" s="960">
        <f>MIN(OSW60-OSW62,'Sources and Uses Budget'!OSW108-SUM('15 Year Pro Forma'!OSU66:OSV66))</f>
        <v>0</v>
      </c>
      <c r="OSY66" s="960">
        <f>MIN(OSY60-OSY62,'Sources and Uses Budget'!OSY108-SUM('15 Year Pro Forma'!OSW66:OSX66))</f>
        <v>0</v>
      </c>
      <c r="OTA66" s="960">
        <f>MIN(OTA60-OTA62,'Sources and Uses Budget'!OTA108-SUM('15 Year Pro Forma'!OSY66:OSZ66))</f>
        <v>0</v>
      </c>
      <c r="OTC66" s="960">
        <f>MIN(OTC60-OTC62,'Sources and Uses Budget'!OTC108-SUM('15 Year Pro Forma'!OTA66:OTB66))</f>
        <v>0</v>
      </c>
      <c r="OTE66" s="960">
        <f>MIN(OTE60-OTE62,'Sources and Uses Budget'!OTE108-SUM('15 Year Pro Forma'!OTC66:OTD66))</f>
        <v>0</v>
      </c>
      <c r="OTG66" s="960">
        <f>MIN(OTG60-OTG62,'Sources and Uses Budget'!OTG108-SUM('15 Year Pro Forma'!OTE66:OTF66))</f>
        <v>0</v>
      </c>
      <c r="OTI66" s="960">
        <f>MIN(OTI60-OTI62,'Sources and Uses Budget'!OTI108-SUM('15 Year Pro Forma'!OTG66:OTH66))</f>
        <v>0</v>
      </c>
      <c r="OTK66" s="960">
        <f>MIN(OTK60-OTK62,'Sources and Uses Budget'!OTK108-SUM('15 Year Pro Forma'!OTI66:OTJ66))</f>
        <v>0</v>
      </c>
      <c r="OTM66" s="960">
        <f>MIN(OTM60-OTM62,'Sources and Uses Budget'!OTM108-SUM('15 Year Pro Forma'!OTK66:OTL66))</f>
        <v>0</v>
      </c>
      <c r="OTO66" s="960">
        <f>MIN(OTO60-OTO62,'Sources and Uses Budget'!OTO108-SUM('15 Year Pro Forma'!OTM66:OTN66))</f>
        <v>0</v>
      </c>
      <c r="OTQ66" s="960">
        <f>MIN(OTQ60-OTQ62,'Sources and Uses Budget'!OTQ108-SUM('15 Year Pro Forma'!OTO66:OTP66))</f>
        <v>0</v>
      </c>
      <c r="OTS66" s="960">
        <f>MIN(OTS60-OTS62,'Sources and Uses Budget'!OTS108-SUM('15 Year Pro Forma'!OTQ66:OTR66))</f>
        <v>0</v>
      </c>
      <c r="OTU66" s="960">
        <f>MIN(OTU60-OTU62,'Sources and Uses Budget'!OTU108-SUM('15 Year Pro Forma'!OTS66:OTT66))</f>
        <v>0</v>
      </c>
      <c r="OTW66" s="960">
        <f>MIN(OTW60-OTW62,'Sources and Uses Budget'!OTW108-SUM('15 Year Pro Forma'!OTU66:OTV66))</f>
        <v>0</v>
      </c>
      <c r="OTY66" s="960">
        <f>MIN(OTY60-OTY62,'Sources and Uses Budget'!OTY108-SUM('15 Year Pro Forma'!OTW66:OTX66))</f>
        <v>0</v>
      </c>
      <c r="OUA66" s="960">
        <f>MIN(OUA60-OUA62,'Sources and Uses Budget'!OUA108-SUM('15 Year Pro Forma'!OTY66:OTZ66))</f>
        <v>0</v>
      </c>
      <c r="OUC66" s="960">
        <f>MIN(OUC60-OUC62,'Sources and Uses Budget'!OUC108-SUM('15 Year Pro Forma'!OUA66:OUB66))</f>
        <v>0</v>
      </c>
      <c r="OUE66" s="960">
        <f>MIN(OUE60-OUE62,'Sources and Uses Budget'!OUE108-SUM('15 Year Pro Forma'!OUC66:OUD66))</f>
        <v>0</v>
      </c>
      <c r="OUG66" s="960">
        <f>MIN(OUG60-OUG62,'Sources and Uses Budget'!OUG108-SUM('15 Year Pro Forma'!OUE66:OUF66))</f>
        <v>0</v>
      </c>
      <c r="OUI66" s="960">
        <f>MIN(OUI60-OUI62,'Sources and Uses Budget'!OUI108-SUM('15 Year Pro Forma'!OUG66:OUH66))</f>
        <v>0</v>
      </c>
      <c r="OUK66" s="960">
        <f>MIN(OUK60-OUK62,'Sources and Uses Budget'!OUK108-SUM('15 Year Pro Forma'!OUI66:OUJ66))</f>
        <v>0</v>
      </c>
      <c r="OUM66" s="960">
        <f>MIN(OUM60-OUM62,'Sources and Uses Budget'!OUM108-SUM('15 Year Pro Forma'!OUK66:OUL66))</f>
        <v>0</v>
      </c>
      <c r="OUO66" s="960">
        <f>MIN(OUO60-OUO62,'Sources and Uses Budget'!OUO108-SUM('15 Year Pro Forma'!OUM66:OUN66))</f>
        <v>0</v>
      </c>
      <c r="OUQ66" s="960">
        <f>MIN(OUQ60-OUQ62,'Sources and Uses Budget'!OUQ108-SUM('15 Year Pro Forma'!OUO66:OUP66))</f>
        <v>0</v>
      </c>
      <c r="OUS66" s="960">
        <f>MIN(OUS60-OUS62,'Sources and Uses Budget'!OUS108-SUM('15 Year Pro Forma'!OUQ66:OUR66))</f>
        <v>0</v>
      </c>
      <c r="OUU66" s="960">
        <f>MIN(OUU60-OUU62,'Sources and Uses Budget'!OUU108-SUM('15 Year Pro Forma'!OUS66:OUT66))</f>
        <v>0</v>
      </c>
      <c r="OUW66" s="960">
        <f>MIN(OUW60-OUW62,'Sources and Uses Budget'!OUW108-SUM('15 Year Pro Forma'!OUU66:OUV66))</f>
        <v>0</v>
      </c>
      <c r="OUY66" s="960">
        <f>MIN(OUY60-OUY62,'Sources and Uses Budget'!OUY108-SUM('15 Year Pro Forma'!OUW66:OUX66))</f>
        <v>0</v>
      </c>
      <c r="OVA66" s="960">
        <f>MIN(OVA60-OVA62,'Sources and Uses Budget'!OVA108-SUM('15 Year Pro Forma'!OUY66:OUZ66))</f>
        <v>0</v>
      </c>
      <c r="OVC66" s="960">
        <f>MIN(OVC60-OVC62,'Sources and Uses Budget'!OVC108-SUM('15 Year Pro Forma'!OVA66:OVB66))</f>
        <v>0</v>
      </c>
      <c r="OVE66" s="960">
        <f>MIN(OVE60-OVE62,'Sources and Uses Budget'!OVE108-SUM('15 Year Pro Forma'!OVC66:OVD66))</f>
        <v>0</v>
      </c>
      <c r="OVG66" s="960">
        <f>MIN(OVG60-OVG62,'Sources and Uses Budget'!OVG108-SUM('15 Year Pro Forma'!OVE66:OVF66))</f>
        <v>0</v>
      </c>
      <c r="OVI66" s="960">
        <f>MIN(OVI60-OVI62,'Sources and Uses Budget'!OVI108-SUM('15 Year Pro Forma'!OVG66:OVH66))</f>
        <v>0</v>
      </c>
      <c r="OVK66" s="960">
        <f>MIN(OVK60-OVK62,'Sources and Uses Budget'!OVK108-SUM('15 Year Pro Forma'!OVI66:OVJ66))</f>
        <v>0</v>
      </c>
      <c r="OVM66" s="960">
        <f>MIN(OVM60-OVM62,'Sources and Uses Budget'!OVM108-SUM('15 Year Pro Forma'!OVK66:OVL66))</f>
        <v>0</v>
      </c>
      <c r="OVO66" s="960">
        <f>MIN(OVO60-OVO62,'Sources and Uses Budget'!OVO108-SUM('15 Year Pro Forma'!OVM66:OVN66))</f>
        <v>0</v>
      </c>
      <c r="OVQ66" s="960">
        <f>MIN(OVQ60-OVQ62,'Sources and Uses Budget'!OVQ108-SUM('15 Year Pro Forma'!OVO66:OVP66))</f>
        <v>0</v>
      </c>
      <c r="OVS66" s="960">
        <f>MIN(OVS60-OVS62,'Sources and Uses Budget'!OVS108-SUM('15 Year Pro Forma'!OVQ66:OVR66))</f>
        <v>0</v>
      </c>
      <c r="OVU66" s="960">
        <f>MIN(OVU60-OVU62,'Sources and Uses Budget'!OVU108-SUM('15 Year Pro Forma'!OVS66:OVT66))</f>
        <v>0</v>
      </c>
      <c r="OVW66" s="960">
        <f>MIN(OVW60-OVW62,'Sources and Uses Budget'!OVW108-SUM('15 Year Pro Forma'!OVU66:OVV66))</f>
        <v>0</v>
      </c>
      <c r="OVY66" s="960">
        <f>MIN(OVY60-OVY62,'Sources and Uses Budget'!OVY108-SUM('15 Year Pro Forma'!OVW66:OVX66))</f>
        <v>0</v>
      </c>
      <c r="OWA66" s="960">
        <f>MIN(OWA60-OWA62,'Sources and Uses Budget'!OWA108-SUM('15 Year Pro Forma'!OVY66:OVZ66))</f>
        <v>0</v>
      </c>
      <c r="OWC66" s="960">
        <f>MIN(OWC60-OWC62,'Sources and Uses Budget'!OWC108-SUM('15 Year Pro Forma'!OWA66:OWB66))</f>
        <v>0</v>
      </c>
      <c r="OWE66" s="960">
        <f>MIN(OWE60-OWE62,'Sources and Uses Budget'!OWE108-SUM('15 Year Pro Forma'!OWC66:OWD66))</f>
        <v>0</v>
      </c>
      <c r="OWG66" s="960">
        <f>MIN(OWG60-OWG62,'Sources and Uses Budget'!OWG108-SUM('15 Year Pro Forma'!OWE66:OWF66))</f>
        <v>0</v>
      </c>
      <c r="OWI66" s="960">
        <f>MIN(OWI60-OWI62,'Sources and Uses Budget'!OWI108-SUM('15 Year Pro Forma'!OWG66:OWH66))</f>
        <v>0</v>
      </c>
      <c r="OWK66" s="960">
        <f>MIN(OWK60-OWK62,'Sources and Uses Budget'!OWK108-SUM('15 Year Pro Forma'!OWI66:OWJ66))</f>
        <v>0</v>
      </c>
      <c r="OWM66" s="960">
        <f>MIN(OWM60-OWM62,'Sources and Uses Budget'!OWM108-SUM('15 Year Pro Forma'!OWK66:OWL66))</f>
        <v>0</v>
      </c>
      <c r="OWO66" s="960">
        <f>MIN(OWO60-OWO62,'Sources and Uses Budget'!OWO108-SUM('15 Year Pro Forma'!OWM66:OWN66))</f>
        <v>0</v>
      </c>
      <c r="OWQ66" s="960">
        <f>MIN(OWQ60-OWQ62,'Sources and Uses Budget'!OWQ108-SUM('15 Year Pro Forma'!OWO66:OWP66))</f>
        <v>0</v>
      </c>
      <c r="OWS66" s="960">
        <f>MIN(OWS60-OWS62,'Sources and Uses Budget'!OWS108-SUM('15 Year Pro Forma'!OWQ66:OWR66))</f>
        <v>0</v>
      </c>
      <c r="OWU66" s="960">
        <f>MIN(OWU60-OWU62,'Sources and Uses Budget'!OWU108-SUM('15 Year Pro Forma'!OWS66:OWT66))</f>
        <v>0</v>
      </c>
      <c r="OWW66" s="960">
        <f>MIN(OWW60-OWW62,'Sources and Uses Budget'!OWW108-SUM('15 Year Pro Forma'!OWU66:OWV66))</f>
        <v>0</v>
      </c>
      <c r="OWY66" s="960">
        <f>MIN(OWY60-OWY62,'Sources and Uses Budget'!OWY108-SUM('15 Year Pro Forma'!OWW66:OWX66))</f>
        <v>0</v>
      </c>
      <c r="OXA66" s="960">
        <f>MIN(OXA60-OXA62,'Sources and Uses Budget'!OXA108-SUM('15 Year Pro Forma'!OWY66:OWZ66))</f>
        <v>0</v>
      </c>
      <c r="OXC66" s="960">
        <f>MIN(OXC60-OXC62,'Sources and Uses Budget'!OXC108-SUM('15 Year Pro Forma'!OXA66:OXB66))</f>
        <v>0</v>
      </c>
      <c r="OXE66" s="960">
        <f>MIN(OXE60-OXE62,'Sources and Uses Budget'!OXE108-SUM('15 Year Pro Forma'!OXC66:OXD66))</f>
        <v>0</v>
      </c>
      <c r="OXG66" s="960">
        <f>MIN(OXG60-OXG62,'Sources and Uses Budget'!OXG108-SUM('15 Year Pro Forma'!OXE66:OXF66))</f>
        <v>0</v>
      </c>
      <c r="OXI66" s="960">
        <f>MIN(OXI60-OXI62,'Sources and Uses Budget'!OXI108-SUM('15 Year Pro Forma'!OXG66:OXH66))</f>
        <v>0</v>
      </c>
      <c r="OXK66" s="960">
        <f>MIN(OXK60-OXK62,'Sources and Uses Budget'!OXK108-SUM('15 Year Pro Forma'!OXI66:OXJ66))</f>
        <v>0</v>
      </c>
      <c r="OXM66" s="960">
        <f>MIN(OXM60-OXM62,'Sources and Uses Budget'!OXM108-SUM('15 Year Pro Forma'!OXK66:OXL66))</f>
        <v>0</v>
      </c>
      <c r="OXO66" s="960">
        <f>MIN(OXO60-OXO62,'Sources and Uses Budget'!OXO108-SUM('15 Year Pro Forma'!OXM66:OXN66))</f>
        <v>0</v>
      </c>
      <c r="OXQ66" s="960">
        <f>MIN(OXQ60-OXQ62,'Sources and Uses Budget'!OXQ108-SUM('15 Year Pro Forma'!OXO66:OXP66))</f>
        <v>0</v>
      </c>
      <c r="OXS66" s="960">
        <f>MIN(OXS60-OXS62,'Sources and Uses Budget'!OXS108-SUM('15 Year Pro Forma'!OXQ66:OXR66))</f>
        <v>0</v>
      </c>
      <c r="OXU66" s="960">
        <f>MIN(OXU60-OXU62,'Sources and Uses Budget'!OXU108-SUM('15 Year Pro Forma'!OXS66:OXT66))</f>
        <v>0</v>
      </c>
      <c r="OXW66" s="960">
        <f>MIN(OXW60-OXW62,'Sources and Uses Budget'!OXW108-SUM('15 Year Pro Forma'!OXU66:OXV66))</f>
        <v>0</v>
      </c>
      <c r="OXY66" s="960">
        <f>MIN(OXY60-OXY62,'Sources and Uses Budget'!OXY108-SUM('15 Year Pro Forma'!OXW66:OXX66))</f>
        <v>0</v>
      </c>
      <c r="OYA66" s="960">
        <f>MIN(OYA60-OYA62,'Sources and Uses Budget'!OYA108-SUM('15 Year Pro Forma'!OXY66:OXZ66))</f>
        <v>0</v>
      </c>
      <c r="OYC66" s="960">
        <f>MIN(OYC60-OYC62,'Sources and Uses Budget'!OYC108-SUM('15 Year Pro Forma'!OYA66:OYB66))</f>
        <v>0</v>
      </c>
      <c r="OYE66" s="960">
        <f>MIN(OYE60-OYE62,'Sources and Uses Budget'!OYE108-SUM('15 Year Pro Forma'!OYC66:OYD66))</f>
        <v>0</v>
      </c>
      <c r="OYG66" s="960">
        <f>MIN(OYG60-OYG62,'Sources and Uses Budget'!OYG108-SUM('15 Year Pro Forma'!OYE66:OYF66))</f>
        <v>0</v>
      </c>
      <c r="OYI66" s="960">
        <f>MIN(OYI60-OYI62,'Sources and Uses Budget'!OYI108-SUM('15 Year Pro Forma'!OYG66:OYH66))</f>
        <v>0</v>
      </c>
      <c r="OYK66" s="960">
        <f>MIN(OYK60-OYK62,'Sources and Uses Budget'!OYK108-SUM('15 Year Pro Forma'!OYI66:OYJ66))</f>
        <v>0</v>
      </c>
      <c r="OYM66" s="960">
        <f>MIN(OYM60-OYM62,'Sources and Uses Budget'!OYM108-SUM('15 Year Pro Forma'!OYK66:OYL66))</f>
        <v>0</v>
      </c>
      <c r="OYO66" s="960">
        <f>MIN(OYO60-OYO62,'Sources and Uses Budget'!OYO108-SUM('15 Year Pro Forma'!OYM66:OYN66))</f>
        <v>0</v>
      </c>
      <c r="OYQ66" s="960">
        <f>MIN(OYQ60-OYQ62,'Sources and Uses Budget'!OYQ108-SUM('15 Year Pro Forma'!OYO66:OYP66))</f>
        <v>0</v>
      </c>
      <c r="OYS66" s="960">
        <f>MIN(OYS60-OYS62,'Sources and Uses Budget'!OYS108-SUM('15 Year Pro Forma'!OYQ66:OYR66))</f>
        <v>0</v>
      </c>
      <c r="OYU66" s="960">
        <f>MIN(OYU60-OYU62,'Sources and Uses Budget'!OYU108-SUM('15 Year Pro Forma'!OYS66:OYT66))</f>
        <v>0</v>
      </c>
      <c r="OYW66" s="960">
        <f>MIN(OYW60-OYW62,'Sources and Uses Budget'!OYW108-SUM('15 Year Pro Forma'!OYU66:OYV66))</f>
        <v>0</v>
      </c>
      <c r="OYY66" s="960">
        <f>MIN(OYY60-OYY62,'Sources and Uses Budget'!OYY108-SUM('15 Year Pro Forma'!OYW66:OYX66))</f>
        <v>0</v>
      </c>
      <c r="OZA66" s="960">
        <f>MIN(OZA60-OZA62,'Sources and Uses Budget'!OZA108-SUM('15 Year Pro Forma'!OYY66:OYZ66))</f>
        <v>0</v>
      </c>
      <c r="OZC66" s="960">
        <f>MIN(OZC60-OZC62,'Sources and Uses Budget'!OZC108-SUM('15 Year Pro Forma'!OZA66:OZB66))</f>
        <v>0</v>
      </c>
      <c r="OZE66" s="960">
        <f>MIN(OZE60-OZE62,'Sources and Uses Budget'!OZE108-SUM('15 Year Pro Forma'!OZC66:OZD66))</f>
        <v>0</v>
      </c>
      <c r="OZG66" s="960">
        <f>MIN(OZG60-OZG62,'Sources and Uses Budget'!OZG108-SUM('15 Year Pro Forma'!OZE66:OZF66))</f>
        <v>0</v>
      </c>
      <c r="OZI66" s="960">
        <f>MIN(OZI60-OZI62,'Sources and Uses Budget'!OZI108-SUM('15 Year Pro Forma'!OZG66:OZH66))</f>
        <v>0</v>
      </c>
      <c r="OZK66" s="960">
        <f>MIN(OZK60-OZK62,'Sources and Uses Budget'!OZK108-SUM('15 Year Pro Forma'!OZI66:OZJ66))</f>
        <v>0</v>
      </c>
      <c r="OZM66" s="960">
        <f>MIN(OZM60-OZM62,'Sources and Uses Budget'!OZM108-SUM('15 Year Pro Forma'!OZK66:OZL66))</f>
        <v>0</v>
      </c>
      <c r="OZO66" s="960">
        <f>MIN(OZO60-OZO62,'Sources and Uses Budget'!OZO108-SUM('15 Year Pro Forma'!OZM66:OZN66))</f>
        <v>0</v>
      </c>
      <c r="OZQ66" s="960">
        <f>MIN(OZQ60-OZQ62,'Sources and Uses Budget'!OZQ108-SUM('15 Year Pro Forma'!OZO66:OZP66))</f>
        <v>0</v>
      </c>
      <c r="OZS66" s="960">
        <f>MIN(OZS60-OZS62,'Sources and Uses Budget'!OZS108-SUM('15 Year Pro Forma'!OZQ66:OZR66))</f>
        <v>0</v>
      </c>
      <c r="OZU66" s="960">
        <f>MIN(OZU60-OZU62,'Sources and Uses Budget'!OZU108-SUM('15 Year Pro Forma'!OZS66:OZT66))</f>
        <v>0</v>
      </c>
      <c r="OZW66" s="960">
        <f>MIN(OZW60-OZW62,'Sources and Uses Budget'!OZW108-SUM('15 Year Pro Forma'!OZU66:OZV66))</f>
        <v>0</v>
      </c>
      <c r="OZY66" s="960">
        <f>MIN(OZY60-OZY62,'Sources and Uses Budget'!OZY108-SUM('15 Year Pro Forma'!OZW66:OZX66))</f>
        <v>0</v>
      </c>
      <c r="PAA66" s="960">
        <f>MIN(PAA60-PAA62,'Sources and Uses Budget'!PAA108-SUM('15 Year Pro Forma'!OZY66:OZZ66))</f>
        <v>0</v>
      </c>
      <c r="PAC66" s="960">
        <f>MIN(PAC60-PAC62,'Sources and Uses Budget'!PAC108-SUM('15 Year Pro Forma'!PAA66:PAB66))</f>
        <v>0</v>
      </c>
      <c r="PAE66" s="960">
        <f>MIN(PAE60-PAE62,'Sources and Uses Budget'!PAE108-SUM('15 Year Pro Forma'!PAC66:PAD66))</f>
        <v>0</v>
      </c>
      <c r="PAG66" s="960">
        <f>MIN(PAG60-PAG62,'Sources and Uses Budget'!PAG108-SUM('15 Year Pro Forma'!PAE66:PAF66))</f>
        <v>0</v>
      </c>
      <c r="PAI66" s="960">
        <f>MIN(PAI60-PAI62,'Sources and Uses Budget'!PAI108-SUM('15 Year Pro Forma'!PAG66:PAH66))</f>
        <v>0</v>
      </c>
      <c r="PAK66" s="960">
        <f>MIN(PAK60-PAK62,'Sources and Uses Budget'!PAK108-SUM('15 Year Pro Forma'!PAI66:PAJ66))</f>
        <v>0</v>
      </c>
      <c r="PAM66" s="960">
        <f>MIN(PAM60-PAM62,'Sources and Uses Budget'!PAM108-SUM('15 Year Pro Forma'!PAK66:PAL66))</f>
        <v>0</v>
      </c>
      <c r="PAO66" s="960">
        <f>MIN(PAO60-PAO62,'Sources and Uses Budget'!PAO108-SUM('15 Year Pro Forma'!PAM66:PAN66))</f>
        <v>0</v>
      </c>
      <c r="PAQ66" s="960">
        <f>MIN(PAQ60-PAQ62,'Sources and Uses Budget'!PAQ108-SUM('15 Year Pro Forma'!PAO66:PAP66))</f>
        <v>0</v>
      </c>
      <c r="PAS66" s="960">
        <f>MIN(PAS60-PAS62,'Sources and Uses Budget'!PAS108-SUM('15 Year Pro Forma'!PAQ66:PAR66))</f>
        <v>0</v>
      </c>
      <c r="PAU66" s="960">
        <f>MIN(PAU60-PAU62,'Sources and Uses Budget'!PAU108-SUM('15 Year Pro Forma'!PAS66:PAT66))</f>
        <v>0</v>
      </c>
      <c r="PAW66" s="960">
        <f>MIN(PAW60-PAW62,'Sources and Uses Budget'!PAW108-SUM('15 Year Pro Forma'!PAU66:PAV66))</f>
        <v>0</v>
      </c>
      <c r="PAY66" s="960">
        <f>MIN(PAY60-PAY62,'Sources and Uses Budget'!PAY108-SUM('15 Year Pro Forma'!PAW66:PAX66))</f>
        <v>0</v>
      </c>
      <c r="PBA66" s="960">
        <f>MIN(PBA60-PBA62,'Sources and Uses Budget'!PBA108-SUM('15 Year Pro Forma'!PAY66:PAZ66))</f>
        <v>0</v>
      </c>
      <c r="PBC66" s="960">
        <f>MIN(PBC60-PBC62,'Sources and Uses Budget'!PBC108-SUM('15 Year Pro Forma'!PBA66:PBB66))</f>
        <v>0</v>
      </c>
      <c r="PBE66" s="960">
        <f>MIN(PBE60-PBE62,'Sources and Uses Budget'!PBE108-SUM('15 Year Pro Forma'!PBC66:PBD66))</f>
        <v>0</v>
      </c>
      <c r="PBG66" s="960">
        <f>MIN(PBG60-PBG62,'Sources and Uses Budget'!PBG108-SUM('15 Year Pro Forma'!PBE66:PBF66))</f>
        <v>0</v>
      </c>
      <c r="PBI66" s="960">
        <f>MIN(PBI60-PBI62,'Sources and Uses Budget'!PBI108-SUM('15 Year Pro Forma'!PBG66:PBH66))</f>
        <v>0</v>
      </c>
      <c r="PBK66" s="960">
        <f>MIN(PBK60-PBK62,'Sources and Uses Budget'!PBK108-SUM('15 Year Pro Forma'!PBI66:PBJ66))</f>
        <v>0</v>
      </c>
      <c r="PBM66" s="960">
        <f>MIN(PBM60-PBM62,'Sources and Uses Budget'!PBM108-SUM('15 Year Pro Forma'!PBK66:PBL66))</f>
        <v>0</v>
      </c>
      <c r="PBO66" s="960">
        <f>MIN(PBO60-PBO62,'Sources and Uses Budget'!PBO108-SUM('15 Year Pro Forma'!PBM66:PBN66))</f>
        <v>0</v>
      </c>
      <c r="PBQ66" s="960">
        <f>MIN(PBQ60-PBQ62,'Sources and Uses Budget'!PBQ108-SUM('15 Year Pro Forma'!PBO66:PBP66))</f>
        <v>0</v>
      </c>
      <c r="PBS66" s="960">
        <f>MIN(PBS60-PBS62,'Sources and Uses Budget'!PBS108-SUM('15 Year Pro Forma'!PBQ66:PBR66))</f>
        <v>0</v>
      </c>
      <c r="PBU66" s="960">
        <f>MIN(PBU60-PBU62,'Sources and Uses Budget'!PBU108-SUM('15 Year Pro Forma'!PBS66:PBT66))</f>
        <v>0</v>
      </c>
      <c r="PBW66" s="960">
        <f>MIN(PBW60-PBW62,'Sources and Uses Budget'!PBW108-SUM('15 Year Pro Forma'!PBU66:PBV66))</f>
        <v>0</v>
      </c>
      <c r="PBY66" s="960">
        <f>MIN(PBY60-PBY62,'Sources and Uses Budget'!PBY108-SUM('15 Year Pro Forma'!PBW66:PBX66))</f>
        <v>0</v>
      </c>
      <c r="PCA66" s="960">
        <f>MIN(PCA60-PCA62,'Sources and Uses Budget'!PCA108-SUM('15 Year Pro Forma'!PBY66:PBZ66))</f>
        <v>0</v>
      </c>
      <c r="PCC66" s="960">
        <f>MIN(PCC60-PCC62,'Sources and Uses Budget'!PCC108-SUM('15 Year Pro Forma'!PCA66:PCB66))</f>
        <v>0</v>
      </c>
      <c r="PCE66" s="960">
        <f>MIN(PCE60-PCE62,'Sources and Uses Budget'!PCE108-SUM('15 Year Pro Forma'!PCC66:PCD66))</f>
        <v>0</v>
      </c>
      <c r="PCG66" s="960">
        <f>MIN(PCG60-PCG62,'Sources and Uses Budget'!PCG108-SUM('15 Year Pro Forma'!PCE66:PCF66))</f>
        <v>0</v>
      </c>
      <c r="PCI66" s="960">
        <f>MIN(PCI60-PCI62,'Sources and Uses Budget'!PCI108-SUM('15 Year Pro Forma'!PCG66:PCH66))</f>
        <v>0</v>
      </c>
      <c r="PCK66" s="960">
        <f>MIN(PCK60-PCK62,'Sources and Uses Budget'!PCK108-SUM('15 Year Pro Forma'!PCI66:PCJ66))</f>
        <v>0</v>
      </c>
      <c r="PCM66" s="960">
        <f>MIN(PCM60-PCM62,'Sources and Uses Budget'!PCM108-SUM('15 Year Pro Forma'!PCK66:PCL66))</f>
        <v>0</v>
      </c>
      <c r="PCO66" s="960">
        <f>MIN(PCO60-PCO62,'Sources and Uses Budget'!PCO108-SUM('15 Year Pro Forma'!PCM66:PCN66))</f>
        <v>0</v>
      </c>
      <c r="PCQ66" s="960">
        <f>MIN(PCQ60-PCQ62,'Sources and Uses Budget'!PCQ108-SUM('15 Year Pro Forma'!PCO66:PCP66))</f>
        <v>0</v>
      </c>
      <c r="PCS66" s="960">
        <f>MIN(PCS60-PCS62,'Sources and Uses Budget'!PCS108-SUM('15 Year Pro Forma'!PCQ66:PCR66))</f>
        <v>0</v>
      </c>
      <c r="PCU66" s="960">
        <f>MIN(PCU60-PCU62,'Sources and Uses Budget'!PCU108-SUM('15 Year Pro Forma'!PCS66:PCT66))</f>
        <v>0</v>
      </c>
      <c r="PCW66" s="960">
        <f>MIN(PCW60-PCW62,'Sources and Uses Budget'!PCW108-SUM('15 Year Pro Forma'!PCU66:PCV66))</f>
        <v>0</v>
      </c>
      <c r="PCY66" s="960">
        <f>MIN(PCY60-PCY62,'Sources and Uses Budget'!PCY108-SUM('15 Year Pro Forma'!PCW66:PCX66))</f>
        <v>0</v>
      </c>
      <c r="PDA66" s="960">
        <f>MIN(PDA60-PDA62,'Sources and Uses Budget'!PDA108-SUM('15 Year Pro Forma'!PCY66:PCZ66))</f>
        <v>0</v>
      </c>
      <c r="PDC66" s="960">
        <f>MIN(PDC60-PDC62,'Sources and Uses Budget'!PDC108-SUM('15 Year Pro Forma'!PDA66:PDB66))</f>
        <v>0</v>
      </c>
      <c r="PDE66" s="960">
        <f>MIN(PDE60-PDE62,'Sources and Uses Budget'!PDE108-SUM('15 Year Pro Forma'!PDC66:PDD66))</f>
        <v>0</v>
      </c>
      <c r="PDG66" s="960">
        <f>MIN(PDG60-PDG62,'Sources and Uses Budget'!PDG108-SUM('15 Year Pro Forma'!PDE66:PDF66))</f>
        <v>0</v>
      </c>
      <c r="PDI66" s="960">
        <f>MIN(PDI60-PDI62,'Sources and Uses Budget'!PDI108-SUM('15 Year Pro Forma'!PDG66:PDH66))</f>
        <v>0</v>
      </c>
      <c r="PDK66" s="960">
        <f>MIN(PDK60-PDK62,'Sources and Uses Budget'!PDK108-SUM('15 Year Pro Forma'!PDI66:PDJ66))</f>
        <v>0</v>
      </c>
      <c r="PDM66" s="960">
        <f>MIN(PDM60-PDM62,'Sources and Uses Budget'!PDM108-SUM('15 Year Pro Forma'!PDK66:PDL66))</f>
        <v>0</v>
      </c>
      <c r="PDO66" s="960">
        <f>MIN(PDO60-PDO62,'Sources and Uses Budget'!PDO108-SUM('15 Year Pro Forma'!PDM66:PDN66))</f>
        <v>0</v>
      </c>
      <c r="PDQ66" s="960">
        <f>MIN(PDQ60-PDQ62,'Sources and Uses Budget'!PDQ108-SUM('15 Year Pro Forma'!PDO66:PDP66))</f>
        <v>0</v>
      </c>
      <c r="PDS66" s="960">
        <f>MIN(PDS60-PDS62,'Sources and Uses Budget'!PDS108-SUM('15 Year Pro Forma'!PDQ66:PDR66))</f>
        <v>0</v>
      </c>
      <c r="PDU66" s="960">
        <f>MIN(PDU60-PDU62,'Sources and Uses Budget'!PDU108-SUM('15 Year Pro Forma'!PDS66:PDT66))</f>
        <v>0</v>
      </c>
      <c r="PDW66" s="960">
        <f>MIN(PDW60-PDW62,'Sources and Uses Budget'!PDW108-SUM('15 Year Pro Forma'!PDU66:PDV66))</f>
        <v>0</v>
      </c>
      <c r="PDY66" s="960">
        <f>MIN(PDY60-PDY62,'Sources and Uses Budget'!PDY108-SUM('15 Year Pro Forma'!PDW66:PDX66))</f>
        <v>0</v>
      </c>
      <c r="PEA66" s="960">
        <f>MIN(PEA60-PEA62,'Sources and Uses Budget'!PEA108-SUM('15 Year Pro Forma'!PDY66:PDZ66))</f>
        <v>0</v>
      </c>
      <c r="PEC66" s="960">
        <f>MIN(PEC60-PEC62,'Sources and Uses Budget'!PEC108-SUM('15 Year Pro Forma'!PEA66:PEB66))</f>
        <v>0</v>
      </c>
      <c r="PEE66" s="960">
        <f>MIN(PEE60-PEE62,'Sources and Uses Budget'!PEE108-SUM('15 Year Pro Forma'!PEC66:PED66))</f>
        <v>0</v>
      </c>
      <c r="PEG66" s="960">
        <f>MIN(PEG60-PEG62,'Sources and Uses Budget'!PEG108-SUM('15 Year Pro Forma'!PEE66:PEF66))</f>
        <v>0</v>
      </c>
      <c r="PEI66" s="960">
        <f>MIN(PEI60-PEI62,'Sources and Uses Budget'!PEI108-SUM('15 Year Pro Forma'!PEG66:PEH66))</f>
        <v>0</v>
      </c>
      <c r="PEK66" s="960">
        <f>MIN(PEK60-PEK62,'Sources and Uses Budget'!PEK108-SUM('15 Year Pro Forma'!PEI66:PEJ66))</f>
        <v>0</v>
      </c>
      <c r="PEM66" s="960">
        <f>MIN(PEM60-PEM62,'Sources and Uses Budget'!PEM108-SUM('15 Year Pro Forma'!PEK66:PEL66))</f>
        <v>0</v>
      </c>
      <c r="PEO66" s="960">
        <f>MIN(PEO60-PEO62,'Sources and Uses Budget'!PEO108-SUM('15 Year Pro Forma'!PEM66:PEN66))</f>
        <v>0</v>
      </c>
      <c r="PEQ66" s="960">
        <f>MIN(PEQ60-PEQ62,'Sources and Uses Budget'!PEQ108-SUM('15 Year Pro Forma'!PEO66:PEP66))</f>
        <v>0</v>
      </c>
      <c r="PES66" s="960">
        <f>MIN(PES60-PES62,'Sources and Uses Budget'!PES108-SUM('15 Year Pro Forma'!PEQ66:PER66))</f>
        <v>0</v>
      </c>
      <c r="PEU66" s="960">
        <f>MIN(PEU60-PEU62,'Sources and Uses Budget'!PEU108-SUM('15 Year Pro Forma'!PES66:PET66))</f>
        <v>0</v>
      </c>
      <c r="PEW66" s="960">
        <f>MIN(PEW60-PEW62,'Sources and Uses Budget'!PEW108-SUM('15 Year Pro Forma'!PEU66:PEV66))</f>
        <v>0</v>
      </c>
      <c r="PEY66" s="960">
        <f>MIN(PEY60-PEY62,'Sources and Uses Budget'!PEY108-SUM('15 Year Pro Forma'!PEW66:PEX66))</f>
        <v>0</v>
      </c>
      <c r="PFA66" s="960">
        <f>MIN(PFA60-PFA62,'Sources and Uses Budget'!PFA108-SUM('15 Year Pro Forma'!PEY66:PEZ66))</f>
        <v>0</v>
      </c>
      <c r="PFC66" s="960">
        <f>MIN(PFC60-PFC62,'Sources and Uses Budget'!PFC108-SUM('15 Year Pro Forma'!PFA66:PFB66))</f>
        <v>0</v>
      </c>
      <c r="PFE66" s="960">
        <f>MIN(PFE60-PFE62,'Sources and Uses Budget'!PFE108-SUM('15 Year Pro Forma'!PFC66:PFD66))</f>
        <v>0</v>
      </c>
      <c r="PFG66" s="960">
        <f>MIN(PFG60-PFG62,'Sources and Uses Budget'!PFG108-SUM('15 Year Pro Forma'!PFE66:PFF66))</f>
        <v>0</v>
      </c>
      <c r="PFI66" s="960">
        <f>MIN(PFI60-PFI62,'Sources and Uses Budget'!PFI108-SUM('15 Year Pro Forma'!PFG66:PFH66))</f>
        <v>0</v>
      </c>
      <c r="PFK66" s="960">
        <f>MIN(PFK60-PFK62,'Sources and Uses Budget'!PFK108-SUM('15 Year Pro Forma'!PFI66:PFJ66))</f>
        <v>0</v>
      </c>
      <c r="PFM66" s="960">
        <f>MIN(PFM60-PFM62,'Sources and Uses Budget'!PFM108-SUM('15 Year Pro Forma'!PFK66:PFL66))</f>
        <v>0</v>
      </c>
      <c r="PFO66" s="960">
        <f>MIN(PFO60-PFO62,'Sources and Uses Budget'!PFO108-SUM('15 Year Pro Forma'!PFM66:PFN66))</f>
        <v>0</v>
      </c>
      <c r="PFQ66" s="960">
        <f>MIN(PFQ60-PFQ62,'Sources and Uses Budget'!PFQ108-SUM('15 Year Pro Forma'!PFO66:PFP66))</f>
        <v>0</v>
      </c>
      <c r="PFS66" s="960">
        <f>MIN(PFS60-PFS62,'Sources and Uses Budget'!PFS108-SUM('15 Year Pro Forma'!PFQ66:PFR66))</f>
        <v>0</v>
      </c>
      <c r="PFU66" s="960">
        <f>MIN(PFU60-PFU62,'Sources and Uses Budget'!PFU108-SUM('15 Year Pro Forma'!PFS66:PFT66))</f>
        <v>0</v>
      </c>
      <c r="PFW66" s="960">
        <f>MIN(PFW60-PFW62,'Sources and Uses Budget'!PFW108-SUM('15 Year Pro Forma'!PFU66:PFV66))</f>
        <v>0</v>
      </c>
      <c r="PFY66" s="960">
        <f>MIN(PFY60-PFY62,'Sources and Uses Budget'!PFY108-SUM('15 Year Pro Forma'!PFW66:PFX66))</f>
        <v>0</v>
      </c>
      <c r="PGA66" s="960">
        <f>MIN(PGA60-PGA62,'Sources and Uses Budget'!PGA108-SUM('15 Year Pro Forma'!PFY66:PFZ66))</f>
        <v>0</v>
      </c>
      <c r="PGC66" s="960">
        <f>MIN(PGC60-PGC62,'Sources and Uses Budget'!PGC108-SUM('15 Year Pro Forma'!PGA66:PGB66))</f>
        <v>0</v>
      </c>
      <c r="PGE66" s="960">
        <f>MIN(PGE60-PGE62,'Sources and Uses Budget'!PGE108-SUM('15 Year Pro Forma'!PGC66:PGD66))</f>
        <v>0</v>
      </c>
      <c r="PGG66" s="960">
        <f>MIN(PGG60-PGG62,'Sources and Uses Budget'!PGG108-SUM('15 Year Pro Forma'!PGE66:PGF66))</f>
        <v>0</v>
      </c>
      <c r="PGI66" s="960">
        <f>MIN(PGI60-PGI62,'Sources and Uses Budget'!PGI108-SUM('15 Year Pro Forma'!PGG66:PGH66))</f>
        <v>0</v>
      </c>
      <c r="PGK66" s="960">
        <f>MIN(PGK60-PGK62,'Sources and Uses Budget'!PGK108-SUM('15 Year Pro Forma'!PGI66:PGJ66))</f>
        <v>0</v>
      </c>
      <c r="PGM66" s="960">
        <f>MIN(PGM60-PGM62,'Sources and Uses Budget'!PGM108-SUM('15 Year Pro Forma'!PGK66:PGL66))</f>
        <v>0</v>
      </c>
      <c r="PGO66" s="960">
        <f>MIN(PGO60-PGO62,'Sources and Uses Budget'!PGO108-SUM('15 Year Pro Forma'!PGM66:PGN66))</f>
        <v>0</v>
      </c>
      <c r="PGQ66" s="960">
        <f>MIN(PGQ60-PGQ62,'Sources and Uses Budget'!PGQ108-SUM('15 Year Pro Forma'!PGO66:PGP66))</f>
        <v>0</v>
      </c>
      <c r="PGS66" s="960">
        <f>MIN(PGS60-PGS62,'Sources and Uses Budget'!PGS108-SUM('15 Year Pro Forma'!PGQ66:PGR66))</f>
        <v>0</v>
      </c>
      <c r="PGU66" s="960">
        <f>MIN(PGU60-PGU62,'Sources and Uses Budget'!PGU108-SUM('15 Year Pro Forma'!PGS66:PGT66))</f>
        <v>0</v>
      </c>
      <c r="PGW66" s="960">
        <f>MIN(PGW60-PGW62,'Sources and Uses Budget'!PGW108-SUM('15 Year Pro Forma'!PGU66:PGV66))</f>
        <v>0</v>
      </c>
      <c r="PGY66" s="960">
        <f>MIN(PGY60-PGY62,'Sources and Uses Budget'!PGY108-SUM('15 Year Pro Forma'!PGW66:PGX66))</f>
        <v>0</v>
      </c>
      <c r="PHA66" s="960">
        <f>MIN(PHA60-PHA62,'Sources and Uses Budget'!PHA108-SUM('15 Year Pro Forma'!PGY66:PGZ66))</f>
        <v>0</v>
      </c>
      <c r="PHC66" s="960">
        <f>MIN(PHC60-PHC62,'Sources and Uses Budget'!PHC108-SUM('15 Year Pro Forma'!PHA66:PHB66))</f>
        <v>0</v>
      </c>
      <c r="PHE66" s="960">
        <f>MIN(PHE60-PHE62,'Sources and Uses Budget'!PHE108-SUM('15 Year Pro Forma'!PHC66:PHD66))</f>
        <v>0</v>
      </c>
      <c r="PHG66" s="960">
        <f>MIN(PHG60-PHG62,'Sources and Uses Budget'!PHG108-SUM('15 Year Pro Forma'!PHE66:PHF66))</f>
        <v>0</v>
      </c>
      <c r="PHI66" s="960">
        <f>MIN(PHI60-PHI62,'Sources and Uses Budget'!PHI108-SUM('15 Year Pro Forma'!PHG66:PHH66))</f>
        <v>0</v>
      </c>
      <c r="PHK66" s="960">
        <f>MIN(PHK60-PHK62,'Sources and Uses Budget'!PHK108-SUM('15 Year Pro Forma'!PHI66:PHJ66))</f>
        <v>0</v>
      </c>
      <c r="PHM66" s="960">
        <f>MIN(PHM60-PHM62,'Sources and Uses Budget'!PHM108-SUM('15 Year Pro Forma'!PHK66:PHL66))</f>
        <v>0</v>
      </c>
      <c r="PHO66" s="960">
        <f>MIN(PHO60-PHO62,'Sources and Uses Budget'!PHO108-SUM('15 Year Pro Forma'!PHM66:PHN66))</f>
        <v>0</v>
      </c>
      <c r="PHQ66" s="960">
        <f>MIN(PHQ60-PHQ62,'Sources and Uses Budget'!PHQ108-SUM('15 Year Pro Forma'!PHO66:PHP66))</f>
        <v>0</v>
      </c>
      <c r="PHS66" s="960">
        <f>MIN(PHS60-PHS62,'Sources and Uses Budget'!PHS108-SUM('15 Year Pro Forma'!PHQ66:PHR66))</f>
        <v>0</v>
      </c>
      <c r="PHU66" s="960">
        <f>MIN(PHU60-PHU62,'Sources and Uses Budget'!PHU108-SUM('15 Year Pro Forma'!PHS66:PHT66))</f>
        <v>0</v>
      </c>
      <c r="PHW66" s="960">
        <f>MIN(PHW60-PHW62,'Sources and Uses Budget'!PHW108-SUM('15 Year Pro Forma'!PHU66:PHV66))</f>
        <v>0</v>
      </c>
      <c r="PHY66" s="960">
        <f>MIN(PHY60-PHY62,'Sources and Uses Budget'!PHY108-SUM('15 Year Pro Forma'!PHW66:PHX66))</f>
        <v>0</v>
      </c>
      <c r="PIA66" s="960">
        <f>MIN(PIA60-PIA62,'Sources and Uses Budget'!PIA108-SUM('15 Year Pro Forma'!PHY66:PHZ66))</f>
        <v>0</v>
      </c>
      <c r="PIC66" s="960">
        <f>MIN(PIC60-PIC62,'Sources and Uses Budget'!PIC108-SUM('15 Year Pro Forma'!PIA66:PIB66))</f>
        <v>0</v>
      </c>
      <c r="PIE66" s="960">
        <f>MIN(PIE60-PIE62,'Sources and Uses Budget'!PIE108-SUM('15 Year Pro Forma'!PIC66:PID66))</f>
        <v>0</v>
      </c>
      <c r="PIG66" s="960">
        <f>MIN(PIG60-PIG62,'Sources and Uses Budget'!PIG108-SUM('15 Year Pro Forma'!PIE66:PIF66))</f>
        <v>0</v>
      </c>
      <c r="PII66" s="960">
        <f>MIN(PII60-PII62,'Sources and Uses Budget'!PII108-SUM('15 Year Pro Forma'!PIG66:PIH66))</f>
        <v>0</v>
      </c>
      <c r="PIK66" s="960">
        <f>MIN(PIK60-PIK62,'Sources and Uses Budget'!PIK108-SUM('15 Year Pro Forma'!PII66:PIJ66))</f>
        <v>0</v>
      </c>
      <c r="PIM66" s="960">
        <f>MIN(PIM60-PIM62,'Sources and Uses Budget'!PIM108-SUM('15 Year Pro Forma'!PIK66:PIL66))</f>
        <v>0</v>
      </c>
      <c r="PIO66" s="960">
        <f>MIN(PIO60-PIO62,'Sources and Uses Budget'!PIO108-SUM('15 Year Pro Forma'!PIM66:PIN66))</f>
        <v>0</v>
      </c>
      <c r="PIQ66" s="960">
        <f>MIN(PIQ60-PIQ62,'Sources and Uses Budget'!PIQ108-SUM('15 Year Pro Forma'!PIO66:PIP66))</f>
        <v>0</v>
      </c>
      <c r="PIS66" s="960">
        <f>MIN(PIS60-PIS62,'Sources and Uses Budget'!PIS108-SUM('15 Year Pro Forma'!PIQ66:PIR66))</f>
        <v>0</v>
      </c>
      <c r="PIU66" s="960">
        <f>MIN(PIU60-PIU62,'Sources and Uses Budget'!PIU108-SUM('15 Year Pro Forma'!PIS66:PIT66))</f>
        <v>0</v>
      </c>
      <c r="PIW66" s="960">
        <f>MIN(PIW60-PIW62,'Sources and Uses Budget'!PIW108-SUM('15 Year Pro Forma'!PIU66:PIV66))</f>
        <v>0</v>
      </c>
      <c r="PIY66" s="960">
        <f>MIN(PIY60-PIY62,'Sources and Uses Budget'!PIY108-SUM('15 Year Pro Forma'!PIW66:PIX66))</f>
        <v>0</v>
      </c>
      <c r="PJA66" s="960">
        <f>MIN(PJA60-PJA62,'Sources and Uses Budget'!PJA108-SUM('15 Year Pro Forma'!PIY66:PIZ66))</f>
        <v>0</v>
      </c>
      <c r="PJC66" s="960">
        <f>MIN(PJC60-PJC62,'Sources and Uses Budget'!PJC108-SUM('15 Year Pro Forma'!PJA66:PJB66))</f>
        <v>0</v>
      </c>
      <c r="PJE66" s="960">
        <f>MIN(PJE60-PJE62,'Sources and Uses Budget'!PJE108-SUM('15 Year Pro Forma'!PJC66:PJD66))</f>
        <v>0</v>
      </c>
      <c r="PJG66" s="960">
        <f>MIN(PJG60-PJG62,'Sources and Uses Budget'!PJG108-SUM('15 Year Pro Forma'!PJE66:PJF66))</f>
        <v>0</v>
      </c>
      <c r="PJI66" s="960">
        <f>MIN(PJI60-PJI62,'Sources and Uses Budget'!PJI108-SUM('15 Year Pro Forma'!PJG66:PJH66))</f>
        <v>0</v>
      </c>
      <c r="PJK66" s="960">
        <f>MIN(PJK60-PJK62,'Sources and Uses Budget'!PJK108-SUM('15 Year Pro Forma'!PJI66:PJJ66))</f>
        <v>0</v>
      </c>
      <c r="PJM66" s="960">
        <f>MIN(PJM60-PJM62,'Sources and Uses Budget'!PJM108-SUM('15 Year Pro Forma'!PJK66:PJL66))</f>
        <v>0</v>
      </c>
      <c r="PJO66" s="960">
        <f>MIN(PJO60-PJO62,'Sources and Uses Budget'!PJO108-SUM('15 Year Pro Forma'!PJM66:PJN66))</f>
        <v>0</v>
      </c>
      <c r="PJQ66" s="960">
        <f>MIN(PJQ60-PJQ62,'Sources and Uses Budget'!PJQ108-SUM('15 Year Pro Forma'!PJO66:PJP66))</f>
        <v>0</v>
      </c>
      <c r="PJS66" s="960">
        <f>MIN(PJS60-PJS62,'Sources and Uses Budget'!PJS108-SUM('15 Year Pro Forma'!PJQ66:PJR66))</f>
        <v>0</v>
      </c>
      <c r="PJU66" s="960">
        <f>MIN(PJU60-PJU62,'Sources and Uses Budget'!PJU108-SUM('15 Year Pro Forma'!PJS66:PJT66))</f>
        <v>0</v>
      </c>
      <c r="PJW66" s="960">
        <f>MIN(PJW60-PJW62,'Sources and Uses Budget'!PJW108-SUM('15 Year Pro Forma'!PJU66:PJV66))</f>
        <v>0</v>
      </c>
      <c r="PJY66" s="960">
        <f>MIN(PJY60-PJY62,'Sources and Uses Budget'!PJY108-SUM('15 Year Pro Forma'!PJW66:PJX66))</f>
        <v>0</v>
      </c>
      <c r="PKA66" s="960">
        <f>MIN(PKA60-PKA62,'Sources and Uses Budget'!PKA108-SUM('15 Year Pro Forma'!PJY66:PJZ66))</f>
        <v>0</v>
      </c>
      <c r="PKC66" s="960">
        <f>MIN(PKC60-PKC62,'Sources and Uses Budget'!PKC108-SUM('15 Year Pro Forma'!PKA66:PKB66))</f>
        <v>0</v>
      </c>
      <c r="PKE66" s="960">
        <f>MIN(PKE60-PKE62,'Sources and Uses Budget'!PKE108-SUM('15 Year Pro Forma'!PKC66:PKD66))</f>
        <v>0</v>
      </c>
      <c r="PKG66" s="960">
        <f>MIN(PKG60-PKG62,'Sources and Uses Budget'!PKG108-SUM('15 Year Pro Forma'!PKE66:PKF66))</f>
        <v>0</v>
      </c>
      <c r="PKI66" s="960">
        <f>MIN(PKI60-PKI62,'Sources and Uses Budget'!PKI108-SUM('15 Year Pro Forma'!PKG66:PKH66))</f>
        <v>0</v>
      </c>
      <c r="PKK66" s="960">
        <f>MIN(PKK60-PKK62,'Sources and Uses Budget'!PKK108-SUM('15 Year Pro Forma'!PKI66:PKJ66))</f>
        <v>0</v>
      </c>
      <c r="PKM66" s="960">
        <f>MIN(PKM60-PKM62,'Sources and Uses Budget'!PKM108-SUM('15 Year Pro Forma'!PKK66:PKL66))</f>
        <v>0</v>
      </c>
      <c r="PKO66" s="960">
        <f>MIN(PKO60-PKO62,'Sources and Uses Budget'!PKO108-SUM('15 Year Pro Forma'!PKM66:PKN66))</f>
        <v>0</v>
      </c>
      <c r="PKQ66" s="960">
        <f>MIN(PKQ60-PKQ62,'Sources and Uses Budget'!PKQ108-SUM('15 Year Pro Forma'!PKO66:PKP66))</f>
        <v>0</v>
      </c>
      <c r="PKS66" s="960">
        <f>MIN(PKS60-PKS62,'Sources and Uses Budget'!PKS108-SUM('15 Year Pro Forma'!PKQ66:PKR66))</f>
        <v>0</v>
      </c>
      <c r="PKU66" s="960">
        <f>MIN(PKU60-PKU62,'Sources and Uses Budget'!PKU108-SUM('15 Year Pro Forma'!PKS66:PKT66))</f>
        <v>0</v>
      </c>
      <c r="PKW66" s="960">
        <f>MIN(PKW60-PKW62,'Sources and Uses Budget'!PKW108-SUM('15 Year Pro Forma'!PKU66:PKV66))</f>
        <v>0</v>
      </c>
      <c r="PKY66" s="960">
        <f>MIN(PKY60-PKY62,'Sources and Uses Budget'!PKY108-SUM('15 Year Pro Forma'!PKW66:PKX66))</f>
        <v>0</v>
      </c>
      <c r="PLA66" s="960">
        <f>MIN(PLA60-PLA62,'Sources and Uses Budget'!PLA108-SUM('15 Year Pro Forma'!PKY66:PKZ66))</f>
        <v>0</v>
      </c>
      <c r="PLC66" s="960">
        <f>MIN(PLC60-PLC62,'Sources and Uses Budget'!PLC108-SUM('15 Year Pro Forma'!PLA66:PLB66))</f>
        <v>0</v>
      </c>
      <c r="PLE66" s="960">
        <f>MIN(PLE60-PLE62,'Sources and Uses Budget'!PLE108-SUM('15 Year Pro Forma'!PLC66:PLD66))</f>
        <v>0</v>
      </c>
      <c r="PLG66" s="960">
        <f>MIN(PLG60-PLG62,'Sources and Uses Budget'!PLG108-SUM('15 Year Pro Forma'!PLE66:PLF66))</f>
        <v>0</v>
      </c>
      <c r="PLI66" s="960">
        <f>MIN(PLI60-PLI62,'Sources and Uses Budget'!PLI108-SUM('15 Year Pro Forma'!PLG66:PLH66))</f>
        <v>0</v>
      </c>
      <c r="PLK66" s="960">
        <f>MIN(PLK60-PLK62,'Sources and Uses Budget'!PLK108-SUM('15 Year Pro Forma'!PLI66:PLJ66))</f>
        <v>0</v>
      </c>
      <c r="PLM66" s="960">
        <f>MIN(PLM60-PLM62,'Sources and Uses Budget'!PLM108-SUM('15 Year Pro Forma'!PLK66:PLL66))</f>
        <v>0</v>
      </c>
      <c r="PLO66" s="960">
        <f>MIN(PLO60-PLO62,'Sources and Uses Budget'!PLO108-SUM('15 Year Pro Forma'!PLM66:PLN66))</f>
        <v>0</v>
      </c>
      <c r="PLQ66" s="960">
        <f>MIN(PLQ60-PLQ62,'Sources and Uses Budget'!PLQ108-SUM('15 Year Pro Forma'!PLO66:PLP66))</f>
        <v>0</v>
      </c>
      <c r="PLS66" s="960">
        <f>MIN(PLS60-PLS62,'Sources and Uses Budget'!PLS108-SUM('15 Year Pro Forma'!PLQ66:PLR66))</f>
        <v>0</v>
      </c>
      <c r="PLU66" s="960">
        <f>MIN(PLU60-PLU62,'Sources and Uses Budget'!PLU108-SUM('15 Year Pro Forma'!PLS66:PLT66))</f>
        <v>0</v>
      </c>
      <c r="PLW66" s="960">
        <f>MIN(PLW60-PLW62,'Sources and Uses Budget'!PLW108-SUM('15 Year Pro Forma'!PLU66:PLV66))</f>
        <v>0</v>
      </c>
      <c r="PLY66" s="960">
        <f>MIN(PLY60-PLY62,'Sources and Uses Budget'!PLY108-SUM('15 Year Pro Forma'!PLW66:PLX66))</f>
        <v>0</v>
      </c>
      <c r="PMA66" s="960">
        <f>MIN(PMA60-PMA62,'Sources and Uses Budget'!PMA108-SUM('15 Year Pro Forma'!PLY66:PLZ66))</f>
        <v>0</v>
      </c>
      <c r="PMC66" s="960">
        <f>MIN(PMC60-PMC62,'Sources and Uses Budget'!PMC108-SUM('15 Year Pro Forma'!PMA66:PMB66))</f>
        <v>0</v>
      </c>
      <c r="PME66" s="960">
        <f>MIN(PME60-PME62,'Sources and Uses Budget'!PME108-SUM('15 Year Pro Forma'!PMC66:PMD66))</f>
        <v>0</v>
      </c>
      <c r="PMG66" s="960">
        <f>MIN(PMG60-PMG62,'Sources and Uses Budget'!PMG108-SUM('15 Year Pro Forma'!PME66:PMF66))</f>
        <v>0</v>
      </c>
      <c r="PMI66" s="960">
        <f>MIN(PMI60-PMI62,'Sources and Uses Budget'!PMI108-SUM('15 Year Pro Forma'!PMG66:PMH66))</f>
        <v>0</v>
      </c>
      <c r="PMK66" s="960">
        <f>MIN(PMK60-PMK62,'Sources and Uses Budget'!PMK108-SUM('15 Year Pro Forma'!PMI66:PMJ66))</f>
        <v>0</v>
      </c>
      <c r="PMM66" s="960">
        <f>MIN(PMM60-PMM62,'Sources and Uses Budget'!PMM108-SUM('15 Year Pro Forma'!PMK66:PML66))</f>
        <v>0</v>
      </c>
      <c r="PMO66" s="960">
        <f>MIN(PMO60-PMO62,'Sources and Uses Budget'!PMO108-SUM('15 Year Pro Forma'!PMM66:PMN66))</f>
        <v>0</v>
      </c>
      <c r="PMQ66" s="960">
        <f>MIN(PMQ60-PMQ62,'Sources and Uses Budget'!PMQ108-SUM('15 Year Pro Forma'!PMO66:PMP66))</f>
        <v>0</v>
      </c>
      <c r="PMS66" s="960">
        <f>MIN(PMS60-PMS62,'Sources and Uses Budget'!PMS108-SUM('15 Year Pro Forma'!PMQ66:PMR66))</f>
        <v>0</v>
      </c>
      <c r="PMU66" s="960">
        <f>MIN(PMU60-PMU62,'Sources and Uses Budget'!PMU108-SUM('15 Year Pro Forma'!PMS66:PMT66))</f>
        <v>0</v>
      </c>
      <c r="PMW66" s="960">
        <f>MIN(PMW60-PMW62,'Sources and Uses Budget'!PMW108-SUM('15 Year Pro Forma'!PMU66:PMV66))</f>
        <v>0</v>
      </c>
      <c r="PMY66" s="960">
        <f>MIN(PMY60-PMY62,'Sources and Uses Budget'!PMY108-SUM('15 Year Pro Forma'!PMW66:PMX66))</f>
        <v>0</v>
      </c>
      <c r="PNA66" s="960">
        <f>MIN(PNA60-PNA62,'Sources and Uses Budget'!PNA108-SUM('15 Year Pro Forma'!PMY66:PMZ66))</f>
        <v>0</v>
      </c>
      <c r="PNC66" s="960">
        <f>MIN(PNC60-PNC62,'Sources and Uses Budget'!PNC108-SUM('15 Year Pro Forma'!PNA66:PNB66))</f>
        <v>0</v>
      </c>
      <c r="PNE66" s="960">
        <f>MIN(PNE60-PNE62,'Sources and Uses Budget'!PNE108-SUM('15 Year Pro Forma'!PNC66:PND66))</f>
        <v>0</v>
      </c>
      <c r="PNG66" s="960">
        <f>MIN(PNG60-PNG62,'Sources and Uses Budget'!PNG108-SUM('15 Year Pro Forma'!PNE66:PNF66))</f>
        <v>0</v>
      </c>
      <c r="PNI66" s="960">
        <f>MIN(PNI60-PNI62,'Sources and Uses Budget'!PNI108-SUM('15 Year Pro Forma'!PNG66:PNH66))</f>
        <v>0</v>
      </c>
      <c r="PNK66" s="960">
        <f>MIN(PNK60-PNK62,'Sources and Uses Budget'!PNK108-SUM('15 Year Pro Forma'!PNI66:PNJ66))</f>
        <v>0</v>
      </c>
      <c r="PNM66" s="960">
        <f>MIN(PNM60-PNM62,'Sources and Uses Budget'!PNM108-SUM('15 Year Pro Forma'!PNK66:PNL66))</f>
        <v>0</v>
      </c>
      <c r="PNO66" s="960">
        <f>MIN(PNO60-PNO62,'Sources and Uses Budget'!PNO108-SUM('15 Year Pro Forma'!PNM66:PNN66))</f>
        <v>0</v>
      </c>
      <c r="PNQ66" s="960">
        <f>MIN(PNQ60-PNQ62,'Sources and Uses Budget'!PNQ108-SUM('15 Year Pro Forma'!PNO66:PNP66))</f>
        <v>0</v>
      </c>
      <c r="PNS66" s="960">
        <f>MIN(PNS60-PNS62,'Sources and Uses Budget'!PNS108-SUM('15 Year Pro Forma'!PNQ66:PNR66))</f>
        <v>0</v>
      </c>
      <c r="PNU66" s="960">
        <f>MIN(PNU60-PNU62,'Sources and Uses Budget'!PNU108-SUM('15 Year Pro Forma'!PNS66:PNT66))</f>
        <v>0</v>
      </c>
      <c r="PNW66" s="960">
        <f>MIN(PNW60-PNW62,'Sources and Uses Budget'!PNW108-SUM('15 Year Pro Forma'!PNU66:PNV66))</f>
        <v>0</v>
      </c>
      <c r="PNY66" s="960">
        <f>MIN(PNY60-PNY62,'Sources and Uses Budget'!PNY108-SUM('15 Year Pro Forma'!PNW66:PNX66))</f>
        <v>0</v>
      </c>
      <c r="POA66" s="960">
        <f>MIN(POA60-POA62,'Sources and Uses Budget'!POA108-SUM('15 Year Pro Forma'!PNY66:PNZ66))</f>
        <v>0</v>
      </c>
      <c r="POC66" s="960">
        <f>MIN(POC60-POC62,'Sources and Uses Budget'!POC108-SUM('15 Year Pro Forma'!POA66:POB66))</f>
        <v>0</v>
      </c>
      <c r="POE66" s="960">
        <f>MIN(POE60-POE62,'Sources and Uses Budget'!POE108-SUM('15 Year Pro Forma'!POC66:POD66))</f>
        <v>0</v>
      </c>
      <c r="POG66" s="960">
        <f>MIN(POG60-POG62,'Sources and Uses Budget'!POG108-SUM('15 Year Pro Forma'!POE66:POF66))</f>
        <v>0</v>
      </c>
      <c r="POI66" s="960">
        <f>MIN(POI60-POI62,'Sources and Uses Budget'!POI108-SUM('15 Year Pro Forma'!POG66:POH66))</f>
        <v>0</v>
      </c>
      <c r="POK66" s="960">
        <f>MIN(POK60-POK62,'Sources and Uses Budget'!POK108-SUM('15 Year Pro Forma'!POI66:POJ66))</f>
        <v>0</v>
      </c>
      <c r="POM66" s="960">
        <f>MIN(POM60-POM62,'Sources and Uses Budget'!POM108-SUM('15 Year Pro Forma'!POK66:POL66))</f>
        <v>0</v>
      </c>
      <c r="POO66" s="960">
        <f>MIN(POO60-POO62,'Sources and Uses Budget'!POO108-SUM('15 Year Pro Forma'!POM66:PON66))</f>
        <v>0</v>
      </c>
      <c r="POQ66" s="960">
        <f>MIN(POQ60-POQ62,'Sources and Uses Budget'!POQ108-SUM('15 Year Pro Forma'!POO66:POP66))</f>
        <v>0</v>
      </c>
      <c r="POS66" s="960">
        <f>MIN(POS60-POS62,'Sources and Uses Budget'!POS108-SUM('15 Year Pro Forma'!POQ66:POR66))</f>
        <v>0</v>
      </c>
      <c r="POU66" s="960">
        <f>MIN(POU60-POU62,'Sources and Uses Budget'!POU108-SUM('15 Year Pro Forma'!POS66:POT66))</f>
        <v>0</v>
      </c>
      <c r="POW66" s="960">
        <f>MIN(POW60-POW62,'Sources and Uses Budget'!POW108-SUM('15 Year Pro Forma'!POU66:POV66))</f>
        <v>0</v>
      </c>
      <c r="POY66" s="960">
        <f>MIN(POY60-POY62,'Sources and Uses Budget'!POY108-SUM('15 Year Pro Forma'!POW66:POX66))</f>
        <v>0</v>
      </c>
      <c r="PPA66" s="960">
        <f>MIN(PPA60-PPA62,'Sources and Uses Budget'!PPA108-SUM('15 Year Pro Forma'!POY66:POZ66))</f>
        <v>0</v>
      </c>
      <c r="PPC66" s="960">
        <f>MIN(PPC60-PPC62,'Sources and Uses Budget'!PPC108-SUM('15 Year Pro Forma'!PPA66:PPB66))</f>
        <v>0</v>
      </c>
      <c r="PPE66" s="960">
        <f>MIN(PPE60-PPE62,'Sources and Uses Budget'!PPE108-SUM('15 Year Pro Forma'!PPC66:PPD66))</f>
        <v>0</v>
      </c>
      <c r="PPG66" s="960">
        <f>MIN(PPG60-PPG62,'Sources and Uses Budget'!PPG108-SUM('15 Year Pro Forma'!PPE66:PPF66))</f>
        <v>0</v>
      </c>
      <c r="PPI66" s="960">
        <f>MIN(PPI60-PPI62,'Sources and Uses Budget'!PPI108-SUM('15 Year Pro Forma'!PPG66:PPH66))</f>
        <v>0</v>
      </c>
      <c r="PPK66" s="960">
        <f>MIN(PPK60-PPK62,'Sources and Uses Budget'!PPK108-SUM('15 Year Pro Forma'!PPI66:PPJ66))</f>
        <v>0</v>
      </c>
      <c r="PPM66" s="960">
        <f>MIN(PPM60-PPM62,'Sources and Uses Budget'!PPM108-SUM('15 Year Pro Forma'!PPK66:PPL66))</f>
        <v>0</v>
      </c>
      <c r="PPO66" s="960">
        <f>MIN(PPO60-PPO62,'Sources and Uses Budget'!PPO108-SUM('15 Year Pro Forma'!PPM66:PPN66))</f>
        <v>0</v>
      </c>
      <c r="PPQ66" s="960">
        <f>MIN(PPQ60-PPQ62,'Sources and Uses Budget'!PPQ108-SUM('15 Year Pro Forma'!PPO66:PPP66))</f>
        <v>0</v>
      </c>
      <c r="PPS66" s="960">
        <f>MIN(PPS60-PPS62,'Sources and Uses Budget'!PPS108-SUM('15 Year Pro Forma'!PPQ66:PPR66))</f>
        <v>0</v>
      </c>
      <c r="PPU66" s="960">
        <f>MIN(PPU60-PPU62,'Sources and Uses Budget'!PPU108-SUM('15 Year Pro Forma'!PPS66:PPT66))</f>
        <v>0</v>
      </c>
      <c r="PPW66" s="960">
        <f>MIN(PPW60-PPW62,'Sources and Uses Budget'!PPW108-SUM('15 Year Pro Forma'!PPU66:PPV66))</f>
        <v>0</v>
      </c>
      <c r="PPY66" s="960">
        <f>MIN(PPY60-PPY62,'Sources and Uses Budget'!PPY108-SUM('15 Year Pro Forma'!PPW66:PPX66))</f>
        <v>0</v>
      </c>
      <c r="PQA66" s="960">
        <f>MIN(PQA60-PQA62,'Sources and Uses Budget'!PQA108-SUM('15 Year Pro Forma'!PPY66:PPZ66))</f>
        <v>0</v>
      </c>
      <c r="PQC66" s="960">
        <f>MIN(PQC60-PQC62,'Sources and Uses Budget'!PQC108-SUM('15 Year Pro Forma'!PQA66:PQB66))</f>
        <v>0</v>
      </c>
      <c r="PQE66" s="960">
        <f>MIN(PQE60-PQE62,'Sources and Uses Budget'!PQE108-SUM('15 Year Pro Forma'!PQC66:PQD66))</f>
        <v>0</v>
      </c>
      <c r="PQG66" s="960">
        <f>MIN(PQG60-PQG62,'Sources and Uses Budget'!PQG108-SUM('15 Year Pro Forma'!PQE66:PQF66))</f>
        <v>0</v>
      </c>
      <c r="PQI66" s="960">
        <f>MIN(PQI60-PQI62,'Sources and Uses Budget'!PQI108-SUM('15 Year Pro Forma'!PQG66:PQH66))</f>
        <v>0</v>
      </c>
      <c r="PQK66" s="960">
        <f>MIN(PQK60-PQK62,'Sources and Uses Budget'!PQK108-SUM('15 Year Pro Forma'!PQI66:PQJ66))</f>
        <v>0</v>
      </c>
      <c r="PQM66" s="960">
        <f>MIN(PQM60-PQM62,'Sources and Uses Budget'!PQM108-SUM('15 Year Pro Forma'!PQK66:PQL66))</f>
        <v>0</v>
      </c>
      <c r="PQO66" s="960">
        <f>MIN(PQO60-PQO62,'Sources and Uses Budget'!PQO108-SUM('15 Year Pro Forma'!PQM66:PQN66))</f>
        <v>0</v>
      </c>
      <c r="PQQ66" s="960">
        <f>MIN(PQQ60-PQQ62,'Sources and Uses Budget'!PQQ108-SUM('15 Year Pro Forma'!PQO66:PQP66))</f>
        <v>0</v>
      </c>
      <c r="PQS66" s="960">
        <f>MIN(PQS60-PQS62,'Sources and Uses Budget'!PQS108-SUM('15 Year Pro Forma'!PQQ66:PQR66))</f>
        <v>0</v>
      </c>
      <c r="PQU66" s="960">
        <f>MIN(PQU60-PQU62,'Sources and Uses Budget'!PQU108-SUM('15 Year Pro Forma'!PQS66:PQT66))</f>
        <v>0</v>
      </c>
      <c r="PQW66" s="960">
        <f>MIN(PQW60-PQW62,'Sources and Uses Budget'!PQW108-SUM('15 Year Pro Forma'!PQU66:PQV66))</f>
        <v>0</v>
      </c>
      <c r="PQY66" s="960">
        <f>MIN(PQY60-PQY62,'Sources and Uses Budget'!PQY108-SUM('15 Year Pro Forma'!PQW66:PQX66))</f>
        <v>0</v>
      </c>
      <c r="PRA66" s="960">
        <f>MIN(PRA60-PRA62,'Sources and Uses Budget'!PRA108-SUM('15 Year Pro Forma'!PQY66:PQZ66))</f>
        <v>0</v>
      </c>
      <c r="PRC66" s="960">
        <f>MIN(PRC60-PRC62,'Sources and Uses Budget'!PRC108-SUM('15 Year Pro Forma'!PRA66:PRB66))</f>
        <v>0</v>
      </c>
      <c r="PRE66" s="960">
        <f>MIN(PRE60-PRE62,'Sources and Uses Budget'!PRE108-SUM('15 Year Pro Forma'!PRC66:PRD66))</f>
        <v>0</v>
      </c>
      <c r="PRG66" s="960">
        <f>MIN(PRG60-PRG62,'Sources and Uses Budget'!PRG108-SUM('15 Year Pro Forma'!PRE66:PRF66))</f>
        <v>0</v>
      </c>
      <c r="PRI66" s="960">
        <f>MIN(PRI60-PRI62,'Sources and Uses Budget'!PRI108-SUM('15 Year Pro Forma'!PRG66:PRH66))</f>
        <v>0</v>
      </c>
      <c r="PRK66" s="960">
        <f>MIN(PRK60-PRK62,'Sources and Uses Budget'!PRK108-SUM('15 Year Pro Forma'!PRI66:PRJ66))</f>
        <v>0</v>
      </c>
      <c r="PRM66" s="960">
        <f>MIN(PRM60-PRM62,'Sources and Uses Budget'!PRM108-SUM('15 Year Pro Forma'!PRK66:PRL66))</f>
        <v>0</v>
      </c>
      <c r="PRO66" s="960">
        <f>MIN(PRO60-PRO62,'Sources and Uses Budget'!PRO108-SUM('15 Year Pro Forma'!PRM66:PRN66))</f>
        <v>0</v>
      </c>
      <c r="PRQ66" s="960">
        <f>MIN(PRQ60-PRQ62,'Sources and Uses Budget'!PRQ108-SUM('15 Year Pro Forma'!PRO66:PRP66))</f>
        <v>0</v>
      </c>
      <c r="PRS66" s="960">
        <f>MIN(PRS60-PRS62,'Sources and Uses Budget'!PRS108-SUM('15 Year Pro Forma'!PRQ66:PRR66))</f>
        <v>0</v>
      </c>
      <c r="PRU66" s="960">
        <f>MIN(PRU60-PRU62,'Sources and Uses Budget'!PRU108-SUM('15 Year Pro Forma'!PRS66:PRT66))</f>
        <v>0</v>
      </c>
      <c r="PRW66" s="960">
        <f>MIN(PRW60-PRW62,'Sources and Uses Budget'!PRW108-SUM('15 Year Pro Forma'!PRU66:PRV66))</f>
        <v>0</v>
      </c>
      <c r="PRY66" s="960">
        <f>MIN(PRY60-PRY62,'Sources and Uses Budget'!PRY108-SUM('15 Year Pro Forma'!PRW66:PRX66))</f>
        <v>0</v>
      </c>
      <c r="PSA66" s="960">
        <f>MIN(PSA60-PSA62,'Sources and Uses Budget'!PSA108-SUM('15 Year Pro Forma'!PRY66:PRZ66))</f>
        <v>0</v>
      </c>
      <c r="PSC66" s="960">
        <f>MIN(PSC60-PSC62,'Sources and Uses Budget'!PSC108-SUM('15 Year Pro Forma'!PSA66:PSB66))</f>
        <v>0</v>
      </c>
      <c r="PSE66" s="960">
        <f>MIN(PSE60-PSE62,'Sources and Uses Budget'!PSE108-SUM('15 Year Pro Forma'!PSC66:PSD66))</f>
        <v>0</v>
      </c>
      <c r="PSG66" s="960">
        <f>MIN(PSG60-PSG62,'Sources and Uses Budget'!PSG108-SUM('15 Year Pro Forma'!PSE66:PSF66))</f>
        <v>0</v>
      </c>
      <c r="PSI66" s="960">
        <f>MIN(PSI60-PSI62,'Sources and Uses Budget'!PSI108-SUM('15 Year Pro Forma'!PSG66:PSH66))</f>
        <v>0</v>
      </c>
      <c r="PSK66" s="960">
        <f>MIN(PSK60-PSK62,'Sources and Uses Budget'!PSK108-SUM('15 Year Pro Forma'!PSI66:PSJ66))</f>
        <v>0</v>
      </c>
      <c r="PSM66" s="960">
        <f>MIN(PSM60-PSM62,'Sources and Uses Budget'!PSM108-SUM('15 Year Pro Forma'!PSK66:PSL66))</f>
        <v>0</v>
      </c>
      <c r="PSO66" s="960">
        <f>MIN(PSO60-PSO62,'Sources and Uses Budget'!PSO108-SUM('15 Year Pro Forma'!PSM66:PSN66))</f>
        <v>0</v>
      </c>
      <c r="PSQ66" s="960">
        <f>MIN(PSQ60-PSQ62,'Sources and Uses Budget'!PSQ108-SUM('15 Year Pro Forma'!PSO66:PSP66))</f>
        <v>0</v>
      </c>
      <c r="PSS66" s="960">
        <f>MIN(PSS60-PSS62,'Sources and Uses Budget'!PSS108-SUM('15 Year Pro Forma'!PSQ66:PSR66))</f>
        <v>0</v>
      </c>
      <c r="PSU66" s="960">
        <f>MIN(PSU60-PSU62,'Sources and Uses Budget'!PSU108-SUM('15 Year Pro Forma'!PSS66:PST66))</f>
        <v>0</v>
      </c>
      <c r="PSW66" s="960">
        <f>MIN(PSW60-PSW62,'Sources and Uses Budget'!PSW108-SUM('15 Year Pro Forma'!PSU66:PSV66))</f>
        <v>0</v>
      </c>
      <c r="PSY66" s="960">
        <f>MIN(PSY60-PSY62,'Sources and Uses Budget'!PSY108-SUM('15 Year Pro Forma'!PSW66:PSX66))</f>
        <v>0</v>
      </c>
      <c r="PTA66" s="960">
        <f>MIN(PTA60-PTA62,'Sources and Uses Budget'!PTA108-SUM('15 Year Pro Forma'!PSY66:PSZ66))</f>
        <v>0</v>
      </c>
      <c r="PTC66" s="960">
        <f>MIN(PTC60-PTC62,'Sources and Uses Budget'!PTC108-SUM('15 Year Pro Forma'!PTA66:PTB66))</f>
        <v>0</v>
      </c>
      <c r="PTE66" s="960">
        <f>MIN(PTE60-PTE62,'Sources and Uses Budget'!PTE108-SUM('15 Year Pro Forma'!PTC66:PTD66))</f>
        <v>0</v>
      </c>
      <c r="PTG66" s="960">
        <f>MIN(PTG60-PTG62,'Sources and Uses Budget'!PTG108-SUM('15 Year Pro Forma'!PTE66:PTF66))</f>
        <v>0</v>
      </c>
      <c r="PTI66" s="960">
        <f>MIN(PTI60-PTI62,'Sources and Uses Budget'!PTI108-SUM('15 Year Pro Forma'!PTG66:PTH66))</f>
        <v>0</v>
      </c>
      <c r="PTK66" s="960">
        <f>MIN(PTK60-PTK62,'Sources and Uses Budget'!PTK108-SUM('15 Year Pro Forma'!PTI66:PTJ66))</f>
        <v>0</v>
      </c>
      <c r="PTM66" s="960">
        <f>MIN(PTM60-PTM62,'Sources and Uses Budget'!PTM108-SUM('15 Year Pro Forma'!PTK66:PTL66))</f>
        <v>0</v>
      </c>
      <c r="PTO66" s="960">
        <f>MIN(PTO60-PTO62,'Sources and Uses Budget'!PTO108-SUM('15 Year Pro Forma'!PTM66:PTN66))</f>
        <v>0</v>
      </c>
      <c r="PTQ66" s="960">
        <f>MIN(PTQ60-PTQ62,'Sources and Uses Budget'!PTQ108-SUM('15 Year Pro Forma'!PTO66:PTP66))</f>
        <v>0</v>
      </c>
      <c r="PTS66" s="960">
        <f>MIN(PTS60-PTS62,'Sources and Uses Budget'!PTS108-SUM('15 Year Pro Forma'!PTQ66:PTR66))</f>
        <v>0</v>
      </c>
      <c r="PTU66" s="960">
        <f>MIN(PTU60-PTU62,'Sources and Uses Budget'!PTU108-SUM('15 Year Pro Forma'!PTS66:PTT66))</f>
        <v>0</v>
      </c>
      <c r="PTW66" s="960">
        <f>MIN(PTW60-PTW62,'Sources and Uses Budget'!PTW108-SUM('15 Year Pro Forma'!PTU66:PTV66))</f>
        <v>0</v>
      </c>
      <c r="PTY66" s="960">
        <f>MIN(PTY60-PTY62,'Sources and Uses Budget'!PTY108-SUM('15 Year Pro Forma'!PTW66:PTX66))</f>
        <v>0</v>
      </c>
      <c r="PUA66" s="960">
        <f>MIN(PUA60-PUA62,'Sources and Uses Budget'!PUA108-SUM('15 Year Pro Forma'!PTY66:PTZ66))</f>
        <v>0</v>
      </c>
      <c r="PUC66" s="960">
        <f>MIN(PUC60-PUC62,'Sources and Uses Budget'!PUC108-SUM('15 Year Pro Forma'!PUA66:PUB66))</f>
        <v>0</v>
      </c>
      <c r="PUE66" s="960">
        <f>MIN(PUE60-PUE62,'Sources and Uses Budget'!PUE108-SUM('15 Year Pro Forma'!PUC66:PUD66))</f>
        <v>0</v>
      </c>
      <c r="PUG66" s="960">
        <f>MIN(PUG60-PUG62,'Sources and Uses Budget'!PUG108-SUM('15 Year Pro Forma'!PUE66:PUF66))</f>
        <v>0</v>
      </c>
      <c r="PUI66" s="960">
        <f>MIN(PUI60-PUI62,'Sources and Uses Budget'!PUI108-SUM('15 Year Pro Forma'!PUG66:PUH66))</f>
        <v>0</v>
      </c>
      <c r="PUK66" s="960">
        <f>MIN(PUK60-PUK62,'Sources and Uses Budget'!PUK108-SUM('15 Year Pro Forma'!PUI66:PUJ66))</f>
        <v>0</v>
      </c>
      <c r="PUM66" s="960">
        <f>MIN(PUM60-PUM62,'Sources and Uses Budget'!PUM108-SUM('15 Year Pro Forma'!PUK66:PUL66))</f>
        <v>0</v>
      </c>
      <c r="PUO66" s="960">
        <f>MIN(PUO60-PUO62,'Sources and Uses Budget'!PUO108-SUM('15 Year Pro Forma'!PUM66:PUN66))</f>
        <v>0</v>
      </c>
      <c r="PUQ66" s="960">
        <f>MIN(PUQ60-PUQ62,'Sources and Uses Budget'!PUQ108-SUM('15 Year Pro Forma'!PUO66:PUP66))</f>
        <v>0</v>
      </c>
      <c r="PUS66" s="960">
        <f>MIN(PUS60-PUS62,'Sources and Uses Budget'!PUS108-SUM('15 Year Pro Forma'!PUQ66:PUR66))</f>
        <v>0</v>
      </c>
      <c r="PUU66" s="960">
        <f>MIN(PUU60-PUU62,'Sources and Uses Budget'!PUU108-SUM('15 Year Pro Forma'!PUS66:PUT66))</f>
        <v>0</v>
      </c>
      <c r="PUW66" s="960">
        <f>MIN(PUW60-PUW62,'Sources and Uses Budget'!PUW108-SUM('15 Year Pro Forma'!PUU66:PUV66))</f>
        <v>0</v>
      </c>
      <c r="PUY66" s="960">
        <f>MIN(PUY60-PUY62,'Sources and Uses Budget'!PUY108-SUM('15 Year Pro Forma'!PUW66:PUX66))</f>
        <v>0</v>
      </c>
      <c r="PVA66" s="960">
        <f>MIN(PVA60-PVA62,'Sources and Uses Budget'!PVA108-SUM('15 Year Pro Forma'!PUY66:PUZ66))</f>
        <v>0</v>
      </c>
      <c r="PVC66" s="960">
        <f>MIN(PVC60-PVC62,'Sources and Uses Budget'!PVC108-SUM('15 Year Pro Forma'!PVA66:PVB66))</f>
        <v>0</v>
      </c>
      <c r="PVE66" s="960">
        <f>MIN(PVE60-PVE62,'Sources and Uses Budget'!PVE108-SUM('15 Year Pro Forma'!PVC66:PVD66))</f>
        <v>0</v>
      </c>
      <c r="PVG66" s="960">
        <f>MIN(PVG60-PVG62,'Sources and Uses Budget'!PVG108-SUM('15 Year Pro Forma'!PVE66:PVF66))</f>
        <v>0</v>
      </c>
      <c r="PVI66" s="960">
        <f>MIN(PVI60-PVI62,'Sources and Uses Budget'!PVI108-SUM('15 Year Pro Forma'!PVG66:PVH66))</f>
        <v>0</v>
      </c>
      <c r="PVK66" s="960">
        <f>MIN(PVK60-PVK62,'Sources and Uses Budget'!PVK108-SUM('15 Year Pro Forma'!PVI66:PVJ66))</f>
        <v>0</v>
      </c>
      <c r="PVM66" s="960">
        <f>MIN(PVM60-PVM62,'Sources and Uses Budget'!PVM108-SUM('15 Year Pro Forma'!PVK66:PVL66))</f>
        <v>0</v>
      </c>
      <c r="PVO66" s="960">
        <f>MIN(PVO60-PVO62,'Sources and Uses Budget'!PVO108-SUM('15 Year Pro Forma'!PVM66:PVN66))</f>
        <v>0</v>
      </c>
      <c r="PVQ66" s="960">
        <f>MIN(PVQ60-PVQ62,'Sources and Uses Budget'!PVQ108-SUM('15 Year Pro Forma'!PVO66:PVP66))</f>
        <v>0</v>
      </c>
      <c r="PVS66" s="960">
        <f>MIN(PVS60-PVS62,'Sources and Uses Budget'!PVS108-SUM('15 Year Pro Forma'!PVQ66:PVR66))</f>
        <v>0</v>
      </c>
      <c r="PVU66" s="960">
        <f>MIN(PVU60-PVU62,'Sources and Uses Budget'!PVU108-SUM('15 Year Pro Forma'!PVS66:PVT66))</f>
        <v>0</v>
      </c>
      <c r="PVW66" s="960">
        <f>MIN(PVW60-PVW62,'Sources and Uses Budget'!PVW108-SUM('15 Year Pro Forma'!PVU66:PVV66))</f>
        <v>0</v>
      </c>
      <c r="PVY66" s="960">
        <f>MIN(PVY60-PVY62,'Sources and Uses Budget'!PVY108-SUM('15 Year Pro Forma'!PVW66:PVX66))</f>
        <v>0</v>
      </c>
      <c r="PWA66" s="960">
        <f>MIN(PWA60-PWA62,'Sources and Uses Budget'!PWA108-SUM('15 Year Pro Forma'!PVY66:PVZ66))</f>
        <v>0</v>
      </c>
      <c r="PWC66" s="960">
        <f>MIN(PWC60-PWC62,'Sources and Uses Budget'!PWC108-SUM('15 Year Pro Forma'!PWA66:PWB66))</f>
        <v>0</v>
      </c>
      <c r="PWE66" s="960">
        <f>MIN(PWE60-PWE62,'Sources and Uses Budget'!PWE108-SUM('15 Year Pro Forma'!PWC66:PWD66))</f>
        <v>0</v>
      </c>
      <c r="PWG66" s="960">
        <f>MIN(PWG60-PWG62,'Sources and Uses Budget'!PWG108-SUM('15 Year Pro Forma'!PWE66:PWF66))</f>
        <v>0</v>
      </c>
      <c r="PWI66" s="960">
        <f>MIN(PWI60-PWI62,'Sources and Uses Budget'!PWI108-SUM('15 Year Pro Forma'!PWG66:PWH66))</f>
        <v>0</v>
      </c>
      <c r="PWK66" s="960">
        <f>MIN(PWK60-PWK62,'Sources and Uses Budget'!PWK108-SUM('15 Year Pro Forma'!PWI66:PWJ66))</f>
        <v>0</v>
      </c>
      <c r="PWM66" s="960">
        <f>MIN(PWM60-PWM62,'Sources and Uses Budget'!PWM108-SUM('15 Year Pro Forma'!PWK66:PWL66))</f>
        <v>0</v>
      </c>
      <c r="PWO66" s="960">
        <f>MIN(PWO60-PWO62,'Sources and Uses Budget'!PWO108-SUM('15 Year Pro Forma'!PWM66:PWN66))</f>
        <v>0</v>
      </c>
      <c r="PWQ66" s="960">
        <f>MIN(PWQ60-PWQ62,'Sources and Uses Budget'!PWQ108-SUM('15 Year Pro Forma'!PWO66:PWP66))</f>
        <v>0</v>
      </c>
      <c r="PWS66" s="960">
        <f>MIN(PWS60-PWS62,'Sources and Uses Budget'!PWS108-SUM('15 Year Pro Forma'!PWQ66:PWR66))</f>
        <v>0</v>
      </c>
      <c r="PWU66" s="960">
        <f>MIN(PWU60-PWU62,'Sources and Uses Budget'!PWU108-SUM('15 Year Pro Forma'!PWS66:PWT66))</f>
        <v>0</v>
      </c>
      <c r="PWW66" s="960">
        <f>MIN(PWW60-PWW62,'Sources and Uses Budget'!PWW108-SUM('15 Year Pro Forma'!PWU66:PWV66))</f>
        <v>0</v>
      </c>
      <c r="PWY66" s="960">
        <f>MIN(PWY60-PWY62,'Sources and Uses Budget'!PWY108-SUM('15 Year Pro Forma'!PWW66:PWX66))</f>
        <v>0</v>
      </c>
      <c r="PXA66" s="960">
        <f>MIN(PXA60-PXA62,'Sources and Uses Budget'!PXA108-SUM('15 Year Pro Forma'!PWY66:PWZ66))</f>
        <v>0</v>
      </c>
      <c r="PXC66" s="960">
        <f>MIN(PXC60-PXC62,'Sources and Uses Budget'!PXC108-SUM('15 Year Pro Forma'!PXA66:PXB66))</f>
        <v>0</v>
      </c>
      <c r="PXE66" s="960">
        <f>MIN(PXE60-PXE62,'Sources and Uses Budget'!PXE108-SUM('15 Year Pro Forma'!PXC66:PXD66))</f>
        <v>0</v>
      </c>
      <c r="PXG66" s="960">
        <f>MIN(PXG60-PXG62,'Sources and Uses Budget'!PXG108-SUM('15 Year Pro Forma'!PXE66:PXF66))</f>
        <v>0</v>
      </c>
      <c r="PXI66" s="960">
        <f>MIN(PXI60-PXI62,'Sources and Uses Budget'!PXI108-SUM('15 Year Pro Forma'!PXG66:PXH66))</f>
        <v>0</v>
      </c>
      <c r="PXK66" s="960">
        <f>MIN(PXK60-PXK62,'Sources and Uses Budget'!PXK108-SUM('15 Year Pro Forma'!PXI66:PXJ66))</f>
        <v>0</v>
      </c>
      <c r="PXM66" s="960">
        <f>MIN(PXM60-PXM62,'Sources and Uses Budget'!PXM108-SUM('15 Year Pro Forma'!PXK66:PXL66))</f>
        <v>0</v>
      </c>
      <c r="PXO66" s="960">
        <f>MIN(PXO60-PXO62,'Sources and Uses Budget'!PXO108-SUM('15 Year Pro Forma'!PXM66:PXN66))</f>
        <v>0</v>
      </c>
      <c r="PXQ66" s="960">
        <f>MIN(PXQ60-PXQ62,'Sources and Uses Budget'!PXQ108-SUM('15 Year Pro Forma'!PXO66:PXP66))</f>
        <v>0</v>
      </c>
      <c r="PXS66" s="960">
        <f>MIN(PXS60-PXS62,'Sources and Uses Budget'!PXS108-SUM('15 Year Pro Forma'!PXQ66:PXR66))</f>
        <v>0</v>
      </c>
      <c r="PXU66" s="960">
        <f>MIN(PXU60-PXU62,'Sources and Uses Budget'!PXU108-SUM('15 Year Pro Forma'!PXS66:PXT66))</f>
        <v>0</v>
      </c>
      <c r="PXW66" s="960">
        <f>MIN(PXW60-PXW62,'Sources and Uses Budget'!PXW108-SUM('15 Year Pro Forma'!PXU66:PXV66))</f>
        <v>0</v>
      </c>
      <c r="PXY66" s="960">
        <f>MIN(PXY60-PXY62,'Sources and Uses Budget'!PXY108-SUM('15 Year Pro Forma'!PXW66:PXX66))</f>
        <v>0</v>
      </c>
      <c r="PYA66" s="960">
        <f>MIN(PYA60-PYA62,'Sources and Uses Budget'!PYA108-SUM('15 Year Pro Forma'!PXY66:PXZ66))</f>
        <v>0</v>
      </c>
      <c r="PYC66" s="960">
        <f>MIN(PYC60-PYC62,'Sources and Uses Budget'!PYC108-SUM('15 Year Pro Forma'!PYA66:PYB66))</f>
        <v>0</v>
      </c>
      <c r="PYE66" s="960">
        <f>MIN(PYE60-PYE62,'Sources and Uses Budget'!PYE108-SUM('15 Year Pro Forma'!PYC66:PYD66))</f>
        <v>0</v>
      </c>
      <c r="PYG66" s="960">
        <f>MIN(PYG60-PYG62,'Sources and Uses Budget'!PYG108-SUM('15 Year Pro Forma'!PYE66:PYF66))</f>
        <v>0</v>
      </c>
      <c r="PYI66" s="960">
        <f>MIN(PYI60-PYI62,'Sources and Uses Budget'!PYI108-SUM('15 Year Pro Forma'!PYG66:PYH66))</f>
        <v>0</v>
      </c>
      <c r="PYK66" s="960">
        <f>MIN(PYK60-PYK62,'Sources and Uses Budget'!PYK108-SUM('15 Year Pro Forma'!PYI66:PYJ66))</f>
        <v>0</v>
      </c>
      <c r="PYM66" s="960">
        <f>MIN(PYM60-PYM62,'Sources and Uses Budget'!PYM108-SUM('15 Year Pro Forma'!PYK66:PYL66))</f>
        <v>0</v>
      </c>
      <c r="PYO66" s="960">
        <f>MIN(PYO60-PYO62,'Sources and Uses Budget'!PYO108-SUM('15 Year Pro Forma'!PYM66:PYN66))</f>
        <v>0</v>
      </c>
      <c r="PYQ66" s="960">
        <f>MIN(PYQ60-PYQ62,'Sources and Uses Budget'!PYQ108-SUM('15 Year Pro Forma'!PYO66:PYP66))</f>
        <v>0</v>
      </c>
      <c r="PYS66" s="960">
        <f>MIN(PYS60-PYS62,'Sources and Uses Budget'!PYS108-SUM('15 Year Pro Forma'!PYQ66:PYR66))</f>
        <v>0</v>
      </c>
      <c r="PYU66" s="960">
        <f>MIN(PYU60-PYU62,'Sources and Uses Budget'!PYU108-SUM('15 Year Pro Forma'!PYS66:PYT66))</f>
        <v>0</v>
      </c>
      <c r="PYW66" s="960">
        <f>MIN(PYW60-PYW62,'Sources and Uses Budget'!PYW108-SUM('15 Year Pro Forma'!PYU66:PYV66))</f>
        <v>0</v>
      </c>
      <c r="PYY66" s="960">
        <f>MIN(PYY60-PYY62,'Sources and Uses Budget'!PYY108-SUM('15 Year Pro Forma'!PYW66:PYX66))</f>
        <v>0</v>
      </c>
      <c r="PZA66" s="960">
        <f>MIN(PZA60-PZA62,'Sources and Uses Budget'!PZA108-SUM('15 Year Pro Forma'!PYY66:PYZ66))</f>
        <v>0</v>
      </c>
      <c r="PZC66" s="960">
        <f>MIN(PZC60-PZC62,'Sources and Uses Budget'!PZC108-SUM('15 Year Pro Forma'!PZA66:PZB66))</f>
        <v>0</v>
      </c>
      <c r="PZE66" s="960">
        <f>MIN(PZE60-PZE62,'Sources and Uses Budget'!PZE108-SUM('15 Year Pro Forma'!PZC66:PZD66))</f>
        <v>0</v>
      </c>
      <c r="PZG66" s="960">
        <f>MIN(PZG60-PZG62,'Sources and Uses Budget'!PZG108-SUM('15 Year Pro Forma'!PZE66:PZF66))</f>
        <v>0</v>
      </c>
      <c r="PZI66" s="960">
        <f>MIN(PZI60-PZI62,'Sources and Uses Budget'!PZI108-SUM('15 Year Pro Forma'!PZG66:PZH66))</f>
        <v>0</v>
      </c>
      <c r="PZK66" s="960">
        <f>MIN(PZK60-PZK62,'Sources and Uses Budget'!PZK108-SUM('15 Year Pro Forma'!PZI66:PZJ66))</f>
        <v>0</v>
      </c>
      <c r="PZM66" s="960">
        <f>MIN(PZM60-PZM62,'Sources and Uses Budget'!PZM108-SUM('15 Year Pro Forma'!PZK66:PZL66))</f>
        <v>0</v>
      </c>
      <c r="PZO66" s="960">
        <f>MIN(PZO60-PZO62,'Sources and Uses Budget'!PZO108-SUM('15 Year Pro Forma'!PZM66:PZN66))</f>
        <v>0</v>
      </c>
      <c r="PZQ66" s="960">
        <f>MIN(PZQ60-PZQ62,'Sources and Uses Budget'!PZQ108-SUM('15 Year Pro Forma'!PZO66:PZP66))</f>
        <v>0</v>
      </c>
      <c r="PZS66" s="960">
        <f>MIN(PZS60-PZS62,'Sources and Uses Budget'!PZS108-SUM('15 Year Pro Forma'!PZQ66:PZR66))</f>
        <v>0</v>
      </c>
      <c r="PZU66" s="960">
        <f>MIN(PZU60-PZU62,'Sources and Uses Budget'!PZU108-SUM('15 Year Pro Forma'!PZS66:PZT66))</f>
        <v>0</v>
      </c>
      <c r="PZW66" s="960">
        <f>MIN(PZW60-PZW62,'Sources and Uses Budget'!PZW108-SUM('15 Year Pro Forma'!PZU66:PZV66))</f>
        <v>0</v>
      </c>
      <c r="PZY66" s="960">
        <f>MIN(PZY60-PZY62,'Sources and Uses Budget'!PZY108-SUM('15 Year Pro Forma'!PZW66:PZX66))</f>
        <v>0</v>
      </c>
      <c r="QAA66" s="960">
        <f>MIN(QAA60-QAA62,'Sources and Uses Budget'!QAA108-SUM('15 Year Pro Forma'!PZY66:PZZ66))</f>
        <v>0</v>
      </c>
      <c r="QAC66" s="960">
        <f>MIN(QAC60-QAC62,'Sources and Uses Budget'!QAC108-SUM('15 Year Pro Forma'!QAA66:QAB66))</f>
        <v>0</v>
      </c>
      <c r="QAE66" s="960">
        <f>MIN(QAE60-QAE62,'Sources and Uses Budget'!QAE108-SUM('15 Year Pro Forma'!QAC66:QAD66))</f>
        <v>0</v>
      </c>
      <c r="QAG66" s="960">
        <f>MIN(QAG60-QAG62,'Sources and Uses Budget'!QAG108-SUM('15 Year Pro Forma'!QAE66:QAF66))</f>
        <v>0</v>
      </c>
      <c r="QAI66" s="960">
        <f>MIN(QAI60-QAI62,'Sources and Uses Budget'!QAI108-SUM('15 Year Pro Forma'!QAG66:QAH66))</f>
        <v>0</v>
      </c>
      <c r="QAK66" s="960">
        <f>MIN(QAK60-QAK62,'Sources and Uses Budget'!QAK108-SUM('15 Year Pro Forma'!QAI66:QAJ66))</f>
        <v>0</v>
      </c>
      <c r="QAM66" s="960">
        <f>MIN(QAM60-QAM62,'Sources and Uses Budget'!QAM108-SUM('15 Year Pro Forma'!QAK66:QAL66))</f>
        <v>0</v>
      </c>
      <c r="QAO66" s="960">
        <f>MIN(QAO60-QAO62,'Sources and Uses Budget'!QAO108-SUM('15 Year Pro Forma'!QAM66:QAN66))</f>
        <v>0</v>
      </c>
      <c r="QAQ66" s="960">
        <f>MIN(QAQ60-QAQ62,'Sources and Uses Budget'!QAQ108-SUM('15 Year Pro Forma'!QAO66:QAP66))</f>
        <v>0</v>
      </c>
      <c r="QAS66" s="960">
        <f>MIN(QAS60-QAS62,'Sources and Uses Budget'!QAS108-SUM('15 Year Pro Forma'!QAQ66:QAR66))</f>
        <v>0</v>
      </c>
      <c r="QAU66" s="960">
        <f>MIN(QAU60-QAU62,'Sources and Uses Budget'!QAU108-SUM('15 Year Pro Forma'!QAS66:QAT66))</f>
        <v>0</v>
      </c>
      <c r="QAW66" s="960">
        <f>MIN(QAW60-QAW62,'Sources and Uses Budget'!QAW108-SUM('15 Year Pro Forma'!QAU66:QAV66))</f>
        <v>0</v>
      </c>
      <c r="QAY66" s="960">
        <f>MIN(QAY60-QAY62,'Sources and Uses Budget'!QAY108-SUM('15 Year Pro Forma'!QAW66:QAX66))</f>
        <v>0</v>
      </c>
      <c r="QBA66" s="960">
        <f>MIN(QBA60-QBA62,'Sources and Uses Budget'!QBA108-SUM('15 Year Pro Forma'!QAY66:QAZ66))</f>
        <v>0</v>
      </c>
      <c r="QBC66" s="960">
        <f>MIN(QBC60-QBC62,'Sources and Uses Budget'!QBC108-SUM('15 Year Pro Forma'!QBA66:QBB66))</f>
        <v>0</v>
      </c>
      <c r="QBE66" s="960">
        <f>MIN(QBE60-QBE62,'Sources and Uses Budget'!QBE108-SUM('15 Year Pro Forma'!QBC66:QBD66))</f>
        <v>0</v>
      </c>
      <c r="QBG66" s="960">
        <f>MIN(QBG60-QBG62,'Sources and Uses Budget'!QBG108-SUM('15 Year Pro Forma'!QBE66:QBF66))</f>
        <v>0</v>
      </c>
      <c r="QBI66" s="960">
        <f>MIN(QBI60-QBI62,'Sources and Uses Budget'!QBI108-SUM('15 Year Pro Forma'!QBG66:QBH66))</f>
        <v>0</v>
      </c>
      <c r="QBK66" s="960">
        <f>MIN(QBK60-QBK62,'Sources and Uses Budget'!QBK108-SUM('15 Year Pro Forma'!QBI66:QBJ66))</f>
        <v>0</v>
      </c>
      <c r="QBM66" s="960">
        <f>MIN(QBM60-QBM62,'Sources and Uses Budget'!QBM108-SUM('15 Year Pro Forma'!QBK66:QBL66))</f>
        <v>0</v>
      </c>
      <c r="QBO66" s="960">
        <f>MIN(QBO60-QBO62,'Sources and Uses Budget'!QBO108-SUM('15 Year Pro Forma'!QBM66:QBN66))</f>
        <v>0</v>
      </c>
      <c r="QBQ66" s="960">
        <f>MIN(QBQ60-QBQ62,'Sources and Uses Budget'!QBQ108-SUM('15 Year Pro Forma'!QBO66:QBP66))</f>
        <v>0</v>
      </c>
      <c r="QBS66" s="960">
        <f>MIN(QBS60-QBS62,'Sources and Uses Budget'!QBS108-SUM('15 Year Pro Forma'!QBQ66:QBR66))</f>
        <v>0</v>
      </c>
      <c r="QBU66" s="960">
        <f>MIN(QBU60-QBU62,'Sources and Uses Budget'!QBU108-SUM('15 Year Pro Forma'!QBS66:QBT66))</f>
        <v>0</v>
      </c>
      <c r="QBW66" s="960">
        <f>MIN(QBW60-QBW62,'Sources and Uses Budget'!QBW108-SUM('15 Year Pro Forma'!QBU66:QBV66))</f>
        <v>0</v>
      </c>
      <c r="QBY66" s="960">
        <f>MIN(QBY60-QBY62,'Sources and Uses Budget'!QBY108-SUM('15 Year Pro Forma'!QBW66:QBX66))</f>
        <v>0</v>
      </c>
      <c r="QCA66" s="960">
        <f>MIN(QCA60-QCA62,'Sources and Uses Budget'!QCA108-SUM('15 Year Pro Forma'!QBY66:QBZ66))</f>
        <v>0</v>
      </c>
      <c r="QCC66" s="960">
        <f>MIN(QCC60-QCC62,'Sources and Uses Budget'!QCC108-SUM('15 Year Pro Forma'!QCA66:QCB66))</f>
        <v>0</v>
      </c>
      <c r="QCE66" s="960">
        <f>MIN(QCE60-QCE62,'Sources and Uses Budget'!QCE108-SUM('15 Year Pro Forma'!QCC66:QCD66))</f>
        <v>0</v>
      </c>
      <c r="QCG66" s="960">
        <f>MIN(QCG60-QCG62,'Sources and Uses Budget'!QCG108-SUM('15 Year Pro Forma'!QCE66:QCF66))</f>
        <v>0</v>
      </c>
      <c r="QCI66" s="960">
        <f>MIN(QCI60-QCI62,'Sources and Uses Budget'!QCI108-SUM('15 Year Pro Forma'!QCG66:QCH66))</f>
        <v>0</v>
      </c>
      <c r="QCK66" s="960">
        <f>MIN(QCK60-QCK62,'Sources and Uses Budget'!QCK108-SUM('15 Year Pro Forma'!QCI66:QCJ66))</f>
        <v>0</v>
      </c>
      <c r="QCM66" s="960">
        <f>MIN(QCM60-QCM62,'Sources and Uses Budget'!QCM108-SUM('15 Year Pro Forma'!QCK66:QCL66))</f>
        <v>0</v>
      </c>
      <c r="QCO66" s="960">
        <f>MIN(QCO60-QCO62,'Sources and Uses Budget'!QCO108-SUM('15 Year Pro Forma'!QCM66:QCN66))</f>
        <v>0</v>
      </c>
      <c r="QCQ66" s="960">
        <f>MIN(QCQ60-QCQ62,'Sources and Uses Budget'!QCQ108-SUM('15 Year Pro Forma'!QCO66:QCP66))</f>
        <v>0</v>
      </c>
      <c r="QCS66" s="960">
        <f>MIN(QCS60-QCS62,'Sources and Uses Budget'!QCS108-SUM('15 Year Pro Forma'!QCQ66:QCR66))</f>
        <v>0</v>
      </c>
      <c r="QCU66" s="960">
        <f>MIN(QCU60-QCU62,'Sources and Uses Budget'!QCU108-SUM('15 Year Pro Forma'!QCS66:QCT66))</f>
        <v>0</v>
      </c>
      <c r="QCW66" s="960">
        <f>MIN(QCW60-QCW62,'Sources and Uses Budget'!QCW108-SUM('15 Year Pro Forma'!QCU66:QCV66))</f>
        <v>0</v>
      </c>
      <c r="QCY66" s="960">
        <f>MIN(QCY60-QCY62,'Sources and Uses Budget'!QCY108-SUM('15 Year Pro Forma'!QCW66:QCX66))</f>
        <v>0</v>
      </c>
      <c r="QDA66" s="960">
        <f>MIN(QDA60-QDA62,'Sources and Uses Budget'!QDA108-SUM('15 Year Pro Forma'!QCY66:QCZ66))</f>
        <v>0</v>
      </c>
      <c r="QDC66" s="960">
        <f>MIN(QDC60-QDC62,'Sources and Uses Budget'!QDC108-SUM('15 Year Pro Forma'!QDA66:QDB66))</f>
        <v>0</v>
      </c>
      <c r="QDE66" s="960">
        <f>MIN(QDE60-QDE62,'Sources and Uses Budget'!QDE108-SUM('15 Year Pro Forma'!QDC66:QDD66))</f>
        <v>0</v>
      </c>
      <c r="QDG66" s="960">
        <f>MIN(QDG60-QDG62,'Sources and Uses Budget'!QDG108-SUM('15 Year Pro Forma'!QDE66:QDF66))</f>
        <v>0</v>
      </c>
      <c r="QDI66" s="960">
        <f>MIN(QDI60-QDI62,'Sources and Uses Budget'!QDI108-SUM('15 Year Pro Forma'!QDG66:QDH66))</f>
        <v>0</v>
      </c>
      <c r="QDK66" s="960">
        <f>MIN(QDK60-QDK62,'Sources and Uses Budget'!QDK108-SUM('15 Year Pro Forma'!QDI66:QDJ66))</f>
        <v>0</v>
      </c>
      <c r="QDM66" s="960">
        <f>MIN(QDM60-QDM62,'Sources and Uses Budget'!QDM108-SUM('15 Year Pro Forma'!QDK66:QDL66))</f>
        <v>0</v>
      </c>
      <c r="QDO66" s="960">
        <f>MIN(QDO60-QDO62,'Sources and Uses Budget'!QDO108-SUM('15 Year Pro Forma'!QDM66:QDN66))</f>
        <v>0</v>
      </c>
      <c r="QDQ66" s="960">
        <f>MIN(QDQ60-QDQ62,'Sources and Uses Budget'!QDQ108-SUM('15 Year Pro Forma'!QDO66:QDP66))</f>
        <v>0</v>
      </c>
      <c r="QDS66" s="960">
        <f>MIN(QDS60-QDS62,'Sources and Uses Budget'!QDS108-SUM('15 Year Pro Forma'!QDQ66:QDR66))</f>
        <v>0</v>
      </c>
      <c r="QDU66" s="960">
        <f>MIN(QDU60-QDU62,'Sources and Uses Budget'!QDU108-SUM('15 Year Pro Forma'!QDS66:QDT66))</f>
        <v>0</v>
      </c>
      <c r="QDW66" s="960">
        <f>MIN(QDW60-QDW62,'Sources and Uses Budget'!QDW108-SUM('15 Year Pro Forma'!QDU66:QDV66))</f>
        <v>0</v>
      </c>
      <c r="QDY66" s="960">
        <f>MIN(QDY60-QDY62,'Sources and Uses Budget'!QDY108-SUM('15 Year Pro Forma'!QDW66:QDX66))</f>
        <v>0</v>
      </c>
      <c r="QEA66" s="960">
        <f>MIN(QEA60-QEA62,'Sources and Uses Budget'!QEA108-SUM('15 Year Pro Forma'!QDY66:QDZ66))</f>
        <v>0</v>
      </c>
      <c r="QEC66" s="960">
        <f>MIN(QEC60-QEC62,'Sources and Uses Budget'!QEC108-SUM('15 Year Pro Forma'!QEA66:QEB66))</f>
        <v>0</v>
      </c>
      <c r="QEE66" s="960">
        <f>MIN(QEE60-QEE62,'Sources and Uses Budget'!QEE108-SUM('15 Year Pro Forma'!QEC66:QED66))</f>
        <v>0</v>
      </c>
      <c r="QEG66" s="960">
        <f>MIN(QEG60-QEG62,'Sources and Uses Budget'!QEG108-SUM('15 Year Pro Forma'!QEE66:QEF66))</f>
        <v>0</v>
      </c>
      <c r="QEI66" s="960">
        <f>MIN(QEI60-QEI62,'Sources and Uses Budget'!QEI108-SUM('15 Year Pro Forma'!QEG66:QEH66))</f>
        <v>0</v>
      </c>
      <c r="QEK66" s="960">
        <f>MIN(QEK60-QEK62,'Sources and Uses Budget'!QEK108-SUM('15 Year Pro Forma'!QEI66:QEJ66))</f>
        <v>0</v>
      </c>
      <c r="QEM66" s="960">
        <f>MIN(QEM60-QEM62,'Sources and Uses Budget'!QEM108-SUM('15 Year Pro Forma'!QEK66:QEL66))</f>
        <v>0</v>
      </c>
      <c r="QEO66" s="960">
        <f>MIN(QEO60-QEO62,'Sources and Uses Budget'!QEO108-SUM('15 Year Pro Forma'!QEM66:QEN66))</f>
        <v>0</v>
      </c>
      <c r="QEQ66" s="960">
        <f>MIN(QEQ60-QEQ62,'Sources and Uses Budget'!QEQ108-SUM('15 Year Pro Forma'!QEO66:QEP66))</f>
        <v>0</v>
      </c>
      <c r="QES66" s="960">
        <f>MIN(QES60-QES62,'Sources and Uses Budget'!QES108-SUM('15 Year Pro Forma'!QEQ66:QER66))</f>
        <v>0</v>
      </c>
      <c r="QEU66" s="960">
        <f>MIN(QEU60-QEU62,'Sources and Uses Budget'!QEU108-SUM('15 Year Pro Forma'!QES66:QET66))</f>
        <v>0</v>
      </c>
      <c r="QEW66" s="960">
        <f>MIN(QEW60-QEW62,'Sources and Uses Budget'!QEW108-SUM('15 Year Pro Forma'!QEU66:QEV66))</f>
        <v>0</v>
      </c>
      <c r="QEY66" s="960">
        <f>MIN(QEY60-QEY62,'Sources and Uses Budget'!QEY108-SUM('15 Year Pro Forma'!QEW66:QEX66))</f>
        <v>0</v>
      </c>
      <c r="QFA66" s="960">
        <f>MIN(QFA60-QFA62,'Sources and Uses Budget'!QFA108-SUM('15 Year Pro Forma'!QEY66:QEZ66))</f>
        <v>0</v>
      </c>
      <c r="QFC66" s="960">
        <f>MIN(QFC60-QFC62,'Sources and Uses Budget'!QFC108-SUM('15 Year Pro Forma'!QFA66:QFB66))</f>
        <v>0</v>
      </c>
      <c r="QFE66" s="960">
        <f>MIN(QFE60-QFE62,'Sources and Uses Budget'!QFE108-SUM('15 Year Pro Forma'!QFC66:QFD66))</f>
        <v>0</v>
      </c>
      <c r="QFG66" s="960">
        <f>MIN(QFG60-QFG62,'Sources and Uses Budget'!QFG108-SUM('15 Year Pro Forma'!QFE66:QFF66))</f>
        <v>0</v>
      </c>
      <c r="QFI66" s="960">
        <f>MIN(QFI60-QFI62,'Sources and Uses Budget'!QFI108-SUM('15 Year Pro Forma'!QFG66:QFH66))</f>
        <v>0</v>
      </c>
      <c r="QFK66" s="960">
        <f>MIN(QFK60-QFK62,'Sources and Uses Budget'!QFK108-SUM('15 Year Pro Forma'!QFI66:QFJ66))</f>
        <v>0</v>
      </c>
      <c r="QFM66" s="960">
        <f>MIN(QFM60-QFM62,'Sources and Uses Budget'!QFM108-SUM('15 Year Pro Forma'!QFK66:QFL66))</f>
        <v>0</v>
      </c>
      <c r="QFO66" s="960">
        <f>MIN(QFO60-QFO62,'Sources and Uses Budget'!QFO108-SUM('15 Year Pro Forma'!QFM66:QFN66))</f>
        <v>0</v>
      </c>
      <c r="QFQ66" s="960">
        <f>MIN(QFQ60-QFQ62,'Sources and Uses Budget'!QFQ108-SUM('15 Year Pro Forma'!QFO66:QFP66))</f>
        <v>0</v>
      </c>
      <c r="QFS66" s="960">
        <f>MIN(QFS60-QFS62,'Sources and Uses Budget'!QFS108-SUM('15 Year Pro Forma'!QFQ66:QFR66))</f>
        <v>0</v>
      </c>
      <c r="QFU66" s="960">
        <f>MIN(QFU60-QFU62,'Sources and Uses Budget'!QFU108-SUM('15 Year Pro Forma'!QFS66:QFT66))</f>
        <v>0</v>
      </c>
      <c r="QFW66" s="960">
        <f>MIN(QFW60-QFW62,'Sources and Uses Budget'!QFW108-SUM('15 Year Pro Forma'!QFU66:QFV66))</f>
        <v>0</v>
      </c>
      <c r="QFY66" s="960">
        <f>MIN(QFY60-QFY62,'Sources and Uses Budget'!QFY108-SUM('15 Year Pro Forma'!QFW66:QFX66))</f>
        <v>0</v>
      </c>
      <c r="QGA66" s="960">
        <f>MIN(QGA60-QGA62,'Sources and Uses Budget'!QGA108-SUM('15 Year Pro Forma'!QFY66:QFZ66))</f>
        <v>0</v>
      </c>
      <c r="QGC66" s="960">
        <f>MIN(QGC60-QGC62,'Sources and Uses Budget'!QGC108-SUM('15 Year Pro Forma'!QGA66:QGB66))</f>
        <v>0</v>
      </c>
      <c r="QGE66" s="960">
        <f>MIN(QGE60-QGE62,'Sources and Uses Budget'!QGE108-SUM('15 Year Pro Forma'!QGC66:QGD66))</f>
        <v>0</v>
      </c>
      <c r="QGG66" s="960">
        <f>MIN(QGG60-QGG62,'Sources and Uses Budget'!QGG108-SUM('15 Year Pro Forma'!QGE66:QGF66))</f>
        <v>0</v>
      </c>
      <c r="QGI66" s="960">
        <f>MIN(QGI60-QGI62,'Sources and Uses Budget'!QGI108-SUM('15 Year Pro Forma'!QGG66:QGH66))</f>
        <v>0</v>
      </c>
      <c r="QGK66" s="960">
        <f>MIN(QGK60-QGK62,'Sources and Uses Budget'!QGK108-SUM('15 Year Pro Forma'!QGI66:QGJ66))</f>
        <v>0</v>
      </c>
      <c r="QGM66" s="960">
        <f>MIN(QGM60-QGM62,'Sources and Uses Budget'!QGM108-SUM('15 Year Pro Forma'!QGK66:QGL66))</f>
        <v>0</v>
      </c>
      <c r="QGO66" s="960">
        <f>MIN(QGO60-QGO62,'Sources and Uses Budget'!QGO108-SUM('15 Year Pro Forma'!QGM66:QGN66))</f>
        <v>0</v>
      </c>
      <c r="QGQ66" s="960">
        <f>MIN(QGQ60-QGQ62,'Sources and Uses Budget'!QGQ108-SUM('15 Year Pro Forma'!QGO66:QGP66))</f>
        <v>0</v>
      </c>
      <c r="QGS66" s="960">
        <f>MIN(QGS60-QGS62,'Sources and Uses Budget'!QGS108-SUM('15 Year Pro Forma'!QGQ66:QGR66))</f>
        <v>0</v>
      </c>
      <c r="QGU66" s="960">
        <f>MIN(QGU60-QGU62,'Sources and Uses Budget'!QGU108-SUM('15 Year Pro Forma'!QGS66:QGT66))</f>
        <v>0</v>
      </c>
      <c r="QGW66" s="960">
        <f>MIN(QGW60-QGW62,'Sources and Uses Budget'!QGW108-SUM('15 Year Pro Forma'!QGU66:QGV66))</f>
        <v>0</v>
      </c>
      <c r="QGY66" s="960">
        <f>MIN(QGY60-QGY62,'Sources and Uses Budget'!QGY108-SUM('15 Year Pro Forma'!QGW66:QGX66))</f>
        <v>0</v>
      </c>
      <c r="QHA66" s="960">
        <f>MIN(QHA60-QHA62,'Sources and Uses Budget'!QHA108-SUM('15 Year Pro Forma'!QGY66:QGZ66))</f>
        <v>0</v>
      </c>
      <c r="QHC66" s="960">
        <f>MIN(QHC60-QHC62,'Sources and Uses Budget'!QHC108-SUM('15 Year Pro Forma'!QHA66:QHB66))</f>
        <v>0</v>
      </c>
      <c r="QHE66" s="960">
        <f>MIN(QHE60-QHE62,'Sources and Uses Budget'!QHE108-SUM('15 Year Pro Forma'!QHC66:QHD66))</f>
        <v>0</v>
      </c>
      <c r="QHG66" s="960">
        <f>MIN(QHG60-QHG62,'Sources and Uses Budget'!QHG108-SUM('15 Year Pro Forma'!QHE66:QHF66))</f>
        <v>0</v>
      </c>
      <c r="QHI66" s="960">
        <f>MIN(QHI60-QHI62,'Sources and Uses Budget'!QHI108-SUM('15 Year Pro Forma'!QHG66:QHH66))</f>
        <v>0</v>
      </c>
      <c r="QHK66" s="960">
        <f>MIN(QHK60-QHK62,'Sources and Uses Budget'!QHK108-SUM('15 Year Pro Forma'!QHI66:QHJ66))</f>
        <v>0</v>
      </c>
      <c r="QHM66" s="960">
        <f>MIN(QHM60-QHM62,'Sources and Uses Budget'!QHM108-SUM('15 Year Pro Forma'!QHK66:QHL66))</f>
        <v>0</v>
      </c>
      <c r="QHO66" s="960">
        <f>MIN(QHO60-QHO62,'Sources and Uses Budget'!QHO108-SUM('15 Year Pro Forma'!QHM66:QHN66))</f>
        <v>0</v>
      </c>
      <c r="QHQ66" s="960">
        <f>MIN(QHQ60-QHQ62,'Sources and Uses Budget'!QHQ108-SUM('15 Year Pro Forma'!QHO66:QHP66))</f>
        <v>0</v>
      </c>
      <c r="QHS66" s="960">
        <f>MIN(QHS60-QHS62,'Sources and Uses Budget'!QHS108-SUM('15 Year Pro Forma'!QHQ66:QHR66))</f>
        <v>0</v>
      </c>
      <c r="QHU66" s="960">
        <f>MIN(QHU60-QHU62,'Sources and Uses Budget'!QHU108-SUM('15 Year Pro Forma'!QHS66:QHT66))</f>
        <v>0</v>
      </c>
      <c r="QHW66" s="960">
        <f>MIN(QHW60-QHW62,'Sources and Uses Budget'!QHW108-SUM('15 Year Pro Forma'!QHU66:QHV66))</f>
        <v>0</v>
      </c>
      <c r="QHY66" s="960">
        <f>MIN(QHY60-QHY62,'Sources and Uses Budget'!QHY108-SUM('15 Year Pro Forma'!QHW66:QHX66))</f>
        <v>0</v>
      </c>
      <c r="QIA66" s="960">
        <f>MIN(QIA60-QIA62,'Sources and Uses Budget'!QIA108-SUM('15 Year Pro Forma'!QHY66:QHZ66))</f>
        <v>0</v>
      </c>
      <c r="QIC66" s="960">
        <f>MIN(QIC60-QIC62,'Sources and Uses Budget'!QIC108-SUM('15 Year Pro Forma'!QIA66:QIB66))</f>
        <v>0</v>
      </c>
      <c r="QIE66" s="960">
        <f>MIN(QIE60-QIE62,'Sources and Uses Budget'!QIE108-SUM('15 Year Pro Forma'!QIC66:QID66))</f>
        <v>0</v>
      </c>
      <c r="QIG66" s="960">
        <f>MIN(QIG60-QIG62,'Sources and Uses Budget'!QIG108-SUM('15 Year Pro Forma'!QIE66:QIF66))</f>
        <v>0</v>
      </c>
      <c r="QII66" s="960">
        <f>MIN(QII60-QII62,'Sources and Uses Budget'!QII108-SUM('15 Year Pro Forma'!QIG66:QIH66))</f>
        <v>0</v>
      </c>
      <c r="QIK66" s="960">
        <f>MIN(QIK60-QIK62,'Sources and Uses Budget'!QIK108-SUM('15 Year Pro Forma'!QII66:QIJ66))</f>
        <v>0</v>
      </c>
      <c r="QIM66" s="960">
        <f>MIN(QIM60-QIM62,'Sources and Uses Budget'!QIM108-SUM('15 Year Pro Forma'!QIK66:QIL66))</f>
        <v>0</v>
      </c>
      <c r="QIO66" s="960">
        <f>MIN(QIO60-QIO62,'Sources and Uses Budget'!QIO108-SUM('15 Year Pro Forma'!QIM66:QIN66))</f>
        <v>0</v>
      </c>
      <c r="QIQ66" s="960">
        <f>MIN(QIQ60-QIQ62,'Sources and Uses Budget'!QIQ108-SUM('15 Year Pro Forma'!QIO66:QIP66))</f>
        <v>0</v>
      </c>
      <c r="QIS66" s="960">
        <f>MIN(QIS60-QIS62,'Sources and Uses Budget'!QIS108-SUM('15 Year Pro Forma'!QIQ66:QIR66))</f>
        <v>0</v>
      </c>
      <c r="QIU66" s="960">
        <f>MIN(QIU60-QIU62,'Sources and Uses Budget'!QIU108-SUM('15 Year Pro Forma'!QIS66:QIT66))</f>
        <v>0</v>
      </c>
      <c r="QIW66" s="960">
        <f>MIN(QIW60-QIW62,'Sources and Uses Budget'!QIW108-SUM('15 Year Pro Forma'!QIU66:QIV66))</f>
        <v>0</v>
      </c>
      <c r="QIY66" s="960">
        <f>MIN(QIY60-QIY62,'Sources and Uses Budget'!QIY108-SUM('15 Year Pro Forma'!QIW66:QIX66))</f>
        <v>0</v>
      </c>
      <c r="QJA66" s="960">
        <f>MIN(QJA60-QJA62,'Sources and Uses Budget'!QJA108-SUM('15 Year Pro Forma'!QIY66:QIZ66))</f>
        <v>0</v>
      </c>
      <c r="QJC66" s="960">
        <f>MIN(QJC60-QJC62,'Sources and Uses Budget'!QJC108-SUM('15 Year Pro Forma'!QJA66:QJB66))</f>
        <v>0</v>
      </c>
      <c r="QJE66" s="960">
        <f>MIN(QJE60-QJE62,'Sources and Uses Budget'!QJE108-SUM('15 Year Pro Forma'!QJC66:QJD66))</f>
        <v>0</v>
      </c>
      <c r="QJG66" s="960">
        <f>MIN(QJG60-QJG62,'Sources and Uses Budget'!QJG108-SUM('15 Year Pro Forma'!QJE66:QJF66))</f>
        <v>0</v>
      </c>
      <c r="QJI66" s="960">
        <f>MIN(QJI60-QJI62,'Sources and Uses Budget'!QJI108-SUM('15 Year Pro Forma'!QJG66:QJH66))</f>
        <v>0</v>
      </c>
      <c r="QJK66" s="960">
        <f>MIN(QJK60-QJK62,'Sources and Uses Budget'!QJK108-SUM('15 Year Pro Forma'!QJI66:QJJ66))</f>
        <v>0</v>
      </c>
      <c r="QJM66" s="960">
        <f>MIN(QJM60-QJM62,'Sources and Uses Budget'!QJM108-SUM('15 Year Pro Forma'!QJK66:QJL66))</f>
        <v>0</v>
      </c>
      <c r="QJO66" s="960">
        <f>MIN(QJO60-QJO62,'Sources and Uses Budget'!QJO108-SUM('15 Year Pro Forma'!QJM66:QJN66))</f>
        <v>0</v>
      </c>
      <c r="QJQ66" s="960">
        <f>MIN(QJQ60-QJQ62,'Sources and Uses Budget'!QJQ108-SUM('15 Year Pro Forma'!QJO66:QJP66))</f>
        <v>0</v>
      </c>
      <c r="QJS66" s="960">
        <f>MIN(QJS60-QJS62,'Sources and Uses Budget'!QJS108-SUM('15 Year Pro Forma'!QJQ66:QJR66))</f>
        <v>0</v>
      </c>
      <c r="QJU66" s="960">
        <f>MIN(QJU60-QJU62,'Sources and Uses Budget'!QJU108-SUM('15 Year Pro Forma'!QJS66:QJT66))</f>
        <v>0</v>
      </c>
      <c r="QJW66" s="960">
        <f>MIN(QJW60-QJW62,'Sources and Uses Budget'!QJW108-SUM('15 Year Pro Forma'!QJU66:QJV66))</f>
        <v>0</v>
      </c>
      <c r="QJY66" s="960">
        <f>MIN(QJY60-QJY62,'Sources and Uses Budget'!QJY108-SUM('15 Year Pro Forma'!QJW66:QJX66))</f>
        <v>0</v>
      </c>
      <c r="QKA66" s="960">
        <f>MIN(QKA60-QKA62,'Sources and Uses Budget'!QKA108-SUM('15 Year Pro Forma'!QJY66:QJZ66))</f>
        <v>0</v>
      </c>
      <c r="QKC66" s="960">
        <f>MIN(QKC60-QKC62,'Sources and Uses Budget'!QKC108-SUM('15 Year Pro Forma'!QKA66:QKB66))</f>
        <v>0</v>
      </c>
      <c r="QKE66" s="960">
        <f>MIN(QKE60-QKE62,'Sources and Uses Budget'!QKE108-SUM('15 Year Pro Forma'!QKC66:QKD66))</f>
        <v>0</v>
      </c>
      <c r="QKG66" s="960">
        <f>MIN(QKG60-QKG62,'Sources and Uses Budget'!QKG108-SUM('15 Year Pro Forma'!QKE66:QKF66))</f>
        <v>0</v>
      </c>
      <c r="QKI66" s="960">
        <f>MIN(QKI60-QKI62,'Sources and Uses Budget'!QKI108-SUM('15 Year Pro Forma'!QKG66:QKH66))</f>
        <v>0</v>
      </c>
      <c r="QKK66" s="960">
        <f>MIN(QKK60-QKK62,'Sources and Uses Budget'!QKK108-SUM('15 Year Pro Forma'!QKI66:QKJ66))</f>
        <v>0</v>
      </c>
      <c r="QKM66" s="960">
        <f>MIN(QKM60-QKM62,'Sources and Uses Budget'!QKM108-SUM('15 Year Pro Forma'!QKK66:QKL66))</f>
        <v>0</v>
      </c>
      <c r="QKO66" s="960">
        <f>MIN(QKO60-QKO62,'Sources and Uses Budget'!QKO108-SUM('15 Year Pro Forma'!QKM66:QKN66))</f>
        <v>0</v>
      </c>
      <c r="QKQ66" s="960">
        <f>MIN(QKQ60-QKQ62,'Sources and Uses Budget'!QKQ108-SUM('15 Year Pro Forma'!QKO66:QKP66))</f>
        <v>0</v>
      </c>
      <c r="QKS66" s="960">
        <f>MIN(QKS60-QKS62,'Sources and Uses Budget'!QKS108-SUM('15 Year Pro Forma'!QKQ66:QKR66))</f>
        <v>0</v>
      </c>
      <c r="QKU66" s="960">
        <f>MIN(QKU60-QKU62,'Sources and Uses Budget'!QKU108-SUM('15 Year Pro Forma'!QKS66:QKT66))</f>
        <v>0</v>
      </c>
      <c r="QKW66" s="960">
        <f>MIN(QKW60-QKW62,'Sources and Uses Budget'!QKW108-SUM('15 Year Pro Forma'!QKU66:QKV66))</f>
        <v>0</v>
      </c>
      <c r="QKY66" s="960">
        <f>MIN(QKY60-QKY62,'Sources and Uses Budget'!QKY108-SUM('15 Year Pro Forma'!QKW66:QKX66))</f>
        <v>0</v>
      </c>
      <c r="QLA66" s="960">
        <f>MIN(QLA60-QLA62,'Sources and Uses Budget'!QLA108-SUM('15 Year Pro Forma'!QKY66:QKZ66))</f>
        <v>0</v>
      </c>
      <c r="QLC66" s="960">
        <f>MIN(QLC60-QLC62,'Sources and Uses Budget'!QLC108-SUM('15 Year Pro Forma'!QLA66:QLB66))</f>
        <v>0</v>
      </c>
      <c r="QLE66" s="960">
        <f>MIN(QLE60-QLE62,'Sources and Uses Budget'!QLE108-SUM('15 Year Pro Forma'!QLC66:QLD66))</f>
        <v>0</v>
      </c>
      <c r="QLG66" s="960">
        <f>MIN(QLG60-QLG62,'Sources and Uses Budget'!QLG108-SUM('15 Year Pro Forma'!QLE66:QLF66))</f>
        <v>0</v>
      </c>
      <c r="QLI66" s="960">
        <f>MIN(QLI60-QLI62,'Sources and Uses Budget'!QLI108-SUM('15 Year Pro Forma'!QLG66:QLH66))</f>
        <v>0</v>
      </c>
      <c r="QLK66" s="960">
        <f>MIN(QLK60-QLK62,'Sources and Uses Budget'!QLK108-SUM('15 Year Pro Forma'!QLI66:QLJ66))</f>
        <v>0</v>
      </c>
      <c r="QLM66" s="960">
        <f>MIN(QLM60-QLM62,'Sources and Uses Budget'!QLM108-SUM('15 Year Pro Forma'!QLK66:QLL66))</f>
        <v>0</v>
      </c>
      <c r="QLO66" s="960">
        <f>MIN(QLO60-QLO62,'Sources and Uses Budget'!QLO108-SUM('15 Year Pro Forma'!QLM66:QLN66))</f>
        <v>0</v>
      </c>
      <c r="QLQ66" s="960">
        <f>MIN(QLQ60-QLQ62,'Sources and Uses Budget'!QLQ108-SUM('15 Year Pro Forma'!QLO66:QLP66))</f>
        <v>0</v>
      </c>
      <c r="QLS66" s="960">
        <f>MIN(QLS60-QLS62,'Sources and Uses Budget'!QLS108-SUM('15 Year Pro Forma'!QLQ66:QLR66))</f>
        <v>0</v>
      </c>
      <c r="QLU66" s="960">
        <f>MIN(QLU60-QLU62,'Sources and Uses Budget'!QLU108-SUM('15 Year Pro Forma'!QLS66:QLT66))</f>
        <v>0</v>
      </c>
      <c r="QLW66" s="960">
        <f>MIN(QLW60-QLW62,'Sources and Uses Budget'!QLW108-SUM('15 Year Pro Forma'!QLU66:QLV66))</f>
        <v>0</v>
      </c>
      <c r="QLY66" s="960">
        <f>MIN(QLY60-QLY62,'Sources and Uses Budget'!QLY108-SUM('15 Year Pro Forma'!QLW66:QLX66))</f>
        <v>0</v>
      </c>
      <c r="QMA66" s="960">
        <f>MIN(QMA60-QMA62,'Sources and Uses Budget'!QMA108-SUM('15 Year Pro Forma'!QLY66:QLZ66))</f>
        <v>0</v>
      </c>
      <c r="QMC66" s="960">
        <f>MIN(QMC60-QMC62,'Sources and Uses Budget'!QMC108-SUM('15 Year Pro Forma'!QMA66:QMB66))</f>
        <v>0</v>
      </c>
      <c r="QME66" s="960">
        <f>MIN(QME60-QME62,'Sources and Uses Budget'!QME108-SUM('15 Year Pro Forma'!QMC66:QMD66))</f>
        <v>0</v>
      </c>
      <c r="QMG66" s="960">
        <f>MIN(QMG60-QMG62,'Sources and Uses Budget'!QMG108-SUM('15 Year Pro Forma'!QME66:QMF66))</f>
        <v>0</v>
      </c>
      <c r="QMI66" s="960">
        <f>MIN(QMI60-QMI62,'Sources and Uses Budget'!QMI108-SUM('15 Year Pro Forma'!QMG66:QMH66))</f>
        <v>0</v>
      </c>
      <c r="QMK66" s="960">
        <f>MIN(QMK60-QMK62,'Sources and Uses Budget'!QMK108-SUM('15 Year Pro Forma'!QMI66:QMJ66))</f>
        <v>0</v>
      </c>
      <c r="QMM66" s="960">
        <f>MIN(QMM60-QMM62,'Sources and Uses Budget'!QMM108-SUM('15 Year Pro Forma'!QMK66:QML66))</f>
        <v>0</v>
      </c>
      <c r="QMO66" s="960">
        <f>MIN(QMO60-QMO62,'Sources and Uses Budget'!QMO108-SUM('15 Year Pro Forma'!QMM66:QMN66))</f>
        <v>0</v>
      </c>
      <c r="QMQ66" s="960">
        <f>MIN(QMQ60-QMQ62,'Sources and Uses Budget'!QMQ108-SUM('15 Year Pro Forma'!QMO66:QMP66))</f>
        <v>0</v>
      </c>
      <c r="QMS66" s="960">
        <f>MIN(QMS60-QMS62,'Sources and Uses Budget'!QMS108-SUM('15 Year Pro Forma'!QMQ66:QMR66))</f>
        <v>0</v>
      </c>
      <c r="QMU66" s="960">
        <f>MIN(QMU60-QMU62,'Sources and Uses Budget'!QMU108-SUM('15 Year Pro Forma'!QMS66:QMT66))</f>
        <v>0</v>
      </c>
      <c r="QMW66" s="960">
        <f>MIN(QMW60-QMW62,'Sources and Uses Budget'!QMW108-SUM('15 Year Pro Forma'!QMU66:QMV66))</f>
        <v>0</v>
      </c>
      <c r="QMY66" s="960">
        <f>MIN(QMY60-QMY62,'Sources and Uses Budget'!QMY108-SUM('15 Year Pro Forma'!QMW66:QMX66))</f>
        <v>0</v>
      </c>
      <c r="QNA66" s="960">
        <f>MIN(QNA60-QNA62,'Sources and Uses Budget'!QNA108-SUM('15 Year Pro Forma'!QMY66:QMZ66))</f>
        <v>0</v>
      </c>
      <c r="QNC66" s="960">
        <f>MIN(QNC60-QNC62,'Sources and Uses Budget'!QNC108-SUM('15 Year Pro Forma'!QNA66:QNB66))</f>
        <v>0</v>
      </c>
      <c r="QNE66" s="960">
        <f>MIN(QNE60-QNE62,'Sources and Uses Budget'!QNE108-SUM('15 Year Pro Forma'!QNC66:QND66))</f>
        <v>0</v>
      </c>
      <c r="QNG66" s="960">
        <f>MIN(QNG60-QNG62,'Sources and Uses Budget'!QNG108-SUM('15 Year Pro Forma'!QNE66:QNF66))</f>
        <v>0</v>
      </c>
      <c r="QNI66" s="960">
        <f>MIN(QNI60-QNI62,'Sources and Uses Budget'!QNI108-SUM('15 Year Pro Forma'!QNG66:QNH66))</f>
        <v>0</v>
      </c>
      <c r="QNK66" s="960">
        <f>MIN(QNK60-QNK62,'Sources and Uses Budget'!QNK108-SUM('15 Year Pro Forma'!QNI66:QNJ66))</f>
        <v>0</v>
      </c>
      <c r="QNM66" s="960">
        <f>MIN(QNM60-QNM62,'Sources and Uses Budget'!QNM108-SUM('15 Year Pro Forma'!QNK66:QNL66))</f>
        <v>0</v>
      </c>
      <c r="QNO66" s="960">
        <f>MIN(QNO60-QNO62,'Sources and Uses Budget'!QNO108-SUM('15 Year Pro Forma'!QNM66:QNN66))</f>
        <v>0</v>
      </c>
      <c r="QNQ66" s="960">
        <f>MIN(QNQ60-QNQ62,'Sources and Uses Budget'!QNQ108-SUM('15 Year Pro Forma'!QNO66:QNP66))</f>
        <v>0</v>
      </c>
      <c r="QNS66" s="960">
        <f>MIN(QNS60-QNS62,'Sources and Uses Budget'!QNS108-SUM('15 Year Pro Forma'!QNQ66:QNR66))</f>
        <v>0</v>
      </c>
      <c r="QNU66" s="960">
        <f>MIN(QNU60-QNU62,'Sources and Uses Budget'!QNU108-SUM('15 Year Pro Forma'!QNS66:QNT66))</f>
        <v>0</v>
      </c>
      <c r="QNW66" s="960">
        <f>MIN(QNW60-QNW62,'Sources and Uses Budget'!QNW108-SUM('15 Year Pro Forma'!QNU66:QNV66))</f>
        <v>0</v>
      </c>
      <c r="QNY66" s="960">
        <f>MIN(QNY60-QNY62,'Sources and Uses Budget'!QNY108-SUM('15 Year Pro Forma'!QNW66:QNX66))</f>
        <v>0</v>
      </c>
      <c r="QOA66" s="960">
        <f>MIN(QOA60-QOA62,'Sources and Uses Budget'!QOA108-SUM('15 Year Pro Forma'!QNY66:QNZ66))</f>
        <v>0</v>
      </c>
      <c r="QOC66" s="960">
        <f>MIN(QOC60-QOC62,'Sources and Uses Budget'!QOC108-SUM('15 Year Pro Forma'!QOA66:QOB66))</f>
        <v>0</v>
      </c>
      <c r="QOE66" s="960">
        <f>MIN(QOE60-QOE62,'Sources and Uses Budget'!QOE108-SUM('15 Year Pro Forma'!QOC66:QOD66))</f>
        <v>0</v>
      </c>
      <c r="QOG66" s="960">
        <f>MIN(QOG60-QOG62,'Sources and Uses Budget'!QOG108-SUM('15 Year Pro Forma'!QOE66:QOF66))</f>
        <v>0</v>
      </c>
      <c r="QOI66" s="960">
        <f>MIN(QOI60-QOI62,'Sources and Uses Budget'!QOI108-SUM('15 Year Pro Forma'!QOG66:QOH66))</f>
        <v>0</v>
      </c>
      <c r="QOK66" s="960">
        <f>MIN(QOK60-QOK62,'Sources and Uses Budget'!QOK108-SUM('15 Year Pro Forma'!QOI66:QOJ66))</f>
        <v>0</v>
      </c>
      <c r="QOM66" s="960">
        <f>MIN(QOM60-QOM62,'Sources and Uses Budget'!QOM108-SUM('15 Year Pro Forma'!QOK66:QOL66))</f>
        <v>0</v>
      </c>
      <c r="QOO66" s="960">
        <f>MIN(QOO60-QOO62,'Sources and Uses Budget'!QOO108-SUM('15 Year Pro Forma'!QOM66:QON66))</f>
        <v>0</v>
      </c>
      <c r="QOQ66" s="960">
        <f>MIN(QOQ60-QOQ62,'Sources and Uses Budget'!QOQ108-SUM('15 Year Pro Forma'!QOO66:QOP66))</f>
        <v>0</v>
      </c>
      <c r="QOS66" s="960">
        <f>MIN(QOS60-QOS62,'Sources and Uses Budget'!QOS108-SUM('15 Year Pro Forma'!QOQ66:QOR66))</f>
        <v>0</v>
      </c>
      <c r="QOU66" s="960">
        <f>MIN(QOU60-QOU62,'Sources and Uses Budget'!QOU108-SUM('15 Year Pro Forma'!QOS66:QOT66))</f>
        <v>0</v>
      </c>
      <c r="QOW66" s="960">
        <f>MIN(QOW60-QOW62,'Sources and Uses Budget'!QOW108-SUM('15 Year Pro Forma'!QOU66:QOV66))</f>
        <v>0</v>
      </c>
      <c r="QOY66" s="960">
        <f>MIN(QOY60-QOY62,'Sources and Uses Budget'!QOY108-SUM('15 Year Pro Forma'!QOW66:QOX66))</f>
        <v>0</v>
      </c>
      <c r="QPA66" s="960">
        <f>MIN(QPA60-QPA62,'Sources and Uses Budget'!QPA108-SUM('15 Year Pro Forma'!QOY66:QOZ66))</f>
        <v>0</v>
      </c>
      <c r="QPC66" s="960">
        <f>MIN(QPC60-QPC62,'Sources and Uses Budget'!QPC108-SUM('15 Year Pro Forma'!QPA66:QPB66))</f>
        <v>0</v>
      </c>
      <c r="QPE66" s="960">
        <f>MIN(QPE60-QPE62,'Sources and Uses Budget'!QPE108-SUM('15 Year Pro Forma'!QPC66:QPD66))</f>
        <v>0</v>
      </c>
      <c r="QPG66" s="960">
        <f>MIN(QPG60-QPG62,'Sources and Uses Budget'!QPG108-SUM('15 Year Pro Forma'!QPE66:QPF66))</f>
        <v>0</v>
      </c>
      <c r="QPI66" s="960">
        <f>MIN(QPI60-QPI62,'Sources and Uses Budget'!QPI108-SUM('15 Year Pro Forma'!QPG66:QPH66))</f>
        <v>0</v>
      </c>
      <c r="QPK66" s="960">
        <f>MIN(QPK60-QPK62,'Sources and Uses Budget'!QPK108-SUM('15 Year Pro Forma'!QPI66:QPJ66))</f>
        <v>0</v>
      </c>
      <c r="QPM66" s="960">
        <f>MIN(QPM60-QPM62,'Sources and Uses Budget'!QPM108-SUM('15 Year Pro Forma'!QPK66:QPL66))</f>
        <v>0</v>
      </c>
      <c r="QPO66" s="960">
        <f>MIN(QPO60-QPO62,'Sources and Uses Budget'!QPO108-SUM('15 Year Pro Forma'!QPM66:QPN66))</f>
        <v>0</v>
      </c>
      <c r="QPQ66" s="960">
        <f>MIN(QPQ60-QPQ62,'Sources and Uses Budget'!QPQ108-SUM('15 Year Pro Forma'!QPO66:QPP66))</f>
        <v>0</v>
      </c>
      <c r="QPS66" s="960">
        <f>MIN(QPS60-QPS62,'Sources and Uses Budget'!QPS108-SUM('15 Year Pro Forma'!QPQ66:QPR66))</f>
        <v>0</v>
      </c>
      <c r="QPU66" s="960">
        <f>MIN(QPU60-QPU62,'Sources and Uses Budget'!QPU108-SUM('15 Year Pro Forma'!QPS66:QPT66))</f>
        <v>0</v>
      </c>
      <c r="QPW66" s="960">
        <f>MIN(QPW60-QPW62,'Sources and Uses Budget'!QPW108-SUM('15 Year Pro Forma'!QPU66:QPV66))</f>
        <v>0</v>
      </c>
      <c r="QPY66" s="960">
        <f>MIN(QPY60-QPY62,'Sources and Uses Budget'!QPY108-SUM('15 Year Pro Forma'!QPW66:QPX66))</f>
        <v>0</v>
      </c>
      <c r="QQA66" s="960">
        <f>MIN(QQA60-QQA62,'Sources and Uses Budget'!QQA108-SUM('15 Year Pro Forma'!QPY66:QPZ66))</f>
        <v>0</v>
      </c>
      <c r="QQC66" s="960">
        <f>MIN(QQC60-QQC62,'Sources and Uses Budget'!QQC108-SUM('15 Year Pro Forma'!QQA66:QQB66))</f>
        <v>0</v>
      </c>
      <c r="QQE66" s="960">
        <f>MIN(QQE60-QQE62,'Sources and Uses Budget'!QQE108-SUM('15 Year Pro Forma'!QQC66:QQD66))</f>
        <v>0</v>
      </c>
      <c r="QQG66" s="960">
        <f>MIN(QQG60-QQG62,'Sources and Uses Budget'!QQG108-SUM('15 Year Pro Forma'!QQE66:QQF66))</f>
        <v>0</v>
      </c>
      <c r="QQI66" s="960">
        <f>MIN(QQI60-QQI62,'Sources and Uses Budget'!QQI108-SUM('15 Year Pro Forma'!QQG66:QQH66))</f>
        <v>0</v>
      </c>
      <c r="QQK66" s="960">
        <f>MIN(QQK60-QQK62,'Sources and Uses Budget'!QQK108-SUM('15 Year Pro Forma'!QQI66:QQJ66))</f>
        <v>0</v>
      </c>
      <c r="QQM66" s="960">
        <f>MIN(QQM60-QQM62,'Sources and Uses Budget'!QQM108-SUM('15 Year Pro Forma'!QQK66:QQL66))</f>
        <v>0</v>
      </c>
      <c r="QQO66" s="960">
        <f>MIN(QQO60-QQO62,'Sources and Uses Budget'!QQO108-SUM('15 Year Pro Forma'!QQM66:QQN66))</f>
        <v>0</v>
      </c>
      <c r="QQQ66" s="960">
        <f>MIN(QQQ60-QQQ62,'Sources and Uses Budget'!QQQ108-SUM('15 Year Pro Forma'!QQO66:QQP66))</f>
        <v>0</v>
      </c>
      <c r="QQS66" s="960">
        <f>MIN(QQS60-QQS62,'Sources and Uses Budget'!QQS108-SUM('15 Year Pro Forma'!QQQ66:QQR66))</f>
        <v>0</v>
      </c>
      <c r="QQU66" s="960">
        <f>MIN(QQU60-QQU62,'Sources and Uses Budget'!QQU108-SUM('15 Year Pro Forma'!QQS66:QQT66))</f>
        <v>0</v>
      </c>
      <c r="QQW66" s="960">
        <f>MIN(QQW60-QQW62,'Sources and Uses Budget'!QQW108-SUM('15 Year Pro Forma'!QQU66:QQV66))</f>
        <v>0</v>
      </c>
      <c r="QQY66" s="960">
        <f>MIN(QQY60-QQY62,'Sources and Uses Budget'!QQY108-SUM('15 Year Pro Forma'!QQW66:QQX66))</f>
        <v>0</v>
      </c>
      <c r="QRA66" s="960">
        <f>MIN(QRA60-QRA62,'Sources and Uses Budget'!QRA108-SUM('15 Year Pro Forma'!QQY66:QQZ66))</f>
        <v>0</v>
      </c>
      <c r="QRC66" s="960">
        <f>MIN(QRC60-QRC62,'Sources and Uses Budget'!QRC108-SUM('15 Year Pro Forma'!QRA66:QRB66))</f>
        <v>0</v>
      </c>
      <c r="QRE66" s="960">
        <f>MIN(QRE60-QRE62,'Sources and Uses Budget'!QRE108-SUM('15 Year Pro Forma'!QRC66:QRD66))</f>
        <v>0</v>
      </c>
      <c r="QRG66" s="960">
        <f>MIN(QRG60-QRG62,'Sources and Uses Budget'!QRG108-SUM('15 Year Pro Forma'!QRE66:QRF66))</f>
        <v>0</v>
      </c>
      <c r="QRI66" s="960">
        <f>MIN(QRI60-QRI62,'Sources and Uses Budget'!QRI108-SUM('15 Year Pro Forma'!QRG66:QRH66))</f>
        <v>0</v>
      </c>
      <c r="QRK66" s="960">
        <f>MIN(QRK60-QRK62,'Sources and Uses Budget'!QRK108-SUM('15 Year Pro Forma'!QRI66:QRJ66))</f>
        <v>0</v>
      </c>
      <c r="QRM66" s="960">
        <f>MIN(QRM60-QRM62,'Sources and Uses Budget'!QRM108-SUM('15 Year Pro Forma'!QRK66:QRL66))</f>
        <v>0</v>
      </c>
      <c r="QRO66" s="960">
        <f>MIN(QRO60-QRO62,'Sources and Uses Budget'!QRO108-SUM('15 Year Pro Forma'!QRM66:QRN66))</f>
        <v>0</v>
      </c>
      <c r="QRQ66" s="960">
        <f>MIN(QRQ60-QRQ62,'Sources and Uses Budget'!QRQ108-SUM('15 Year Pro Forma'!QRO66:QRP66))</f>
        <v>0</v>
      </c>
      <c r="QRS66" s="960">
        <f>MIN(QRS60-QRS62,'Sources and Uses Budget'!QRS108-SUM('15 Year Pro Forma'!QRQ66:QRR66))</f>
        <v>0</v>
      </c>
      <c r="QRU66" s="960">
        <f>MIN(QRU60-QRU62,'Sources and Uses Budget'!QRU108-SUM('15 Year Pro Forma'!QRS66:QRT66))</f>
        <v>0</v>
      </c>
      <c r="QRW66" s="960">
        <f>MIN(QRW60-QRW62,'Sources and Uses Budget'!QRW108-SUM('15 Year Pro Forma'!QRU66:QRV66))</f>
        <v>0</v>
      </c>
      <c r="QRY66" s="960">
        <f>MIN(QRY60-QRY62,'Sources and Uses Budget'!QRY108-SUM('15 Year Pro Forma'!QRW66:QRX66))</f>
        <v>0</v>
      </c>
      <c r="QSA66" s="960">
        <f>MIN(QSA60-QSA62,'Sources and Uses Budget'!QSA108-SUM('15 Year Pro Forma'!QRY66:QRZ66))</f>
        <v>0</v>
      </c>
      <c r="QSC66" s="960">
        <f>MIN(QSC60-QSC62,'Sources and Uses Budget'!QSC108-SUM('15 Year Pro Forma'!QSA66:QSB66))</f>
        <v>0</v>
      </c>
      <c r="QSE66" s="960">
        <f>MIN(QSE60-QSE62,'Sources and Uses Budget'!QSE108-SUM('15 Year Pro Forma'!QSC66:QSD66))</f>
        <v>0</v>
      </c>
      <c r="QSG66" s="960">
        <f>MIN(QSG60-QSG62,'Sources and Uses Budget'!QSG108-SUM('15 Year Pro Forma'!QSE66:QSF66))</f>
        <v>0</v>
      </c>
      <c r="QSI66" s="960">
        <f>MIN(QSI60-QSI62,'Sources and Uses Budget'!QSI108-SUM('15 Year Pro Forma'!QSG66:QSH66))</f>
        <v>0</v>
      </c>
      <c r="QSK66" s="960">
        <f>MIN(QSK60-QSK62,'Sources and Uses Budget'!QSK108-SUM('15 Year Pro Forma'!QSI66:QSJ66))</f>
        <v>0</v>
      </c>
      <c r="QSM66" s="960">
        <f>MIN(QSM60-QSM62,'Sources and Uses Budget'!QSM108-SUM('15 Year Pro Forma'!QSK66:QSL66))</f>
        <v>0</v>
      </c>
      <c r="QSO66" s="960">
        <f>MIN(QSO60-QSO62,'Sources and Uses Budget'!QSO108-SUM('15 Year Pro Forma'!QSM66:QSN66))</f>
        <v>0</v>
      </c>
      <c r="QSQ66" s="960">
        <f>MIN(QSQ60-QSQ62,'Sources and Uses Budget'!QSQ108-SUM('15 Year Pro Forma'!QSO66:QSP66))</f>
        <v>0</v>
      </c>
      <c r="QSS66" s="960">
        <f>MIN(QSS60-QSS62,'Sources and Uses Budget'!QSS108-SUM('15 Year Pro Forma'!QSQ66:QSR66))</f>
        <v>0</v>
      </c>
      <c r="QSU66" s="960">
        <f>MIN(QSU60-QSU62,'Sources and Uses Budget'!QSU108-SUM('15 Year Pro Forma'!QSS66:QST66))</f>
        <v>0</v>
      </c>
      <c r="QSW66" s="960">
        <f>MIN(QSW60-QSW62,'Sources and Uses Budget'!QSW108-SUM('15 Year Pro Forma'!QSU66:QSV66))</f>
        <v>0</v>
      </c>
      <c r="QSY66" s="960">
        <f>MIN(QSY60-QSY62,'Sources and Uses Budget'!QSY108-SUM('15 Year Pro Forma'!QSW66:QSX66))</f>
        <v>0</v>
      </c>
      <c r="QTA66" s="960">
        <f>MIN(QTA60-QTA62,'Sources and Uses Budget'!QTA108-SUM('15 Year Pro Forma'!QSY66:QSZ66))</f>
        <v>0</v>
      </c>
      <c r="QTC66" s="960">
        <f>MIN(QTC60-QTC62,'Sources and Uses Budget'!QTC108-SUM('15 Year Pro Forma'!QTA66:QTB66))</f>
        <v>0</v>
      </c>
      <c r="QTE66" s="960">
        <f>MIN(QTE60-QTE62,'Sources and Uses Budget'!QTE108-SUM('15 Year Pro Forma'!QTC66:QTD66))</f>
        <v>0</v>
      </c>
      <c r="QTG66" s="960">
        <f>MIN(QTG60-QTG62,'Sources and Uses Budget'!QTG108-SUM('15 Year Pro Forma'!QTE66:QTF66))</f>
        <v>0</v>
      </c>
      <c r="QTI66" s="960">
        <f>MIN(QTI60-QTI62,'Sources and Uses Budget'!QTI108-SUM('15 Year Pro Forma'!QTG66:QTH66))</f>
        <v>0</v>
      </c>
      <c r="QTK66" s="960">
        <f>MIN(QTK60-QTK62,'Sources and Uses Budget'!QTK108-SUM('15 Year Pro Forma'!QTI66:QTJ66))</f>
        <v>0</v>
      </c>
      <c r="QTM66" s="960">
        <f>MIN(QTM60-QTM62,'Sources and Uses Budget'!QTM108-SUM('15 Year Pro Forma'!QTK66:QTL66))</f>
        <v>0</v>
      </c>
      <c r="QTO66" s="960">
        <f>MIN(QTO60-QTO62,'Sources and Uses Budget'!QTO108-SUM('15 Year Pro Forma'!QTM66:QTN66))</f>
        <v>0</v>
      </c>
      <c r="QTQ66" s="960">
        <f>MIN(QTQ60-QTQ62,'Sources and Uses Budget'!QTQ108-SUM('15 Year Pro Forma'!QTO66:QTP66))</f>
        <v>0</v>
      </c>
      <c r="QTS66" s="960">
        <f>MIN(QTS60-QTS62,'Sources and Uses Budget'!QTS108-SUM('15 Year Pro Forma'!QTQ66:QTR66))</f>
        <v>0</v>
      </c>
      <c r="QTU66" s="960">
        <f>MIN(QTU60-QTU62,'Sources and Uses Budget'!QTU108-SUM('15 Year Pro Forma'!QTS66:QTT66))</f>
        <v>0</v>
      </c>
      <c r="QTW66" s="960">
        <f>MIN(QTW60-QTW62,'Sources and Uses Budget'!QTW108-SUM('15 Year Pro Forma'!QTU66:QTV66))</f>
        <v>0</v>
      </c>
      <c r="QTY66" s="960">
        <f>MIN(QTY60-QTY62,'Sources and Uses Budget'!QTY108-SUM('15 Year Pro Forma'!QTW66:QTX66))</f>
        <v>0</v>
      </c>
      <c r="QUA66" s="960">
        <f>MIN(QUA60-QUA62,'Sources and Uses Budget'!QUA108-SUM('15 Year Pro Forma'!QTY66:QTZ66))</f>
        <v>0</v>
      </c>
      <c r="QUC66" s="960">
        <f>MIN(QUC60-QUC62,'Sources and Uses Budget'!QUC108-SUM('15 Year Pro Forma'!QUA66:QUB66))</f>
        <v>0</v>
      </c>
      <c r="QUE66" s="960">
        <f>MIN(QUE60-QUE62,'Sources and Uses Budget'!QUE108-SUM('15 Year Pro Forma'!QUC66:QUD66))</f>
        <v>0</v>
      </c>
      <c r="QUG66" s="960">
        <f>MIN(QUG60-QUG62,'Sources and Uses Budget'!QUG108-SUM('15 Year Pro Forma'!QUE66:QUF66))</f>
        <v>0</v>
      </c>
      <c r="QUI66" s="960">
        <f>MIN(QUI60-QUI62,'Sources and Uses Budget'!QUI108-SUM('15 Year Pro Forma'!QUG66:QUH66))</f>
        <v>0</v>
      </c>
      <c r="QUK66" s="960">
        <f>MIN(QUK60-QUK62,'Sources and Uses Budget'!QUK108-SUM('15 Year Pro Forma'!QUI66:QUJ66))</f>
        <v>0</v>
      </c>
      <c r="QUM66" s="960">
        <f>MIN(QUM60-QUM62,'Sources and Uses Budget'!QUM108-SUM('15 Year Pro Forma'!QUK66:QUL66))</f>
        <v>0</v>
      </c>
      <c r="QUO66" s="960">
        <f>MIN(QUO60-QUO62,'Sources and Uses Budget'!QUO108-SUM('15 Year Pro Forma'!QUM66:QUN66))</f>
        <v>0</v>
      </c>
      <c r="QUQ66" s="960">
        <f>MIN(QUQ60-QUQ62,'Sources and Uses Budget'!QUQ108-SUM('15 Year Pro Forma'!QUO66:QUP66))</f>
        <v>0</v>
      </c>
      <c r="QUS66" s="960">
        <f>MIN(QUS60-QUS62,'Sources and Uses Budget'!QUS108-SUM('15 Year Pro Forma'!QUQ66:QUR66))</f>
        <v>0</v>
      </c>
      <c r="QUU66" s="960">
        <f>MIN(QUU60-QUU62,'Sources and Uses Budget'!QUU108-SUM('15 Year Pro Forma'!QUS66:QUT66))</f>
        <v>0</v>
      </c>
      <c r="QUW66" s="960">
        <f>MIN(QUW60-QUW62,'Sources and Uses Budget'!QUW108-SUM('15 Year Pro Forma'!QUU66:QUV66))</f>
        <v>0</v>
      </c>
      <c r="QUY66" s="960">
        <f>MIN(QUY60-QUY62,'Sources and Uses Budget'!QUY108-SUM('15 Year Pro Forma'!QUW66:QUX66))</f>
        <v>0</v>
      </c>
      <c r="QVA66" s="960">
        <f>MIN(QVA60-QVA62,'Sources and Uses Budget'!QVA108-SUM('15 Year Pro Forma'!QUY66:QUZ66))</f>
        <v>0</v>
      </c>
      <c r="QVC66" s="960">
        <f>MIN(QVC60-QVC62,'Sources and Uses Budget'!QVC108-SUM('15 Year Pro Forma'!QVA66:QVB66))</f>
        <v>0</v>
      </c>
      <c r="QVE66" s="960">
        <f>MIN(QVE60-QVE62,'Sources and Uses Budget'!QVE108-SUM('15 Year Pro Forma'!QVC66:QVD66))</f>
        <v>0</v>
      </c>
      <c r="QVG66" s="960">
        <f>MIN(QVG60-QVG62,'Sources and Uses Budget'!QVG108-SUM('15 Year Pro Forma'!QVE66:QVF66))</f>
        <v>0</v>
      </c>
      <c r="QVI66" s="960">
        <f>MIN(QVI60-QVI62,'Sources and Uses Budget'!QVI108-SUM('15 Year Pro Forma'!QVG66:QVH66))</f>
        <v>0</v>
      </c>
      <c r="QVK66" s="960">
        <f>MIN(QVK60-QVK62,'Sources and Uses Budget'!QVK108-SUM('15 Year Pro Forma'!QVI66:QVJ66))</f>
        <v>0</v>
      </c>
      <c r="QVM66" s="960">
        <f>MIN(QVM60-QVM62,'Sources and Uses Budget'!QVM108-SUM('15 Year Pro Forma'!QVK66:QVL66))</f>
        <v>0</v>
      </c>
      <c r="QVO66" s="960">
        <f>MIN(QVO60-QVO62,'Sources and Uses Budget'!QVO108-SUM('15 Year Pro Forma'!QVM66:QVN66))</f>
        <v>0</v>
      </c>
      <c r="QVQ66" s="960">
        <f>MIN(QVQ60-QVQ62,'Sources and Uses Budget'!QVQ108-SUM('15 Year Pro Forma'!QVO66:QVP66))</f>
        <v>0</v>
      </c>
      <c r="QVS66" s="960">
        <f>MIN(QVS60-QVS62,'Sources and Uses Budget'!QVS108-SUM('15 Year Pro Forma'!QVQ66:QVR66))</f>
        <v>0</v>
      </c>
      <c r="QVU66" s="960">
        <f>MIN(QVU60-QVU62,'Sources and Uses Budget'!QVU108-SUM('15 Year Pro Forma'!QVS66:QVT66))</f>
        <v>0</v>
      </c>
      <c r="QVW66" s="960">
        <f>MIN(QVW60-QVW62,'Sources and Uses Budget'!QVW108-SUM('15 Year Pro Forma'!QVU66:QVV66))</f>
        <v>0</v>
      </c>
      <c r="QVY66" s="960">
        <f>MIN(QVY60-QVY62,'Sources and Uses Budget'!QVY108-SUM('15 Year Pro Forma'!QVW66:QVX66))</f>
        <v>0</v>
      </c>
      <c r="QWA66" s="960">
        <f>MIN(QWA60-QWA62,'Sources and Uses Budget'!QWA108-SUM('15 Year Pro Forma'!QVY66:QVZ66))</f>
        <v>0</v>
      </c>
      <c r="QWC66" s="960">
        <f>MIN(QWC60-QWC62,'Sources and Uses Budget'!QWC108-SUM('15 Year Pro Forma'!QWA66:QWB66))</f>
        <v>0</v>
      </c>
      <c r="QWE66" s="960">
        <f>MIN(QWE60-QWE62,'Sources and Uses Budget'!QWE108-SUM('15 Year Pro Forma'!QWC66:QWD66))</f>
        <v>0</v>
      </c>
      <c r="QWG66" s="960">
        <f>MIN(QWG60-QWG62,'Sources and Uses Budget'!QWG108-SUM('15 Year Pro Forma'!QWE66:QWF66))</f>
        <v>0</v>
      </c>
      <c r="QWI66" s="960">
        <f>MIN(QWI60-QWI62,'Sources and Uses Budget'!QWI108-SUM('15 Year Pro Forma'!QWG66:QWH66))</f>
        <v>0</v>
      </c>
      <c r="QWK66" s="960">
        <f>MIN(QWK60-QWK62,'Sources and Uses Budget'!QWK108-SUM('15 Year Pro Forma'!QWI66:QWJ66))</f>
        <v>0</v>
      </c>
      <c r="QWM66" s="960">
        <f>MIN(QWM60-QWM62,'Sources and Uses Budget'!QWM108-SUM('15 Year Pro Forma'!QWK66:QWL66))</f>
        <v>0</v>
      </c>
      <c r="QWO66" s="960">
        <f>MIN(QWO60-QWO62,'Sources and Uses Budget'!QWO108-SUM('15 Year Pro Forma'!QWM66:QWN66))</f>
        <v>0</v>
      </c>
      <c r="QWQ66" s="960">
        <f>MIN(QWQ60-QWQ62,'Sources and Uses Budget'!QWQ108-SUM('15 Year Pro Forma'!QWO66:QWP66))</f>
        <v>0</v>
      </c>
      <c r="QWS66" s="960">
        <f>MIN(QWS60-QWS62,'Sources and Uses Budget'!QWS108-SUM('15 Year Pro Forma'!QWQ66:QWR66))</f>
        <v>0</v>
      </c>
      <c r="QWU66" s="960">
        <f>MIN(QWU60-QWU62,'Sources and Uses Budget'!QWU108-SUM('15 Year Pro Forma'!QWS66:QWT66))</f>
        <v>0</v>
      </c>
      <c r="QWW66" s="960">
        <f>MIN(QWW60-QWW62,'Sources and Uses Budget'!QWW108-SUM('15 Year Pro Forma'!QWU66:QWV66))</f>
        <v>0</v>
      </c>
      <c r="QWY66" s="960">
        <f>MIN(QWY60-QWY62,'Sources and Uses Budget'!QWY108-SUM('15 Year Pro Forma'!QWW66:QWX66))</f>
        <v>0</v>
      </c>
      <c r="QXA66" s="960">
        <f>MIN(QXA60-QXA62,'Sources and Uses Budget'!QXA108-SUM('15 Year Pro Forma'!QWY66:QWZ66))</f>
        <v>0</v>
      </c>
      <c r="QXC66" s="960">
        <f>MIN(QXC60-QXC62,'Sources and Uses Budget'!QXC108-SUM('15 Year Pro Forma'!QXA66:QXB66))</f>
        <v>0</v>
      </c>
      <c r="QXE66" s="960">
        <f>MIN(QXE60-QXE62,'Sources and Uses Budget'!QXE108-SUM('15 Year Pro Forma'!QXC66:QXD66))</f>
        <v>0</v>
      </c>
      <c r="QXG66" s="960">
        <f>MIN(QXG60-QXG62,'Sources and Uses Budget'!QXG108-SUM('15 Year Pro Forma'!QXE66:QXF66))</f>
        <v>0</v>
      </c>
      <c r="QXI66" s="960">
        <f>MIN(QXI60-QXI62,'Sources and Uses Budget'!QXI108-SUM('15 Year Pro Forma'!QXG66:QXH66))</f>
        <v>0</v>
      </c>
      <c r="QXK66" s="960">
        <f>MIN(QXK60-QXK62,'Sources and Uses Budget'!QXK108-SUM('15 Year Pro Forma'!QXI66:QXJ66))</f>
        <v>0</v>
      </c>
      <c r="QXM66" s="960">
        <f>MIN(QXM60-QXM62,'Sources and Uses Budget'!QXM108-SUM('15 Year Pro Forma'!QXK66:QXL66))</f>
        <v>0</v>
      </c>
      <c r="QXO66" s="960">
        <f>MIN(QXO60-QXO62,'Sources and Uses Budget'!QXO108-SUM('15 Year Pro Forma'!QXM66:QXN66))</f>
        <v>0</v>
      </c>
      <c r="QXQ66" s="960">
        <f>MIN(QXQ60-QXQ62,'Sources and Uses Budget'!QXQ108-SUM('15 Year Pro Forma'!QXO66:QXP66))</f>
        <v>0</v>
      </c>
      <c r="QXS66" s="960">
        <f>MIN(QXS60-QXS62,'Sources and Uses Budget'!QXS108-SUM('15 Year Pro Forma'!QXQ66:QXR66))</f>
        <v>0</v>
      </c>
      <c r="QXU66" s="960">
        <f>MIN(QXU60-QXU62,'Sources and Uses Budget'!QXU108-SUM('15 Year Pro Forma'!QXS66:QXT66))</f>
        <v>0</v>
      </c>
      <c r="QXW66" s="960">
        <f>MIN(QXW60-QXW62,'Sources and Uses Budget'!QXW108-SUM('15 Year Pro Forma'!QXU66:QXV66))</f>
        <v>0</v>
      </c>
      <c r="QXY66" s="960">
        <f>MIN(QXY60-QXY62,'Sources and Uses Budget'!QXY108-SUM('15 Year Pro Forma'!QXW66:QXX66))</f>
        <v>0</v>
      </c>
      <c r="QYA66" s="960">
        <f>MIN(QYA60-QYA62,'Sources and Uses Budget'!QYA108-SUM('15 Year Pro Forma'!QXY66:QXZ66))</f>
        <v>0</v>
      </c>
      <c r="QYC66" s="960">
        <f>MIN(QYC60-QYC62,'Sources and Uses Budget'!QYC108-SUM('15 Year Pro Forma'!QYA66:QYB66))</f>
        <v>0</v>
      </c>
      <c r="QYE66" s="960">
        <f>MIN(QYE60-QYE62,'Sources and Uses Budget'!QYE108-SUM('15 Year Pro Forma'!QYC66:QYD66))</f>
        <v>0</v>
      </c>
      <c r="QYG66" s="960">
        <f>MIN(QYG60-QYG62,'Sources and Uses Budget'!QYG108-SUM('15 Year Pro Forma'!QYE66:QYF66))</f>
        <v>0</v>
      </c>
      <c r="QYI66" s="960">
        <f>MIN(QYI60-QYI62,'Sources and Uses Budget'!QYI108-SUM('15 Year Pro Forma'!QYG66:QYH66))</f>
        <v>0</v>
      </c>
      <c r="QYK66" s="960">
        <f>MIN(QYK60-QYK62,'Sources and Uses Budget'!QYK108-SUM('15 Year Pro Forma'!QYI66:QYJ66))</f>
        <v>0</v>
      </c>
      <c r="QYM66" s="960">
        <f>MIN(QYM60-QYM62,'Sources and Uses Budget'!QYM108-SUM('15 Year Pro Forma'!QYK66:QYL66))</f>
        <v>0</v>
      </c>
      <c r="QYO66" s="960">
        <f>MIN(QYO60-QYO62,'Sources and Uses Budget'!QYO108-SUM('15 Year Pro Forma'!QYM66:QYN66))</f>
        <v>0</v>
      </c>
      <c r="QYQ66" s="960">
        <f>MIN(QYQ60-QYQ62,'Sources and Uses Budget'!QYQ108-SUM('15 Year Pro Forma'!QYO66:QYP66))</f>
        <v>0</v>
      </c>
      <c r="QYS66" s="960">
        <f>MIN(QYS60-QYS62,'Sources and Uses Budget'!QYS108-SUM('15 Year Pro Forma'!QYQ66:QYR66))</f>
        <v>0</v>
      </c>
      <c r="QYU66" s="960">
        <f>MIN(QYU60-QYU62,'Sources and Uses Budget'!QYU108-SUM('15 Year Pro Forma'!QYS66:QYT66))</f>
        <v>0</v>
      </c>
      <c r="QYW66" s="960">
        <f>MIN(QYW60-QYW62,'Sources and Uses Budget'!QYW108-SUM('15 Year Pro Forma'!QYU66:QYV66))</f>
        <v>0</v>
      </c>
      <c r="QYY66" s="960">
        <f>MIN(QYY60-QYY62,'Sources and Uses Budget'!QYY108-SUM('15 Year Pro Forma'!QYW66:QYX66))</f>
        <v>0</v>
      </c>
      <c r="QZA66" s="960">
        <f>MIN(QZA60-QZA62,'Sources and Uses Budget'!QZA108-SUM('15 Year Pro Forma'!QYY66:QYZ66))</f>
        <v>0</v>
      </c>
      <c r="QZC66" s="960">
        <f>MIN(QZC60-QZC62,'Sources and Uses Budget'!QZC108-SUM('15 Year Pro Forma'!QZA66:QZB66))</f>
        <v>0</v>
      </c>
      <c r="QZE66" s="960">
        <f>MIN(QZE60-QZE62,'Sources and Uses Budget'!QZE108-SUM('15 Year Pro Forma'!QZC66:QZD66))</f>
        <v>0</v>
      </c>
      <c r="QZG66" s="960">
        <f>MIN(QZG60-QZG62,'Sources and Uses Budget'!QZG108-SUM('15 Year Pro Forma'!QZE66:QZF66))</f>
        <v>0</v>
      </c>
      <c r="QZI66" s="960">
        <f>MIN(QZI60-QZI62,'Sources and Uses Budget'!QZI108-SUM('15 Year Pro Forma'!QZG66:QZH66))</f>
        <v>0</v>
      </c>
      <c r="QZK66" s="960">
        <f>MIN(QZK60-QZK62,'Sources and Uses Budget'!QZK108-SUM('15 Year Pro Forma'!QZI66:QZJ66))</f>
        <v>0</v>
      </c>
      <c r="QZM66" s="960">
        <f>MIN(QZM60-QZM62,'Sources and Uses Budget'!QZM108-SUM('15 Year Pro Forma'!QZK66:QZL66))</f>
        <v>0</v>
      </c>
      <c r="QZO66" s="960">
        <f>MIN(QZO60-QZO62,'Sources and Uses Budget'!QZO108-SUM('15 Year Pro Forma'!QZM66:QZN66))</f>
        <v>0</v>
      </c>
      <c r="QZQ66" s="960">
        <f>MIN(QZQ60-QZQ62,'Sources and Uses Budget'!QZQ108-SUM('15 Year Pro Forma'!QZO66:QZP66))</f>
        <v>0</v>
      </c>
      <c r="QZS66" s="960">
        <f>MIN(QZS60-QZS62,'Sources and Uses Budget'!QZS108-SUM('15 Year Pro Forma'!QZQ66:QZR66))</f>
        <v>0</v>
      </c>
      <c r="QZU66" s="960">
        <f>MIN(QZU60-QZU62,'Sources and Uses Budget'!QZU108-SUM('15 Year Pro Forma'!QZS66:QZT66))</f>
        <v>0</v>
      </c>
      <c r="QZW66" s="960">
        <f>MIN(QZW60-QZW62,'Sources and Uses Budget'!QZW108-SUM('15 Year Pro Forma'!QZU66:QZV66))</f>
        <v>0</v>
      </c>
      <c r="QZY66" s="960">
        <f>MIN(QZY60-QZY62,'Sources and Uses Budget'!QZY108-SUM('15 Year Pro Forma'!QZW66:QZX66))</f>
        <v>0</v>
      </c>
      <c r="RAA66" s="960">
        <f>MIN(RAA60-RAA62,'Sources and Uses Budget'!RAA108-SUM('15 Year Pro Forma'!QZY66:QZZ66))</f>
        <v>0</v>
      </c>
      <c r="RAC66" s="960">
        <f>MIN(RAC60-RAC62,'Sources and Uses Budget'!RAC108-SUM('15 Year Pro Forma'!RAA66:RAB66))</f>
        <v>0</v>
      </c>
      <c r="RAE66" s="960">
        <f>MIN(RAE60-RAE62,'Sources and Uses Budget'!RAE108-SUM('15 Year Pro Forma'!RAC66:RAD66))</f>
        <v>0</v>
      </c>
      <c r="RAG66" s="960">
        <f>MIN(RAG60-RAG62,'Sources and Uses Budget'!RAG108-SUM('15 Year Pro Forma'!RAE66:RAF66))</f>
        <v>0</v>
      </c>
      <c r="RAI66" s="960">
        <f>MIN(RAI60-RAI62,'Sources and Uses Budget'!RAI108-SUM('15 Year Pro Forma'!RAG66:RAH66))</f>
        <v>0</v>
      </c>
      <c r="RAK66" s="960">
        <f>MIN(RAK60-RAK62,'Sources and Uses Budget'!RAK108-SUM('15 Year Pro Forma'!RAI66:RAJ66))</f>
        <v>0</v>
      </c>
      <c r="RAM66" s="960">
        <f>MIN(RAM60-RAM62,'Sources and Uses Budget'!RAM108-SUM('15 Year Pro Forma'!RAK66:RAL66))</f>
        <v>0</v>
      </c>
      <c r="RAO66" s="960">
        <f>MIN(RAO60-RAO62,'Sources and Uses Budget'!RAO108-SUM('15 Year Pro Forma'!RAM66:RAN66))</f>
        <v>0</v>
      </c>
      <c r="RAQ66" s="960">
        <f>MIN(RAQ60-RAQ62,'Sources and Uses Budget'!RAQ108-SUM('15 Year Pro Forma'!RAO66:RAP66))</f>
        <v>0</v>
      </c>
      <c r="RAS66" s="960">
        <f>MIN(RAS60-RAS62,'Sources and Uses Budget'!RAS108-SUM('15 Year Pro Forma'!RAQ66:RAR66))</f>
        <v>0</v>
      </c>
      <c r="RAU66" s="960">
        <f>MIN(RAU60-RAU62,'Sources and Uses Budget'!RAU108-SUM('15 Year Pro Forma'!RAS66:RAT66))</f>
        <v>0</v>
      </c>
      <c r="RAW66" s="960">
        <f>MIN(RAW60-RAW62,'Sources and Uses Budget'!RAW108-SUM('15 Year Pro Forma'!RAU66:RAV66))</f>
        <v>0</v>
      </c>
      <c r="RAY66" s="960">
        <f>MIN(RAY60-RAY62,'Sources and Uses Budget'!RAY108-SUM('15 Year Pro Forma'!RAW66:RAX66))</f>
        <v>0</v>
      </c>
      <c r="RBA66" s="960">
        <f>MIN(RBA60-RBA62,'Sources and Uses Budget'!RBA108-SUM('15 Year Pro Forma'!RAY66:RAZ66))</f>
        <v>0</v>
      </c>
      <c r="RBC66" s="960">
        <f>MIN(RBC60-RBC62,'Sources and Uses Budget'!RBC108-SUM('15 Year Pro Forma'!RBA66:RBB66))</f>
        <v>0</v>
      </c>
      <c r="RBE66" s="960">
        <f>MIN(RBE60-RBE62,'Sources and Uses Budget'!RBE108-SUM('15 Year Pro Forma'!RBC66:RBD66))</f>
        <v>0</v>
      </c>
      <c r="RBG66" s="960">
        <f>MIN(RBG60-RBG62,'Sources and Uses Budget'!RBG108-SUM('15 Year Pro Forma'!RBE66:RBF66))</f>
        <v>0</v>
      </c>
      <c r="RBI66" s="960">
        <f>MIN(RBI60-RBI62,'Sources and Uses Budget'!RBI108-SUM('15 Year Pro Forma'!RBG66:RBH66))</f>
        <v>0</v>
      </c>
      <c r="RBK66" s="960">
        <f>MIN(RBK60-RBK62,'Sources and Uses Budget'!RBK108-SUM('15 Year Pro Forma'!RBI66:RBJ66))</f>
        <v>0</v>
      </c>
      <c r="RBM66" s="960">
        <f>MIN(RBM60-RBM62,'Sources and Uses Budget'!RBM108-SUM('15 Year Pro Forma'!RBK66:RBL66))</f>
        <v>0</v>
      </c>
      <c r="RBO66" s="960">
        <f>MIN(RBO60-RBO62,'Sources and Uses Budget'!RBO108-SUM('15 Year Pro Forma'!RBM66:RBN66))</f>
        <v>0</v>
      </c>
      <c r="RBQ66" s="960">
        <f>MIN(RBQ60-RBQ62,'Sources and Uses Budget'!RBQ108-SUM('15 Year Pro Forma'!RBO66:RBP66))</f>
        <v>0</v>
      </c>
      <c r="RBS66" s="960">
        <f>MIN(RBS60-RBS62,'Sources and Uses Budget'!RBS108-SUM('15 Year Pro Forma'!RBQ66:RBR66))</f>
        <v>0</v>
      </c>
      <c r="RBU66" s="960">
        <f>MIN(RBU60-RBU62,'Sources and Uses Budget'!RBU108-SUM('15 Year Pro Forma'!RBS66:RBT66))</f>
        <v>0</v>
      </c>
      <c r="RBW66" s="960">
        <f>MIN(RBW60-RBW62,'Sources and Uses Budget'!RBW108-SUM('15 Year Pro Forma'!RBU66:RBV66))</f>
        <v>0</v>
      </c>
      <c r="RBY66" s="960">
        <f>MIN(RBY60-RBY62,'Sources and Uses Budget'!RBY108-SUM('15 Year Pro Forma'!RBW66:RBX66))</f>
        <v>0</v>
      </c>
      <c r="RCA66" s="960">
        <f>MIN(RCA60-RCA62,'Sources and Uses Budget'!RCA108-SUM('15 Year Pro Forma'!RBY66:RBZ66))</f>
        <v>0</v>
      </c>
      <c r="RCC66" s="960">
        <f>MIN(RCC60-RCC62,'Sources and Uses Budget'!RCC108-SUM('15 Year Pro Forma'!RCA66:RCB66))</f>
        <v>0</v>
      </c>
      <c r="RCE66" s="960">
        <f>MIN(RCE60-RCE62,'Sources and Uses Budget'!RCE108-SUM('15 Year Pro Forma'!RCC66:RCD66))</f>
        <v>0</v>
      </c>
      <c r="RCG66" s="960">
        <f>MIN(RCG60-RCG62,'Sources and Uses Budget'!RCG108-SUM('15 Year Pro Forma'!RCE66:RCF66))</f>
        <v>0</v>
      </c>
      <c r="RCI66" s="960">
        <f>MIN(RCI60-RCI62,'Sources and Uses Budget'!RCI108-SUM('15 Year Pro Forma'!RCG66:RCH66))</f>
        <v>0</v>
      </c>
      <c r="RCK66" s="960">
        <f>MIN(RCK60-RCK62,'Sources and Uses Budget'!RCK108-SUM('15 Year Pro Forma'!RCI66:RCJ66))</f>
        <v>0</v>
      </c>
      <c r="RCM66" s="960">
        <f>MIN(RCM60-RCM62,'Sources and Uses Budget'!RCM108-SUM('15 Year Pro Forma'!RCK66:RCL66))</f>
        <v>0</v>
      </c>
      <c r="RCO66" s="960">
        <f>MIN(RCO60-RCO62,'Sources and Uses Budget'!RCO108-SUM('15 Year Pro Forma'!RCM66:RCN66))</f>
        <v>0</v>
      </c>
      <c r="RCQ66" s="960">
        <f>MIN(RCQ60-RCQ62,'Sources and Uses Budget'!RCQ108-SUM('15 Year Pro Forma'!RCO66:RCP66))</f>
        <v>0</v>
      </c>
      <c r="RCS66" s="960">
        <f>MIN(RCS60-RCS62,'Sources and Uses Budget'!RCS108-SUM('15 Year Pro Forma'!RCQ66:RCR66))</f>
        <v>0</v>
      </c>
      <c r="RCU66" s="960">
        <f>MIN(RCU60-RCU62,'Sources and Uses Budget'!RCU108-SUM('15 Year Pro Forma'!RCS66:RCT66))</f>
        <v>0</v>
      </c>
      <c r="RCW66" s="960">
        <f>MIN(RCW60-RCW62,'Sources and Uses Budget'!RCW108-SUM('15 Year Pro Forma'!RCU66:RCV66))</f>
        <v>0</v>
      </c>
      <c r="RCY66" s="960">
        <f>MIN(RCY60-RCY62,'Sources and Uses Budget'!RCY108-SUM('15 Year Pro Forma'!RCW66:RCX66))</f>
        <v>0</v>
      </c>
      <c r="RDA66" s="960">
        <f>MIN(RDA60-RDA62,'Sources and Uses Budget'!RDA108-SUM('15 Year Pro Forma'!RCY66:RCZ66))</f>
        <v>0</v>
      </c>
      <c r="RDC66" s="960">
        <f>MIN(RDC60-RDC62,'Sources and Uses Budget'!RDC108-SUM('15 Year Pro Forma'!RDA66:RDB66))</f>
        <v>0</v>
      </c>
      <c r="RDE66" s="960">
        <f>MIN(RDE60-RDE62,'Sources and Uses Budget'!RDE108-SUM('15 Year Pro Forma'!RDC66:RDD66))</f>
        <v>0</v>
      </c>
      <c r="RDG66" s="960">
        <f>MIN(RDG60-RDG62,'Sources and Uses Budget'!RDG108-SUM('15 Year Pro Forma'!RDE66:RDF66))</f>
        <v>0</v>
      </c>
      <c r="RDI66" s="960">
        <f>MIN(RDI60-RDI62,'Sources and Uses Budget'!RDI108-SUM('15 Year Pro Forma'!RDG66:RDH66))</f>
        <v>0</v>
      </c>
      <c r="RDK66" s="960">
        <f>MIN(RDK60-RDK62,'Sources and Uses Budget'!RDK108-SUM('15 Year Pro Forma'!RDI66:RDJ66))</f>
        <v>0</v>
      </c>
      <c r="RDM66" s="960">
        <f>MIN(RDM60-RDM62,'Sources and Uses Budget'!RDM108-SUM('15 Year Pro Forma'!RDK66:RDL66))</f>
        <v>0</v>
      </c>
      <c r="RDO66" s="960">
        <f>MIN(RDO60-RDO62,'Sources and Uses Budget'!RDO108-SUM('15 Year Pro Forma'!RDM66:RDN66))</f>
        <v>0</v>
      </c>
      <c r="RDQ66" s="960">
        <f>MIN(RDQ60-RDQ62,'Sources and Uses Budget'!RDQ108-SUM('15 Year Pro Forma'!RDO66:RDP66))</f>
        <v>0</v>
      </c>
      <c r="RDS66" s="960">
        <f>MIN(RDS60-RDS62,'Sources and Uses Budget'!RDS108-SUM('15 Year Pro Forma'!RDQ66:RDR66))</f>
        <v>0</v>
      </c>
      <c r="RDU66" s="960">
        <f>MIN(RDU60-RDU62,'Sources and Uses Budget'!RDU108-SUM('15 Year Pro Forma'!RDS66:RDT66))</f>
        <v>0</v>
      </c>
      <c r="RDW66" s="960">
        <f>MIN(RDW60-RDW62,'Sources and Uses Budget'!RDW108-SUM('15 Year Pro Forma'!RDU66:RDV66))</f>
        <v>0</v>
      </c>
      <c r="RDY66" s="960">
        <f>MIN(RDY60-RDY62,'Sources and Uses Budget'!RDY108-SUM('15 Year Pro Forma'!RDW66:RDX66))</f>
        <v>0</v>
      </c>
      <c r="REA66" s="960">
        <f>MIN(REA60-REA62,'Sources and Uses Budget'!REA108-SUM('15 Year Pro Forma'!RDY66:RDZ66))</f>
        <v>0</v>
      </c>
      <c r="REC66" s="960">
        <f>MIN(REC60-REC62,'Sources and Uses Budget'!REC108-SUM('15 Year Pro Forma'!REA66:REB66))</f>
        <v>0</v>
      </c>
      <c r="REE66" s="960">
        <f>MIN(REE60-REE62,'Sources and Uses Budget'!REE108-SUM('15 Year Pro Forma'!REC66:RED66))</f>
        <v>0</v>
      </c>
      <c r="REG66" s="960">
        <f>MIN(REG60-REG62,'Sources and Uses Budget'!REG108-SUM('15 Year Pro Forma'!REE66:REF66))</f>
        <v>0</v>
      </c>
      <c r="REI66" s="960">
        <f>MIN(REI60-REI62,'Sources and Uses Budget'!REI108-SUM('15 Year Pro Forma'!REG66:REH66))</f>
        <v>0</v>
      </c>
      <c r="REK66" s="960">
        <f>MIN(REK60-REK62,'Sources and Uses Budget'!REK108-SUM('15 Year Pro Forma'!REI66:REJ66))</f>
        <v>0</v>
      </c>
      <c r="REM66" s="960">
        <f>MIN(REM60-REM62,'Sources and Uses Budget'!REM108-SUM('15 Year Pro Forma'!REK66:REL66))</f>
        <v>0</v>
      </c>
      <c r="REO66" s="960">
        <f>MIN(REO60-REO62,'Sources and Uses Budget'!REO108-SUM('15 Year Pro Forma'!REM66:REN66))</f>
        <v>0</v>
      </c>
      <c r="REQ66" s="960">
        <f>MIN(REQ60-REQ62,'Sources and Uses Budget'!REQ108-SUM('15 Year Pro Forma'!REO66:REP66))</f>
        <v>0</v>
      </c>
      <c r="RES66" s="960">
        <f>MIN(RES60-RES62,'Sources and Uses Budget'!RES108-SUM('15 Year Pro Forma'!REQ66:RER66))</f>
        <v>0</v>
      </c>
      <c r="REU66" s="960">
        <f>MIN(REU60-REU62,'Sources and Uses Budget'!REU108-SUM('15 Year Pro Forma'!RES66:RET66))</f>
        <v>0</v>
      </c>
      <c r="REW66" s="960">
        <f>MIN(REW60-REW62,'Sources and Uses Budget'!REW108-SUM('15 Year Pro Forma'!REU66:REV66))</f>
        <v>0</v>
      </c>
      <c r="REY66" s="960">
        <f>MIN(REY60-REY62,'Sources and Uses Budget'!REY108-SUM('15 Year Pro Forma'!REW66:REX66))</f>
        <v>0</v>
      </c>
      <c r="RFA66" s="960">
        <f>MIN(RFA60-RFA62,'Sources and Uses Budget'!RFA108-SUM('15 Year Pro Forma'!REY66:REZ66))</f>
        <v>0</v>
      </c>
      <c r="RFC66" s="960">
        <f>MIN(RFC60-RFC62,'Sources and Uses Budget'!RFC108-SUM('15 Year Pro Forma'!RFA66:RFB66))</f>
        <v>0</v>
      </c>
      <c r="RFE66" s="960">
        <f>MIN(RFE60-RFE62,'Sources and Uses Budget'!RFE108-SUM('15 Year Pro Forma'!RFC66:RFD66))</f>
        <v>0</v>
      </c>
      <c r="RFG66" s="960">
        <f>MIN(RFG60-RFG62,'Sources and Uses Budget'!RFG108-SUM('15 Year Pro Forma'!RFE66:RFF66))</f>
        <v>0</v>
      </c>
      <c r="RFI66" s="960">
        <f>MIN(RFI60-RFI62,'Sources and Uses Budget'!RFI108-SUM('15 Year Pro Forma'!RFG66:RFH66))</f>
        <v>0</v>
      </c>
      <c r="RFK66" s="960">
        <f>MIN(RFK60-RFK62,'Sources and Uses Budget'!RFK108-SUM('15 Year Pro Forma'!RFI66:RFJ66))</f>
        <v>0</v>
      </c>
      <c r="RFM66" s="960">
        <f>MIN(RFM60-RFM62,'Sources and Uses Budget'!RFM108-SUM('15 Year Pro Forma'!RFK66:RFL66))</f>
        <v>0</v>
      </c>
      <c r="RFO66" s="960">
        <f>MIN(RFO60-RFO62,'Sources and Uses Budget'!RFO108-SUM('15 Year Pro Forma'!RFM66:RFN66))</f>
        <v>0</v>
      </c>
      <c r="RFQ66" s="960">
        <f>MIN(RFQ60-RFQ62,'Sources and Uses Budget'!RFQ108-SUM('15 Year Pro Forma'!RFO66:RFP66))</f>
        <v>0</v>
      </c>
      <c r="RFS66" s="960">
        <f>MIN(RFS60-RFS62,'Sources and Uses Budget'!RFS108-SUM('15 Year Pro Forma'!RFQ66:RFR66))</f>
        <v>0</v>
      </c>
      <c r="RFU66" s="960">
        <f>MIN(RFU60-RFU62,'Sources and Uses Budget'!RFU108-SUM('15 Year Pro Forma'!RFS66:RFT66))</f>
        <v>0</v>
      </c>
      <c r="RFW66" s="960">
        <f>MIN(RFW60-RFW62,'Sources and Uses Budget'!RFW108-SUM('15 Year Pro Forma'!RFU66:RFV66))</f>
        <v>0</v>
      </c>
      <c r="RFY66" s="960">
        <f>MIN(RFY60-RFY62,'Sources and Uses Budget'!RFY108-SUM('15 Year Pro Forma'!RFW66:RFX66))</f>
        <v>0</v>
      </c>
      <c r="RGA66" s="960">
        <f>MIN(RGA60-RGA62,'Sources and Uses Budget'!RGA108-SUM('15 Year Pro Forma'!RFY66:RFZ66))</f>
        <v>0</v>
      </c>
      <c r="RGC66" s="960">
        <f>MIN(RGC60-RGC62,'Sources and Uses Budget'!RGC108-SUM('15 Year Pro Forma'!RGA66:RGB66))</f>
        <v>0</v>
      </c>
      <c r="RGE66" s="960">
        <f>MIN(RGE60-RGE62,'Sources and Uses Budget'!RGE108-SUM('15 Year Pro Forma'!RGC66:RGD66))</f>
        <v>0</v>
      </c>
      <c r="RGG66" s="960">
        <f>MIN(RGG60-RGG62,'Sources and Uses Budget'!RGG108-SUM('15 Year Pro Forma'!RGE66:RGF66))</f>
        <v>0</v>
      </c>
      <c r="RGI66" s="960">
        <f>MIN(RGI60-RGI62,'Sources and Uses Budget'!RGI108-SUM('15 Year Pro Forma'!RGG66:RGH66))</f>
        <v>0</v>
      </c>
      <c r="RGK66" s="960">
        <f>MIN(RGK60-RGK62,'Sources and Uses Budget'!RGK108-SUM('15 Year Pro Forma'!RGI66:RGJ66))</f>
        <v>0</v>
      </c>
      <c r="RGM66" s="960">
        <f>MIN(RGM60-RGM62,'Sources and Uses Budget'!RGM108-SUM('15 Year Pro Forma'!RGK66:RGL66))</f>
        <v>0</v>
      </c>
      <c r="RGO66" s="960">
        <f>MIN(RGO60-RGO62,'Sources and Uses Budget'!RGO108-SUM('15 Year Pro Forma'!RGM66:RGN66))</f>
        <v>0</v>
      </c>
      <c r="RGQ66" s="960">
        <f>MIN(RGQ60-RGQ62,'Sources and Uses Budget'!RGQ108-SUM('15 Year Pro Forma'!RGO66:RGP66))</f>
        <v>0</v>
      </c>
      <c r="RGS66" s="960">
        <f>MIN(RGS60-RGS62,'Sources and Uses Budget'!RGS108-SUM('15 Year Pro Forma'!RGQ66:RGR66))</f>
        <v>0</v>
      </c>
      <c r="RGU66" s="960">
        <f>MIN(RGU60-RGU62,'Sources and Uses Budget'!RGU108-SUM('15 Year Pro Forma'!RGS66:RGT66))</f>
        <v>0</v>
      </c>
      <c r="RGW66" s="960">
        <f>MIN(RGW60-RGW62,'Sources and Uses Budget'!RGW108-SUM('15 Year Pro Forma'!RGU66:RGV66))</f>
        <v>0</v>
      </c>
      <c r="RGY66" s="960">
        <f>MIN(RGY60-RGY62,'Sources and Uses Budget'!RGY108-SUM('15 Year Pro Forma'!RGW66:RGX66))</f>
        <v>0</v>
      </c>
      <c r="RHA66" s="960">
        <f>MIN(RHA60-RHA62,'Sources and Uses Budget'!RHA108-SUM('15 Year Pro Forma'!RGY66:RGZ66))</f>
        <v>0</v>
      </c>
      <c r="RHC66" s="960">
        <f>MIN(RHC60-RHC62,'Sources and Uses Budget'!RHC108-SUM('15 Year Pro Forma'!RHA66:RHB66))</f>
        <v>0</v>
      </c>
      <c r="RHE66" s="960">
        <f>MIN(RHE60-RHE62,'Sources and Uses Budget'!RHE108-SUM('15 Year Pro Forma'!RHC66:RHD66))</f>
        <v>0</v>
      </c>
      <c r="RHG66" s="960">
        <f>MIN(RHG60-RHG62,'Sources and Uses Budget'!RHG108-SUM('15 Year Pro Forma'!RHE66:RHF66))</f>
        <v>0</v>
      </c>
      <c r="RHI66" s="960">
        <f>MIN(RHI60-RHI62,'Sources and Uses Budget'!RHI108-SUM('15 Year Pro Forma'!RHG66:RHH66))</f>
        <v>0</v>
      </c>
      <c r="RHK66" s="960">
        <f>MIN(RHK60-RHK62,'Sources and Uses Budget'!RHK108-SUM('15 Year Pro Forma'!RHI66:RHJ66))</f>
        <v>0</v>
      </c>
      <c r="RHM66" s="960">
        <f>MIN(RHM60-RHM62,'Sources and Uses Budget'!RHM108-SUM('15 Year Pro Forma'!RHK66:RHL66))</f>
        <v>0</v>
      </c>
      <c r="RHO66" s="960">
        <f>MIN(RHO60-RHO62,'Sources and Uses Budget'!RHO108-SUM('15 Year Pro Forma'!RHM66:RHN66))</f>
        <v>0</v>
      </c>
      <c r="RHQ66" s="960">
        <f>MIN(RHQ60-RHQ62,'Sources and Uses Budget'!RHQ108-SUM('15 Year Pro Forma'!RHO66:RHP66))</f>
        <v>0</v>
      </c>
      <c r="RHS66" s="960">
        <f>MIN(RHS60-RHS62,'Sources and Uses Budget'!RHS108-SUM('15 Year Pro Forma'!RHQ66:RHR66))</f>
        <v>0</v>
      </c>
      <c r="RHU66" s="960">
        <f>MIN(RHU60-RHU62,'Sources and Uses Budget'!RHU108-SUM('15 Year Pro Forma'!RHS66:RHT66))</f>
        <v>0</v>
      </c>
      <c r="RHW66" s="960">
        <f>MIN(RHW60-RHW62,'Sources and Uses Budget'!RHW108-SUM('15 Year Pro Forma'!RHU66:RHV66))</f>
        <v>0</v>
      </c>
      <c r="RHY66" s="960">
        <f>MIN(RHY60-RHY62,'Sources and Uses Budget'!RHY108-SUM('15 Year Pro Forma'!RHW66:RHX66))</f>
        <v>0</v>
      </c>
      <c r="RIA66" s="960">
        <f>MIN(RIA60-RIA62,'Sources and Uses Budget'!RIA108-SUM('15 Year Pro Forma'!RHY66:RHZ66))</f>
        <v>0</v>
      </c>
      <c r="RIC66" s="960">
        <f>MIN(RIC60-RIC62,'Sources and Uses Budget'!RIC108-SUM('15 Year Pro Forma'!RIA66:RIB66))</f>
        <v>0</v>
      </c>
      <c r="RIE66" s="960">
        <f>MIN(RIE60-RIE62,'Sources and Uses Budget'!RIE108-SUM('15 Year Pro Forma'!RIC66:RID66))</f>
        <v>0</v>
      </c>
      <c r="RIG66" s="960">
        <f>MIN(RIG60-RIG62,'Sources and Uses Budget'!RIG108-SUM('15 Year Pro Forma'!RIE66:RIF66))</f>
        <v>0</v>
      </c>
      <c r="RII66" s="960">
        <f>MIN(RII60-RII62,'Sources and Uses Budget'!RII108-SUM('15 Year Pro Forma'!RIG66:RIH66))</f>
        <v>0</v>
      </c>
      <c r="RIK66" s="960">
        <f>MIN(RIK60-RIK62,'Sources and Uses Budget'!RIK108-SUM('15 Year Pro Forma'!RII66:RIJ66))</f>
        <v>0</v>
      </c>
      <c r="RIM66" s="960">
        <f>MIN(RIM60-RIM62,'Sources and Uses Budget'!RIM108-SUM('15 Year Pro Forma'!RIK66:RIL66))</f>
        <v>0</v>
      </c>
      <c r="RIO66" s="960">
        <f>MIN(RIO60-RIO62,'Sources and Uses Budget'!RIO108-SUM('15 Year Pro Forma'!RIM66:RIN66))</f>
        <v>0</v>
      </c>
      <c r="RIQ66" s="960">
        <f>MIN(RIQ60-RIQ62,'Sources and Uses Budget'!RIQ108-SUM('15 Year Pro Forma'!RIO66:RIP66))</f>
        <v>0</v>
      </c>
      <c r="RIS66" s="960">
        <f>MIN(RIS60-RIS62,'Sources and Uses Budget'!RIS108-SUM('15 Year Pro Forma'!RIQ66:RIR66))</f>
        <v>0</v>
      </c>
      <c r="RIU66" s="960">
        <f>MIN(RIU60-RIU62,'Sources and Uses Budget'!RIU108-SUM('15 Year Pro Forma'!RIS66:RIT66))</f>
        <v>0</v>
      </c>
      <c r="RIW66" s="960">
        <f>MIN(RIW60-RIW62,'Sources and Uses Budget'!RIW108-SUM('15 Year Pro Forma'!RIU66:RIV66))</f>
        <v>0</v>
      </c>
      <c r="RIY66" s="960">
        <f>MIN(RIY60-RIY62,'Sources and Uses Budget'!RIY108-SUM('15 Year Pro Forma'!RIW66:RIX66))</f>
        <v>0</v>
      </c>
      <c r="RJA66" s="960">
        <f>MIN(RJA60-RJA62,'Sources and Uses Budget'!RJA108-SUM('15 Year Pro Forma'!RIY66:RIZ66))</f>
        <v>0</v>
      </c>
      <c r="RJC66" s="960">
        <f>MIN(RJC60-RJC62,'Sources and Uses Budget'!RJC108-SUM('15 Year Pro Forma'!RJA66:RJB66))</f>
        <v>0</v>
      </c>
      <c r="RJE66" s="960">
        <f>MIN(RJE60-RJE62,'Sources and Uses Budget'!RJE108-SUM('15 Year Pro Forma'!RJC66:RJD66))</f>
        <v>0</v>
      </c>
      <c r="RJG66" s="960">
        <f>MIN(RJG60-RJG62,'Sources and Uses Budget'!RJG108-SUM('15 Year Pro Forma'!RJE66:RJF66))</f>
        <v>0</v>
      </c>
      <c r="RJI66" s="960">
        <f>MIN(RJI60-RJI62,'Sources and Uses Budget'!RJI108-SUM('15 Year Pro Forma'!RJG66:RJH66))</f>
        <v>0</v>
      </c>
      <c r="RJK66" s="960">
        <f>MIN(RJK60-RJK62,'Sources and Uses Budget'!RJK108-SUM('15 Year Pro Forma'!RJI66:RJJ66))</f>
        <v>0</v>
      </c>
      <c r="RJM66" s="960">
        <f>MIN(RJM60-RJM62,'Sources and Uses Budget'!RJM108-SUM('15 Year Pro Forma'!RJK66:RJL66))</f>
        <v>0</v>
      </c>
      <c r="RJO66" s="960">
        <f>MIN(RJO60-RJO62,'Sources and Uses Budget'!RJO108-SUM('15 Year Pro Forma'!RJM66:RJN66))</f>
        <v>0</v>
      </c>
      <c r="RJQ66" s="960">
        <f>MIN(RJQ60-RJQ62,'Sources and Uses Budget'!RJQ108-SUM('15 Year Pro Forma'!RJO66:RJP66))</f>
        <v>0</v>
      </c>
      <c r="RJS66" s="960">
        <f>MIN(RJS60-RJS62,'Sources and Uses Budget'!RJS108-SUM('15 Year Pro Forma'!RJQ66:RJR66))</f>
        <v>0</v>
      </c>
      <c r="RJU66" s="960">
        <f>MIN(RJU60-RJU62,'Sources and Uses Budget'!RJU108-SUM('15 Year Pro Forma'!RJS66:RJT66))</f>
        <v>0</v>
      </c>
      <c r="RJW66" s="960">
        <f>MIN(RJW60-RJW62,'Sources and Uses Budget'!RJW108-SUM('15 Year Pro Forma'!RJU66:RJV66))</f>
        <v>0</v>
      </c>
      <c r="RJY66" s="960">
        <f>MIN(RJY60-RJY62,'Sources and Uses Budget'!RJY108-SUM('15 Year Pro Forma'!RJW66:RJX66))</f>
        <v>0</v>
      </c>
      <c r="RKA66" s="960">
        <f>MIN(RKA60-RKA62,'Sources and Uses Budget'!RKA108-SUM('15 Year Pro Forma'!RJY66:RJZ66))</f>
        <v>0</v>
      </c>
      <c r="RKC66" s="960">
        <f>MIN(RKC60-RKC62,'Sources and Uses Budget'!RKC108-SUM('15 Year Pro Forma'!RKA66:RKB66))</f>
        <v>0</v>
      </c>
      <c r="RKE66" s="960">
        <f>MIN(RKE60-RKE62,'Sources and Uses Budget'!RKE108-SUM('15 Year Pro Forma'!RKC66:RKD66))</f>
        <v>0</v>
      </c>
      <c r="RKG66" s="960">
        <f>MIN(RKG60-RKG62,'Sources and Uses Budget'!RKG108-SUM('15 Year Pro Forma'!RKE66:RKF66))</f>
        <v>0</v>
      </c>
      <c r="RKI66" s="960">
        <f>MIN(RKI60-RKI62,'Sources and Uses Budget'!RKI108-SUM('15 Year Pro Forma'!RKG66:RKH66))</f>
        <v>0</v>
      </c>
      <c r="RKK66" s="960">
        <f>MIN(RKK60-RKK62,'Sources and Uses Budget'!RKK108-SUM('15 Year Pro Forma'!RKI66:RKJ66))</f>
        <v>0</v>
      </c>
      <c r="RKM66" s="960">
        <f>MIN(RKM60-RKM62,'Sources and Uses Budget'!RKM108-SUM('15 Year Pro Forma'!RKK66:RKL66))</f>
        <v>0</v>
      </c>
      <c r="RKO66" s="960">
        <f>MIN(RKO60-RKO62,'Sources and Uses Budget'!RKO108-SUM('15 Year Pro Forma'!RKM66:RKN66))</f>
        <v>0</v>
      </c>
      <c r="RKQ66" s="960">
        <f>MIN(RKQ60-RKQ62,'Sources and Uses Budget'!RKQ108-SUM('15 Year Pro Forma'!RKO66:RKP66))</f>
        <v>0</v>
      </c>
      <c r="RKS66" s="960">
        <f>MIN(RKS60-RKS62,'Sources and Uses Budget'!RKS108-SUM('15 Year Pro Forma'!RKQ66:RKR66))</f>
        <v>0</v>
      </c>
      <c r="RKU66" s="960">
        <f>MIN(RKU60-RKU62,'Sources and Uses Budget'!RKU108-SUM('15 Year Pro Forma'!RKS66:RKT66))</f>
        <v>0</v>
      </c>
      <c r="RKW66" s="960">
        <f>MIN(RKW60-RKW62,'Sources and Uses Budget'!RKW108-SUM('15 Year Pro Forma'!RKU66:RKV66))</f>
        <v>0</v>
      </c>
      <c r="RKY66" s="960">
        <f>MIN(RKY60-RKY62,'Sources and Uses Budget'!RKY108-SUM('15 Year Pro Forma'!RKW66:RKX66))</f>
        <v>0</v>
      </c>
      <c r="RLA66" s="960">
        <f>MIN(RLA60-RLA62,'Sources and Uses Budget'!RLA108-SUM('15 Year Pro Forma'!RKY66:RKZ66))</f>
        <v>0</v>
      </c>
      <c r="RLC66" s="960">
        <f>MIN(RLC60-RLC62,'Sources and Uses Budget'!RLC108-SUM('15 Year Pro Forma'!RLA66:RLB66))</f>
        <v>0</v>
      </c>
      <c r="RLE66" s="960">
        <f>MIN(RLE60-RLE62,'Sources and Uses Budget'!RLE108-SUM('15 Year Pro Forma'!RLC66:RLD66))</f>
        <v>0</v>
      </c>
      <c r="RLG66" s="960">
        <f>MIN(RLG60-RLG62,'Sources and Uses Budget'!RLG108-SUM('15 Year Pro Forma'!RLE66:RLF66))</f>
        <v>0</v>
      </c>
      <c r="RLI66" s="960">
        <f>MIN(RLI60-RLI62,'Sources and Uses Budget'!RLI108-SUM('15 Year Pro Forma'!RLG66:RLH66))</f>
        <v>0</v>
      </c>
      <c r="RLK66" s="960">
        <f>MIN(RLK60-RLK62,'Sources and Uses Budget'!RLK108-SUM('15 Year Pro Forma'!RLI66:RLJ66))</f>
        <v>0</v>
      </c>
      <c r="RLM66" s="960">
        <f>MIN(RLM60-RLM62,'Sources and Uses Budget'!RLM108-SUM('15 Year Pro Forma'!RLK66:RLL66))</f>
        <v>0</v>
      </c>
      <c r="RLO66" s="960">
        <f>MIN(RLO60-RLO62,'Sources and Uses Budget'!RLO108-SUM('15 Year Pro Forma'!RLM66:RLN66))</f>
        <v>0</v>
      </c>
      <c r="RLQ66" s="960">
        <f>MIN(RLQ60-RLQ62,'Sources and Uses Budget'!RLQ108-SUM('15 Year Pro Forma'!RLO66:RLP66))</f>
        <v>0</v>
      </c>
      <c r="RLS66" s="960">
        <f>MIN(RLS60-RLS62,'Sources and Uses Budget'!RLS108-SUM('15 Year Pro Forma'!RLQ66:RLR66))</f>
        <v>0</v>
      </c>
      <c r="RLU66" s="960">
        <f>MIN(RLU60-RLU62,'Sources and Uses Budget'!RLU108-SUM('15 Year Pro Forma'!RLS66:RLT66))</f>
        <v>0</v>
      </c>
      <c r="RLW66" s="960">
        <f>MIN(RLW60-RLW62,'Sources and Uses Budget'!RLW108-SUM('15 Year Pro Forma'!RLU66:RLV66))</f>
        <v>0</v>
      </c>
      <c r="RLY66" s="960">
        <f>MIN(RLY60-RLY62,'Sources and Uses Budget'!RLY108-SUM('15 Year Pro Forma'!RLW66:RLX66))</f>
        <v>0</v>
      </c>
      <c r="RMA66" s="960">
        <f>MIN(RMA60-RMA62,'Sources and Uses Budget'!RMA108-SUM('15 Year Pro Forma'!RLY66:RLZ66))</f>
        <v>0</v>
      </c>
      <c r="RMC66" s="960">
        <f>MIN(RMC60-RMC62,'Sources and Uses Budget'!RMC108-SUM('15 Year Pro Forma'!RMA66:RMB66))</f>
        <v>0</v>
      </c>
      <c r="RME66" s="960">
        <f>MIN(RME60-RME62,'Sources and Uses Budget'!RME108-SUM('15 Year Pro Forma'!RMC66:RMD66))</f>
        <v>0</v>
      </c>
      <c r="RMG66" s="960">
        <f>MIN(RMG60-RMG62,'Sources and Uses Budget'!RMG108-SUM('15 Year Pro Forma'!RME66:RMF66))</f>
        <v>0</v>
      </c>
      <c r="RMI66" s="960">
        <f>MIN(RMI60-RMI62,'Sources and Uses Budget'!RMI108-SUM('15 Year Pro Forma'!RMG66:RMH66))</f>
        <v>0</v>
      </c>
      <c r="RMK66" s="960">
        <f>MIN(RMK60-RMK62,'Sources and Uses Budget'!RMK108-SUM('15 Year Pro Forma'!RMI66:RMJ66))</f>
        <v>0</v>
      </c>
      <c r="RMM66" s="960">
        <f>MIN(RMM60-RMM62,'Sources and Uses Budget'!RMM108-SUM('15 Year Pro Forma'!RMK66:RML66))</f>
        <v>0</v>
      </c>
      <c r="RMO66" s="960">
        <f>MIN(RMO60-RMO62,'Sources and Uses Budget'!RMO108-SUM('15 Year Pro Forma'!RMM66:RMN66))</f>
        <v>0</v>
      </c>
      <c r="RMQ66" s="960">
        <f>MIN(RMQ60-RMQ62,'Sources and Uses Budget'!RMQ108-SUM('15 Year Pro Forma'!RMO66:RMP66))</f>
        <v>0</v>
      </c>
      <c r="RMS66" s="960">
        <f>MIN(RMS60-RMS62,'Sources and Uses Budget'!RMS108-SUM('15 Year Pro Forma'!RMQ66:RMR66))</f>
        <v>0</v>
      </c>
      <c r="RMU66" s="960">
        <f>MIN(RMU60-RMU62,'Sources and Uses Budget'!RMU108-SUM('15 Year Pro Forma'!RMS66:RMT66))</f>
        <v>0</v>
      </c>
      <c r="RMW66" s="960">
        <f>MIN(RMW60-RMW62,'Sources and Uses Budget'!RMW108-SUM('15 Year Pro Forma'!RMU66:RMV66))</f>
        <v>0</v>
      </c>
      <c r="RMY66" s="960">
        <f>MIN(RMY60-RMY62,'Sources and Uses Budget'!RMY108-SUM('15 Year Pro Forma'!RMW66:RMX66))</f>
        <v>0</v>
      </c>
      <c r="RNA66" s="960">
        <f>MIN(RNA60-RNA62,'Sources and Uses Budget'!RNA108-SUM('15 Year Pro Forma'!RMY66:RMZ66))</f>
        <v>0</v>
      </c>
      <c r="RNC66" s="960">
        <f>MIN(RNC60-RNC62,'Sources and Uses Budget'!RNC108-SUM('15 Year Pro Forma'!RNA66:RNB66))</f>
        <v>0</v>
      </c>
      <c r="RNE66" s="960">
        <f>MIN(RNE60-RNE62,'Sources and Uses Budget'!RNE108-SUM('15 Year Pro Forma'!RNC66:RND66))</f>
        <v>0</v>
      </c>
      <c r="RNG66" s="960">
        <f>MIN(RNG60-RNG62,'Sources and Uses Budget'!RNG108-SUM('15 Year Pro Forma'!RNE66:RNF66))</f>
        <v>0</v>
      </c>
      <c r="RNI66" s="960">
        <f>MIN(RNI60-RNI62,'Sources and Uses Budget'!RNI108-SUM('15 Year Pro Forma'!RNG66:RNH66))</f>
        <v>0</v>
      </c>
      <c r="RNK66" s="960">
        <f>MIN(RNK60-RNK62,'Sources and Uses Budget'!RNK108-SUM('15 Year Pro Forma'!RNI66:RNJ66))</f>
        <v>0</v>
      </c>
      <c r="RNM66" s="960">
        <f>MIN(RNM60-RNM62,'Sources and Uses Budget'!RNM108-SUM('15 Year Pro Forma'!RNK66:RNL66))</f>
        <v>0</v>
      </c>
      <c r="RNO66" s="960">
        <f>MIN(RNO60-RNO62,'Sources and Uses Budget'!RNO108-SUM('15 Year Pro Forma'!RNM66:RNN66))</f>
        <v>0</v>
      </c>
      <c r="RNQ66" s="960">
        <f>MIN(RNQ60-RNQ62,'Sources and Uses Budget'!RNQ108-SUM('15 Year Pro Forma'!RNO66:RNP66))</f>
        <v>0</v>
      </c>
      <c r="RNS66" s="960">
        <f>MIN(RNS60-RNS62,'Sources and Uses Budget'!RNS108-SUM('15 Year Pro Forma'!RNQ66:RNR66))</f>
        <v>0</v>
      </c>
      <c r="RNU66" s="960">
        <f>MIN(RNU60-RNU62,'Sources and Uses Budget'!RNU108-SUM('15 Year Pro Forma'!RNS66:RNT66))</f>
        <v>0</v>
      </c>
      <c r="RNW66" s="960">
        <f>MIN(RNW60-RNW62,'Sources and Uses Budget'!RNW108-SUM('15 Year Pro Forma'!RNU66:RNV66))</f>
        <v>0</v>
      </c>
      <c r="RNY66" s="960">
        <f>MIN(RNY60-RNY62,'Sources and Uses Budget'!RNY108-SUM('15 Year Pro Forma'!RNW66:RNX66))</f>
        <v>0</v>
      </c>
      <c r="ROA66" s="960">
        <f>MIN(ROA60-ROA62,'Sources and Uses Budget'!ROA108-SUM('15 Year Pro Forma'!RNY66:RNZ66))</f>
        <v>0</v>
      </c>
      <c r="ROC66" s="960">
        <f>MIN(ROC60-ROC62,'Sources and Uses Budget'!ROC108-SUM('15 Year Pro Forma'!ROA66:ROB66))</f>
        <v>0</v>
      </c>
      <c r="ROE66" s="960">
        <f>MIN(ROE60-ROE62,'Sources and Uses Budget'!ROE108-SUM('15 Year Pro Forma'!ROC66:ROD66))</f>
        <v>0</v>
      </c>
      <c r="ROG66" s="960">
        <f>MIN(ROG60-ROG62,'Sources and Uses Budget'!ROG108-SUM('15 Year Pro Forma'!ROE66:ROF66))</f>
        <v>0</v>
      </c>
      <c r="ROI66" s="960">
        <f>MIN(ROI60-ROI62,'Sources and Uses Budget'!ROI108-SUM('15 Year Pro Forma'!ROG66:ROH66))</f>
        <v>0</v>
      </c>
      <c r="ROK66" s="960">
        <f>MIN(ROK60-ROK62,'Sources and Uses Budget'!ROK108-SUM('15 Year Pro Forma'!ROI66:ROJ66))</f>
        <v>0</v>
      </c>
      <c r="ROM66" s="960">
        <f>MIN(ROM60-ROM62,'Sources and Uses Budget'!ROM108-SUM('15 Year Pro Forma'!ROK66:ROL66))</f>
        <v>0</v>
      </c>
      <c r="ROO66" s="960">
        <f>MIN(ROO60-ROO62,'Sources and Uses Budget'!ROO108-SUM('15 Year Pro Forma'!ROM66:RON66))</f>
        <v>0</v>
      </c>
      <c r="ROQ66" s="960">
        <f>MIN(ROQ60-ROQ62,'Sources and Uses Budget'!ROQ108-SUM('15 Year Pro Forma'!ROO66:ROP66))</f>
        <v>0</v>
      </c>
      <c r="ROS66" s="960">
        <f>MIN(ROS60-ROS62,'Sources and Uses Budget'!ROS108-SUM('15 Year Pro Forma'!ROQ66:ROR66))</f>
        <v>0</v>
      </c>
      <c r="ROU66" s="960">
        <f>MIN(ROU60-ROU62,'Sources and Uses Budget'!ROU108-SUM('15 Year Pro Forma'!ROS66:ROT66))</f>
        <v>0</v>
      </c>
      <c r="ROW66" s="960">
        <f>MIN(ROW60-ROW62,'Sources and Uses Budget'!ROW108-SUM('15 Year Pro Forma'!ROU66:ROV66))</f>
        <v>0</v>
      </c>
      <c r="ROY66" s="960">
        <f>MIN(ROY60-ROY62,'Sources and Uses Budget'!ROY108-SUM('15 Year Pro Forma'!ROW66:ROX66))</f>
        <v>0</v>
      </c>
      <c r="RPA66" s="960">
        <f>MIN(RPA60-RPA62,'Sources and Uses Budget'!RPA108-SUM('15 Year Pro Forma'!ROY66:ROZ66))</f>
        <v>0</v>
      </c>
      <c r="RPC66" s="960">
        <f>MIN(RPC60-RPC62,'Sources and Uses Budget'!RPC108-SUM('15 Year Pro Forma'!RPA66:RPB66))</f>
        <v>0</v>
      </c>
      <c r="RPE66" s="960">
        <f>MIN(RPE60-RPE62,'Sources and Uses Budget'!RPE108-SUM('15 Year Pro Forma'!RPC66:RPD66))</f>
        <v>0</v>
      </c>
      <c r="RPG66" s="960">
        <f>MIN(RPG60-RPG62,'Sources and Uses Budget'!RPG108-SUM('15 Year Pro Forma'!RPE66:RPF66))</f>
        <v>0</v>
      </c>
      <c r="RPI66" s="960">
        <f>MIN(RPI60-RPI62,'Sources and Uses Budget'!RPI108-SUM('15 Year Pro Forma'!RPG66:RPH66))</f>
        <v>0</v>
      </c>
      <c r="RPK66" s="960">
        <f>MIN(RPK60-RPK62,'Sources and Uses Budget'!RPK108-SUM('15 Year Pro Forma'!RPI66:RPJ66))</f>
        <v>0</v>
      </c>
      <c r="RPM66" s="960">
        <f>MIN(RPM60-RPM62,'Sources and Uses Budget'!RPM108-SUM('15 Year Pro Forma'!RPK66:RPL66))</f>
        <v>0</v>
      </c>
      <c r="RPO66" s="960">
        <f>MIN(RPO60-RPO62,'Sources and Uses Budget'!RPO108-SUM('15 Year Pro Forma'!RPM66:RPN66))</f>
        <v>0</v>
      </c>
      <c r="RPQ66" s="960">
        <f>MIN(RPQ60-RPQ62,'Sources and Uses Budget'!RPQ108-SUM('15 Year Pro Forma'!RPO66:RPP66))</f>
        <v>0</v>
      </c>
      <c r="RPS66" s="960">
        <f>MIN(RPS60-RPS62,'Sources and Uses Budget'!RPS108-SUM('15 Year Pro Forma'!RPQ66:RPR66))</f>
        <v>0</v>
      </c>
      <c r="RPU66" s="960">
        <f>MIN(RPU60-RPU62,'Sources and Uses Budget'!RPU108-SUM('15 Year Pro Forma'!RPS66:RPT66))</f>
        <v>0</v>
      </c>
      <c r="RPW66" s="960">
        <f>MIN(RPW60-RPW62,'Sources and Uses Budget'!RPW108-SUM('15 Year Pro Forma'!RPU66:RPV66))</f>
        <v>0</v>
      </c>
      <c r="RPY66" s="960">
        <f>MIN(RPY60-RPY62,'Sources and Uses Budget'!RPY108-SUM('15 Year Pro Forma'!RPW66:RPX66))</f>
        <v>0</v>
      </c>
      <c r="RQA66" s="960">
        <f>MIN(RQA60-RQA62,'Sources and Uses Budget'!RQA108-SUM('15 Year Pro Forma'!RPY66:RPZ66))</f>
        <v>0</v>
      </c>
      <c r="RQC66" s="960">
        <f>MIN(RQC60-RQC62,'Sources and Uses Budget'!RQC108-SUM('15 Year Pro Forma'!RQA66:RQB66))</f>
        <v>0</v>
      </c>
      <c r="RQE66" s="960">
        <f>MIN(RQE60-RQE62,'Sources and Uses Budget'!RQE108-SUM('15 Year Pro Forma'!RQC66:RQD66))</f>
        <v>0</v>
      </c>
      <c r="RQG66" s="960">
        <f>MIN(RQG60-RQG62,'Sources and Uses Budget'!RQG108-SUM('15 Year Pro Forma'!RQE66:RQF66))</f>
        <v>0</v>
      </c>
      <c r="RQI66" s="960">
        <f>MIN(RQI60-RQI62,'Sources and Uses Budget'!RQI108-SUM('15 Year Pro Forma'!RQG66:RQH66))</f>
        <v>0</v>
      </c>
      <c r="RQK66" s="960">
        <f>MIN(RQK60-RQK62,'Sources and Uses Budget'!RQK108-SUM('15 Year Pro Forma'!RQI66:RQJ66))</f>
        <v>0</v>
      </c>
      <c r="RQM66" s="960">
        <f>MIN(RQM60-RQM62,'Sources and Uses Budget'!RQM108-SUM('15 Year Pro Forma'!RQK66:RQL66))</f>
        <v>0</v>
      </c>
      <c r="RQO66" s="960">
        <f>MIN(RQO60-RQO62,'Sources and Uses Budget'!RQO108-SUM('15 Year Pro Forma'!RQM66:RQN66))</f>
        <v>0</v>
      </c>
      <c r="RQQ66" s="960">
        <f>MIN(RQQ60-RQQ62,'Sources and Uses Budget'!RQQ108-SUM('15 Year Pro Forma'!RQO66:RQP66))</f>
        <v>0</v>
      </c>
      <c r="RQS66" s="960">
        <f>MIN(RQS60-RQS62,'Sources and Uses Budget'!RQS108-SUM('15 Year Pro Forma'!RQQ66:RQR66))</f>
        <v>0</v>
      </c>
      <c r="RQU66" s="960">
        <f>MIN(RQU60-RQU62,'Sources and Uses Budget'!RQU108-SUM('15 Year Pro Forma'!RQS66:RQT66))</f>
        <v>0</v>
      </c>
      <c r="RQW66" s="960">
        <f>MIN(RQW60-RQW62,'Sources and Uses Budget'!RQW108-SUM('15 Year Pro Forma'!RQU66:RQV66))</f>
        <v>0</v>
      </c>
      <c r="RQY66" s="960">
        <f>MIN(RQY60-RQY62,'Sources and Uses Budget'!RQY108-SUM('15 Year Pro Forma'!RQW66:RQX66))</f>
        <v>0</v>
      </c>
      <c r="RRA66" s="960">
        <f>MIN(RRA60-RRA62,'Sources and Uses Budget'!RRA108-SUM('15 Year Pro Forma'!RQY66:RQZ66))</f>
        <v>0</v>
      </c>
      <c r="RRC66" s="960">
        <f>MIN(RRC60-RRC62,'Sources and Uses Budget'!RRC108-SUM('15 Year Pro Forma'!RRA66:RRB66))</f>
        <v>0</v>
      </c>
      <c r="RRE66" s="960">
        <f>MIN(RRE60-RRE62,'Sources and Uses Budget'!RRE108-SUM('15 Year Pro Forma'!RRC66:RRD66))</f>
        <v>0</v>
      </c>
      <c r="RRG66" s="960">
        <f>MIN(RRG60-RRG62,'Sources and Uses Budget'!RRG108-SUM('15 Year Pro Forma'!RRE66:RRF66))</f>
        <v>0</v>
      </c>
      <c r="RRI66" s="960">
        <f>MIN(RRI60-RRI62,'Sources and Uses Budget'!RRI108-SUM('15 Year Pro Forma'!RRG66:RRH66))</f>
        <v>0</v>
      </c>
      <c r="RRK66" s="960">
        <f>MIN(RRK60-RRK62,'Sources and Uses Budget'!RRK108-SUM('15 Year Pro Forma'!RRI66:RRJ66))</f>
        <v>0</v>
      </c>
      <c r="RRM66" s="960">
        <f>MIN(RRM60-RRM62,'Sources and Uses Budget'!RRM108-SUM('15 Year Pro Forma'!RRK66:RRL66))</f>
        <v>0</v>
      </c>
      <c r="RRO66" s="960">
        <f>MIN(RRO60-RRO62,'Sources and Uses Budget'!RRO108-SUM('15 Year Pro Forma'!RRM66:RRN66))</f>
        <v>0</v>
      </c>
      <c r="RRQ66" s="960">
        <f>MIN(RRQ60-RRQ62,'Sources and Uses Budget'!RRQ108-SUM('15 Year Pro Forma'!RRO66:RRP66))</f>
        <v>0</v>
      </c>
      <c r="RRS66" s="960">
        <f>MIN(RRS60-RRS62,'Sources and Uses Budget'!RRS108-SUM('15 Year Pro Forma'!RRQ66:RRR66))</f>
        <v>0</v>
      </c>
      <c r="RRU66" s="960">
        <f>MIN(RRU60-RRU62,'Sources and Uses Budget'!RRU108-SUM('15 Year Pro Forma'!RRS66:RRT66))</f>
        <v>0</v>
      </c>
      <c r="RRW66" s="960">
        <f>MIN(RRW60-RRW62,'Sources and Uses Budget'!RRW108-SUM('15 Year Pro Forma'!RRU66:RRV66))</f>
        <v>0</v>
      </c>
      <c r="RRY66" s="960">
        <f>MIN(RRY60-RRY62,'Sources and Uses Budget'!RRY108-SUM('15 Year Pro Forma'!RRW66:RRX66))</f>
        <v>0</v>
      </c>
      <c r="RSA66" s="960">
        <f>MIN(RSA60-RSA62,'Sources and Uses Budget'!RSA108-SUM('15 Year Pro Forma'!RRY66:RRZ66))</f>
        <v>0</v>
      </c>
      <c r="RSC66" s="960">
        <f>MIN(RSC60-RSC62,'Sources and Uses Budget'!RSC108-SUM('15 Year Pro Forma'!RSA66:RSB66))</f>
        <v>0</v>
      </c>
      <c r="RSE66" s="960">
        <f>MIN(RSE60-RSE62,'Sources and Uses Budget'!RSE108-SUM('15 Year Pro Forma'!RSC66:RSD66))</f>
        <v>0</v>
      </c>
      <c r="RSG66" s="960">
        <f>MIN(RSG60-RSG62,'Sources and Uses Budget'!RSG108-SUM('15 Year Pro Forma'!RSE66:RSF66))</f>
        <v>0</v>
      </c>
      <c r="RSI66" s="960">
        <f>MIN(RSI60-RSI62,'Sources and Uses Budget'!RSI108-SUM('15 Year Pro Forma'!RSG66:RSH66))</f>
        <v>0</v>
      </c>
      <c r="RSK66" s="960">
        <f>MIN(RSK60-RSK62,'Sources and Uses Budget'!RSK108-SUM('15 Year Pro Forma'!RSI66:RSJ66))</f>
        <v>0</v>
      </c>
      <c r="RSM66" s="960">
        <f>MIN(RSM60-RSM62,'Sources and Uses Budget'!RSM108-SUM('15 Year Pro Forma'!RSK66:RSL66))</f>
        <v>0</v>
      </c>
      <c r="RSO66" s="960">
        <f>MIN(RSO60-RSO62,'Sources and Uses Budget'!RSO108-SUM('15 Year Pro Forma'!RSM66:RSN66))</f>
        <v>0</v>
      </c>
      <c r="RSQ66" s="960">
        <f>MIN(RSQ60-RSQ62,'Sources and Uses Budget'!RSQ108-SUM('15 Year Pro Forma'!RSO66:RSP66))</f>
        <v>0</v>
      </c>
      <c r="RSS66" s="960">
        <f>MIN(RSS60-RSS62,'Sources and Uses Budget'!RSS108-SUM('15 Year Pro Forma'!RSQ66:RSR66))</f>
        <v>0</v>
      </c>
      <c r="RSU66" s="960">
        <f>MIN(RSU60-RSU62,'Sources and Uses Budget'!RSU108-SUM('15 Year Pro Forma'!RSS66:RST66))</f>
        <v>0</v>
      </c>
      <c r="RSW66" s="960">
        <f>MIN(RSW60-RSW62,'Sources and Uses Budget'!RSW108-SUM('15 Year Pro Forma'!RSU66:RSV66))</f>
        <v>0</v>
      </c>
      <c r="RSY66" s="960">
        <f>MIN(RSY60-RSY62,'Sources and Uses Budget'!RSY108-SUM('15 Year Pro Forma'!RSW66:RSX66))</f>
        <v>0</v>
      </c>
      <c r="RTA66" s="960">
        <f>MIN(RTA60-RTA62,'Sources and Uses Budget'!RTA108-SUM('15 Year Pro Forma'!RSY66:RSZ66))</f>
        <v>0</v>
      </c>
      <c r="RTC66" s="960">
        <f>MIN(RTC60-RTC62,'Sources and Uses Budget'!RTC108-SUM('15 Year Pro Forma'!RTA66:RTB66))</f>
        <v>0</v>
      </c>
      <c r="RTE66" s="960">
        <f>MIN(RTE60-RTE62,'Sources and Uses Budget'!RTE108-SUM('15 Year Pro Forma'!RTC66:RTD66))</f>
        <v>0</v>
      </c>
      <c r="RTG66" s="960">
        <f>MIN(RTG60-RTG62,'Sources and Uses Budget'!RTG108-SUM('15 Year Pro Forma'!RTE66:RTF66))</f>
        <v>0</v>
      </c>
      <c r="RTI66" s="960">
        <f>MIN(RTI60-RTI62,'Sources and Uses Budget'!RTI108-SUM('15 Year Pro Forma'!RTG66:RTH66))</f>
        <v>0</v>
      </c>
      <c r="RTK66" s="960">
        <f>MIN(RTK60-RTK62,'Sources and Uses Budget'!RTK108-SUM('15 Year Pro Forma'!RTI66:RTJ66))</f>
        <v>0</v>
      </c>
      <c r="RTM66" s="960">
        <f>MIN(RTM60-RTM62,'Sources and Uses Budget'!RTM108-SUM('15 Year Pro Forma'!RTK66:RTL66))</f>
        <v>0</v>
      </c>
      <c r="RTO66" s="960">
        <f>MIN(RTO60-RTO62,'Sources and Uses Budget'!RTO108-SUM('15 Year Pro Forma'!RTM66:RTN66))</f>
        <v>0</v>
      </c>
      <c r="RTQ66" s="960">
        <f>MIN(RTQ60-RTQ62,'Sources and Uses Budget'!RTQ108-SUM('15 Year Pro Forma'!RTO66:RTP66))</f>
        <v>0</v>
      </c>
      <c r="RTS66" s="960">
        <f>MIN(RTS60-RTS62,'Sources and Uses Budget'!RTS108-SUM('15 Year Pro Forma'!RTQ66:RTR66))</f>
        <v>0</v>
      </c>
      <c r="RTU66" s="960">
        <f>MIN(RTU60-RTU62,'Sources and Uses Budget'!RTU108-SUM('15 Year Pro Forma'!RTS66:RTT66))</f>
        <v>0</v>
      </c>
      <c r="RTW66" s="960">
        <f>MIN(RTW60-RTW62,'Sources and Uses Budget'!RTW108-SUM('15 Year Pro Forma'!RTU66:RTV66))</f>
        <v>0</v>
      </c>
      <c r="RTY66" s="960">
        <f>MIN(RTY60-RTY62,'Sources and Uses Budget'!RTY108-SUM('15 Year Pro Forma'!RTW66:RTX66))</f>
        <v>0</v>
      </c>
      <c r="RUA66" s="960">
        <f>MIN(RUA60-RUA62,'Sources and Uses Budget'!RUA108-SUM('15 Year Pro Forma'!RTY66:RTZ66))</f>
        <v>0</v>
      </c>
      <c r="RUC66" s="960">
        <f>MIN(RUC60-RUC62,'Sources and Uses Budget'!RUC108-SUM('15 Year Pro Forma'!RUA66:RUB66))</f>
        <v>0</v>
      </c>
      <c r="RUE66" s="960">
        <f>MIN(RUE60-RUE62,'Sources and Uses Budget'!RUE108-SUM('15 Year Pro Forma'!RUC66:RUD66))</f>
        <v>0</v>
      </c>
      <c r="RUG66" s="960">
        <f>MIN(RUG60-RUG62,'Sources and Uses Budget'!RUG108-SUM('15 Year Pro Forma'!RUE66:RUF66))</f>
        <v>0</v>
      </c>
      <c r="RUI66" s="960">
        <f>MIN(RUI60-RUI62,'Sources and Uses Budget'!RUI108-SUM('15 Year Pro Forma'!RUG66:RUH66))</f>
        <v>0</v>
      </c>
      <c r="RUK66" s="960">
        <f>MIN(RUK60-RUK62,'Sources and Uses Budget'!RUK108-SUM('15 Year Pro Forma'!RUI66:RUJ66))</f>
        <v>0</v>
      </c>
      <c r="RUM66" s="960">
        <f>MIN(RUM60-RUM62,'Sources and Uses Budget'!RUM108-SUM('15 Year Pro Forma'!RUK66:RUL66))</f>
        <v>0</v>
      </c>
      <c r="RUO66" s="960">
        <f>MIN(RUO60-RUO62,'Sources and Uses Budget'!RUO108-SUM('15 Year Pro Forma'!RUM66:RUN66))</f>
        <v>0</v>
      </c>
      <c r="RUQ66" s="960">
        <f>MIN(RUQ60-RUQ62,'Sources and Uses Budget'!RUQ108-SUM('15 Year Pro Forma'!RUO66:RUP66))</f>
        <v>0</v>
      </c>
      <c r="RUS66" s="960">
        <f>MIN(RUS60-RUS62,'Sources and Uses Budget'!RUS108-SUM('15 Year Pro Forma'!RUQ66:RUR66))</f>
        <v>0</v>
      </c>
      <c r="RUU66" s="960">
        <f>MIN(RUU60-RUU62,'Sources and Uses Budget'!RUU108-SUM('15 Year Pro Forma'!RUS66:RUT66))</f>
        <v>0</v>
      </c>
      <c r="RUW66" s="960">
        <f>MIN(RUW60-RUW62,'Sources and Uses Budget'!RUW108-SUM('15 Year Pro Forma'!RUU66:RUV66))</f>
        <v>0</v>
      </c>
      <c r="RUY66" s="960">
        <f>MIN(RUY60-RUY62,'Sources and Uses Budget'!RUY108-SUM('15 Year Pro Forma'!RUW66:RUX66))</f>
        <v>0</v>
      </c>
      <c r="RVA66" s="960">
        <f>MIN(RVA60-RVA62,'Sources and Uses Budget'!RVA108-SUM('15 Year Pro Forma'!RUY66:RUZ66))</f>
        <v>0</v>
      </c>
      <c r="RVC66" s="960">
        <f>MIN(RVC60-RVC62,'Sources and Uses Budget'!RVC108-SUM('15 Year Pro Forma'!RVA66:RVB66))</f>
        <v>0</v>
      </c>
      <c r="RVE66" s="960">
        <f>MIN(RVE60-RVE62,'Sources and Uses Budget'!RVE108-SUM('15 Year Pro Forma'!RVC66:RVD66))</f>
        <v>0</v>
      </c>
      <c r="RVG66" s="960">
        <f>MIN(RVG60-RVG62,'Sources and Uses Budget'!RVG108-SUM('15 Year Pro Forma'!RVE66:RVF66))</f>
        <v>0</v>
      </c>
      <c r="RVI66" s="960">
        <f>MIN(RVI60-RVI62,'Sources and Uses Budget'!RVI108-SUM('15 Year Pro Forma'!RVG66:RVH66))</f>
        <v>0</v>
      </c>
      <c r="RVK66" s="960">
        <f>MIN(RVK60-RVK62,'Sources and Uses Budget'!RVK108-SUM('15 Year Pro Forma'!RVI66:RVJ66))</f>
        <v>0</v>
      </c>
      <c r="RVM66" s="960">
        <f>MIN(RVM60-RVM62,'Sources and Uses Budget'!RVM108-SUM('15 Year Pro Forma'!RVK66:RVL66))</f>
        <v>0</v>
      </c>
      <c r="RVO66" s="960">
        <f>MIN(RVO60-RVO62,'Sources and Uses Budget'!RVO108-SUM('15 Year Pro Forma'!RVM66:RVN66))</f>
        <v>0</v>
      </c>
      <c r="RVQ66" s="960">
        <f>MIN(RVQ60-RVQ62,'Sources and Uses Budget'!RVQ108-SUM('15 Year Pro Forma'!RVO66:RVP66))</f>
        <v>0</v>
      </c>
      <c r="RVS66" s="960">
        <f>MIN(RVS60-RVS62,'Sources and Uses Budget'!RVS108-SUM('15 Year Pro Forma'!RVQ66:RVR66))</f>
        <v>0</v>
      </c>
      <c r="RVU66" s="960">
        <f>MIN(RVU60-RVU62,'Sources and Uses Budget'!RVU108-SUM('15 Year Pro Forma'!RVS66:RVT66))</f>
        <v>0</v>
      </c>
      <c r="RVW66" s="960">
        <f>MIN(RVW60-RVW62,'Sources and Uses Budget'!RVW108-SUM('15 Year Pro Forma'!RVU66:RVV66))</f>
        <v>0</v>
      </c>
      <c r="RVY66" s="960">
        <f>MIN(RVY60-RVY62,'Sources and Uses Budget'!RVY108-SUM('15 Year Pro Forma'!RVW66:RVX66))</f>
        <v>0</v>
      </c>
      <c r="RWA66" s="960">
        <f>MIN(RWA60-RWA62,'Sources and Uses Budget'!RWA108-SUM('15 Year Pro Forma'!RVY66:RVZ66))</f>
        <v>0</v>
      </c>
      <c r="RWC66" s="960">
        <f>MIN(RWC60-RWC62,'Sources and Uses Budget'!RWC108-SUM('15 Year Pro Forma'!RWA66:RWB66))</f>
        <v>0</v>
      </c>
      <c r="RWE66" s="960">
        <f>MIN(RWE60-RWE62,'Sources and Uses Budget'!RWE108-SUM('15 Year Pro Forma'!RWC66:RWD66))</f>
        <v>0</v>
      </c>
      <c r="RWG66" s="960">
        <f>MIN(RWG60-RWG62,'Sources and Uses Budget'!RWG108-SUM('15 Year Pro Forma'!RWE66:RWF66))</f>
        <v>0</v>
      </c>
      <c r="RWI66" s="960">
        <f>MIN(RWI60-RWI62,'Sources and Uses Budget'!RWI108-SUM('15 Year Pro Forma'!RWG66:RWH66))</f>
        <v>0</v>
      </c>
      <c r="RWK66" s="960">
        <f>MIN(RWK60-RWK62,'Sources and Uses Budget'!RWK108-SUM('15 Year Pro Forma'!RWI66:RWJ66))</f>
        <v>0</v>
      </c>
      <c r="RWM66" s="960">
        <f>MIN(RWM60-RWM62,'Sources and Uses Budget'!RWM108-SUM('15 Year Pro Forma'!RWK66:RWL66))</f>
        <v>0</v>
      </c>
      <c r="RWO66" s="960">
        <f>MIN(RWO60-RWO62,'Sources and Uses Budget'!RWO108-SUM('15 Year Pro Forma'!RWM66:RWN66))</f>
        <v>0</v>
      </c>
      <c r="RWQ66" s="960">
        <f>MIN(RWQ60-RWQ62,'Sources and Uses Budget'!RWQ108-SUM('15 Year Pro Forma'!RWO66:RWP66))</f>
        <v>0</v>
      </c>
      <c r="RWS66" s="960">
        <f>MIN(RWS60-RWS62,'Sources and Uses Budget'!RWS108-SUM('15 Year Pro Forma'!RWQ66:RWR66))</f>
        <v>0</v>
      </c>
      <c r="RWU66" s="960">
        <f>MIN(RWU60-RWU62,'Sources and Uses Budget'!RWU108-SUM('15 Year Pro Forma'!RWS66:RWT66))</f>
        <v>0</v>
      </c>
      <c r="RWW66" s="960">
        <f>MIN(RWW60-RWW62,'Sources and Uses Budget'!RWW108-SUM('15 Year Pro Forma'!RWU66:RWV66))</f>
        <v>0</v>
      </c>
      <c r="RWY66" s="960">
        <f>MIN(RWY60-RWY62,'Sources and Uses Budget'!RWY108-SUM('15 Year Pro Forma'!RWW66:RWX66))</f>
        <v>0</v>
      </c>
      <c r="RXA66" s="960">
        <f>MIN(RXA60-RXA62,'Sources and Uses Budget'!RXA108-SUM('15 Year Pro Forma'!RWY66:RWZ66))</f>
        <v>0</v>
      </c>
      <c r="RXC66" s="960">
        <f>MIN(RXC60-RXC62,'Sources and Uses Budget'!RXC108-SUM('15 Year Pro Forma'!RXA66:RXB66))</f>
        <v>0</v>
      </c>
      <c r="RXE66" s="960">
        <f>MIN(RXE60-RXE62,'Sources and Uses Budget'!RXE108-SUM('15 Year Pro Forma'!RXC66:RXD66))</f>
        <v>0</v>
      </c>
      <c r="RXG66" s="960">
        <f>MIN(RXG60-RXG62,'Sources and Uses Budget'!RXG108-SUM('15 Year Pro Forma'!RXE66:RXF66))</f>
        <v>0</v>
      </c>
      <c r="RXI66" s="960">
        <f>MIN(RXI60-RXI62,'Sources and Uses Budget'!RXI108-SUM('15 Year Pro Forma'!RXG66:RXH66))</f>
        <v>0</v>
      </c>
      <c r="RXK66" s="960">
        <f>MIN(RXK60-RXK62,'Sources and Uses Budget'!RXK108-SUM('15 Year Pro Forma'!RXI66:RXJ66))</f>
        <v>0</v>
      </c>
      <c r="RXM66" s="960">
        <f>MIN(RXM60-RXM62,'Sources and Uses Budget'!RXM108-SUM('15 Year Pro Forma'!RXK66:RXL66))</f>
        <v>0</v>
      </c>
      <c r="RXO66" s="960">
        <f>MIN(RXO60-RXO62,'Sources and Uses Budget'!RXO108-SUM('15 Year Pro Forma'!RXM66:RXN66))</f>
        <v>0</v>
      </c>
      <c r="RXQ66" s="960">
        <f>MIN(RXQ60-RXQ62,'Sources and Uses Budget'!RXQ108-SUM('15 Year Pro Forma'!RXO66:RXP66))</f>
        <v>0</v>
      </c>
      <c r="RXS66" s="960">
        <f>MIN(RXS60-RXS62,'Sources and Uses Budget'!RXS108-SUM('15 Year Pro Forma'!RXQ66:RXR66))</f>
        <v>0</v>
      </c>
      <c r="RXU66" s="960">
        <f>MIN(RXU60-RXU62,'Sources and Uses Budget'!RXU108-SUM('15 Year Pro Forma'!RXS66:RXT66))</f>
        <v>0</v>
      </c>
      <c r="RXW66" s="960">
        <f>MIN(RXW60-RXW62,'Sources and Uses Budget'!RXW108-SUM('15 Year Pro Forma'!RXU66:RXV66))</f>
        <v>0</v>
      </c>
      <c r="RXY66" s="960">
        <f>MIN(RXY60-RXY62,'Sources and Uses Budget'!RXY108-SUM('15 Year Pro Forma'!RXW66:RXX66))</f>
        <v>0</v>
      </c>
      <c r="RYA66" s="960">
        <f>MIN(RYA60-RYA62,'Sources and Uses Budget'!RYA108-SUM('15 Year Pro Forma'!RXY66:RXZ66))</f>
        <v>0</v>
      </c>
      <c r="RYC66" s="960">
        <f>MIN(RYC60-RYC62,'Sources and Uses Budget'!RYC108-SUM('15 Year Pro Forma'!RYA66:RYB66))</f>
        <v>0</v>
      </c>
      <c r="RYE66" s="960">
        <f>MIN(RYE60-RYE62,'Sources and Uses Budget'!RYE108-SUM('15 Year Pro Forma'!RYC66:RYD66))</f>
        <v>0</v>
      </c>
      <c r="RYG66" s="960">
        <f>MIN(RYG60-RYG62,'Sources and Uses Budget'!RYG108-SUM('15 Year Pro Forma'!RYE66:RYF66))</f>
        <v>0</v>
      </c>
      <c r="RYI66" s="960">
        <f>MIN(RYI60-RYI62,'Sources and Uses Budget'!RYI108-SUM('15 Year Pro Forma'!RYG66:RYH66))</f>
        <v>0</v>
      </c>
      <c r="RYK66" s="960">
        <f>MIN(RYK60-RYK62,'Sources and Uses Budget'!RYK108-SUM('15 Year Pro Forma'!RYI66:RYJ66))</f>
        <v>0</v>
      </c>
      <c r="RYM66" s="960">
        <f>MIN(RYM60-RYM62,'Sources and Uses Budget'!RYM108-SUM('15 Year Pro Forma'!RYK66:RYL66))</f>
        <v>0</v>
      </c>
      <c r="RYO66" s="960">
        <f>MIN(RYO60-RYO62,'Sources and Uses Budget'!RYO108-SUM('15 Year Pro Forma'!RYM66:RYN66))</f>
        <v>0</v>
      </c>
      <c r="RYQ66" s="960">
        <f>MIN(RYQ60-RYQ62,'Sources and Uses Budget'!RYQ108-SUM('15 Year Pro Forma'!RYO66:RYP66))</f>
        <v>0</v>
      </c>
      <c r="RYS66" s="960">
        <f>MIN(RYS60-RYS62,'Sources and Uses Budget'!RYS108-SUM('15 Year Pro Forma'!RYQ66:RYR66))</f>
        <v>0</v>
      </c>
      <c r="RYU66" s="960">
        <f>MIN(RYU60-RYU62,'Sources and Uses Budget'!RYU108-SUM('15 Year Pro Forma'!RYS66:RYT66))</f>
        <v>0</v>
      </c>
      <c r="RYW66" s="960">
        <f>MIN(RYW60-RYW62,'Sources and Uses Budget'!RYW108-SUM('15 Year Pro Forma'!RYU66:RYV66))</f>
        <v>0</v>
      </c>
      <c r="RYY66" s="960">
        <f>MIN(RYY60-RYY62,'Sources and Uses Budget'!RYY108-SUM('15 Year Pro Forma'!RYW66:RYX66))</f>
        <v>0</v>
      </c>
      <c r="RZA66" s="960">
        <f>MIN(RZA60-RZA62,'Sources and Uses Budget'!RZA108-SUM('15 Year Pro Forma'!RYY66:RYZ66))</f>
        <v>0</v>
      </c>
      <c r="RZC66" s="960">
        <f>MIN(RZC60-RZC62,'Sources and Uses Budget'!RZC108-SUM('15 Year Pro Forma'!RZA66:RZB66))</f>
        <v>0</v>
      </c>
      <c r="RZE66" s="960">
        <f>MIN(RZE60-RZE62,'Sources and Uses Budget'!RZE108-SUM('15 Year Pro Forma'!RZC66:RZD66))</f>
        <v>0</v>
      </c>
      <c r="RZG66" s="960">
        <f>MIN(RZG60-RZG62,'Sources and Uses Budget'!RZG108-SUM('15 Year Pro Forma'!RZE66:RZF66))</f>
        <v>0</v>
      </c>
      <c r="RZI66" s="960">
        <f>MIN(RZI60-RZI62,'Sources and Uses Budget'!RZI108-SUM('15 Year Pro Forma'!RZG66:RZH66))</f>
        <v>0</v>
      </c>
      <c r="RZK66" s="960">
        <f>MIN(RZK60-RZK62,'Sources and Uses Budget'!RZK108-SUM('15 Year Pro Forma'!RZI66:RZJ66))</f>
        <v>0</v>
      </c>
      <c r="RZM66" s="960">
        <f>MIN(RZM60-RZM62,'Sources and Uses Budget'!RZM108-SUM('15 Year Pro Forma'!RZK66:RZL66))</f>
        <v>0</v>
      </c>
      <c r="RZO66" s="960">
        <f>MIN(RZO60-RZO62,'Sources and Uses Budget'!RZO108-SUM('15 Year Pro Forma'!RZM66:RZN66))</f>
        <v>0</v>
      </c>
      <c r="RZQ66" s="960">
        <f>MIN(RZQ60-RZQ62,'Sources and Uses Budget'!RZQ108-SUM('15 Year Pro Forma'!RZO66:RZP66))</f>
        <v>0</v>
      </c>
      <c r="RZS66" s="960">
        <f>MIN(RZS60-RZS62,'Sources and Uses Budget'!RZS108-SUM('15 Year Pro Forma'!RZQ66:RZR66))</f>
        <v>0</v>
      </c>
      <c r="RZU66" s="960">
        <f>MIN(RZU60-RZU62,'Sources and Uses Budget'!RZU108-SUM('15 Year Pro Forma'!RZS66:RZT66))</f>
        <v>0</v>
      </c>
      <c r="RZW66" s="960">
        <f>MIN(RZW60-RZW62,'Sources and Uses Budget'!RZW108-SUM('15 Year Pro Forma'!RZU66:RZV66))</f>
        <v>0</v>
      </c>
      <c r="RZY66" s="960">
        <f>MIN(RZY60-RZY62,'Sources and Uses Budget'!RZY108-SUM('15 Year Pro Forma'!RZW66:RZX66))</f>
        <v>0</v>
      </c>
      <c r="SAA66" s="960">
        <f>MIN(SAA60-SAA62,'Sources and Uses Budget'!SAA108-SUM('15 Year Pro Forma'!RZY66:RZZ66))</f>
        <v>0</v>
      </c>
      <c r="SAC66" s="960">
        <f>MIN(SAC60-SAC62,'Sources and Uses Budget'!SAC108-SUM('15 Year Pro Forma'!SAA66:SAB66))</f>
        <v>0</v>
      </c>
      <c r="SAE66" s="960">
        <f>MIN(SAE60-SAE62,'Sources and Uses Budget'!SAE108-SUM('15 Year Pro Forma'!SAC66:SAD66))</f>
        <v>0</v>
      </c>
      <c r="SAG66" s="960">
        <f>MIN(SAG60-SAG62,'Sources and Uses Budget'!SAG108-SUM('15 Year Pro Forma'!SAE66:SAF66))</f>
        <v>0</v>
      </c>
      <c r="SAI66" s="960">
        <f>MIN(SAI60-SAI62,'Sources and Uses Budget'!SAI108-SUM('15 Year Pro Forma'!SAG66:SAH66))</f>
        <v>0</v>
      </c>
      <c r="SAK66" s="960">
        <f>MIN(SAK60-SAK62,'Sources and Uses Budget'!SAK108-SUM('15 Year Pro Forma'!SAI66:SAJ66))</f>
        <v>0</v>
      </c>
      <c r="SAM66" s="960">
        <f>MIN(SAM60-SAM62,'Sources and Uses Budget'!SAM108-SUM('15 Year Pro Forma'!SAK66:SAL66))</f>
        <v>0</v>
      </c>
      <c r="SAO66" s="960">
        <f>MIN(SAO60-SAO62,'Sources and Uses Budget'!SAO108-SUM('15 Year Pro Forma'!SAM66:SAN66))</f>
        <v>0</v>
      </c>
      <c r="SAQ66" s="960">
        <f>MIN(SAQ60-SAQ62,'Sources and Uses Budget'!SAQ108-SUM('15 Year Pro Forma'!SAO66:SAP66))</f>
        <v>0</v>
      </c>
      <c r="SAS66" s="960">
        <f>MIN(SAS60-SAS62,'Sources and Uses Budget'!SAS108-SUM('15 Year Pro Forma'!SAQ66:SAR66))</f>
        <v>0</v>
      </c>
      <c r="SAU66" s="960">
        <f>MIN(SAU60-SAU62,'Sources and Uses Budget'!SAU108-SUM('15 Year Pro Forma'!SAS66:SAT66))</f>
        <v>0</v>
      </c>
      <c r="SAW66" s="960">
        <f>MIN(SAW60-SAW62,'Sources and Uses Budget'!SAW108-SUM('15 Year Pro Forma'!SAU66:SAV66))</f>
        <v>0</v>
      </c>
      <c r="SAY66" s="960">
        <f>MIN(SAY60-SAY62,'Sources and Uses Budget'!SAY108-SUM('15 Year Pro Forma'!SAW66:SAX66))</f>
        <v>0</v>
      </c>
      <c r="SBA66" s="960">
        <f>MIN(SBA60-SBA62,'Sources and Uses Budget'!SBA108-SUM('15 Year Pro Forma'!SAY66:SAZ66))</f>
        <v>0</v>
      </c>
      <c r="SBC66" s="960">
        <f>MIN(SBC60-SBC62,'Sources and Uses Budget'!SBC108-SUM('15 Year Pro Forma'!SBA66:SBB66))</f>
        <v>0</v>
      </c>
      <c r="SBE66" s="960">
        <f>MIN(SBE60-SBE62,'Sources and Uses Budget'!SBE108-SUM('15 Year Pro Forma'!SBC66:SBD66))</f>
        <v>0</v>
      </c>
      <c r="SBG66" s="960">
        <f>MIN(SBG60-SBG62,'Sources and Uses Budget'!SBG108-SUM('15 Year Pro Forma'!SBE66:SBF66))</f>
        <v>0</v>
      </c>
      <c r="SBI66" s="960">
        <f>MIN(SBI60-SBI62,'Sources and Uses Budget'!SBI108-SUM('15 Year Pro Forma'!SBG66:SBH66))</f>
        <v>0</v>
      </c>
      <c r="SBK66" s="960">
        <f>MIN(SBK60-SBK62,'Sources and Uses Budget'!SBK108-SUM('15 Year Pro Forma'!SBI66:SBJ66))</f>
        <v>0</v>
      </c>
      <c r="SBM66" s="960">
        <f>MIN(SBM60-SBM62,'Sources and Uses Budget'!SBM108-SUM('15 Year Pro Forma'!SBK66:SBL66))</f>
        <v>0</v>
      </c>
      <c r="SBO66" s="960">
        <f>MIN(SBO60-SBO62,'Sources and Uses Budget'!SBO108-SUM('15 Year Pro Forma'!SBM66:SBN66))</f>
        <v>0</v>
      </c>
      <c r="SBQ66" s="960">
        <f>MIN(SBQ60-SBQ62,'Sources and Uses Budget'!SBQ108-SUM('15 Year Pro Forma'!SBO66:SBP66))</f>
        <v>0</v>
      </c>
      <c r="SBS66" s="960">
        <f>MIN(SBS60-SBS62,'Sources and Uses Budget'!SBS108-SUM('15 Year Pro Forma'!SBQ66:SBR66))</f>
        <v>0</v>
      </c>
      <c r="SBU66" s="960">
        <f>MIN(SBU60-SBU62,'Sources and Uses Budget'!SBU108-SUM('15 Year Pro Forma'!SBS66:SBT66))</f>
        <v>0</v>
      </c>
      <c r="SBW66" s="960">
        <f>MIN(SBW60-SBW62,'Sources and Uses Budget'!SBW108-SUM('15 Year Pro Forma'!SBU66:SBV66))</f>
        <v>0</v>
      </c>
      <c r="SBY66" s="960">
        <f>MIN(SBY60-SBY62,'Sources and Uses Budget'!SBY108-SUM('15 Year Pro Forma'!SBW66:SBX66))</f>
        <v>0</v>
      </c>
      <c r="SCA66" s="960">
        <f>MIN(SCA60-SCA62,'Sources and Uses Budget'!SCA108-SUM('15 Year Pro Forma'!SBY66:SBZ66))</f>
        <v>0</v>
      </c>
      <c r="SCC66" s="960">
        <f>MIN(SCC60-SCC62,'Sources and Uses Budget'!SCC108-SUM('15 Year Pro Forma'!SCA66:SCB66))</f>
        <v>0</v>
      </c>
      <c r="SCE66" s="960">
        <f>MIN(SCE60-SCE62,'Sources and Uses Budget'!SCE108-SUM('15 Year Pro Forma'!SCC66:SCD66))</f>
        <v>0</v>
      </c>
      <c r="SCG66" s="960">
        <f>MIN(SCG60-SCG62,'Sources and Uses Budget'!SCG108-SUM('15 Year Pro Forma'!SCE66:SCF66))</f>
        <v>0</v>
      </c>
      <c r="SCI66" s="960">
        <f>MIN(SCI60-SCI62,'Sources and Uses Budget'!SCI108-SUM('15 Year Pro Forma'!SCG66:SCH66))</f>
        <v>0</v>
      </c>
      <c r="SCK66" s="960">
        <f>MIN(SCK60-SCK62,'Sources and Uses Budget'!SCK108-SUM('15 Year Pro Forma'!SCI66:SCJ66))</f>
        <v>0</v>
      </c>
      <c r="SCM66" s="960">
        <f>MIN(SCM60-SCM62,'Sources and Uses Budget'!SCM108-SUM('15 Year Pro Forma'!SCK66:SCL66))</f>
        <v>0</v>
      </c>
      <c r="SCO66" s="960">
        <f>MIN(SCO60-SCO62,'Sources and Uses Budget'!SCO108-SUM('15 Year Pro Forma'!SCM66:SCN66))</f>
        <v>0</v>
      </c>
      <c r="SCQ66" s="960">
        <f>MIN(SCQ60-SCQ62,'Sources and Uses Budget'!SCQ108-SUM('15 Year Pro Forma'!SCO66:SCP66))</f>
        <v>0</v>
      </c>
      <c r="SCS66" s="960">
        <f>MIN(SCS60-SCS62,'Sources and Uses Budget'!SCS108-SUM('15 Year Pro Forma'!SCQ66:SCR66))</f>
        <v>0</v>
      </c>
      <c r="SCU66" s="960">
        <f>MIN(SCU60-SCU62,'Sources and Uses Budget'!SCU108-SUM('15 Year Pro Forma'!SCS66:SCT66))</f>
        <v>0</v>
      </c>
      <c r="SCW66" s="960">
        <f>MIN(SCW60-SCW62,'Sources and Uses Budget'!SCW108-SUM('15 Year Pro Forma'!SCU66:SCV66))</f>
        <v>0</v>
      </c>
      <c r="SCY66" s="960">
        <f>MIN(SCY60-SCY62,'Sources and Uses Budget'!SCY108-SUM('15 Year Pro Forma'!SCW66:SCX66))</f>
        <v>0</v>
      </c>
      <c r="SDA66" s="960">
        <f>MIN(SDA60-SDA62,'Sources and Uses Budget'!SDA108-SUM('15 Year Pro Forma'!SCY66:SCZ66))</f>
        <v>0</v>
      </c>
      <c r="SDC66" s="960">
        <f>MIN(SDC60-SDC62,'Sources and Uses Budget'!SDC108-SUM('15 Year Pro Forma'!SDA66:SDB66))</f>
        <v>0</v>
      </c>
      <c r="SDE66" s="960">
        <f>MIN(SDE60-SDE62,'Sources and Uses Budget'!SDE108-SUM('15 Year Pro Forma'!SDC66:SDD66))</f>
        <v>0</v>
      </c>
      <c r="SDG66" s="960">
        <f>MIN(SDG60-SDG62,'Sources and Uses Budget'!SDG108-SUM('15 Year Pro Forma'!SDE66:SDF66))</f>
        <v>0</v>
      </c>
      <c r="SDI66" s="960">
        <f>MIN(SDI60-SDI62,'Sources and Uses Budget'!SDI108-SUM('15 Year Pro Forma'!SDG66:SDH66))</f>
        <v>0</v>
      </c>
      <c r="SDK66" s="960">
        <f>MIN(SDK60-SDK62,'Sources and Uses Budget'!SDK108-SUM('15 Year Pro Forma'!SDI66:SDJ66))</f>
        <v>0</v>
      </c>
      <c r="SDM66" s="960">
        <f>MIN(SDM60-SDM62,'Sources and Uses Budget'!SDM108-SUM('15 Year Pro Forma'!SDK66:SDL66))</f>
        <v>0</v>
      </c>
      <c r="SDO66" s="960">
        <f>MIN(SDO60-SDO62,'Sources and Uses Budget'!SDO108-SUM('15 Year Pro Forma'!SDM66:SDN66))</f>
        <v>0</v>
      </c>
      <c r="SDQ66" s="960">
        <f>MIN(SDQ60-SDQ62,'Sources and Uses Budget'!SDQ108-SUM('15 Year Pro Forma'!SDO66:SDP66))</f>
        <v>0</v>
      </c>
      <c r="SDS66" s="960">
        <f>MIN(SDS60-SDS62,'Sources and Uses Budget'!SDS108-SUM('15 Year Pro Forma'!SDQ66:SDR66))</f>
        <v>0</v>
      </c>
      <c r="SDU66" s="960">
        <f>MIN(SDU60-SDU62,'Sources and Uses Budget'!SDU108-SUM('15 Year Pro Forma'!SDS66:SDT66))</f>
        <v>0</v>
      </c>
      <c r="SDW66" s="960">
        <f>MIN(SDW60-SDW62,'Sources and Uses Budget'!SDW108-SUM('15 Year Pro Forma'!SDU66:SDV66))</f>
        <v>0</v>
      </c>
      <c r="SDY66" s="960">
        <f>MIN(SDY60-SDY62,'Sources and Uses Budget'!SDY108-SUM('15 Year Pro Forma'!SDW66:SDX66))</f>
        <v>0</v>
      </c>
      <c r="SEA66" s="960">
        <f>MIN(SEA60-SEA62,'Sources and Uses Budget'!SEA108-SUM('15 Year Pro Forma'!SDY66:SDZ66))</f>
        <v>0</v>
      </c>
      <c r="SEC66" s="960">
        <f>MIN(SEC60-SEC62,'Sources and Uses Budget'!SEC108-SUM('15 Year Pro Forma'!SEA66:SEB66))</f>
        <v>0</v>
      </c>
      <c r="SEE66" s="960">
        <f>MIN(SEE60-SEE62,'Sources and Uses Budget'!SEE108-SUM('15 Year Pro Forma'!SEC66:SED66))</f>
        <v>0</v>
      </c>
      <c r="SEG66" s="960">
        <f>MIN(SEG60-SEG62,'Sources and Uses Budget'!SEG108-SUM('15 Year Pro Forma'!SEE66:SEF66))</f>
        <v>0</v>
      </c>
      <c r="SEI66" s="960">
        <f>MIN(SEI60-SEI62,'Sources and Uses Budget'!SEI108-SUM('15 Year Pro Forma'!SEG66:SEH66))</f>
        <v>0</v>
      </c>
      <c r="SEK66" s="960">
        <f>MIN(SEK60-SEK62,'Sources and Uses Budget'!SEK108-SUM('15 Year Pro Forma'!SEI66:SEJ66))</f>
        <v>0</v>
      </c>
      <c r="SEM66" s="960">
        <f>MIN(SEM60-SEM62,'Sources and Uses Budget'!SEM108-SUM('15 Year Pro Forma'!SEK66:SEL66))</f>
        <v>0</v>
      </c>
      <c r="SEO66" s="960">
        <f>MIN(SEO60-SEO62,'Sources and Uses Budget'!SEO108-SUM('15 Year Pro Forma'!SEM66:SEN66))</f>
        <v>0</v>
      </c>
      <c r="SEQ66" s="960">
        <f>MIN(SEQ60-SEQ62,'Sources and Uses Budget'!SEQ108-SUM('15 Year Pro Forma'!SEO66:SEP66))</f>
        <v>0</v>
      </c>
      <c r="SES66" s="960">
        <f>MIN(SES60-SES62,'Sources and Uses Budget'!SES108-SUM('15 Year Pro Forma'!SEQ66:SER66))</f>
        <v>0</v>
      </c>
      <c r="SEU66" s="960">
        <f>MIN(SEU60-SEU62,'Sources and Uses Budget'!SEU108-SUM('15 Year Pro Forma'!SES66:SET66))</f>
        <v>0</v>
      </c>
      <c r="SEW66" s="960">
        <f>MIN(SEW60-SEW62,'Sources and Uses Budget'!SEW108-SUM('15 Year Pro Forma'!SEU66:SEV66))</f>
        <v>0</v>
      </c>
      <c r="SEY66" s="960">
        <f>MIN(SEY60-SEY62,'Sources and Uses Budget'!SEY108-SUM('15 Year Pro Forma'!SEW66:SEX66))</f>
        <v>0</v>
      </c>
      <c r="SFA66" s="960">
        <f>MIN(SFA60-SFA62,'Sources and Uses Budget'!SFA108-SUM('15 Year Pro Forma'!SEY66:SEZ66))</f>
        <v>0</v>
      </c>
      <c r="SFC66" s="960">
        <f>MIN(SFC60-SFC62,'Sources and Uses Budget'!SFC108-SUM('15 Year Pro Forma'!SFA66:SFB66))</f>
        <v>0</v>
      </c>
      <c r="SFE66" s="960">
        <f>MIN(SFE60-SFE62,'Sources and Uses Budget'!SFE108-SUM('15 Year Pro Forma'!SFC66:SFD66))</f>
        <v>0</v>
      </c>
      <c r="SFG66" s="960">
        <f>MIN(SFG60-SFG62,'Sources and Uses Budget'!SFG108-SUM('15 Year Pro Forma'!SFE66:SFF66))</f>
        <v>0</v>
      </c>
      <c r="SFI66" s="960">
        <f>MIN(SFI60-SFI62,'Sources and Uses Budget'!SFI108-SUM('15 Year Pro Forma'!SFG66:SFH66))</f>
        <v>0</v>
      </c>
      <c r="SFK66" s="960">
        <f>MIN(SFK60-SFK62,'Sources and Uses Budget'!SFK108-SUM('15 Year Pro Forma'!SFI66:SFJ66))</f>
        <v>0</v>
      </c>
      <c r="SFM66" s="960">
        <f>MIN(SFM60-SFM62,'Sources and Uses Budget'!SFM108-SUM('15 Year Pro Forma'!SFK66:SFL66))</f>
        <v>0</v>
      </c>
      <c r="SFO66" s="960">
        <f>MIN(SFO60-SFO62,'Sources and Uses Budget'!SFO108-SUM('15 Year Pro Forma'!SFM66:SFN66))</f>
        <v>0</v>
      </c>
      <c r="SFQ66" s="960">
        <f>MIN(SFQ60-SFQ62,'Sources and Uses Budget'!SFQ108-SUM('15 Year Pro Forma'!SFO66:SFP66))</f>
        <v>0</v>
      </c>
      <c r="SFS66" s="960">
        <f>MIN(SFS60-SFS62,'Sources and Uses Budget'!SFS108-SUM('15 Year Pro Forma'!SFQ66:SFR66))</f>
        <v>0</v>
      </c>
      <c r="SFU66" s="960">
        <f>MIN(SFU60-SFU62,'Sources and Uses Budget'!SFU108-SUM('15 Year Pro Forma'!SFS66:SFT66))</f>
        <v>0</v>
      </c>
      <c r="SFW66" s="960">
        <f>MIN(SFW60-SFW62,'Sources and Uses Budget'!SFW108-SUM('15 Year Pro Forma'!SFU66:SFV66))</f>
        <v>0</v>
      </c>
      <c r="SFY66" s="960">
        <f>MIN(SFY60-SFY62,'Sources and Uses Budget'!SFY108-SUM('15 Year Pro Forma'!SFW66:SFX66))</f>
        <v>0</v>
      </c>
      <c r="SGA66" s="960">
        <f>MIN(SGA60-SGA62,'Sources and Uses Budget'!SGA108-SUM('15 Year Pro Forma'!SFY66:SFZ66))</f>
        <v>0</v>
      </c>
      <c r="SGC66" s="960">
        <f>MIN(SGC60-SGC62,'Sources and Uses Budget'!SGC108-SUM('15 Year Pro Forma'!SGA66:SGB66))</f>
        <v>0</v>
      </c>
      <c r="SGE66" s="960">
        <f>MIN(SGE60-SGE62,'Sources and Uses Budget'!SGE108-SUM('15 Year Pro Forma'!SGC66:SGD66))</f>
        <v>0</v>
      </c>
      <c r="SGG66" s="960">
        <f>MIN(SGG60-SGG62,'Sources and Uses Budget'!SGG108-SUM('15 Year Pro Forma'!SGE66:SGF66))</f>
        <v>0</v>
      </c>
      <c r="SGI66" s="960">
        <f>MIN(SGI60-SGI62,'Sources and Uses Budget'!SGI108-SUM('15 Year Pro Forma'!SGG66:SGH66))</f>
        <v>0</v>
      </c>
      <c r="SGK66" s="960">
        <f>MIN(SGK60-SGK62,'Sources and Uses Budget'!SGK108-SUM('15 Year Pro Forma'!SGI66:SGJ66))</f>
        <v>0</v>
      </c>
      <c r="SGM66" s="960">
        <f>MIN(SGM60-SGM62,'Sources and Uses Budget'!SGM108-SUM('15 Year Pro Forma'!SGK66:SGL66))</f>
        <v>0</v>
      </c>
      <c r="SGO66" s="960">
        <f>MIN(SGO60-SGO62,'Sources and Uses Budget'!SGO108-SUM('15 Year Pro Forma'!SGM66:SGN66))</f>
        <v>0</v>
      </c>
      <c r="SGQ66" s="960">
        <f>MIN(SGQ60-SGQ62,'Sources and Uses Budget'!SGQ108-SUM('15 Year Pro Forma'!SGO66:SGP66))</f>
        <v>0</v>
      </c>
      <c r="SGS66" s="960">
        <f>MIN(SGS60-SGS62,'Sources and Uses Budget'!SGS108-SUM('15 Year Pro Forma'!SGQ66:SGR66))</f>
        <v>0</v>
      </c>
      <c r="SGU66" s="960">
        <f>MIN(SGU60-SGU62,'Sources and Uses Budget'!SGU108-SUM('15 Year Pro Forma'!SGS66:SGT66))</f>
        <v>0</v>
      </c>
      <c r="SGW66" s="960">
        <f>MIN(SGW60-SGW62,'Sources and Uses Budget'!SGW108-SUM('15 Year Pro Forma'!SGU66:SGV66))</f>
        <v>0</v>
      </c>
      <c r="SGY66" s="960">
        <f>MIN(SGY60-SGY62,'Sources and Uses Budget'!SGY108-SUM('15 Year Pro Forma'!SGW66:SGX66))</f>
        <v>0</v>
      </c>
      <c r="SHA66" s="960">
        <f>MIN(SHA60-SHA62,'Sources and Uses Budget'!SHA108-SUM('15 Year Pro Forma'!SGY66:SGZ66))</f>
        <v>0</v>
      </c>
      <c r="SHC66" s="960">
        <f>MIN(SHC60-SHC62,'Sources and Uses Budget'!SHC108-SUM('15 Year Pro Forma'!SHA66:SHB66))</f>
        <v>0</v>
      </c>
      <c r="SHE66" s="960">
        <f>MIN(SHE60-SHE62,'Sources and Uses Budget'!SHE108-SUM('15 Year Pro Forma'!SHC66:SHD66))</f>
        <v>0</v>
      </c>
      <c r="SHG66" s="960">
        <f>MIN(SHG60-SHG62,'Sources and Uses Budget'!SHG108-SUM('15 Year Pro Forma'!SHE66:SHF66))</f>
        <v>0</v>
      </c>
      <c r="SHI66" s="960">
        <f>MIN(SHI60-SHI62,'Sources and Uses Budget'!SHI108-SUM('15 Year Pro Forma'!SHG66:SHH66))</f>
        <v>0</v>
      </c>
      <c r="SHK66" s="960">
        <f>MIN(SHK60-SHK62,'Sources and Uses Budget'!SHK108-SUM('15 Year Pro Forma'!SHI66:SHJ66))</f>
        <v>0</v>
      </c>
      <c r="SHM66" s="960">
        <f>MIN(SHM60-SHM62,'Sources and Uses Budget'!SHM108-SUM('15 Year Pro Forma'!SHK66:SHL66))</f>
        <v>0</v>
      </c>
      <c r="SHO66" s="960">
        <f>MIN(SHO60-SHO62,'Sources and Uses Budget'!SHO108-SUM('15 Year Pro Forma'!SHM66:SHN66))</f>
        <v>0</v>
      </c>
      <c r="SHQ66" s="960">
        <f>MIN(SHQ60-SHQ62,'Sources and Uses Budget'!SHQ108-SUM('15 Year Pro Forma'!SHO66:SHP66))</f>
        <v>0</v>
      </c>
      <c r="SHS66" s="960">
        <f>MIN(SHS60-SHS62,'Sources and Uses Budget'!SHS108-SUM('15 Year Pro Forma'!SHQ66:SHR66))</f>
        <v>0</v>
      </c>
      <c r="SHU66" s="960">
        <f>MIN(SHU60-SHU62,'Sources and Uses Budget'!SHU108-SUM('15 Year Pro Forma'!SHS66:SHT66))</f>
        <v>0</v>
      </c>
      <c r="SHW66" s="960">
        <f>MIN(SHW60-SHW62,'Sources and Uses Budget'!SHW108-SUM('15 Year Pro Forma'!SHU66:SHV66))</f>
        <v>0</v>
      </c>
      <c r="SHY66" s="960">
        <f>MIN(SHY60-SHY62,'Sources and Uses Budget'!SHY108-SUM('15 Year Pro Forma'!SHW66:SHX66))</f>
        <v>0</v>
      </c>
      <c r="SIA66" s="960">
        <f>MIN(SIA60-SIA62,'Sources and Uses Budget'!SIA108-SUM('15 Year Pro Forma'!SHY66:SHZ66))</f>
        <v>0</v>
      </c>
      <c r="SIC66" s="960">
        <f>MIN(SIC60-SIC62,'Sources and Uses Budget'!SIC108-SUM('15 Year Pro Forma'!SIA66:SIB66))</f>
        <v>0</v>
      </c>
      <c r="SIE66" s="960">
        <f>MIN(SIE60-SIE62,'Sources and Uses Budget'!SIE108-SUM('15 Year Pro Forma'!SIC66:SID66))</f>
        <v>0</v>
      </c>
      <c r="SIG66" s="960">
        <f>MIN(SIG60-SIG62,'Sources and Uses Budget'!SIG108-SUM('15 Year Pro Forma'!SIE66:SIF66))</f>
        <v>0</v>
      </c>
      <c r="SII66" s="960">
        <f>MIN(SII60-SII62,'Sources and Uses Budget'!SII108-SUM('15 Year Pro Forma'!SIG66:SIH66))</f>
        <v>0</v>
      </c>
      <c r="SIK66" s="960">
        <f>MIN(SIK60-SIK62,'Sources and Uses Budget'!SIK108-SUM('15 Year Pro Forma'!SII66:SIJ66))</f>
        <v>0</v>
      </c>
      <c r="SIM66" s="960">
        <f>MIN(SIM60-SIM62,'Sources and Uses Budget'!SIM108-SUM('15 Year Pro Forma'!SIK66:SIL66))</f>
        <v>0</v>
      </c>
      <c r="SIO66" s="960">
        <f>MIN(SIO60-SIO62,'Sources and Uses Budget'!SIO108-SUM('15 Year Pro Forma'!SIM66:SIN66))</f>
        <v>0</v>
      </c>
      <c r="SIQ66" s="960">
        <f>MIN(SIQ60-SIQ62,'Sources and Uses Budget'!SIQ108-SUM('15 Year Pro Forma'!SIO66:SIP66))</f>
        <v>0</v>
      </c>
      <c r="SIS66" s="960">
        <f>MIN(SIS60-SIS62,'Sources and Uses Budget'!SIS108-SUM('15 Year Pro Forma'!SIQ66:SIR66))</f>
        <v>0</v>
      </c>
      <c r="SIU66" s="960">
        <f>MIN(SIU60-SIU62,'Sources and Uses Budget'!SIU108-SUM('15 Year Pro Forma'!SIS66:SIT66))</f>
        <v>0</v>
      </c>
      <c r="SIW66" s="960">
        <f>MIN(SIW60-SIW62,'Sources and Uses Budget'!SIW108-SUM('15 Year Pro Forma'!SIU66:SIV66))</f>
        <v>0</v>
      </c>
      <c r="SIY66" s="960">
        <f>MIN(SIY60-SIY62,'Sources and Uses Budget'!SIY108-SUM('15 Year Pro Forma'!SIW66:SIX66))</f>
        <v>0</v>
      </c>
      <c r="SJA66" s="960">
        <f>MIN(SJA60-SJA62,'Sources and Uses Budget'!SJA108-SUM('15 Year Pro Forma'!SIY66:SIZ66))</f>
        <v>0</v>
      </c>
      <c r="SJC66" s="960">
        <f>MIN(SJC60-SJC62,'Sources and Uses Budget'!SJC108-SUM('15 Year Pro Forma'!SJA66:SJB66))</f>
        <v>0</v>
      </c>
      <c r="SJE66" s="960">
        <f>MIN(SJE60-SJE62,'Sources and Uses Budget'!SJE108-SUM('15 Year Pro Forma'!SJC66:SJD66))</f>
        <v>0</v>
      </c>
      <c r="SJG66" s="960">
        <f>MIN(SJG60-SJG62,'Sources and Uses Budget'!SJG108-SUM('15 Year Pro Forma'!SJE66:SJF66))</f>
        <v>0</v>
      </c>
      <c r="SJI66" s="960">
        <f>MIN(SJI60-SJI62,'Sources and Uses Budget'!SJI108-SUM('15 Year Pro Forma'!SJG66:SJH66))</f>
        <v>0</v>
      </c>
      <c r="SJK66" s="960">
        <f>MIN(SJK60-SJK62,'Sources and Uses Budget'!SJK108-SUM('15 Year Pro Forma'!SJI66:SJJ66))</f>
        <v>0</v>
      </c>
      <c r="SJM66" s="960">
        <f>MIN(SJM60-SJM62,'Sources and Uses Budget'!SJM108-SUM('15 Year Pro Forma'!SJK66:SJL66))</f>
        <v>0</v>
      </c>
      <c r="SJO66" s="960">
        <f>MIN(SJO60-SJO62,'Sources and Uses Budget'!SJO108-SUM('15 Year Pro Forma'!SJM66:SJN66))</f>
        <v>0</v>
      </c>
      <c r="SJQ66" s="960">
        <f>MIN(SJQ60-SJQ62,'Sources and Uses Budget'!SJQ108-SUM('15 Year Pro Forma'!SJO66:SJP66))</f>
        <v>0</v>
      </c>
      <c r="SJS66" s="960">
        <f>MIN(SJS60-SJS62,'Sources and Uses Budget'!SJS108-SUM('15 Year Pro Forma'!SJQ66:SJR66))</f>
        <v>0</v>
      </c>
      <c r="SJU66" s="960">
        <f>MIN(SJU60-SJU62,'Sources and Uses Budget'!SJU108-SUM('15 Year Pro Forma'!SJS66:SJT66))</f>
        <v>0</v>
      </c>
      <c r="SJW66" s="960">
        <f>MIN(SJW60-SJW62,'Sources and Uses Budget'!SJW108-SUM('15 Year Pro Forma'!SJU66:SJV66))</f>
        <v>0</v>
      </c>
      <c r="SJY66" s="960">
        <f>MIN(SJY60-SJY62,'Sources and Uses Budget'!SJY108-SUM('15 Year Pro Forma'!SJW66:SJX66))</f>
        <v>0</v>
      </c>
      <c r="SKA66" s="960">
        <f>MIN(SKA60-SKA62,'Sources and Uses Budget'!SKA108-SUM('15 Year Pro Forma'!SJY66:SJZ66))</f>
        <v>0</v>
      </c>
      <c r="SKC66" s="960">
        <f>MIN(SKC60-SKC62,'Sources and Uses Budget'!SKC108-SUM('15 Year Pro Forma'!SKA66:SKB66))</f>
        <v>0</v>
      </c>
      <c r="SKE66" s="960">
        <f>MIN(SKE60-SKE62,'Sources and Uses Budget'!SKE108-SUM('15 Year Pro Forma'!SKC66:SKD66))</f>
        <v>0</v>
      </c>
      <c r="SKG66" s="960">
        <f>MIN(SKG60-SKG62,'Sources and Uses Budget'!SKG108-SUM('15 Year Pro Forma'!SKE66:SKF66))</f>
        <v>0</v>
      </c>
      <c r="SKI66" s="960">
        <f>MIN(SKI60-SKI62,'Sources and Uses Budget'!SKI108-SUM('15 Year Pro Forma'!SKG66:SKH66))</f>
        <v>0</v>
      </c>
      <c r="SKK66" s="960">
        <f>MIN(SKK60-SKK62,'Sources and Uses Budget'!SKK108-SUM('15 Year Pro Forma'!SKI66:SKJ66))</f>
        <v>0</v>
      </c>
      <c r="SKM66" s="960">
        <f>MIN(SKM60-SKM62,'Sources and Uses Budget'!SKM108-SUM('15 Year Pro Forma'!SKK66:SKL66))</f>
        <v>0</v>
      </c>
      <c r="SKO66" s="960">
        <f>MIN(SKO60-SKO62,'Sources and Uses Budget'!SKO108-SUM('15 Year Pro Forma'!SKM66:SKN66))</f>
        <v>0</v>
      </c>
      <c r="SKQ66" s="960">
        <f>MIN(SKQ60-SKQ62,'Sources and Uses Budget'!SKQ108-SUM('15 Year Pro Forma'!SKO66:SKP66))</f>
        <v>0</v>
      </c>
      <c r="SKS66" s="960">
        <f>MIN(SKS60-SKS62,'Sources and Uses Budget'!SKS108-SUM('15 Year Pro Forma'!SKQ66:SKR66))</f>
        <v>0</v>
      </c>
      <c r="SKU66" s="960">
        <f>MIN(SKU60-SKU62,'Sources and Uses Budget'!SKU108-SUM('15 Year Pro Forma'!SKS66:SKT66))</f>
        <v>0</v>
      </c>
      <c r="SKW66" s="960">
        <f>MIN(SKW60-SKW62,'Sources and Uses Budget'!SKW108-SUM('15 Year Pro Forma'!SKU66:SKV66))</f>
        <v>0</v>
      </c>
      <c r="SKY66" s="960">
        <f>MIN(SKY60-SKY62,'Sources and Uses Budget'!SKY108-SUM('15 Year Pro Forma'!SKW66:SKX66))</f>
        <v>0</v>
      </c>
      <c r="SLA66" s="960">
        <f>MIN(SLA60-SLA62,'Sources and Uses Budget'!SLA108-SUM('15 Year Pro Forma'!SKY66:SKZ66))</f>
        <v>0</v>
      </c>
      <c r="SLC66" s="960">
        <f>MIN(SLC60-SLC62,'Sources and Uses Budget'!SLC108-SUM('15 Year Pro Forma'!SLA66:SLB66))</f>
        <v>0</v>
      </c>
      <c r="SLE66" s="960">
        <f>MIN(SLE60-SLE62,'Sources and Uses Budget'!SLE108-SUM('15 Year Pro Forma'!SLC66:SLD66))</f>
        <v>0</v>
      </c>
      <c r="SLG66" s="960">
        <f>MIN(SLG60-SLG62,'Sources and Uses Budget'!SLG108-SUM('15 Year Pro Forma'!SLE66:SLF66))</f>
        <v>0</v>
      </c>
      <c r="SLI66" s="960">
        <f>MIN(SLI60-SLI62,'Sources and Uses Budget'!SLI108-SUM('15 Year Pro Forma'!SLG66:SLH66))</f>
        <v>0</v>
      </c>
      <c r="SLK66" s="960">
        <f>MIN(SLK60-SLK62,'Sources and Uses Budget'!SLK108-SUM('15 Year Pro Forma'!SLI66:SLJ66))</f>
        <v>0</v>
      </c>
      <c r="SLM66" s="960">
        <f>MIN(SLM60-SLM62,'Sources and Uses Budget'!SLM108-SUM('15 Year Pro Forma'!SLK66:SLL66))</f>
        <v>0</v>
      </c>
      <c r="SLO66" s="960">
        <f>MIN(SLO60-SLO62,'Sources and Uses Budget'!SLO108-SUM('15 Year Pro Forma'!SLM66:SLN66))</f>
        <v>0</v>
      </c>
      <c r="SLQ66" s="960">
        <f>MIN(SLQ60-SLQ62,'Sources and Uses Budget'!SLQ108-SUM('15 Year Pro Forma'!SLO66:SLP66))</f>
        <v>0</v>
      </c>
      <c r="SLS66" s="960">
        <f>MIN(SLS60-SLS62,'Sources and Uses Budget'!SLS108-SUM('15 Year Pro Forma'!SLQ66:SLR66))</f>
        <v>0</v>
      </c>
      <c r="SLU66" s="960">
        <f>MIN(SLU60-SLU62,'Sources and Uses Budget'!SLU108-SUM('15 Year Pro Forma'!SLS66:SLT66))</f>
        <v>0</v>
      </c>
      <c r="SLW66" s="960">
        <f>MIN(SLW60-SLW62,'Sources and Uses Budget'!SLW108-SUM('15 Year Pro Forma'!SLU66:SLV66))</f>
        <v>0</v>
      </c>
      <c r="SLY66" s="960">
        <f>MIN(SLY60-SLY62,'Sources and Uses Budget'!SLY108-SUM('15 Year Pro Forma'!SLW66:SLX66))</f>
        <v>0</v>
      </c>
      <c r="SMA66" s="960">
        <f>MIN(SMA60-SMA62,'Sources and Uses Budget'!SMA108-SUM('15 Year Pro Forma'!SLY66:SLZ66))</f>
        <v>0</v>
      </c>
      <c r="SMC66" s="960">
        <f>MIN(SMC60-SMC62,'Sources and Uses Budget'!SMC108-SUM('15 Year Pro Forma'!SMA66:SMB66))</f>
        <v>0</v>
      </c>
      <c r="SME66" s="960">
        <f>MIN(SME60-SME62,'Sources and Uses Budget'!SME108-SUM('15 Year Pro Forma'!SMC66:SMD66))</f>
        <v>0</v>
      </c>
      <c r="SMG66" s="960">
        <f>MIN(SMG60-SMG62,'Sources and Uses Budget'!SMG108-SUM('15 Year Pro Forma'!SME66:SMF66))</f>
        <v>0</v>
      </c>
      <c r="SMI66" s="960">
        <f>MIN(SMI60-SMI62,'Sources and Uses Budget'!SMI108-SUM('15 Year Pro Forma'!SMG66:SMH66))</f>
        <v>0</v>
      </c>
      <c r="SMK66" s="960">
        <f>MIN(SMK60-SMK62,'Sources and Uses Budget'!SMK108-SUM('15 Year Pro Forma'!SMI66:SMJ66))</f>
        <v>0</v>
      </c>
      <c r="SMM66" s="960">
        <f>MIN(SMM60-SMM62,'Sources and Uses Budget'!SMM108-SUM('15 Year Pro Forma'!SMK66:SML66))</f>
        <v>0</v>
      </c>
      <c r="SMO66" s="960">
        <f>MIN(SMO60-SMO62,'Sources and Uses Budget'!SMO108-SUM('15 Year Pro Forma'!SMM66:SMN66))</f>
        <v>0</v>
      </c>
      <c r="SMQ66" s="960">
        <f>MIN(SMQ60-SMQ62,'Sources and Uses Budget'!SMQ108-SUM('15 Year Pro Forma'!SMO66:SMP66))</f>
        <v>0</v>
      </c>
      <c r="SMS66" s="960">
        <f>MIN(SMS60-SMS62,'Sources and Uses Budget'!SMS108-SUM('15 Year Pro Forma'!SMQ66:SMR66))</f>
        <v>0</v>
      </c>
      <c r="SMU66" s="960">
        <f>MIN(SMU60-SMU62,'Sources and Uses Budget'!SMU108-SUM('15 Year Pro Forma'!SMS66:SMT66))</f>
        <v>0</v>
      </c>
      <c r="SMW66" s="960">
        <f>MIN(SMW60-SMW62,'Sources and Uses Budget'!SMW108-SUM('15 Year Pro Forma'!SMU66:SMV66))</f>
        <v>0</v>
      </c>
      <c r="SMY66" s="960">
        <f>MIN(SMY60-SMY62,'Sources and Uses Budget'!SMY108-SUM('15 Year Pro Forma'!SMW66:SMX66))</f>
        <v>0</v>
      </c>
      <c r="SNA66" s="960">
        <f>MIN(SNA60-SNA62,'Sources and Uses Budget'!SNA108-SUM('15 Year Pro Forma'!SMY66:SMZ66))</f>
        <v>0</v>
      </c>
      <c r="SNC66" s="960">
        <f>MIN(SNC60-SNC62,'Sources and Uses Budget'!SNC108-SUM('15 Year Pro Forma'!SNA66:SNB66))</f>
        <v>0</v>
      </c>
      <c r="SNE66" s="960">
        <f>MIN(SNE60-SNE62,'Sources and Uses Budget'!SNE108-SUM('15 Year Pro Forma'!SNC66:SND66))</f>
        <v>0</v>
      </c>
      <c r="SNG66" s="960">
        <f>MIN(SNG60-SNG62,'Sources and Uses Budget'!SNG108-SUM('15 Year Pro Forma'!SNE66:SNF66))</f>
        <v>0</v>
      </c>
      <c r="SNI66" s="960">
        <f>MIN(SNI60-SNI62,'Sources and Uses Budget'!SNI108-SUM('15 Year Pro Forma'!SNG66:SNH66))</f>
        <v>0</v>
      </c>
      <c r="SNK66" s="960">
        <f>MIN(SNK60-SNK62,'Sources and Uses Budget'!SNK108-SUM('15 Year Pro Forma'!SNI66:SNJ66))</f>
        <v>0</v>
      </c>
      <c r="SNM66" s="960">
        <f>MIN(SNM60-SNM62,'Sources and Uses Budget'!SNM108-SUM('15 Year Pro Forma'!SNK66:SNL66))</f>
        <v>0</v>
      </c>
      <c r="SNO66" s="960">
        <f>MIN(SNO60-SNO62,'Sources and Uses Budget'!SNO108-SUM('15 Year Pro Forma'!SNM66:SNN66))</f>
        <v>0</v>
      </c>
      <c r="SNQ66" s="960">
        <f>MIN(SNQ60-SNQ62,'Sources and Uses Budget'!SNQ108-SUM('15 Year Pro Forma'!SNO66:SNP66))</f>
        <v>0</v>
      </c>
      <c r="SNS66" s="960">
        <f>MIN(SNS60-SNS62,'Sources and Uses Budget'!SNS108-SUM('15 Year Pro Forma'!SNQ66:SNR66))</f>
        <v>0</v>
      </c>
      <c r="SNU66" s="960">
        <f>MIN(SNU60-SNU62,'Sources and Uses Budget'!SNU108-SUM('15 Year Pro Forma'!SNS66:SNT66))</f>
        <v>0</v>
      </c>
      <c r="SNW66" s="960">
        <f>MIN(SNW60-SNW62,'Sources and Uses Budget'!SNW108-SUM('15 Year Pro Forma'!SNU66:SNV66))</f>
        <v>0</v>
      </c>
      <c r="SNY66" s="960">
        <f>MIN(SNY60-SNY62,'Sources and Uses Budget'!SNY108-SUM('15 Year Pro Forma'!SNW66:SNX66))</f>
        <v>0</v>
      </c>
      <c r="SOA66" s="960">
        <f>MIN(SOA60-SOA62,'Sources and Uses Budget'!SOA108-SUM('15 Year Pro Forma'!SNY66:SNZ66))</f>
        <v>0</v>
      </c>
      <c r="SOC66" s="960">
        <f>MIN(SOC60-SOC62,'Sources and Uses Budget'!SOC108-SUM('15 Year Pro Forma'!SOA66:SOB66))</f>
        <v>0</v>
      </c>
      <c r="SOE66" s="960">
        <f>MIN(SOE60-SOE62,'Sources and Uses Budget'!SOE108-SUM('15 Year Pro Forma'!SOC66:SOD66))</f>
        <v>0</v>
      </c>
      <c r="SOG66" s="960">
        <f>MIN(SOG60-SOG62,'Sources and Uses Budget'!SOG108-SUM('15 Year Pro Forma'!SOE66:SOF66))</f>
        <v>0</v>
      </c>
      <c r="SOI66" s="960">
        <f>MIN(SOI60-SOI62,'Sources and Uses Budget'!SOI108-SUM('15 Year Pro Forma'!SOG66:SOH66))</f>
        <v>0</v>
      </c>
      <c r="SOK66" s="960">
        <f>MIN(SOK60-SOK62,'Sources and Uses Budget'!SOK108-SUM('15 Year Pro Forma'!SOI66:SOJ66))</f>
        <v>0</v>
      </c>
      <c r="SOM66" s="960">
        <f>MIN(SOM60-SOM62,'Sources and Uses Budget'!SOM108-SUM('15 Year Pro Forma'!SOK66:SOL66))</f>
        <v>0</v>
      </c>
      <c r="SOO66" s="960">
        <f>MIN(SOO60-SOO62,'Sources and Uses Budget'!SOO108-SUM('15 Year Pro Forma'!SOM66:SON66))</f>
        <v>0</v>
      </c>
      <c r="SOQ66" s="960">
        <f>MIN(SOQ60-SOQ62,'Sources and Uses Budget'!SOQ108-SUM('15 Year Pro Forma'!SOO66:SOP66))</f>
        <v>0</v>
      </c>
      <c r="SOS66" s="960">
        <f>MIN(SOS60-SOS62,'Sources and Uses Budget'!SOS108-SUM('15 Year Pro Forma'!SOQ66:SOR66))</f>
        <v>0</v>
      </c>
      <c r="SOU66" s="960">
        <f>MIN(SOU60-SOU62,'Sources and Uses Budget'!SOU108-SUM('15 Year Pro Forma'!SOS66:SOT66))</f>
        <v>0</v>
      </c>
      <c r="SOW66" s="960">
        <f>MIN(SOW60-SOW62,'Sources and Uses Budget'!SOW108-SUM('15 Year Pro Forma'!SOU66:SOV66))</f>
        <v>0</v>
      </c>
      <c r="SOY66" s="960">
        <f>MIN(SOY60-SOY62,'Sources and Uses Budget'!SOY108-SUM('15 Year Pro Forma'!SOW66:SOX66))</f>
        <v>0</v>
      </c>
      <c r="SPA66" s="960">
        <f>MIN(SPA60-SPA62,'Sources and Uses Budget'!SPA108-SUM('15 Year Pro Forma'!SOY66:SOZ66))</f>
        <v>0</v>
      </c>
      <c r="SPC66" s="960">
        <f>MIN(SPC60-SPC62,'Sources and Uses Budget'!SPC108-SUM('15 Year Pro Forma'!SPA66:SPB66))</f>
        <v>0</v>
      </c>
      <c r="SPE66" s="960">
        <f>MIN(SPE60-SPE62,'Sources and Uses Budget'!SPE108-SUM('15 Year Pro Forma'!SPC66:SPD66))</f>
        <v>0</v>
      </c>
      <c r="SPG66" s="960">
        <f>MIN(SPG60-SPG62,'Sources and Uses Budget'!SPG108-SUM('15 Year Pro Forma'!SPE66:SPF66))</f>
        <v>0</v>
      </c>
      <c r="SPI66" s="960">
        <f>MIN(SPI60-SPI62,'Sources and Uses Budget'!SPI108-SUM('15 Year Pro Forma'!SPG66:SPH66))</f>
        <v>0</v>
      </c>
      <c r="SPK66" s="960">
        <f>MIN(SPK60-SPK62,'Sources and Uses Budget'!SPK108-SUM('15 Year Pro Forma'!SPI66:SPJ66))</f>
        <v>0</v>
      </c>
      <c r="SPM66" s="960">
        <f>MIN(SPM60-SPM62,'Sources and Uses Budget'!SPM108-SUM('15 Year Pro Forma'!SPK66:SPL66))</f>
        <v>0</v>
      </c>
      <c r="SPO66" s="960">
        <f>MIN(SPO60-SPO62,'Sources and Uses Budget'!SPO108-SUM('15 Year Pro Forma'!SPM66:SPN66))</f>
        <v>0</v>
      </c>
      <c r="SPQ66" s="960">
        <f>MIN(SPQ60-SPQ62,'Sources and Uses Budget'!SPQ108-SUM('15 Year Pro Forma'!SPO66:SPP66))</f>
        <v>0</v>
      </c>
      <c r="SPS66" s="960">
        <f>MIN(SPS60-SPS62,'Sources and Uses Budget'!SPS108-SUM('15 Year Pro Forma'!SPQ66:SPR66))</f>
        <v>0</v>
      </c>
      <c r="SPU66" s="960">
        <f>MIN(SPU60-SPU62,'Sources and Uses Budget'!SPU108-SUM('15 Year Pro Forma'!SPS66:SPT66))</f>
        <v>0</v>
      </c>
      <c r="SPW66" s="960">
        <f>MIN(SPW60-SPW62,'Sources and Uses Budget'!SPW108-SUM('15 Year Pro Forma'!SPU66:SPV66))</f>
        <v>0</v>
      </c>
      <c r="SPY66" s="960">
        <f>MIN(SPY60-SPY62,'Sources and Uses Budget'!SPY108-SUM('15 Year Pro Forma'!SPW66:SPX66))</f>
        <v>0</v>
      </c>
      <c r="SQA66" s="960">
        <f>MIN(SQA60-SQA62,'Sources and Uses Budget'!SQA108-SUM('15 Year Pro Forma'!SPY66:SPZ66))</f>
        <v>0</v>
      </c>
      <c r="SQC66" s="960">
        <f>MIN(SQC60-SQC62,'Sources and Uses Budget'!SQC108-SUM('15 Year Pro Forma'!SQA66:SQB66))</f>
        <v>0</v>
      </c>
      <c r="SQE66" s="960">
        <f>MIN(SQE60-SQE62,'Sources and Uses Budget'!SQE108-SUM('15 Year Pro Forma'!SQC66:SQD66))</f>
        <v>0</v>
      </c>
      <c r="SQG66" s="960">
        <f>MIN(SQG60-SQG62,'Sources and Uses Budget'!SQG108-SUM('15 Year Pro Forma'!SQE66:SQF66))</f>
        <v>0</v>
      </c>
      <c r="SQI66" s="960">
        <f>MIN(SQI60-SQI62,'Sources and Uses Budget'!SQI108-SUM('15 Year Pro Forma'!SQG66:SQH66))</f>
        <v>0</v>
      </c>
      <c r="SQK66" s="960">
        <f>MIN(SQK60-SQK62,'Sources and Uses Budget'!SQK108-SUM('15 Year Pro Forma'!SQI66:SQJ66))</f>
        <v>0</v>
      </c>
      <c r="SQM66" s="960">
        <f>MIN(SQM60-SQM62,'Sources and Uses Budget'!SQM108-SUM('15 Year Pro Forma'!SQK66:SQL66))</f>
        <v>0</v>
      </c>
      <c r="SQO66" s="960">
        <f>MIN(SQO60-SQO62,'Sources and Uses Budget'!SQO108-SUM('15 Year Pro Forma'!SQM66:SQN66))</f>
        <v>0</v>
      </c>
      <c r="SQQ66" s="960">
        <f>MIN(SQQ60-SQQ62,'Sources and Uses Budget'!SQQ108-SUM('15 Year Pro Forma'!SQO66:SQP66))</f>
        <v>0</v>
      </c>
      <c r="SQS66" s="960">
        <f>MIN(SQS60-SQS62,'Sources and Uses Budget'!SQS108-SUM('15 Year Pro Forma'!SQQ66:SQR66))</f>
        <v>0</v>
      </c>
      <c r="SQU66" s="960">
        <f>MIN(SQU60-SQU62,'Sources and Uses Budget'!SQU108-SUM('15 Year Pro Forma'!SQS66:SQT66))</f>
        <v>0</v>
      </c>
      <c r="SQW66" s="960">
        <f>MIN(SQW60-SQW62,'Sources and Uses Budget'!SQW108-SUM('15 Year Pro Forma'!SQU66:SQV66))</f>
        <v>0</v>
      </c>
      <c r="SQY66" s="960">
        <f>MIN(SQY60-SQY62,'Sources and Uses Budget'!SQY108-SUM('15 Year Pro Forma'!SQW66:SQX66))</f>
        <v>0</v>
      </c>
      <c r="SRA66" s="960">
        <f>MIN(SRA60-SRA62,'Sources and Uses Budget'!SRA108-SUM('15 Year Pro Forma'!SQY66:SQZ66))</f>
        <v>0</v>
      </c>
      <c r="SRC66" s="960">
        <f>MIN(SRC60-SRC62,'Sources and Uses Budget'!SRC108-SUM('15 Year Pro Forma'!SRA66:SRB66))</f>
        <v>0</v>
      </c>
      <c r="SRE66" s="960">
        <f>MIN(SRE60-SRE62,'Sources and Uses Budget'!SRE108-SUM('15 Year Pro Forma'!SRC66:SRD66))</f>
        <v>0</v>
      </c>
      <c r="SRG66" s="960">
        <f>MIN(SRG60-SRG62,'Sources and Uses Budget'!SRG108-SUM('15 Year Pro Forma'!SRE66:SRF66))</f>
        <v>0</v>
      </c>
      <c r="SRI66" s="960">
        <f>MIN(SRI60-SRI62,'Sources and Uses Budget'!SRI108-SUM('15 Year Pro Forma'!SRG66:SRH66))</f>
        <v>0</v>
      </c>
      <c r="SRK66" s="960">
        <f>MIN(SRK60-SRK62,'Sources and Uses Budget'!SRK108-SUM('15 Year Pro Forma'!SRI66:SRJ66))</f>
        <v>0</v>
      </c>
      <c r="SRM66" s="960">
        <f>MIN(SRM60-SRM62,'Sources and Uses Budget'!SRM108-SUM('15 Year Pro Forma'!SRK66:SRL66))</f>
        <v>0</v>
      </c>
      <c r="SRO66" s="960">
        <f>MIN(SRO60-SRO62,'Sources and Uses Budget'!SRO108-SUM('15 Year Pro Forma'!SRM66:SRN66))</f>
        <v>0</v>
      </c>
      <c r="SRQ66" s="960">
        <f>MIN(SRQ60-SRQ62,'Sources and Uses Budget'!SRQ108-SUM('15 Year Pro Forma'!SRO66:SRP66))</f>
        <v>0</v>
      </c>
      <c r="SRS66" s="960">
        <f>MIN(SRS60-SRS62,'Sources and Uses Budget'!SRS108-SUM('15 Year Pro Forma'!SRQ66:SRR66))</f>
        <v>0</v>
      </c>
      <c r="SRU66" s="960">
        <f>MIN(SRU60-SRU62,'Sources and Uses Budget'!SRU108-SUM('15 Year Pro Forma'!SRS66:SRT66))</f>
        <v>0</v>
      </c>
      <c r="SRW66" s="960">
        <f>MIN(SRW60-SRW62,'Sources and Uses Budget'!SRW108-SUM('15 Year Pro Forma'!SRU66:SRV66))</f>
        <v>0</v>
      </c>
      <c r="SRY66" s="960">
        <f>MIN(SRY60-SRY62,'Sources and Uses Budget'!SRY108-SUM('15 Year Pro Forma'!SRW66:SRX66))</f>
        <v>0</v>
      </c>
      <c r="SSA66" s="960">
        <f>MIN(SSA60-SSA62,'Sources and Uses Budget'!SSA108-SUM('15 Year Pro Forma'!SRY66:SRZ66))</f>
        <v>0</v>
      </c>
      <c r="SSC66" s="960">
        <f>MIN(SSC60-SSC62,'Sources and Uses Budget'!SSC108-SUM('15 Year Pro Forma'!SSA66:SSB66))</f>
        <v>0</v>
      </c>
      <c r="SSE66" s="960">
        <f>MIN(SSE60-SSE62,'Sources and Uses Budget'!SSE108-SUM('15 Year Pro Forma'!SSC66:SSD66))</f>
        <v>0</v>
      </c>
      <c r="SSG66" s="960">
        <f>MIN(SSG60-SSG62,'Sources and Uses Budget'!SSG108-SUM('15 Year Pro Forma'!SSE66:SSF66))</f>
        <v>0</v>
      </c>
      <c r="SSI66" s="960">
        <f>MIN(SSI60-SSI62,'Sources and Uses Budget'!SSI108-SUM('15 Year Pro Forma'!SSG66:SSH66))</f>
        <v>0</v>
      </c>
      <c r="SSK66" s="960">
        <f>MIN(SSK60-SSK62,'Sources and Uses Budget'!SSK108-SUM('15 Year Pro Forma'!SSI66:SSJ66))</f>
        <v>0</v>
      </c>
      <c r="SSM66" s="960">
        <f>MIN(SSM60-SSM62,'Sources and Uses Budget'!SSM108-SUM('15 Year Pro Forma'!SSK66:SSL66))</f>
        <v>0</v>
      </c>
      <c r="SSO66" s="960">
        <f>MIN(SSO60-SSO62,'Sources and Uses Budget'!SSO108-SUM('15 Year Pro Forma'!SSM66:SSN66))</f>
        <v>0</v>
      </c>
      <c r="SSQ66" s="960">
        <f>MIN(SSQ60-SSQ62,'Sources and Uses Budget'!SSQ108-SUM('15 Year Pro Forma'!SSO66:SSP66))</f>
        <v>0</v>
      </c>
      <c r="SSS66" s="960">
        <f>MIN(SSS60-SSS62,'Sources and Uses Budget'!SSS108-SUM('15 Year Pro Forma'!SSQ66:SSR66))</f>
        <v>0</v>
      </c>
      <c r="SSU66" s="960">
        <f>MIN(SSU60-SSU62,'Sources and Uses Budget'!SSU108-SUM('15 Year Pro Forma'!SSS66:SST66))</f>
        <v>0</v>
      </c>
      <c r="SSW66" s="960">
        <f>MIN(SSW60-SSW62,'Sources and Uses Budget'!SSW108-SUM('15 Year Pro Forma'!SSU66:SSV66))</f>
        <v>0</v>
      </c>
      <c r="SSY66" s="960">
        <f>MIN(SSY60-SSY62,'Sources and Uses Budget'!SSY108-SUM('15 Year Pro Forma'!SSW66:SSX66))</f>
        <v>0</v>
      </c>
      <c r="STA66" s="960">
        <f>MIN(STA60-STA62,'Sources and Uses Budget'!STA108-SUM('15 Year Pro Forma'!SSY66:SSZ66))</f>
        <v>0</v>
      </c>
      <c r="STC66" s="960">
        <f>MIN(STC60-STC62,'Sources and Uses Budget'!STC108-SUM('15 Year Pro Forma'!STA66:STB66))</f>
        <v>0</v>
      </c>
      <c r="STE66" s="960">
        <f>MIN(STE60-STE62,'Sources and Uses Budget'!STE108-SUM('15 Year Pro Forma'!STC66:STD66))</f>
        <v>0</v>
      </c>
      <c r="STG66" s="960">
        <f>MIN(STG60-STG62,'Sources and Uses Budget'!STG108-SUM('15 Year Pro Forma'!STE66:STF66))</f>
        <v>0</v>
      </c>
      <c r="STI66" s="960">
        <f>MIN(STI60-STI62,'Sources and Uses Budget'!STI108-SUM('15 Year Pro Forma'!STG66:STH66))</f>
        <v>0</v>
      </c>
      <c r="STK66" s="960">
        <f>MIN(STK60-STK62,'Sources and Uses Budget'!STK108-SUM('15 Year Pro Forma'!STI66:STJ66))</f>
        <v>0</v>
      </c>
      <c r="STM66" s="960">
        <f>MIN(STM60-STM62,'Sources and Uses Budget'!STM108-SUM('15 Year Pro Forma'!STK66:STL66))</f>
        <v>0</v>
      </c>
      <c r="STO66" s="960">
        <f>MIN(STO60-STO62,'Sources and Uses Budget'!STO108-SUM('15 Year Pro Forma'!STM66:STN66))</f>
        <v>0</v>
      </c>
      <c r="STQ66" s="960">
        <f>MIN(STQ60-STQ62,'Sources and Uses Budget'!STQ108-SUM('15 Year Pro Forma'!STO66:STP66))</f>
        <v>0</v>
      </c>
      <c r="STS66" s="960">
        <f>MIN(STS60-STS62,'Sources and Uses Budget'!STS108-SUM('15 Year Pro Forma'!STQ66:STR66))</f>
        <v>0</v>
      </c>
      <c r="STU66" s="960">
        <f>MIN(STU60-STU62,'Sources and Uses Budget'!STU108-SUM('15 Year Pro Forma'!STS66:STT66))</f>
        <v>0</v>
      </c>
      <c r="STW66" s="960">
        <f>MIN(STW60-STW62,'Sources and Uses Budget'!STW108-SUM('15 Year Pro Forma'!STU66:STV66))</f>
        <v>0</v>
      </c>
      <c r="STY66" s="960">
        <f>MIN(STY60-STY62,'Sources and Uses Budget'!STY108-SUM('15 Year Pro Forma'!STW66:STX66))</f>
        <v>0</v>
      </c>
      <c r="SUA66" s="960">
        <f>MIN(SUA60-SUA62,'Sources and Uses Budget'!SUA108-SUM('15 Year Pro Forma'!STY66:STZ66))</f>
        <v>0</v>
      </c>
      <c r="SUC66" s="960">
        <f>MIN(SUC60-SUC62,'Sources and Uses Budget'!SUC108-SUM('15 Year Pro Forma'!SUA66:SUB66))</f>
        <v>0</v>
      </c>
      <c r="SUE66" s="960">
        <f>MIN(SUE60-SUE62,'Sources and Uses Budget'!SUE108-SUM('15 Year Pro Forma'!SUC66:SUD66))</f>
        <v>0</v>
      </c>
      <c r="SUG66" s="960">
        <f>MIN(SUG60-SUG62,'Sources and Uses Budget'!SUG108-SUM('15 Year Pro Forma'!SUE66:SUF66))</f>
        <v>0</v>
      </c>
      <c r="SUI66" s="960">
        <f>MIN(SUI60-SUI62,'Sources and Uses Budget'!SUI108-SUM('15 Year Pro Forma'!SUG66:SUH66))</f>
        <v>0</v>
      </c>
      <c r="SUK66" s="960">
        <f>MIN(SUK60-SUK62,'Sources and Uses Budget'!SUK108-SUM('15 Year Pro Forma'!SUI66:SUJ66))</f>
        <v>0</v>
      </c>
      <c r="SUM66" s="960">
        <f>MIN(SUM60-SUM62,'Sources and Uses Budget'!SUM108-SUM('15 Year Pro Forma'!SUK66:SUL66))</f>
        <v>0</v>
      </c>
      <c r="SUO66" s="960">
        <f>MIN(SUO60-SUO62,'Sources and Uses Budget'!SUO108-SUM('15 Year Pro Forma'!SUM66:SUN66))</f>
        <v>0</v>
      </c>
      <c r="SUQ66" s="960">
        <f>MIN(SUQ60-SUQ62,'Sources and Uses Budget'!SUQ108-SUM('15 Year Pro Forma'!SUO66:SUP66))</f>
        <v>0</v>
      </c>
      <c r="SUS66" s="960">
        <f>MIN(SUS60-SUS62,'Sources and Uses Budget'!SUS108-SUM('15 Year Pro Forma'!SUQ66:SUR66))</f>
        <v>0</v>
      </c>
      <c r="SUU66" s="960">
        <f>MIN(SUU60-SUU62,'Sources and Uses Budget'!SUU108-SUM('15 Year Pro Forma'!SUS66:SUT66))</f>
        <v>0</v>
      </c>
      <c r="SUW66" s="960">
        <f>MIN(SUW60-SUW62,'Sources and Uses Budget'!SUW108-SUM('15 Year Pro Forma'!SUU66:SUV66))</f>
        <v>0</v>
      </c>
      <c r="SUY66" s="960">
        <f>MIN(SUY60-SUY62,'Sources and Uses Budget'!SUY108-SUM('15 Year Pro Forma'!SUW66:SUX66))</f>
        <v>0</v>
      </c>
      <c r="SVA66" s="960">
        <f>MIN(SVA60-SVA62,'Sources and Uses Budget'!SVA108-SUM('15 Year Pro Forma'!SUY66:SUZ66))</f>
        <v>0</v>
      </c>
      <c r="SVC66" s="960">
        <f>MIN(SVC60-SVC62,'Sources and Uses Budget'!SVC108-SUM('15 Year Pro Forma'!SVA66:SVB66))</f>
        <v>0</v>
      </c>
      <c r="SVE66" s="960">
        <f>MIN(SVE60-SVE62,'Sources and Uses Budget'!SVE108-SUM('15 Year Pro Forma'!SVC66:SVD66))</f>
        <v>0</v>
      </c>
      <c r="SVG66" s="960">
        <f>MIN(SVG60-SVG62,'Sources and Uses Budget'!SVG108-SUM('15 Year Pro Forma'!SVE66:SVF66))</f>
        <v>0</v>
      </c>
      <c r="SVI66" s="960">
        <f>MIN(SVI60-SVI62,'Sources and Uses Budget'!SVI108-SUM('15 Year Pro Forma'!SVG66:SVH66))</f>
        <v>0</v>
      </c>
      <c r="SVK66" s="960">
        <f>MIN(SVK60-SVK62,'Sources and Uses Budget'!SVK108-SUM('15 Year Pro Forma'!SVI66:SVJ66))</f>
        <v>0</v>
      </c>
      <c r="SVM66" s="960">
        <f>MIN(SVM60-SVM62,'Sources and Uses Budget'!SVM108-SUM('15 Year Pro Forma'!SVK66:SVL66))</f>
        <v>0</v>
      </c>
      <c r="SVO66" s="960">
        <f>MIN(SVO60-SVO62,'Sources and Uses Budget'!SVO108-SUM('15 Year Pro Forma'!SVM66:SVN66))</f>
        <v>0</v>
      </c>
      <c r="SVQ66" s="960">
        <f>MIN(SVQ60-SVQ62,'Sources and Uses Budget'!SVQ108-SUM('15 Year Pro Forma'!SVO66:SVP66))</f>
        <v>0</v>
      </c>
      <c r="SVS66" s="960">
        <f>MIN(SVS60-SVS62,'Sources and Uses Budget'!SVS108-SUM('15 Year Pro Forma'!SVQ66:SVR66))</f>
        <v>0</v>
      </c>
      <c r="SVU66" s="960">
        <f>MIN(SVU60-SVU62,'Sources and Uses Budget'!SVU108-SUM('15 Year Pro Forma'!SVS66:SVT66))</f>
        <v>0</v>
      </c>
      <c r="SVW66" s="960">
        <f>MIN(SVW60-SVW62,'Sources and Uses Budget'!SVW108-SUM('15 Year Pro Forma'!SVU66:SVV66))</f>
        <v>0</v>
      </c>
      <c r="SVY66" s="960">
        <f>MIN(SVY60-SVY62,'Sources and Uses Budget'!SVY108-SUM('15 Year Pro Forma'!SVW66:SVX66))</f>
        <v>0</v>
      </c>
      <c r="SWA66" s="960">
        <f>MIN(SWA60-SWA62,'Sources and Uses Budget'!SWA108-SUM('15 Year Pro Forma'!SVY66:SVZ66))</f>
        <v>0</v>
      </c>
      <c r="SWC66" s="960">
        <f>MIN(SWC60-SWC62,'Sources and Uses Budget'!SWC108-SUM('15 Year Pro Forma'!SWA66:SWB66))</f>
        <v>0</v>
      </c>
      <c r="SWE66" s="960">
        <f>MIN(SWE60-SWE62,'Sources and Uses Budget'!SWE108-SUM('15 Year Pro Forma'!SWC66:SWD66))</f>
        <v>0</v>
      </c>
      <c r="SWG66" s="960">
        <f>MIN(SWG60-SWG62,'Sources and Uses Budget'!SWG108-SUM('15 Year Pro Forma'!SWE66:SWF66))</f>
        <v>0</v>
      </c>
      <c r="SWI66" s="960">
        <f>MIN(SWI60-SWI62,'Sources and Uses Budget'!SWI108-SUM('15 Year Pro Forma'!SWG66:SWH66))</f>
        <v>0</v>
      </c>
      <c r="SWK66" s="960">
        <f>MIN(SWK60-SWK62,'Sources and Uses Budget'!SWK108-SUM('15 Year Pro Forma'!SWI66:SWJ66))</f>
        <v>0</v>
      </c>
      <c r="SWM66" s="960">
        <f>MIN(SWM60-SWM62,'Sources and Uses Budget'!SWM108-SUM('15 Year Pro Forma'!SWK66:SWL66))</f>
        <v>0</v>
      </c>
      <c r="SWO66" s="960">
        <f>MIN(SWO60-SWO62,'Sources and Uses Budget'!SWO108-SUM('15 Year Pro Forma'!SWM66:SWN66))</f>
        <v>0</v>
      </c>
      <c r="SWQ66" s="960">
        <f>MIN(SWQ60-SWQ62,'Sources and Uses Budget'!SWQ108-SUM('15 Year Pro Forma'!SWO66:SWP66))</f>
        <v>0</v>
      </c>
      <c r="SWS66" s="960">
        <f>MIN(SWS60-SWS62,'Sources and Uses Budget'!SWS108-SUM('15 Year Pro Forma'!SWQ66:SWR66))</f>
        <v>0</v>
      </c>
      <c r="SWU66" s="960">
        <f>MIN(SWU60-SWU62,'Sources and Uses Budget'!SWU108-SUM('15 Year Pro Forma'!SWS66:SWT66))</f>
        <v>0</v>
      </c>
      <c r="SWW66" s="960">
        <f>MIN(SWW60-SWW62,'Sources and Uses Budget'!SWW108-SUM('15 Year Pro Forma'!SWU66:SWV66))</f>
        <v>0</v>
      </c>
      <c r="SWY66" s="960">
        <f>MIN(SWY60-SWY62,'Sources and Uses Budget'!SWY108-SUM('15 Year Pro Forma'!SWW66:SWX66))</f>
        <v>0</v>
      </c>
      <c r="SXA66" s="960">
        <f>MIN(SXA60-SXA62,'Sources and Uses Budget'!SXA108-SUM('15 Year Pro Forma'!SWY66:SWZ66))</f>
        <v>0</v>
      </c>
      <c r="SXC66" s="960">
        <f>MIN(SXC60-SXC62,'Sources and Uses Budget'!SXC108-SUM('15 Year Pro Forma'!SXA66:SXB66))</f>
        <v>0</v>
      </c>
      <c r="SXE66" s="960">
        <f>MIN(SXE60-SXE62,'Sources and Uses Budget'!SXE108-SUM('15 Year Pro Forma'!SXC66:SXD66))</f>
        <v>0</v>
      </c>
      <c r="SXG66" s="960">
        <f>MIN(SXG60-SXG62,'Sources and Uses Budget'!SXG108-SUM('15 Year Pro Forma'!SXE66:SXF66))</f>
        <v>0</v>
      </c>
      <c r="SXI66" s="960">
        <f>MIN(SXI60-SXI62,'Sources and Uses Budget'!SXI108-SUM('15 Year Pro Forma'!SXG66:SXH66))</f>
        <v>0</v>
      </c>
      <c r="SXK66" s="960">
        <f>MIN(SXK60-SXK62,'Sources and Uses Budget'!SXK108-SUM('15 Year Pro Forma'!SXI66:SXJ66))</f>
        <v>0</v>
      </c>
      <c r="SXM66" s="960">
        <f>MIN(SXM60-SXM62,'Sources and Uses Budget'!SXM108-SUM('15 Year Pro Forma'!SXK66:SXL66))</f>
        <v>0</v>
      </c>
      <c r="SXO66" s="960">
        <f>MIN(SXO60-SXO62,'Sources and Uses Budget'!SXO108-SUM('15 Year Pro Forma'!SXM66:SXN66))</f>
        <v>0</v>
      </c>
      <c r="SXQ66" s="960">
        <f>MIN(SXQ60-SXQ62,'Sources and Uses Budget'!SXQ108-SUM('15 Year Pro Forma'!SXO66:SXP66))</f>
        <v>0</v>
      </c>
      <c r="SXS66" s="960">
        <f>MIN(SXS60-SXS62,'Sources and Uses Budget'!SXS108-SUM('15 Year Pro Forma'!SXQ66:SXR66))</f>
        <v>0</v>
      </c>
      <c r="SXU66" s="960">
        <f>MIN(SXU60-SXU62,'Sources and Uses Budget'!SXU108-SUM('15 Year Pro Forma'!SXS66:SXT66))</f>
        <v>0</v>
      </c>
      <c r="SXW66" s="960">
        <f>MIN(SXW60-SXW62,'Sources and Uses Budget'!SXW108-SUM('15 Year Pro Forma'!SXU66:SXV66))</f>
        <v>0</v>
      </c>
      <c r="SXY66" s="960">
        <f>MIN(SXY60-SXY62,'Sources and Uses Budget'!SXY108-SUM('15 Year Pro Forma'!SXW66:SXX66))</f>
        <v>0</v>
      </c>
      <c r="SYA66" s="960">
        <f>MIN(SYA60-SYA62,'Sources and Uses Budget'!SYA108-SUM('15 Year Pro Forma'!SXY66:SXZ66))</f>
        <v>0</v>
      </c>
      <c r="SYC66" s="960">
        <f>MIN(SYC60-SYC62,'Sources and Uses Budget'!SYC108-SUM('15 Year Pro Forma'!SYA66:SYB66))</f>
        <v>0</v>
      </c>
      <c r="SYE66" s="960">
        <f>MIN(SYE60-SYE62,'Sources and Uses Budget'!SYE108-SUM('15 Year Pro Forma'!SYC66:SYD66))</f>
        <v>0</v>
      </c>
      <c r="SYG66" s="960">
        <f>MIN(SYG60-SYG62,'Sources and Uses Budget'!SYG108-SUM('15 Year Pro Forma'!SYE66:SYF66))</f>
        <v>0</v>
      </c>
      <c r="SYI66" s="960">
        <f>MIN(SYI60-SYI62,'Sources and Uses Budget'!SYI108-SUM('15 Year Pro Forma'!SYG66:SYH66))</f>
        <v>0</v>
      </c>
      <c r="SYK66" s="960">
        <f>MIN(SYK60-SYK62,'Sources and Uses Budget'!SYK108-SUM('15 Year Pro Forma'!SYI66:SYJ66))</f>
        <v>0</v>
      </c>
      <c r="SYM66" s="960">
        <f>MIN(SYM60-SYM62,'Sources and Uses Budget'!SYM108-SUM('15 Year Pro Forma'!SYK66:SYL66))</f>
        <v>0</v>
      </c>
      <c r="SYO66" s="960">
        <f>MIN(SYO60-SYO62,'Sources and Uses Budget'!SYO108-SUM('15 Year Pro Forma'!SYM66:SYN66))</f>
        <v>0</v>
      </c>
      <c r="SYQ66" s="960">
        <f>MIN(SYQ60-SYQ62,'Sources and Uses Budget'!SYQ108-SUM('15 Year Pro Forma'!SYO66:SYP66))</f>
        <v>0</v>
      </c>
      <c r="SYS66" s="960">
        <f>MIN(SYS60-SYS62,'Sources and Uses Budget'!SYS108-SUM('15 Year Pro Forma'!SYQ66:SYR66))</f>
        <v>0</v>
      </c>
      <c r="SYU66" s="960">
        <f>MIN(SYU60-SYU62,'Sources and Uses Budget'!SYU108-SUM('15 Year Pro Forma'!SYS66:SYT66))</f>
        <v>0</v>
      </c>
      <c r="SYW66" s="960">
        <f>MIN(SYW60-SYW62,'Sources and Uses Budget'!SYW108-SUM('15 Year Pro Forma'!SYU66:SYV66))</f>
        <v>0</v>
      </c>
      <c r="SYY66" s="960">
        <f>MIN(SYY60-SYY62,'Sources and Uses Budget'!SYY108-SUM('15 Year Pro Forma'!SYW66:SYX66))</f>
        <v>0</v>
      </c>
      <c r="SZA66" s="960">
        <f>MIN(SZA60-SZA62,'Sources and Uses Budget'!SZA108-SUM('15 Year Pro Forma'!SYY66:SYZ66))</f>
        <v>0</v>
      </c>
      <c r="SZC66" s="960">
        <f>MIN(SZC60-SZC62,'Sources and Uses Budget'!SZC108-SUM('15 Year Pro Forma'!SZA66:SZB66))</f>
        <v>0</v>
      </c>
      <c r="SZE66" s="960">
        <f>MIN(SZE60-SZE62,'Sources and Uses Budget'!SZE108-SUM('15 Year Pro Forma'!SZC66:SZD66))</f>
        <v>0</v>
      </c>
      <c r="SZG66" s="960">
        <f>MIN(SZG60-SZG62,'Sources and Uses Budget'!SZG108-SUM('15 Year Pro Forma'!SZE66:SZF66))</f>
        <v>0</v>
      </c>
      <c r="SZI66" s="960">
        <f>MIN(SZI60-SZI62,'Sources and Uses Budget'!SZI108-SUM('15 Year Pro Forma'!SZG66:SZH66))</f>
        <v>0</v>
      </c>
      <c r="SZK66" s="960">
        <f>MIN(SZK60-SZK62,'Sources and Uses Budget'!SZK108-SUM('15 Year Pro Forma'!SZI66:SZJ66))</f>
        <v>0</v>
      </c>
      <c r="SZM66" s="960">
        <f>MIN(SZM60-SZM62,'Sources and Uses Budget'!SZM108-SUM('15 Year Pro Forma'!SZK66:SZL66))</f>
        <v>0</v>
      </c>
      <c r="SZO66" s="960">
        <f>MIN(SZO60-SZO62,'Sources and Uses Budget'!SZO108-SUM('15 Year Pro Forma'!SZM66:SZN66))</f>
        <v>0</v>
      </c>
      <c r="SZQ66" s="960">
        <f>MIN(SZQ60-SZQ62,'Sources and Uses Budget'!SZQ108-SUM('15 Year Pro Forma'!SZO66:SZP66))</f>
        <v>0</v>
      </c>
      <c r="SZS66" s="960">
        <f>MIN(SZS60-SZS62,'Sources and Uses Budget'!SZS108-SUM('15 Year Pro Forma'!SZQ66:SZR66))</f>
        <v>0</v>
      </c>
      <c r="SZU66" s="960">
        <f>MIN(SZU60-SZU62,'Sources and Uses Budget'!SZU108-SUM('15 Year Pro Forma'!SZS66:SZT66))</f>
        <v>0</v>
      </c>
      <c r="SZW66" s="960">
        <f>MIN(SZW60-SZW62,'Sources and Uses Budget'!SZW108-SUM('15 Year Pro Forma'!SZU66:SZV66))</f>
        <v>0</v>
      </c>
      <c r="SZY66" s="960">
        <f>MIN(SZY60-SZY62,'Sources and Uses Budget'!SZY108-SUM('15 Year Pro Forma'!SZW66:SZX66))</f>
        <v>0</v>
      </c>
      <c r="TAA66" s="960">
        <f>MIN(TAA60-TAA62,'Sources and Uses Budget'!TAA108-SUM('15 Year Pro Forma'!SZY66:SZZ66))</f>
        <v>0</v>
      </c>
      <c r="TAC66" s="960">
        <f>MIN(TAC60-TAC62,'Sources and Uses Budget'!TAC108-SUM('15 Year Pro Forma'!TAA66:TAB66))</f>
        <v>0</v>
      </c>
      <c r="TAE66" s="960">
        <f>MIN(TAE60-TAE62,'Sources and Uses Budget'!TAE108-SUM('15 Year Pro Forma'!TAC66:TAD66))</f>
        <v>0</v>
      </c>
      <c r="TAG66" s="960">
        <f>MIN(TAG60-TAG62,'Sources and Uses Budget'!TAG108-SUM('15 Year Pro Forma'!TAE66:TAF66))</f>
        <v>0</v>
      </c>
      <c r="TAI66" s="960">
        <f>MIN(TAI60-TAI62,'Sources and Uses Budget'!TAI108-SUM('15 Year Pro Forma'!TAG66:TAH66))</f>
        <v>0</v>
      </c>
      <c r="TAK66" s="960">
        <f>MIN(TAK60-TAK62,'Sources and Uses Budget'!TAK108-SUM('15 Year Pro Forma'!TAI66:TAJ66))</f>
        <v>0</v>
      </c>
      <c r="TAM66" s="960">
        <f>MIN(TAM60-TAM62,'Sources and Uses Budget'!TAM108-SUM('15 Year Pro Forma'!TAK66:TAL66))</f>
        <v>0</v>
      </c>
      <c r="TAO66" s="960">
        <f>MIN(TAO60-TAO62,'Sources and Uses Budget'!TAO108-SUM('15 Year Pro Forma'!TAM66:TAN66))</f>
        <v>0</v>
      </c>
      <c r="TAQ66" s="960">
        <f>MIN(TAQ60-TAQ62,'Sources and Uses Budget'!TAQ108-SUM('15 Year Pro Forma'!TAO66:TAP66))</f>
        <v>0</v>
      </c>
      <c r="TAS66" s="960">
        <f>MIN(TAS60-TAS62,'Sources and Uses Budget'!TAS108-SUM('15 Year Pro Forma'!TAQ66:TAR66))</f>
        <v>0</v>
      </c>
      <c r="TAU66" s="960">
        <f>MIN(TAU60-TAU62,'Sources and Uses Budget'!TAU108-SUM('15 Year Pro Forma'!TAS66:TAT66))</f>
        <v>0</v>
      </c>
      <c r="TAW66" s="960">
        <f>MIN(TAW60-TAW62,'Sources and Uses Budget'!TAW108-SUM('15 Year Pro Forma'!TAU66:TAV66))</f>
        <v>0</v>
      </c>
      <c r="TAY66" s="960">
        <f>MIN(TAY60-TAY62,'Sources and Uses Budget'!TAY108-SUM('15 Year Pro Forma'!TAW66:TAX66))</f>
        <v>0</v>
      </c>
      <c r="TBA66" s="960">
        <f>MIN(TBA60-TBA62,'Sources and Uses Budget'!TBA108-SUM('15 Year Pro Forma'!TAY66:TAZ66))</f>
        <v>0</v>
      </c>
      <c r="TBC66" s="960">
        <f>MIN(TBC60-TBC62,'Sources and Uses Budget'!TBC108-SUM('15 Year Pro Forma'!TBA66:TBB66))</f>
        <v>0</v>
      </c>
      <c r="TBE66" s="960">
        <f>MIN(TBE60-TBE62,'Sources and Uses Budget'!TBE108-SUM('15 Year Pro Forma'!TBC66:TBD66))</f>
        <v>0</v>
      </c>
      <c r="TBG66" s="960">
        <f>MIN(TBG60-TBG62,'Sources and Uses Budget'!TBG108-SUM('15 Year Pro Forma'!TBE66:TBF66))</f>
        <v>0</v>
      </c>
      <c r="TBI66" s="960">
        <f>MIN(TBI60-TBI62,'Sources and Uses Budget'!TBI108-SUM('15 Year Pro Forma'!TBG66:TBH66))</f>
        <v>0</v>
      </c>
      <c r="TBK66" s="960">
        <f>MIN(TBK60-TBK62,'Sources and Uses Budget'!TBK108-SUM('15 Year Pro Forma'!TBI66:TBJ66))</f>
        <v>0</v>
      </c>
      <c r="TBM66" s="960">
        <f>MIN(TBM60-TBM62,'Sources and Uses Budget'!TBM108-SUM('15 Year Pro Forma'!TBK66:TBL66))</f>
        <v>0</v>
      </c>
      <c r="TBO66" s="960">
        <f>MIN(TBO60-TBO62,'Sources and Uses Budget'!TBO108-SUM('15 Year Pro Forma'!TBM66:TBN66))</f>
        <v>0</v>
      </c>
      <c r="TBQ66" s="960">
        <f>MIN(TBQ60-TBQ62,'Sources and Uses Budget'!TBQ108-SUM('15 Year Pro Forma'!TBO66:TBP66))</f>
        <v>0</v>
      </c>
      <c r="TBS66" s="960">
        <f>MIN(TBS60-TBS62,'Sources and Uses Budget'!TBS108-SUM('15 Year Pro Forma'!TBQ66:TBR66))</f>
        <v>0</v>
      </c>
      <c r="TBU66" s="960">
        <f>MIN(TBU60-TBU62,'Sources and Uses Budget'!TBU108-SUM('15 Year Pro Forma'!TBS66:TBT66))</f>
        <v>0</v>
      </c>
      <c r="TBW66" s="960">
        <f>MIN(TBW60-TBW62,'Sources and Uses Budget'!TBW108-SUM('15 Year Pro Forma'!TBU66:TBV66))</f>
        <v>0</v>
      </c>
      <c r="TBY66" s="960">
        <f>MIN(TBY60-TBY62,'Sources and Uses Budget'!TBY108-SUM('15 Year Pro Forma'!TBW66:TBX66))</f>
        <v>0</v>
      </c>
      <c r="TCA66" s="960">
        <f>MIN(TCA60-TCA62,'Sources and Uses Budget'!TCA108-SUM('15 Year Pro Forma'!TBY66:TBZ66))</f>
        <v>0</v>
      </c>
      <c r="TCC66" s="960">
        <f>MIN(TCC60-TCC62,'Sources and Uses Budget'!TCC108-SUM('15 Year Pro Forma'!TCA66:TCB66))</f>
        <v>0</v>
      </c>
      <c r="TCE66" s="960">
        <f>MIN(TCE60-TCE62,'Sources and Uses Budget'!TCE108-SUM('15 Year Pro Forma'!TCC66:TCD66))</f>
        <v>0</v>
      </c>
      <c r="TCG66" s="960">
        <f>MIN(TCG60-TCG62,'Sources and Uses Budget'!TCG108-SUM('15 Year Pro Forma'!TCE66:TCF66))</f>
        <v>0</v>
      </c>
      <c r="TCI66" s="960">
        <f>MIN(TCI60-TCI62,'Sources and Uses Budget'!TCI108-SUM('15 Year Pro Forma'!TCG66:TCH66))</f>
        <v>0</v>
      </c>
      <c r="TCK66" s="960">
        <f>MIN(TCK60-TCK62,'Sources and Uses Budget'!TCK108-SUM('15 Year Pro Forma'!TCI66:TCJ66))</f>
        <v>0</v>
      </c>
      <c r="TCM66" s="960">
        <f>MIN(TCM60-TCM62,'Sources and Uses Budget'!TCM108-SUM('15 Year Pro Forma'!TCK66:TCL66))</f>
        <v>0</v>
      </c>
      <c r="TCO66" s="960">
        <f>MIN(TCO60-TCO62,'Sources and Uses Budget'!TCO108-SUM('15 Year Pro Forma'!TCM66:TCN66))</f>
        <v>0</v>
      </c>
      <c r="TCQ66" s="960">
        <f>MIN(TCQ60-TCQ62,'Sources and Uses Budget'!TCQ108-SUM('15 Year Pro Forma'!TCO66:TCP66))</f>
        <v>0</v>
      </c>
      <c r="TCS66" s="960">
        <f>MIN(TCS60-TCS62,'Sources and Uses Budget'!TCS108-SUM('15 Year Pro Forma'!TCQ66:TCR66))</f>
        <v>0</v>
      </c>
      <c r="TCU66" s="960">
        <f>MIN(TCU60-TCU62,'Sources and Uses Budget'!TCU108-SUM('15 Year Pro Forma'!TCS66:TCT66))</f>
        <v>0</v>
      </c>
      <c r="TCW66" s="960">
        <f>MIN(TCW60-TCW62,'Sources and Uses Budget'!TCW108-SUM('15 Year Pro Forma'!TCU66:TCV66))</f>
        <v>0</v>
      </c>
      <c r="TCY66" s="960">
        <f>MIN(TCY60-TCY62,'Sources and Uses Budget'!TCY108-SUM('15 Year Pro Forma'!TCW66:TCX66))</f>
        <v>0</v>
      </c>
      <c r="TDA66" s="960">
        <f>MIN(TDA60-TDA62,'Sources and Uses Budget'!TDA108-SUM('15 Year Pro Forma'!TCY66:TCZ66))</f>
        <v>0</v>
      </c>
      <c r="TDC66" s="960">
        <f>MIN(TDC60-TDC62,'Sources and Uses Budget'!TDC108-SUM('15 Year Pro Forma'!TDA66:TDB66))</f>
        <v>0</v>
      </c>
      <c r="TDE66" s="960">
        <f>MIN(TDE60-TDE62,'Sources and Uses Budget'!TDE108-SUM('15 Year Pro Forma'!TDC66:TDD66))</f>
        <v>0</v>
      </c>
      <c r="TDG66" s="960">
        <f>MIN(TDG60-TDG62,'Sources and Uses Budget'!TDG108-SUM('15 Year Pro Forma'!TDE66:TDF66))</f>
        <v>0</v>
      </c>
      <c r="TDI66" s="960">
        <f>MIN(TDI60-TDI62,'Sources and Uses Budget'!TDI108-SUM('15 Year Pro Forma'!TDG66:TDH66))</f>
        <v>0</v>
      </c>
      <c r="TDK66" s="960">
        <f>MIN(TDK60-TDK62,'Sources and Uses Budget'!TDK108-SUM('15 Year Pro Forma'!TDI66:TDJ66))</f>
        <v>0</v>
      </c>
      <c r="TDM66" s="960">
        <f>MIN(TDM60-TDM62,'Sources and Uses Budget'!TDM108-SUM('15 Year Pro Forma'!TDK66:TDL66))</f>
        <v>0</v>
      </c>
      <c r="TDO66" s="960">
        <f>MIN(TDO60-TDO62,'Sources and Uses Budget'!TDO108-SUM('15 Year Pro Forma'!TDM66:TDN66))</f>
        <v>0</v>
      </c>
      <c r="TDQ66" s="960">
        <f>MIN(TDQ60-TDQ62,'Sources and Uses Budget'!TDQ108-SUM('15 Year Pro Forma'!TDO66:TDP66))</f>
        <v>0</v>
      </c>
      <c r="TDS66" s="960">
        <f>MIN(TDS60-TDS62,'Sources and Uses Budget'!TDS108-SUM('15 Year Pro Forma'!TDQ66:TDR66))</f>
        <v>0</v>
      </c>
      <c r="TDU66" s="960">
        <f>MIN(TDU60-TDU62,'Sources and Uses Budget'!TDU108-SUM('15 Year Pro Forma'!TDS66:TDT66))</f>
        <v>0</v>
      </c>
      <c r="TDW66" s="960">
        <f>MIN(TDW60-TDW62,'Sources and Uses Budget'!TDW108-SUM('15 Year Pro Forma'!TDU66:TDV66))</f>
        <v>0</v>
      </c>
      <c r="TDY66" s="960">
        <f>MIN(TDY60-TDY62,'Sources and Uses Budget'!TDY108-SUM('15 Year Pro Forma'!TDW66:TDX66))</f>
        <v>0</v>
      </c>
      <c r="TEA66" s="960">
        <f>MIN(TEA60-TEA62,'Sources and Uses Budget'!TEA108-SUM('15 Year Pro Forma'!TDY66:TDZ66))</f>
        <v>0</v>
      </c>
      <c r="TEC66" s="960">
        <f>MIN(TEC60-TEC62,'Sources and Uses Budget'!TEC108-SUM('15 Year Pro Forma'!TEA66:TEB66))</f>
        <v>0</v>
      </c>
      <c r="TEE66" s="960">
        <f>MIN(TEE60-TEE62,'Sources and Uses Budget'!TEE108-SUM('15 Year Pro Forma'!TEC66:TED66))</f>
        <v>0</v>
      </c>
      <c r="TEG66" s="960">
        <f>MIN(TEG60-TEG62,'Sources and Uses Budget'!TEG108-SUM('15 Year Pro Forma'!TEE66:TEF66))</f>
        <v>0</v>
      </c>
      <c r="TEI66" s="960">
        <f>MIN(TEI60-TEI62,'Sources and Uses Budget'!TEI108-SUM('15 Year Pro Forma'!TEG66:TEH66))</f>
        <v>0</v>
      </c>
      <c r="TEK66" s="960">
        <f>MIN(TEK60-TEK62,'Sources and Uses Budget'!TEK108-SUM('15 Year Pro Forma'!TEI66:TEJ66))</f>
        <v>0</v>
      </c>
      <c r="TEM66" s="960">
        <f>MIN(TEM60-TEM62,'Sources and Uses Budget'!TEM108-SUM('15 Year Pro Forma'!TEK66:TEL66))</f>
        <v>0</v>
      </c>
      <c r="TEO66" s="960">
        <f>MIN(TEO60-TEO62,'Sources and Uses Budget'!TEO108-SUM('15 Year Pro Forma'!TEM66:TEN66))</f>
        <v>0</v>
      </c>
      <c r="TEQ66" s="960">
        <f>MIN(TEQ60-TEQ62,'Sources and Uses Budget'!TEQ108-SUM('15 Year Pro Forma'!TEO66:TEP66))</f>
        <v>0</v>
      </c>
      <c r="TES66" s="960">
        <f>MIN(TES60-TES62,'Sources and Uses Budget'!TES108-SUM('15 Year Pro Forma'!TEQ66:TER66))</f>
        <v>0</v>
      </c>
      <c r="TEU66" s="960">
        <f>MIN(TEU60-TEU62,'Sources and Uses Budget'!TEU108-SUM('15 Year Pro Forma'!TES66:TET66))</f>
        <v>0</v>
      </c>
      <c r="TEW66" s="960">
        <f>MIN(TEW60-TEW62,'Sources and Uses Budget'!TEW108-SUM('15 Year Pro Forma'!TEU66:TEV66))</f>
        <v>0</v>
      </c>
      <c r="TEY66" s="960">
        <f>MIN(TEY60-TEY62,'Sources and Uses Budget'!TEY108-SUM('15 Year Pro Forma'!TEW66:TEX66))</f>
        <v>0</v>
      </c>
      <c r="TFA66" s="960">
        <f>MIN(TFA60-TFA62,'Sources and Uses Budget'!TFA108-SUM('15 Year Pro Forma'!TEY66:TEZ66))</f>
        <v>0</v>
      </c>
      <c r="TFC66" s="960">
        <f>MIN(TFC60-TFC62,'Sources and Uses Budget'!TFC108-SUM('15 Year Pro Forma'!TFA66:TFB66))</f>
        <v>0</v>
      </c>
      <c r="TFE66" s="960">
        <f>MIN(TFE60-TFE62,'Sources and Uses Budget'!TFE108-SUM('15 Year Pro Forma'!TFC66:TFD66))</f>
        <v>0</v>
      </c>
      <c r="TFG66" s="960">
        <f>MIN(TFG60-TFG62,'Sources and Uses Budget'!TFG108-SUM('15 Year Pro Forma'!TFE66:TFF66))</f>
        <v>0</v>
      </c>
      <c r="TFI66" s="960">
        <f>MIN(TFI60-TFI62,'Sources and Uses Budget'!TFI108-SUM('15 Year Pro Forma'!TFG66:TFH66))</f>
        <v>0</v>
      </c>
      <c r="TFK66" s="960">
        <f>MIN(TFK60-TFK62,'Sources and Uses Budget'!TFK108-SUM('15 Year Pro Forma'!TFI66:TFJ66))</f>
        <v>0</v>
      </c>
      <c r="TFM66" s="960">
        <f>MIN(TFM60-TFM62,'Sources and Uses Budget'!TFM108-SUM('15 Year Pro Forma'!TFK66:TFL66))</f>
        <v>0</v>
      </c>
      <c r="TFO66" s="960">
        <f>MIN(TFO60-TFO62,'Sources and Uses Budget'!TFO108-SUM('15 Year Pro Forma'!TFM66:TFN66))</f>
        <v>0</v>
      </c>
      <c r="TFQ66" s="960">
        <f>MIN(TFQ60-TFQ62,'Sources and Uses Budget'!TFQ108-SUM('15 Year Pro Forma'!TFO66:TFP66))</f>
        <v>0</v>
      </c>
      <c r="TFS66" s="960">
        <f>MIN(TFS60-TFS62,'Sources and Uses Budget'!TFS108-SUM('15 Year Pro Forma'!TFQ66:TFR66))</f>
        <v>0</v>
      </c>
      <c r="TFU66" s="960">
        <f>MIN(TFU60-TFU62,'Sources and Uses Budget'!TFU108-SUM('15 Year Pro Forma'!TFS66:TFT66))</f>
        <v>0</v>
      </c>
      <c r="TFW66" s="960">
        <f>MIN(TFW60-TFW62,'Sources and Uses Budget'!TFW108-SUM('15 Year Pro Forma'!TFU66:TFV66))</f>
        <v>0</v>
      </c>
      <c r="TFY66" s="960">
        <f>MIN(TFY60-TFY62,'Sources and Uses Budget'!TFY108-SUM('15 Year Pro Forma'!TFW66:TFX66))</f>
        <v>0</v>
      </c>
      <c r="TGA66" s="960">
        <f>MIN(TGA60-TGA62,'Sources and Uses Budget'!TGA108-SUM('15 Year Pro Forma'!TFY66:TFZ66))</f>
        <v>0</v>
      </c>
      <c r="TGC66" s="960">
        <f>MIN(TGC60-TGC62,'Sources and Uses Budget'!TGC108-SUM('15 Year Pro Forma'!TGA66:TGB66))</f>
        <v>0</v>
      </c>
      <c r="TGE66" s="960">
        <f>MIN(TGE60-TGE62,'Sources and Uses Budget'!TGE108-SUM('15 Year Pro Forma'!TGC66:TGD66))</f>
        <v>0</v>
      </c>
      <c r="TGG66" s="960">
        <f>MIN(TGG60-TGG62,'Sources and Uses Budget'!TGG108-SUM('15 Year Pro Forma'!TGE66:TGF66))</f>
        <v>0</v>
      </c>
      <c r="TGI66" s="960">
        <f>MIN(TGI60-TGI62,'Sources and Uses Budget'!TGI108-SUM('15 Year Pro Forma'!TGG66:TGH66))</f>
        <v>0</v>
      </c>
      <c r="TGK66" s="960">
        <f>MIN(TGK60-TGK62,'Sources and Uses Budget'!TGK108-SUM('15 Year Pro Forma'!TGI66:TGJ66))</f>
        <v>0</v>
      </c>
      <c r="TGM66" s="960">
        <f>MIN(TGM60-TGM62,'Sources and Uses Budget'!TGM108-SUM('15 Year Pro Forma'!TGK66:TGL66))</f>
        <v>0</v>
      </c>
      <c r="TGO66" s="960">
        <f>MIN(TGO60-TGO62,'Sources and Uses Budget'!TGO108-SUM('15 Year Pro Forma'!TGM66:TGN66))</f>
        <v>0</v>
      </c>
      <c r="TGQ66" s="960">
        <f>MIN(TGQ60-TGQ62,'Sources and Uses Budget'!TGQ108-SUM('15 Year Pro Forma'!TGO66:TGP66))</f>
        <v>0</v>
      </c>
      <c r="TGS66" s="960">
        <f>MIN(TGS60-TGS62,'Sources and Uses Budget'!TGS108-SUM('15 Year Pro Forma'!TGQ66:TGR66))</f>
        <v>0</v>
      </c>
      <c r="TGU66" s="960">
        <f>MIN(TGU60-TGU62,'Sources and Uses Budget'!TGU108-SUM('15 Year Pro Forma'!TGS66:TGT66))</f>
        <v>0</v>
      </c>
      <c r="TGW66" s="960">
        <f>MIN(TGW60-TGW62,'Sources and Uses Budget'!TGW108-SUM('15 Year Pro Forma'!TGU66:TGV66))</f>
        <v>0</v>
      </c>
      <c r="TGY66" s="960">
        <f>MIN(TGY60-TGY62,'Sources and Uses Budget'!TGY108-SUM('15 Year Pro Forma'!TGW66:TGX66))</f>
        <v>0</v>
      </c>
      <c r="THA66" s="960">
        <f>MIN(THA60-THA62,'Sources and Uses Budget'!THA108-SUM('15 Year Pro Forma'!TGY66:TGZ66))</f>
        <v>0</v>
      </c>
      <c r="THC66" s="960">
        <f>MIN(THC60-THC62,'Sources and Uses Budget'!THC108-SUM('15 Year Pro Forma'!THA66:THB66))</f>
        <v>0</v>
      </c>
      <c r="THE66" s="960">
        <f>MIN(THE60-THE62,'Sources and Uses Budget'!THE108-SUM('15 Year Pro Forma'!THC66:THD66))</f>
        <v>0</v>
      </c>
      <c r="THG66" s="960">
        <f>MIN(THG60-THG62,'Sources and Uses Budget'!THG108-SUM('15 Year Pro Forma'!THE66:THF66))</f>
        <v>0</v>
      </c>
      <c r="THI66" s="960">
        <f>MIN(THI60-THI62,'Sources and Uses Budget'!THI108-SUM('15 Year Pro Forma'!THG66:THH66))</f>
        <v>0</v>
      </c>
      <c r="THK66" s="960">
        <f>MIN(THK60-THK62,'Sources and Uses Budget'!THK108-SUM('15 Year Pro Forma'!THI66:THJ66))</f>
        <v>0</v>
      </c>
      <c r="THM66" s="960">
        <f>MIN(THM60-THM62,'Sources and Uses Budget'!THM108-SUM('15 Year Pro Forma'!THK66:THL66))</f>
        <v>0</v>
      </c>
      <c r="THO66" s="960">
        <f>MIN(THO60-THO62,'Sources and Uses Budget'!THO108-SUM('15 Year Pro Forma'!THM66:THN66))</f>
        <v>0</v>
      </c>
      <c r="THQ66" s="960">
        <f>MIN(THQ60-THQ62,'Sources and Uses Budget'!THQ108-SUM('15 Year Pro Forma'!THO66:THP66))</f>
        <v>0</v>
      </c>
      <c r="THS66" s="960">
        <f>MIN(THS60-THS62,'Sources and Uses Budget'!THS108-SUM('15 Year Pro Forma'!THQ66:THR66))</f>
        <v>0</v>
      </c>
      <c r="THU66" s="960">
        <f>MIN(THU60-THU62,'Sources and Uses Budget'!THU108-SUM('15 Year Pro Forma'!THS66:THT66))</f>
        <v>0</v>
      </c>
      <c r="THW66" s="960">
        <f>MIN(THW60-THW62,'Sources and Uses Budget'!THW108-SUM('15 Year Pro Forma'!THU66:THV66))</f>
        <v>0</v>
      </c>
      <c r="THY66" s="960">
        <f>MIN(THY60-THY62,'Sources and Uses Budget'!THY108-SUM('15 Year Pro Forma'!THW66:THX66))</f>
        <v>0</v>
      </c>
      <c r="TIA66" s="960">
        <f>MIN(TIA60-TIA62,'Sources and Uses Budget'!TIA108-SUM('15 Year Pro Forma'!THY66:THZ66))</f>
        <v>0</v>
      </c>
      <c r="TIC66" s="960">
        <f>MIN(TIC60-TIC62,'Sources and Uses Budget'!TIC108-SUM('15 Year Pro Forma'!TIA66:TIB66))</f>
        <v>0</v>
      </c>
      <c r="TIE66" s="960">
        <f>MIN(TIE60-TIE62,'Sources and Uses Budget'!TIE108-SUM('15 Year Pro Forma'!TIC66:TID66))</f>
        <v>0</v>
      </c>
      <c r="TIG66" s="960">
        <f>MIN(TIG60-TIG62,'Sources and Uses Budget'!TIG108-SUM('15 Year Pro Forma'!TIE66:TIF66))</f>
        <v>0</v>
      </c>
      <c r="TII66" s="960">
        <f>MIN(TII60-TII62,'Sources and Uses Budget'!TII108-SUM('15 Year Pro Forma'!TIG66:TIH66))</f>
        <v>0</v>
      </c>
      <c r="TIK66" s="960">
        <f>MIN(TIK60-TIK62,'Sources and Uses Budget'!TIK108-SUM('15 Year Pro Forma'!TII66:TIJ66))</f>
        <v>0</v>
      </c>
      <c r="TIM66" s="960">
        <f>MIN(TIM60-TIM62,'Sources and Uses Budget'!TIM108-SUM('15 Year Pro Forma'!TIK66:TIL66))</f>
        <v>0</v>
      </c>
      <c r="TIO66" s="960">
        <f>MIN(TIO60-TIO62,'Sources and Uses Budget'!TIO108-SUM('15 Year Pro Forma'!TIM66:TIN66))</f>
        <v>0</v>
      </c>
      <c r="TIQ66" s="960">
        <f>MIN(TIQ60-TIQ62,'Sources and Uses Budget'!TIQ108-SUM('15 Year Pro Forma'!TIO66:TIP66))</f>
        <v>0</v>
      </c>
      <c r="TIS66" s="960">
        <f>MIN(TIS60-TIS62,'Sources and Uses Budget'!TIS108-SUM('15 Year Pro Forma'!TIQ66:TIR66))</f>
        <v>0</v>
      </c>
      <c r="TIU66" s="960">
        <f>MIN(TIU60-TIU62,'Sources and Uses Budget'!TIU108-SUM('15 Year Pro Forma'!TIS66:TIT66))</f>
        <v>0</v>
      </c>
      <c r="TIW66" s="960">
        <f>MIN(TIW60-TIW62,'Sources and Uses Budget'!TIW108-SUM('15 Year Pro Forma'!TIU66:TIV66))</f>
        <v>0</v>
      </c>
      <c r="TIY66" s="960">
        <f>MIN(TIY60-TIY62,'Sources and Uses Budget'!TIY108-SUM('15 Year Pro Forma'!TIW66:TIX66))</f>
        <v>0</v>
      </c>
      <c r="TJA66" s="960">
        <f>MIN(TJA60-TJA62,'Sources and Uses Budget'!TJA108-SUM('15 Year Pro Forma'!TIY66:TIZ66))</f>
        <v>0</v>
      </c>
      <c r="TJC66" s="960">
        <f>MIN(TJC60-TJC62,'Sources and Uses Budget'!TJC108-SUM('15 Year Pro Forma'!TJA66:TJB66))</f>
        <v>0</v>
      </c>
      <c r="TJE66" s="960">
        <f>MIN(TJE60-TJE62,'Sources and Uses Budget'!TJE108-SUM('15 Year Pro Forma'!TJC66:TJD66))</f>
        <v>0</v>
      </c>
      <c r="TJG66" s="960">
        <f>MIN(TJG60-TJG62,'Sources and Uses Budget'!TJG108-SUM('15 Year Pro Forma'!TJE66:TJF66))</f>
        <v>0</v>
      </c>
      <c r="TJI66" s="960">
        <f>MIN(TJI60-TJI62,'Sources and Uses Budget'!TJI108-SUM('15 Year Pro Forma'!TJG66:TJH66))</f>
        <v>0</v>
      </c>
      <c r="TJK66" s="960">
        <f>MIN(TJK60-TJK62,'Sources and Uses Budget'!TJK108-SUM('15 Year Pro Forma'!TJI66:TJJ66))</f>
        <v>0</v>
      </c>
      <c r="TJM66" s="960">
        <f>MIN(TJM60-TJM62,'Sources and Uses Budget'!TJM108-SUM('15 Year Pro Forma'!TJK66:TJL66))</f>
        <v>0</v>
      </c>
      <c r="TJO66" s="960">
        <f>MIN(TJO60-TJO62,'Sources and Uses Budget'!TJO108-SUM('15 Year Pro Forma'!TJM66:TJN66))</f>
        <v>0</v>
      </c>
      <c r="TJQ66" s="960">
        <f>MIN(TJQ60-TJQ62,'Sources and Uses Budget'!TJQ108-SUM('15 Year Pro Forma'!TJO66:TJP66))</f>
        <v>0</v>
      </c>
      <c r="TJS66" s="960">
        <f>MIN(TJS60-TJS62,'Sources and Uses Budget'!TJS108-SUM('15 Year Pro Forma'!TJQ66:TJR66))</f>
        <v>0</v>
      </c>
      <c r="TJU66" s="960">
        <f>MIN(TJU60-TJU62,'Sources and Uses Budget'!TJU108-SUM('15 Year Pro Forma'!TJS66:TJT66))</f>
        <v>0</v>
      </c>
      <c r="TJW66" s="960">
        <f>MIN(TJW60-TJW62,'Sources and Uses Budget'!TJW108-SUM('15 Year Pro Forma'!TJU66:TJV66))</f>
        <v>0</v>
      </c>
      <c r="TJY66" s="960">
        <f>MIN(TJY60-TJY62,'Sources and Uses Budget'!TJY108-SUM('15 Year Pro Forma'!TJW66:TJX66))</f>
        <v>0</v>
      </c>
      <c r="TKA66" s="960">
        <f>MIN(TKA60-TKA62,'Sources and Uses Budget'!TKA108-SUM('15 Year Pro Forma'!TJY66:TJZ66))</f>
        <v>0</v>
      </c>
      <c r="TKC66" s="960">
        <f>MIN(TKC60-TKC62,'Sources and Uses Budget'!TKC108-SUM('15 Year Pro Forma'!TKA66:TKB66))</f>
        <v>0</v>
      </c>
      <c r="TKE66" s="960">
        <f>MIN(TKE60-TKE62,'Sources and Uses Budget'!TKE108-SUM('15 Year Pro Forma'!TKC66:TKD66))</f>
        <v>0</v>
      </c>
      <c r="TKG66" s="960">
        <f>MIN(TKG60-TKG62,'Sources and Uses Budget'!TKG108-SUM('15 Year Pro Forma'!TKE66:TKF66))</f>
        <v>0</v>
      </c>
      <c r="TKI66" s="960">
        <f>MIN(TKI60-TKI62,'Sources and Uses Budget'!TKI108-SUM('15 Year Pro Forma'!TKG66:TKH66))</f>
        <v>0</v>
      </c>
      <c r="TKK66" s="960">
        <f>MIN(TKK60-TKK62,'Sources and Uses Budget'!TKK108-SUM('15 Year Pro Forma'!TKI66:TKJ66))</f>
        <v>0</v>
      </c>
      <c r="TKM66" s="960">
        <f>MIN(TKM60-TKM62,'Sources and Uses Budget'!TKM108-SUM('15 Year Pro Forma'!TKK66:TKL66))</f>
        <v>0</v>
      </c>
      <c r="TKO66" s="960">
        <f>MIN(TKO60-TKO62,'Sources and Uses Budget'!TKO108-SUM('15 Year Pro Forma'!TKM66:TKN66))</f>
        <v>0</v>
      </c>
      <c r="TKQ66" s="960">
        <f>MIN(TKQ60-TKQ62,'Sources and Uses Budget'!TKQ108-SUM('15 Year Pro Forma'!TKO66:TKP66))</f>
        <v>0</v>
      </c>
      <c r="TKS66" s="960">
        <f>MIN(TKS60-TKS62,'Sources and Uses Budget'!TKS108-SUM('15 Year Pro Forma'!TKQ66:TKR66))</f>
        <v>0</v>
      </c>
      <c r="TKU66" s="960">
        <f>MIN(TKU60-TKU62,'Sources and Uses Budget'!TKU108-SUM('15 Year Pro Forma'!TKS66:TKT66))</f>
        <v>0</v>
      </c>
      <c r="TKW66" s="960">
        <f>MIN(TKW60-TKW62,'Sources and Uses Budget'!TKW108-SUM('15 Year Pro Forma'!TKU66:TKV66))</f>
        <v>0</v>
      </c>
      <c r="TKY66" s="960">
        <f>MIN(TKY60-TKY62,'Sources and Uses Budget'!TKY108-SUM('15 Year Pro Forma'!TKW66:TKX66))</f>
        <v>0</v>
      </c>
      <c r="TLA66" s="960">
        <f>MIN(TLA60-TLA62,'Sources and Uses Budget'!TLA108-SUM('15 Year Pro Forma'!TKY66:TKZ66))</f>
        <v>0</v>
      </c>
      <c r="TLC66" s="960">
        <f>MIN(TLC60-TLC62,'Sources and Uses Budget'!TLC108-SUM('15 Year Pro Forma'!TLA66:TLB66))</f>
        <v>0</v>
      </c>
      <c r="TLE66" s="960">
        <f>MIN(TLE60-TLE62,'Sources and Uses Budget'!TLE108-SUM('15 Year Pro Forma'!TLC66:TLD66))</f>
        <v>0</v>
      </c>
      <c r="TLG66" s="960">
        <f>MIN(TLG60-TLG62,'Sources and Uses Budget'!TLG108-SUM('15 Year Pro Forma'!TLE66:TLF66))</f>
        <v>0</v>
      </c>
      <c r="TLI66" s="960">
        <f>MIN(TLI60-TLI62,'Sources and Uses Budget'!TLI108-SUM('15 Year Pro Forma'!TLG66:TLH66))</f>
        <v>0</v>
      </c>
      <c r="TLK66" s="960">
        <f>MIN(TLK60-TLK62,'Sources and Uses Budget'!TLK108-SUM('15 Year Pro Forma'!TLI66:TLJ66))</f>
        <v>0</v>
      </c>
      <c r="TLM66" s="960">
        <f>MIN(TLM60-TLM62,'Sources and Uses Budget'!TLM108-SUM('15 Year Pro Forma'!TLK66:TLL66))</f>
        <v>0</v>
      </c>
      <c r="TLO66" s="960">
        <f>MIN(TLO60-TLO62,'Sources and Uses Budget'!TLO108-SUM('15 Year Pro Forma'!TLM66:TLN66))</f>
        <v>0</v>
      </c>
      <c r="TLQ66" s="960">
        <f>MIN(TLQ60-TLQ62,'Sources and Uses Budget'!TLQ108-SUM('15 Year Pro Forma'!TLO66:TLP66))</f>
        <v>0</v>
      </c>
      <c r="TLS66" s="960">
        <f>MIN(TLS60-TLS62,'Sources and Uses Budget'!TLS108-SUM('15 Year Pro Forma'!TLQ66:TLR66))</f>
        <v>0</v>
      </c>
      <c r="TLU66" s="960">
        <f>MIN(TLU60-TLU62,'Sources and Uses Budget'!TLU108-SUM('15 Year Pro Forma'!TLS66:TLT66))</f>
        <v>0</v>
      </c>
      <c r="TLW66" s="960">
        <f>MIN(TLW60-TLW62,'Sources and Uses Budget'!TLW108-SUM('15 Year Pro Forma'!TLU66:TLV66))</f>
        <v>0</v>
      </c>
      <c r="TLY66" s="960">
        <f>MIN(TLY60-TLY62,'Sources and Uses Budget'!TLY108-SUM('15 Year Pro Forma'!TLW66:TLX66))</f>
        <v>0</v>
      </c>
      <c r="TMA66" s="960">
        <f>MIN(TMA60-TMA62,'Sources and Uses Budget'!TMA108-SUM('15 Year Pro Forma'!TLY66:TLZ66))</f>
        <v>0</v>
      </c>
      <c r="TMC66" s="960">
        <f>MIN(TMC60-TMC62,'Sources and Uses Budget'!TMC108-SUM('15 Year Pro Forma'!TMA66:TMB66))</f>
        <v>0</v>
      </c>
      <c r="TME66" s="960">
        <f>MIN(TME60-TME62,'Sources and Uses Budget'!TME108-SUM('15 Year Pro Forma'!TMC66:TMD66))</f>
        <v>0</v>
      </c>
      <c r="TMG66" s="960">
        <f>MIN(TMG60-TMG62,'Sources and Uses Budget'!TMG108-SUM('15 Year Pro Forma'!TME66:TMF66))</f>
        <v>0</v>
      </c>
      <c r="TMI66" s="960">
        <f>MIN(TMI60-TMI62,'Sources and Uses Budget'!TMI108-SUM('15 Year Pro Forma'!TMG66:TMH66))</f>
        <v>0</v>
      </c>
      <c r="TMK66" s="960">
        <f>MIN(TMK60-TMK62,'Sources and Uses Budget'!TMK108-SUM('15 Year Pro Forma'!TMI66:TMJ66))</f>
        <v>0</v>
      </c>
      <c r="TMM66" s="960">
        <f>MIN(TMM60-TMM62,'Sources and Uses Budget'!TMM108-SUM('15 Year Pro Forma'!TMK66:TML66))</f>
        <v>0</v>
      </c>
      <c r="TMO66" s="960">
        <f>MIN(TMO60-TMO62,'Sources and Uses Budget'!TMO108-SUM('15 Year Pro Forma'!TMM66:TMN66))</f>
        <v>0</v>
      </c>
      <c r="TMQ66" s="960">
        <f>MIN(TMQ60-TMQ62,'Sources and Uses Budget'!TMQ108-SUM('15 Year Pro Forma'!TMO66:TMP66))</f>
        <v>0</v>
      </c>
      <c r="TMS66" s="960">
        <f>MIN(TMS60-TMS62,'Sources and Uses Budget'!TMS108-SUM('15 Year Pro Forma'!TMQ66:TMR66))</f>
        <v>0</v>
      </c>
      <c r="TMU66" s="960">
        <f>MIN(TMU60-TMU62,'Sources and Uses Budget'!TMU108-SUM('15 Year Pro Forma'!TMS66:TMT66))</f>
        <v>0</v>
      </c>
      <c r="TMW66" s="960">
        <f>MIN(TMW60-TMW62,'Sources and Uses Budget'!TMW108-SUM('15 Year Pro Forma'!TMU66:TMV66))</f>
        <v>0</v>
      </c>
      <c r="TMY66" s="960">
        <f>MIN(TMY60-TMY62,'Sources and Uses Budget'!TMY108-SUM('15 Year Pro Forma'!TMW66:TMX66))</f>
        <v>0</v>
      </c>
      <c r="TNA66" s="960">
        <f>MIN(TNA60-TNA62,'Sources and Uses Budget'!TNA108-SUM('15 Year Pro Forma'!TMY66:TMZ66))</f>
        <v>0</v>
      </c>
      <c r="TNC66" s="960">
        <f>MIN(TNC60-TNC62,'Sources and Uses Budget'!TNC108-SUM('15 Year Pro Forma'!TNA66:TNB66))</f>
        <v>0</v>
      </c>
      <c r="TNE66" s="960">
        <f>MIN(TNE60-TNE62,'Sources and Uses Budget'!TNE108-SUM('15 Year Pro Forma'!TNC66:TND66))</f>
        <v>0</v>
      </c>
      <c r="TNG66" s="960">
        <f>MIN(TNG60-TNG62,'Sources and Uses Budget'!TNG108-SUM('15 Year Pro Forma'!TNE66:TNF66))</f>
        <v>0</v>
      </c>
      <c r="TNI66" s="960">
        <f>MIN(TNI60-TNI62,'Sources and Uses Budget'!TNI108-SUM('15 Year Pro Forma'!TNG66:TNH66))</f>
        <v>0</v>
      </c>
      <c r="TNK66" s="960">
        <f>MIN(TNK60-TNK62,'Sources and Uses Budget'!TNK108-SUM('15 Year Pro Forma'!TNI66:TNJ66))</f>
        <v>0</v>
      </c>
      <c r="TNM66" s="960">
        <f>MIN(TNM60-TNM62,'Sources and Uses Budget'!TNM108-SUM('15 Year Pro Forma'!TNK66:TNL66))</f>
        <v>0</v>
      </c>
      <c r="TNO66" s="960">
        <f>MIN(TNO60-TNO62,'Sources and Uses Budget'!TNO108-SUM('15 Year Pro Forma'!TNM66:TNN66))</f>
        <v>0</v>
      </c>
      <c r="TNQ66" s="960">
        <f>MIN(TNQ60-TNQ62,'Sources and Uses Budget'!TNQ108-SUM('15 Year Pro Forma'!TNO66:TNP66))</f>
        <v>0</v>
      </c>
      <c r="TNS66" s="960">
        <f>MIN(TNS60-TNS62,'Sources and Uses Budget'!TNS108-SUM('15 Year Pro Forma'!TNQ66:TNR66))</f>
        <v>0</v>
      </c>
      <c r="TNU66" s="960">
        <f>MIN(TNU60-TNU62,'Sources and Uses Budget'!TNU108-SUM('15 Year Pro Forma'!TNS66:TNT66))</f>
        <v>0</v>
      </c>
      <c r="TNW66" s="960">
        <f>MIN(TNW60-TNW62,'Sources and Uses Budget'!TNW108-SUM('15 Year Pro Forma'!TNU66:TNV66))</f>
        <v>0</v>
      </c>
      <c r="TNY66" s="960">
        <f>MIN(TNY60-TNY62,'Sources and Uses Budget'!TNY108-SUM('15 Year Pro Forma'!TNW66:TNX66))</f>
        <v>0</v>
      </c>
      <c r="TOA66" s="960">
        <f>MIN(TOA60-TOA62,'Sources and Uses Budget'!TOA108-SUM('15 Year Pro Forma'!TNY66:TNZ66))</f>
        <v>0</v>
      </c>
      <c r="TOC66" s="960">
        <f>MIN(TOC60-TOC62,'Sources and Uses Budget'!TOC108-SUM('15 Year Pro Forma'!TOA66:TOB66))</f>
        <v>0</v>
      </c>
      <c r="TOE66" s="960">
        <f>MIN(TOE60-TOE62,'Sources and Uses Budget'!TOE108-SUM('15 Year Pro Forma'!TOC66:TOD66))</f>
        <v>0</v>
      </c>
      <c r="TOG66" s="960">
        <f>MIN(TOG60-TOG62,'Sources and Uses Budget'!TOG108-SUM('15 Year Pro Forma'!TOE66:TOF66))</f>
        <v>0</v>
      </c>
      <c r="TOI66" s="960">
        <f>MIN(TOI60-TOI62,'Sources and Uses Budget'!TOI108-SUM('15 Year Pro Forma'!TOG66:TOH66))</f>
        <v>0</v>
      </c>
      <c r="TOK66" s="960">
        <f>MIN(TOK60-TOK62,'Sources and Uses Budget'!TOK108-SUM('15 Year Pro Forma'!TOI66:TOJ66))</f>
        <v>0</v>
      </c>
      <c r="TOM66" s="960">
        <f>MIN(TOM60-TOM62,'Sources and Uses Budget'!TOM108-SUM('15 Year Pro Forma'!TOK66:TOL66))</f>
        <v>0</v>
      </c>
      <c r="TOO66" s="960">
        <f>MIN(TOO60-TOO62,'Sources and Uses Budget'!TOO108-SUM('15 Year Pro Forma'!TOM66:TON66))</f>
        <v>0</v>
      </c>
      <c r="TOQ66" s="960">
        <f>MIN(TOQ60-TOQ62,'Sources and Uses Budget'!TOQ108-SUM('15 Year Pro Forma'!TOO66:TOP66))</f>
        <v>0</v>
      </c>
      <c r="TOS66" s="960">
        <f>MIN(TOS60-TOS62,'Sources and Uses Budget'!TOS108-SUM('15 Year Pro Forma'!TOQ66:TOR66))</f>
        <v>0</v>
      </c>
      <c r="TOU66" s="960">
        <f>MIN(TOU60-TOU62,'Sources and Uses Budget'!TOU108-SUM('15 Year Pro Forma'!TOS66:TOT66))</f>
        <v>0</v>
      </c>
      <c r="TOW66" s="960">
        <f>MIN(TOW60-TOW62,'Sources and Uses Budget'!TOW108-SUM('15 Year Pro Forma'!TOU66:TOV66))</f>
        <v>0</v>
      </c>
      <c r="TOY66" s="960">
        <f>MIN(TOY60-TOY62,'Sources and Uses Budget'!TOY108-SUM('15 Year Pro Forma'!TOW66:TOX66))</f>
        <v>0</v>
      </c>
      <c r="TPA66" s="960">
        <f>MIN(TPA60-TPA62,'Sources and Uses Budget'!TPA108-SUM('15 Year Pro Forma'!TOY66:TOZ66))</f>
        <v>0</v>
      </c>
      <c r="TPC66" s="960">
        <f>MIN(TPC60-TPC62,'Sources and Uses Budget'!TPC108-SUM('15 Year Pro Forma'!TPA66:TPB66))</f>
        <v>0</v>
      </c>
      <c r="TPE66" s="960">
        <f>MIN(TPE60-TPE62,'Sources and Uses Budget'!TPE108-SUM('15 Year Pro Forma'!TPC66:TPD66))</f>
        <v>0</v>
      </c>
      <c r="TPG66" s="960">
        <f>MIN(TPG60-TPG62,'Sources and Uses Budget'!TPG108-SUM('15 Year Pro Forma'!TPE66:TPF66))</f>
        <v>0</v>
      </c>
      <c r="TPI66" s="960">
        <f>MIN(TPI60-TPI62,'Sources and Uses Budget'!TPI108-SUM('15 Year Pro Forma'!TPG66:TPH66))</f>
        <v>0</v>
      </c>
      <c r="TPK66" s="960">
        <f>MIN(TPK60-TPK62,'Sources and Uses Budget'!TPK108-SUM('15 Year Pro Forma'!TPI66:TPJ66))</f>
        <v>0</v>
      </c>
      <c r="TPM66" s="960">
        <f>MIN(TPM60-TPM62,'Sources and Uses Budget'!TPM108-SUM('15 Year Pro Forma'!TPK66:TPL66))</f>
        <v>0</v>
      </c>
      <c r="TPO66" s="960">
        <f>MIN(TPO60-TPO62,'Sources and Uses Budget'!TPO108-SUM('15 Year Pro Forma'!TPM66:TPN66))</f>
        <v>0</v>
      </c>
      <c r="TPQ66" s="960">
        <f>MIN(TPQ60-TPQ62,'Sources and Uses Budget'!TPQ108-SUM('15 Year Pro Forma'!TPO66:TPP66))</f>
        <v>0</v>
      </c>
      <c r="TPS66" s="960">
        <f>MIN(TPS60-TPS62,'Sources and Uses Budget'!TPS108-SUM('15 Year Pro Forma'!TPQ66:TPR66))</f>
        <v>0</v>
      </c>
      <c r="TPU66" s="960">
        <f>MIN(TPU60-TPU62,'Sources and Uses Budget'!TPU108-SUM('15 Year Pro Forma'!TPS66:TPT66))</f>
        <v>0</v>
      </c>
      <c r="TPW66" s="960">
        <f>MIN(TPW60-TPW62,'Sources and Uses Budget'!TPW108-SUM('15 Year Pro Forma'!TPU66:TPV66))</f>
        <v>0</v>
      </c>
      <c r="TPY66" s="960">
        <f>MIN(TPY60-TPY62,'Sources and Uses Budget'!TPY108-SUM('15 Year Pro Forma'!TPW66:TPX66))</f>
        <v>0</v>
      </c>
      <c r="TQA66" s="960">
        <f>MIN(TQA60-TQA62,'Sources and Uses Budget'!TQA108-SUM('15 Year Pro Forma'!TPY66:TPZ66))</f>
        <v>0</v>
      </c>
      <c r="TQC66" s="960">
        <f>MIN(TQC60-TQC62,'Sources and Uses Budget'!TQC108-SUM('15 Year Pro Forma'!TQA66:TQB66))</f>
        <v>0</v>
      </c>
      <c r="TQE66" s="960">
        <f>MIN(TQE60-TQE62,'Sources and Uses Budget'!TQE108-SUM('15 Year Pro Forma'!TQC66:TQD66))</f>
        <v>0</v>
      </c>
      <c r="TQG66" s="960">
        <f>MIN(TQG60-TQG62,'Sources and Uses Budget'!TQG108-SUM('15 Year Pro Forma'!TQE66:TQF66))</f>
        <v>0</v>
      </c>
      <c r="TQI66" s="960">
        <f>MIN(TQI60-TQI62,'Sources and Uses Budget'!TQI108-SUM('15 Year Pro Forma'!TQG66:TQH66))</f>
        <v>0</v>
      </c>
      <c r="TQK66" s="960">
        <f>MIN(TQK60-TQK62,'Sources and Uses Budget'!TQK108-SUM('15 Year Pro Forma'!TQI66:TQJ66))</f>
        <v>0</v>
      </c>
      <c r="TQM66" s="960">
        <f>MIN(TQM60-TQM62,'Sources and Uses Budget'!TQM108-SUM('15 Year Pro Forma'!TQK66:TQL66))</f>
        <v>0</v>
      </c>
      <c r="TQO66" s="960">
        <f>MIN(TQO60-TQO62,'Sources and Uses Budget'!TQO108-SUM('15 Year Pro Forma'!TQM66:TQN66))</f>
        <v>0</v>
      </c>
      <c r="TQQ66" s="960">
        <f>MIN(TQQ60-TQQ62,'Sources and Uses Budget'!TQQ108-SUM('15 Year Pro Forma'!TQO66:TQP66))</f>
        <v>0</v>
      </c>
      <c r="TQS66" s="960">
        <f>MIN(TQS60-TQS62,'Sources and Uses Budget'!TQS108-SUM('15 Year Pro Forma'!TQQ66:TQR66))</f>
        <v>0</v>
      </c>
      <c r="TQU66" s="960">
        <f>MIN(TQU60-TQU62,'Sources and Uses Budget'!TQU108-SUM('15 Year Pro Forma'!TQS66:TQT66))</f>
        <v>0</v>
      </c>
      <c r="TQW66" s="960">
        <f>MIN(TQW60-TQW62,'Sources and Uses Budget'!TQW108-SUM('15 Year Pro Forma'!TQU66:TQV66))</f>
        <v>0</v>
      </c>
      <c r="TQY66" s="960">
        <f>MIN(TQY60-TQY62,'Sources and Uses Budget'!TQY108-SUM('15 Year Pro Forma'!TQW66:TQX66))</f>
        <v>0</v>
      </c>
      <c r="TRA66" s="960">
        <f>MIN(TRA60-TRA62,'Sources and Uses Budget'!TRA108-SUM('15 Year Pro Forma'!TQY66:TQZ66))</f>
        <v>0</v>
      </c>
      <c r="TRC66" s="960">
        <f>MIN(TRC60-TRC62,'Sources and Uses Budget'!TRC108-SUM('15 Year Pro Forma'!TRA66:TRB66))</f>
        <v>0</v>
      </c>
      <c r="TRE66" s="960">
        <f>MIN(TRE60-TRE62,'Sources and Uses Budget'!TRE108-SUM('15 Year Pro Forma'!TRC66:TRD66))</f>
        <v>0</v>
      </c>
      <c r="TRG66" s="960">
        <f>MIN(TRG60-TRG62,'Sources and Uses Budget'!TRG108-SUM('15 Year Pro Forma'!TRE66:TRF66))</f>
        <v>0</v>
      </c>
      <c r="TRI66" s="960">
        <f>MIN(TRI60-TRI62,'Sources and Uses Budget'!TRI108-SUM('15 Year Pro Forma'!TRG66:TRH66))</f>
        <v>0</v>
      </c>
      <c r="TRK66" s="960">
        <f>MIN(TRK60-TRK62,'Sources and Uses Budget'!TRK108-SUM('15 Year Pro Forma'!TRI66:TRJ66))</f>
        <v>0</v>
      </c>
      <c r="TRM66" s="960">
        <f>MIN(TRM60-TRM62,'Sources and Uses Budget'!TRM108-SUM('15 Year Pro Forma'!TRK66:TRL66))</f>
        <v>0</v>
      </c>
      <c r="TRO66" s="960">
        <f>MIN(TRO60-TRO62,'Sources and Uses Budget'!TRO108-SUM('15 Year Pro Forma'!TRM66:TRN66))</f>
        <v>0</v>
      </c>
      <c r="TRQ66" s="960">
        <f>MIN(TRQ60-TRQ62,'Sources and Uses Budget'!TRQ108-SUM('15 Year Pro Forma'!TRO66:TRP66))</f>
        <v>0</v>
      </c>
      <c r="TRS66" s="960">
        <f>MIN(TRS60-TRS62,'Sources and Uses Budget'!TRS108-SUM('15 Year Pro Forma'!TRQ66:TRR66))</f>
        <v>0</v>
      </c>
      <c r="TRU66" s="960">
        <f>MIN(TRU60-TRU62,'Sources and Uses Budget'!TRU108-SUM('15 Year Pro Forma'!TRS66:TRT66))</f>
        <v>0</v>
      </c>
      <c r="TRW66" s="960">
        <f>MIN(TRW60-TRW62,'Sources and Uses Budget'!TRW108-SUM('15 Year Pro Forma'!TRU66:TRV66))</f>
        <v>0</v>
      </c>
      <c r="TRY66" s="960">
        <f>MIN(TRY60-TRY62,'Sources and Uses Budget'!TRY108-SUM('15 Year Pro Forma'!TRW66:TRX66))</f>
        <v>0</v>
      </c>
      <c r="TSA66" s="960">
        <f>MIN(TSA60-TSA62,'Sources and Uses Budget'!TSA108-SUM('15 Year Pro Forma'!TRY66:TRZ66))</f>
        <v>0</v>
      </c>
      <c r="TSC66" s="960">
        <f>MIN(TSC60-TSC62,'Sources and Uses Budget'!TSC108-SUM('15 Year Pro Forma'!TSA66:TSB66))</f>
        <v>0</v>
      </c>
      <c r="TSE66" s="960">
        <f>MIN(TSE60-TSE62,'Sources and Uses Budget'!TSE108-SUM('15 Year Pro Forma'!TSC66:TSD66))</f>
        <v>0</v>
      </c>
      <c r="TSG66" s="960">
        <f>MIN(TSG60-TSG62,'Sources and Uses Budget'!TSG108-SUM('15 Year Pro Forma'!TSE66:TSF66))</f>
        <v>0</v>
      </c>
      <c r="TSI66" s="960">
        <f>MIN(TSI60-TSI62,'Sources and Uses Budget'!TSI108-SUM('15 Year Pro Forma'!TSG66:TSH66))</f>
        <v>0</v>
      </c>
      <c r="TSK66" s="960">
        <f>MIN(TSK60-TSK62,'Sources and Uses Budget'!TSK108-SUM('15 Year Pro Forma'!TSI66:TSJ66))</f>
        <v>0</v>
      </c>
      <c r="TSM66" s="960">
        <f>MIN(TSM60-TSM62,'Sources and Uses Budget'!TSM108-SUM('15 Year Pro Forma'!TSK66:TSL66))</f>
        <v>0</v>
      </c>
      <c r="TSO66" s="960">
        <f>MIN(TSO60-TSO62,'Sources and Uses Budget'!TSO108-SUM('15 Year Pro Forma'!TSM66:TSN66))</f>
        <v>0</v>
      </c>
      <c r="TSQ66" s="960">
        <f>MIN(TSQ60-TSQ62,'Sources and Uses Budget'!TSQ108-SUM('15 Year Pro Forma'!TSO66:TSP66))</f>
        <v>0</v>
      </c>
      <c r="TSS66" s="960">
        <f>MIN(TSS60-TSS62,'Sources and Uses Budget'!TSS108-SUM('15 Year Pro Forma'!TSQ66:TSR66))</f>
        <v>0</v>
      </c>
      <c r="TSU66" s="960">
        <f>MIN(TSU60-TSU62,'Sources and Uses Budget'!TSU108-SUM('15 Year Pro Forma'!TSS66:TST66))</f>
        <v>0</v>
      </c>
      <c r="TSW66" s="960">
        <f>MIN(TSW60-TSW62,'Sources and Uses Budget'!TSW108-SUM('15 Year Pro Forma'!TSU66:TSV66))</f>
        <v>0</v>
      </c>
      <c r="TSY66" s="960">
        <f>MIN(TSY60-TSY62,'Sources and Uses Budget'!TSY108-SUM('15 Year Pro Forma'!TSW66:TSX66))</f>
        <v>0</v>
      </c>
      <c r="TTA66" s="960">
        <f>MIN(TTA60-TTA62,'Sources and Uses Budget'!TTA108-SUM('15 Year Pro Forma'!TSY66:TSZ66))</f>
        <v>0</v>
      </c>
      <c r="TTC66" s="960">
        <f>MIN(TTC60-TTC62,'Sources and Uses Budget'!TTC108-SUM('15 Year Pro Forma'!TTA66:TTB66))</f>
        <v>0</v>
      </c>
      <c r="TTE66" s="960">
        <f>MIN(TTE60-TTE62,'Sources and Uses Budget'!TTE108-SUM('15 Year Pro Forma'!TTC66:TTD66))</f>
        <v>0</v>
      </c>
      <c r="TTG66" s="960">
        <f>MIN(TTG60-TTG62,'Sources and Uses Budget'!TTG108-SUM('15 Year Pro Forma'!TTE66:TTF66))</f>
        <v>0</v>
      </c>
      <c r="TTI66" s="960">
        <f>MIN(TTI60-TTI62,'Sources and Uses Budget'!TTI108-SUM('15 Year Pro Forma'!TTG66:TTH66))</f>
        <v>0</v>
      </c>
      <c r="TTK66" s="960">
        <f>MIN(TTK60-TTK62,'Sources and Uses Budget'!TTK108-SUM('15 Year Pro Forma'!TTI66:TTJ66))</f>
        <v>0</v>
      </c>
      <c r="TTM66" s="960">
        <f>MIN(TTM60-TTM62,'Sources and Uses Budget'!TTM108-SUM('15 Year Pro Forma'!TTK66:TTL66))</f>
        <v>0</v>
      </c>
      <c r="TTO66" s="960">
        <f>MIN(TTO60-TTO62,'Sources and Uses Budget'!TTO108-SUM('15 Year Pro Forma'!TTM66:TTN66))</f>
        <v>0</v>
      </c>
      <c r="TTQ66" s="960">
        <f>MIN(TTQ60-TTQ62,'Sources and Uses Budget'!TTQ108-SUM('15 Year Pro Forma'!TTO66:TTP66))</f>
        <v>0</v>
      </c>
      <c r="TTS66" s="960">
        <f>MIN(TTS60-TTS62,'Sources and Uses Budget'!TTS108-SUM('15 Year Pro Forma'!TTQ66:TTR66))</f>
        <v>0</v>
      </c>
      <c r="TTU66" s="960">
        <f>MIN(TTU60-TTU62,'Sources and Uses Budget'!TTU108-SUM('15 Year Pro Forma'!TTS66:TTT66))</f>
        <v>0</v>
      </c>
      <c r="TTW66" s="960">
        <f>MIN(TTW60-TTW62,'Sources and Uses Budget'!TTW108-SUM('15 Year Pro Forma'!TTU66:TTV66))</f>
        <v>0</v>
      </c>
      <c r="TTY66" s="960">
        <f>MIN(TTY60-TTY62,'Sources and Uses Budget'!TTY108-SUM('15 Year Pro Forma'!TTW66:TTX66))</f>
        <v>0</v>
      </c>
      <c r="TUA66" s="960">
        <f>MIN(TUA60-TUA62,'Sources and Uses Budget'!TUA108-SUM('15 Year Pro Forma'!TTY66:TTZ66))</f>
        <v>0</v>
      </c>
      <c r="TUC66" s="960">
        <f>MIN(TUC60-TUC62,'Sources and Uses Budget'!TUC108-SUM('15 Year Pro Forma'!TUA66:TUB66))</f>
        <v>0</v>
      </c>
      <c r="TUE66" s="960">
        <f>MIN(TUE60-TUE62,'Sources and Uses Budget'!TUE108-SUM('15 Year Pro Forma'!TUC66:TUD66))</f>
        <v>0</v>
      </c>
      <c r="TUG66" s="960">
        <f>MIN(TUG60-TUG62,'Sources and Uses Budget'!TUG108-SUM('15 Year Pro Forma'!TUE66:TUF66))</f>
        <v>0</v>
      </c>
      <c r="TUI66" s="960">
        <f>MIN(TUI60-TUI62,'Sources and Uses Budget'!TUI108-SUM('15 Year Pro Forma'!TUG66:TUH66))</f>
        <v>0</v>
      </c>
      <c r="TUK66" s="960">
        <f>MIN(TUK60-TUK62,'Sources and Uses Budget'!TUK108-SUM('15 Year Pro Forma'!TUI66:TUJ66))</f>
        <v>0</v>
      </c>
      <c r="TUM66" s="960">
        <f>MIN(TUM60-TUM62,'Sources and Uses Budget'!TUM108-SUM('15 Year Pro Forma'!TUK66:TUL66))</f>
        <v>0</v>
      </c>
      <c r="TUO66" s="960">
        <f>MIN(TUO60-TUO62,'Sources and Uses Budget'!TUO108-SUM('15 Year Pro Forma'!TUM66:TUN66))</f>
        <v>0</v>
      </c>
      <c r="TUQ66" s="960">
        <f>MIN(TUQ60-TUQ62,'Sources and Uses Budget'!TUQ108-SUM('15 Year Pro Forma'!TUO66:TUP66))</f>
        <v>0</v>
      </c>
      <c r="TUS66" s="960">
        <f>MIN(TUS60-TUS62,'Sources and Uses Budget'!TUS108-SUM('15 Year Pro Forma'!TUQ66:TUR66))</f>
        <v>0</v>
      </c>
      <c r="TUU66" s="960">
        <f>MIN(TUU60-TUU62,'Sources and Uses Budget'!TUU108-SUM('15 Year Pro Forma'!TUS66:TUT66))</f>
        <v>0</v>
      </c>
      <c r="TUW66" s="960">
        <f>MIN(TUW60-TUW62,'Sources and Uses Budget'!TUW108-SUM('15 Year Pro Forma'!TUU66:TUV66))</f>
        <v>0</v>
      </c>
      <c r="TUY66" s="960">
        <f>MIN(TUY60-TUY62,'Sources and Uses Budget'!TUY108-SUM('15 Year Pro Forma'!TUW66:TUX66))</f>
        <v>0</v>
      </c>
      <c r="TVA66" s="960">
        <f>MIN(TVA60-TVA62,'Sources and Uses Budget'!TVA108-SUM('15 Year Pro Forma'!TUY66:TUZ66))</f>
        <v>0</v>
      </c>
      <c r="TVC66" s="960">
        <f>MIN(TVC60-TVC62,'Sources and Uses Budget'!TVC108-SUM('15 Year Pro Forma'!TVA66:TVB66))</f>
        <v>0</v>
      </c>
      <c r="TVE66" s="960">
        <f>MIN(TVE60-TVE62,'Sources and Uses Budget'!TVE108-SUM('15 Year Pro Forma'!TVC66:TVD66))</f>
        <v>0</v>
      </c>
      <c r="TVG66" s="960">
        <f>MIN(TVG60-TVG62,'Sources and Uses Budget'!TVG108-SUM('15 Year Pro Forma'!TVE66:TVF66))</f>
        <v>0</v>
      </c>
      <c r="TVI66" s="960">
        <f>MIN(TVI60-TVI62,'Sources and Uses Budget'!TVI108-SUM('15 Year Pro Forma'!TVG66:TVH66))</f>
        <v>0</v>
      </c>
      <c r="TVK66" s="960">
        <f>MIN(TVK60-TVK62,'Sources and Uses Budget'!TVK108-SUM('15 Year Pro Forma'!TVI66:TVJ66))</f>
        <v>0</v>
      </c>
      <c r="TVM66" s="960">
        <f>MIN(TVM60-TVM62,'Sources and Uses Budget'!TVM108-SUM('15 Year Pro Forma'!TVK66:TVL66))</f>
        <v>0</v>
      </c>
      <c r="TVO66" s="960">
        <f>MIN(TVO60-TVO62,'Sources and Uses Budget'!TVO108-SUM('15 Year Pro Forma'!TVM66:TVN66))</f>
        <v>0</v>
      </c>
      <c r="TVQ66" s="960">
        <f>MIN(TVQ60-TVQ62,'Sources and Uses Budget'!TVQ108-SUM('15 Year Pro Forma'!TVO66:TVP66))</f>
        <v>0</v>
      </c>
      <c r="TVS66" s="960">
        <f>MIN(TVS60-TVS62,'Sources and Uses Budget'!TVS108-SUM('15 Year Pro Forma'!TVQ66:TVR66))</f>
        <v>0</v>
      </c>
      <c r="TVU66" s="960">
        <f>MIN(TVU60-TVU62,'Sources and Uses Budget'!TVU108-SUM('15 Year Pro Forma'!TVS66:TVT66))</f>
        <v>0</v>
      </c>
      <c r="TVW66" s="960">
        <f>MIN(TVW60-TVW62,'Sources and Uses Budget'!TVW108-SUM('15 Year Pro Forma'!TVU66:TVV66))</f>
        <v>0</v>
      </c>
      <c r="TVY66" s="960">
        <f>MIN(TVY60-TVY62,'Sources and Uses Budget'!TVY108-SUM('15 Year Pro Forma'!TVW66:TVX66))</f>
        <v>0</v>
      </c>
      <c r="TWA66" s="960">
        <f>MIN(TWA60-TWA62,'Sources and Uses Budget'!TWA108-SUM('15 Year Pro Forma'!TVY66:TVZ66))</f>
        <v>0</v>
      </c>
      <c r="TWC66" s="960">
        <f>MIN(TWC60-TWC62,'Sources and Uses Budget'!TWC108-SUM('15 Year Pro Forma'!TWA66:TWB66))</f>
        <v>0</v>
      </c>
      <c r="TWE66" s="960">
        <f>MIN(TWE60-TWE62,'Sources and Uses Budget'!TWE108-SUM('15 Year Pro Forma'!TWC66:TWD66))</f>
        <v>0</v>
      </c>
      <c r="TWG66" s="960">
        <f>MIN(TWG60-TWG62,'Sources and Uses Budget'!TWG108-SUM('15 Year Pro Forma'!TWE66:TWF66))</f>
        <v>0</v>
      </c>
      <c r="TWI66" s="960">
        <f>MIN(TWI60-TWI62,'Sources and Uses Budget'!TWI108-SUM('15 Year Pro Forma'!TWG66:TWH66))</f>
        <v>0</v>
      </c>
      <c r="TWK66" s="960">
        <f>MIN(TWK60-TWK62,'Sources and Uses Budget'!TWK108-SUM('15 Year Pro Forma'!TWI66:TWJ66))</f>
        <v>0</v>
      </c>
      <c r="TWM66" s="960">
        <f>MIN(TWM60-TWM62,'Sources and Uses Budget'!TWM108-SUM('15 Year Pro Forma'!TWK66:TWL66))</f>
        <v>0</v>
      </c>
      <c r="TWO66" s="960">
        <f>MIN(TWO60-TWO62,'Sources and Uses Budget'!TWO108-SUM('15 Year Pro Forma'!TWM66:TWN66))</f>
        <v>0</v>
      </c>
      <c r="TWQ66" s="960">
        <f>MIN(TWQ60-TWQ62,'Sources and Uses Budget'!TWQ108-SUM('15 Year Pro Forma'!TWO66:TWP66))</f>
        <v>0</v>
      </c>
      <c r="TWS66" s="960">
        <f>MIN(TWS60-TWS62,'Sources and Uses Budget'!TWS108-SUM('15 Year Pro Forma'!TWQ66:TWR66))</f>
        <v>0</v>
      </c>
      <c r="TWU66" s="960">
        <f>MIN(TWU60-TWU62,'Sources and Uses Budget'!TWU108-SUM('15 Year Pro Forma'!TWS66:TWT66))</f>
        <v>0</v>
      </c>
      <c r="TWW66" s="960">
        <f>MIN(TWW60-TWW62,'Sources and Uses Budget'!TWW108-SUM('15 Year Pro Forma'!TWU66:TWV66))</f>
        <v>0</v>
      </c>
      <c r="TWY66" s="960">
        <f>MIN(TWY60-TWY62,'Sources and Uses Budget'!TWY108-SUM('15 Year Pro Forma'!TWW66:TWX66))</f>
        <v>0</v>
      </c>
      <c r="TXA66" s="960">
        <f>MIN(TXA60-TXA62,'Sources and Uses Budget'!TXA108-SUM('15 Year Pro Forma'!TWY66:TWZ66))</f>
        <v>0</v>
      </c>
      <c r="TXC66" s="960">
        <f>MIN(TXC60-TXC62,'Sources and Uses Budget'!TXC108-SUM('15 Year Pro Forma'!TXA66:TXB66))</f>
        <v>0</v>
      </c>
      <c r="TXE66" s="960">
        <f>MIN(TXE60-TXE62,'Sources and Uses Budget'!TXE108-SUM('15 Year Pro Forma'!TXC66:TXD66))</f>
        <v>0</v>
      </c>
      <c r="TXG66" s="960">
        <f>MIN(TXG60-TXG62,'Sources and Uses Budget'!TXG108-SUM('15 Year Pro Forma'!TXE66:TXF66))</f>
        <v>0</v>
      </c>
      <c r="TXI66" s="960">
        <f>MIN(TXI60-TXI62,'Sources and Uses Budget'!TXI108-SUM('15 Year Pro Forma'!TXG66:TXH66))</f>
        <v>0</v>
      </c>
      <c r="TXK66" s="960">
        <f>MIN(TXK60-TXK62,'Sources and Uses Budget'!TXK108-SUM('15 Year Pro Forma'!TXI66:TXJ66))</f>
        <v>0</v>
      </c>
      <c r="TXM66" s="960">
        <f>MIN(TXM60-TXM62,'Sources and Uses Budget'!TXM108-SUM('15 Year Pro Forma'!TXK66:TXL66))</f>
        <v>0</v>
      </c>
      <c r="TXO66" s="960">
        <f>MIN(TXO60-TXO62,'Sources and Uses Budget'!TXO108-SUM('15 Year Pro Forma'!TXM66:TXN66))</f>
        <v>0</v>
      </c>
      <c r="TXQ66" s="960">
        <f>MIN(TXQ60-TXQ62,'Sources and Uses Budget'!TXQ108-SUM('15 Year Pro Forma'!TXO66:TXP66))</f>
        <v>0</v>
      </c>
      <c r="TXS66" s="960">
        <f>MIN(TXS60-TXS62,'Sources and Uses Budget'!TXS108-SUM('15 Year Pro Forma'!TXQ66:TXR66))</f>
        <v>0</v>
      </c>
      <c r="TXU66" s="960">
        <f>MIN(TXU60-TXU62,'Sources and Uses Budget'!TXU108-SUM('15 Year Pro Forma'!TXS66:TXT66))</f>
        <v>0</v>
      </c>
      <c r="TXW66" s="960">
        <f>MIN(TXW60-TXW62,'Sources and Uses Budget'!TXW108-SUM('15 Year Pro Forma'!TXU66:TXV66))</f>
        <v>0</v>
      </c>
      <c r="TXY66" s="960">
        <f>MIN(TXY60-TXY62,'Sources and Uses Budget'!TXY108-SUM('15 Year Pro Forma'!TXW66:TXX66))</f>
        <v>0</v>
      </c>
      <c r="TYA66" s="960">
        <f>MIN(TYA60-TYA62,'Sources and Uses Budget'!TYA108-SUM('15 Year Pro Forma'!TXY66:TXZ66))</f>
        <v>0</v>
      </c>
      <c r="TYC66" s="960">
        <f>MIN(TYC60-TYC62,'Sources and Uses Budget'!TYC108-SUM('15 Year Pro Forma'!TYA66:TYB66))</f>
        <v>0</v>
      </c>
      <c r="TYE66" s="960">
        <f>MIN(TYE60-TYE62,'Sources and Uses Budget'!TYE108-SUM('15 Year Pro Forma'!TYC66:TYD66))</f>
        <v>0</v>
      </c>
      <c r="TYG66" s="960">
        <f>MIN(TYG60-TYG62,'Sources and Uses Budget'!TYG108-SUM('15 Year Pro Forma'!TYE66:TYF66))</f>
        <v>0</v>
      </c>
      <c r="TYI66" s="960">
        <f>MIN(TYI60-TYI62,'Sources and Uses Budget'!TYI108-SUM('15 Year Pro Forma'!TYG66:TYH66))</f>
        <v>0</v>
      </c>
      <c r="TYK66" s="960">
        <f>MIN(TYK60-TYK62,'Sources and Uses Budget'!TYK108-SUM('15 Year Pro Forma'!TYI66:TYJ66))</f>
        <v>0</v>
      </c>
      <c r="TYM66" s="960">
        <f>MIN(TYM60-TYM62,'Sources and Uses Budget'!TYM108-SUM('15 Year Pro Forma'!TYK66:TYL66))</f>
        <v>0</v>
      </c>
      <c r="TYO66" s="960">
        <f>MIN(TYO60-TYO62,'Sources and Uses Budget'!TYO108-SUM('15 Year Pro Forma'!TYM66:TYN66))</f>
        <v>0</v>
      </c>
      <c r="TYQ66" s="960">
        <f>MIN(TYQ60-TYQ62,'Sources and Uses Budget'!TYQ108-SUM('15 Year Pro Forma'!TYO66:TYP66))</f>
        <v>0</v>
      </c>
      <c r="TYS66" s="960">
        <f>MIN(TYS60-TYS62,'Sources and Uses Budget'!TYS108-SUM('15 Year Pro Forma'!TYQ66:TYR66))</f>
        <v>0</v>
      </c>
      <c r="TYU66" s="960">
        <f>MIN(TYU60-TYU62,'Sources and Uses Budget'!TYU108-SUM('15 Year Pro Forma'!TYS66:TYT66))</f>
        <v>0</v>
      </c>
      <c r="TYW66" s="960">
        <f>MIN(TYW60-TYW62,'Sources and Uses Budget'!TYW108-SUM('15 Year Pro Forma'!TYU66:TYV66))</f>
        <v>0</v>
      </c>
      <c r="TYY66" s="960">
        <f>MIN(TYY60-TYY62,'Sources and Uses Budget'!TYY108-SUM('15 Year Pro Forma'!TYW66:TYX66))</f>
        <v>0</v>
      </c>
      <c r="TZA66" s="960">
        <f>MIN(TZA60-TZA62,'Sources and Uses Budget'!TZA108-SUM('15 Year Pro Forma'!TYY66:TYZ66))</f>
        <v>0</v>
      </c>
      <c r="TZC66" s="960">
        <f>MIN(TZC60-TZC62,'Sources and Uses Budget'!TZC108-SUM('15 Year Pro Forma'!TZA66:TZB66))</f>
        <v>0</v>
      </c>
      <c r="TZE66" s="960">
        <f>MIN(TZE60-TZE62,'Sources and Uses Budget'!TZE108-SUM('15 Year Pro Forma'!TZC66:TZD66))</f>
        <v>0</v>
      </c>
      <c r="TZG66" s="960">
        <f>MIN(TZG60-TZG62,'Sources and Uses Budget'!TZG108-SUM('15 Year Pro Forma'!TZE66:TZF66))</f>
        <v>0</v>
      </c>
      <c r="TZI66" s="960">
        <f>MIN(TZI60-TZI62,'Sources and Uses Budget'!TZI108-SUM('15 Year Pro Forma'!TZG66:TZH66))</f>
        <v>0</v>
      </c>
      <c r="TZK66" s="960">
        <f>MIN(TZK60-TZK62,'Sources and Uses Budget'!TZK108-SUM('15 Year Pro Forma'!TZI66:TZJ66))</f>
        <v>0</v>
      </c>
      <c r="TZM66" s="960">
        <f>MIN(TZM60-TZM62,'Sources and Uses Budget'!TZM108-SUM('15 Year Pro Forma'!TZK66:TZL66))</f>
        <v>0</v>
      </c>
      <c r="TZO66" s="960">
        <f>MIN(TZO60-TZO62,'Sources and Uses Budget'!TZO108-SUM('15 Year Pro Forma'!TZM66:TZN66))</f>
        <v>0</v>
      </c>
      <c r="TZQ66" s="960">
        <f>MIN(TZQ60-TZQ62,'Sources and Uses Budget'!TZQ108-SUM('15 Year Pro Forma'!TZO66:TZP66))</f>
        <v>0</v>
      </c>
      <c r="TZS66" s="960">
        <f>MIN(TZS60-TZS62,'Sources and Uses Budget'!TZS108-SUM('15 Year Pro Forma'!TZQ66:TZR66))</f>
        <v>0</v>
      </c>
      <c r="TZU66" s="960">
        <f>MIN(TZU60-TZU62,'Sources and Uses Budget'!TZU108-SUM('15 Year Pro Forma'!TZS66:TZT66))</f>
        <v>0</v>
      </c>
      <c r="TZW66" s="960">
        <f>MIN(TZW60-TZW62,'Sources and Uses Budget'!TZW108-SUM('15 Year Pro Forma'!TZU66:TZV66))</f>
        <v>0</v>
      </c>
      <c r="TZY66" s="960">
        <f>MIN(TZY60-TZY62,'Sources and Uses Budget'!TZY108-SUM('15 Year Pro Forma'!TZW66:TZX66))</f>
        <v>0</v>
      </c>
      <c r="UAA66" s="960">
        <f>MIN(UAA60-UAA62,'Sources and Uses Budget'!UAA108-SUM('15 Year Pro Forma'!TZY66:TZZ66))</f>
        <v>0</v>
      </c>
      <c r="UAC66" s="960">
        <f>MIN(UAC60-UAC62,'Sources and Uses Budget'!UAC108-SUM('15 Year Pro Forma'!UAA66:UAB66))</f>
        <v>0</v>
      </c>
      <c r="UAE66" s="960">
        <f>MIN(UAE60-UAE62,'Sources and Uses Budget'!UAE108-SUM('15 Year Pro Forma'!UAC66:UAD66))</f>
        <v>0</v>
      </c>
      <c r="UAG66" s="960">
        <f>MIN(UAG60-UAG62,'Sources and Uses Budget'!UAG108-SUM('15 Year Pro Forma'!UAE66:UAF66))</f>
        <v>0</v>
      </c>
      <c r="UAI66" s="960">
        <f>MIN(UAI60-UAI62,'Sources and Uses Budget'!UAI108-SUM('15 Year Pro Forma'!UAG66:UAH66))</f>
        <v>0</v>
      </c>
      <c r="UAK66" s="960">
        <f>MIN(UAK60-UAK62,'Sources and Uses Budget'!UAK108-SUM('15 Year Pro Forma'!UAI66:UAJ66))</f>
        <v>0</v>
      </c>
      <c r="UAM66" s="960">
        <f>MIN(UAM60-UAM62,'Sources and Uses Budget'!UAM108-SUM('15 Year Pro Forma'!UAK66:UAL66))</f>
        <v>0</v>
      </c>
      <c r="UAO66" s="960">
        <f>MIN(UAO60-UAO62,'Sources and Uses Budget'!UAO108-SUM('15 Year Pro Forma'!UAM66:UAN66))</f>
        <v>0</v>
      </c>
      <c r="UAQ66" s="960">
        <f>MIN(UAQ60-UAQ62,'Sources and Uses Budget'!UAQ108-SUM('15 Year Pro Forma'!UAO66:UAP66))</f>
        <v>0</v>
      </c>
      <c r="UAS66" s="960">
        <f>MIN(UAS60-UAS62,'Sources and Uses Budget'!UAS108-SUM('15 Year Pro Forma'!UAQ66:UAR66))</f>
        <v>0</v>
      </c>
      <c r="UAU66" s="960">
        <f>MIN(UAU60-UAU62,'Sources and Uses Budget'!UAU108-SUM('15 Year Pro Forma'!UAS66:UAT66))</f>
        <v>0</v>
      </c>
      <c r="UAW66" s="960">
        <f>MIN(UAW60-UAW62,'Sources and Uses Budget'!UAW108-SUM('15 Year Pro Forma'!UAU66:UAV66))</f>
        <v>0</v>
      </c>
      <c r="UAY66" s="960">
        <f>MIN(UAY60-UAY62,'Sources and Uses Budget'!UAY108-SUM('15 Year Pro Forma'!UAW66:UAX66))</f>
        <v>0</v>
      </c>
      <c r="UBA66" s="960">
        <f>MIN(UBA60-UBA62,'Sources and Uses Budget'!UBA108-SUM('15 Year Pro Forma'!UAY66:UAZ66))</f>
        <v>0</v>
      </c>
      <c r="UBC66" s="960">
        <f>MIN(UBC60-UBC62,'Sources and Uses Budget'!UBC108-SUM('15 Year Pro Forma'!UBA66:UBB66))</f>
        <v>0</v>
      </c>
      <c r="UBE66" s="960">
        <f>MIN(UBE60-UBE62,'Sources and Uses Budget'!UBE108-SUM('15 Year Pro Forma'!UBC66:UBD66))</f>
        <v>0</v>
      </c>
      <c r="UBG66" s="960">
        <f>MIN(UBG60-UBG62,'Sources and Uses Budget'!UBG108-SUM('15 Year Pro Forma'!UBE66:UBF66))</f>
        <v>0</v>
      </c>
      <c r="UBI66" s="960">
        <f>MIN(UBI60-UBI62,'Sources and Uses Budget'!UBI108-SUM('15 Year Pro Forma'!UBG66:UBH66))</f>
        <v>0</v>
      </c>
      <c r="UBK66" s="960">
        <f>MIN(UBK60-UBK62,'Sources and Uses Budget'!UBK108-SUM('15 Year Pro Forma'!UBI66:UBJ66))</f>
        <v>0</v>
      </c>
      <c r="UBM66" s="960">
        <f>MIN(UBM60-UBM62,'Sources and Uses Budget'!UBM108-SUM('15 Year Pro Forma'!UBK66:UBL66))</f>
        <v>0</v>
      </c>
      <c r="UBO66" s="960">
        <f>MIN(UBO60-UBO62,'Sources and Uses Budget'!UBO108-SUM('15 Year Pro Forma'!UBM66:UBN66))</f>
        <v>0</v>
      </c>
      <c r="UBQ66" s="960">
        <f>MIN(UBQ60-UBQ62,'Sources and Uses Budget'!UBQ108-SUM('15 Year Pro Forma'!UBO66:UBP66))</f>
        <v>0</v>
      </c>
      <c r="UBS66" s="960">
        <f>MIN(UBS60-UBS62,'Sources and Uses Budget'!UBS108-SUM('15 Year Pro Forma'!UBQ66:UBR66))</f>
        <v>0</v>
      </c>
      <c r="UBU66" s="960">
        <f>MIN(UBU60-UBU62,'Sources and Uses Budget'!UBU108-SUM('15 Year Pro Forma'!UBS66:UBT66))</f>
        <v>0</v>
      </c>
      <c r="UBW66" s="960">
        <f>MIN(UBW60-UBW62,'Sources and Uses Budget'!UBW108-SUM('15 Year Pro Forma'!UBU66:UBV66))</f>
        <v>0</v>
      </c>
      <c r="UBY66" s="960">
        <f>MIN(UBY60-UBY62,'Sources and Uses Budget'!UBY108-SUM('15 Year Pro Forma'!UBW66:UBX66))</f>
        <v>0</v>
      </c>
      <c r="UCA66" s="960">
        <f>MIN(UCA60-UCA62,'Sources and Uses Budget'!UCA108-SUM('15 Year Pro Forma'!UBY66:UBZ66))</f>
        <v>0</v>
      </c>
      <c r="UCC66" s="960">
        <f>MIN(UCC60-UCC62,'Sources and Uses Budget'!UCC108-SUM('15 Year Pro Forma'!UCA66:UCB66))</f>
        <v>0</v>
      </c>
      <c r="UCE66" s="960">
        <f>MIN(UCE60-UCE62,'Sources and Uses Budget'!UCE108-SUM('15 Year Pro Forma'!UCC66:UCD66))</f>
        <v>0</v>
      </c>
      <c r="UCG66" s="960">
        <f>MIN(UCG60-UCG62,'Sources and Uses Budget'!UCG108-SUM('15 Year Pro Forma'!UCE66:UCF66))</f>
        <v>0</v>
      </c>
      <c r="UCI66" s="960">
        <f>MIN(UCI60-UCI62,'Sources and Uses Budget'!UCI108-SUM('15 Year Pro Forma'!UCG66:UCH66))</f>
        <v>0</v>
      </c>
      <c r="UCK66" s="960">
        <f>MIN(UCK60-UCK62,'Sources and Uses Budget'!UCK108-SUM('15 Year Pro Forma'!UCI66:UCJ66))</f>
        <v>0</v>
      </c>
      <c r="UCM66" s="960">
        <f>MIN(UCM60-UCM62,'Sources and Uses Budget'!UCM108-SUM('15 Year Pro Forma'!UCK66:UCL66))</f>
        <v>0</v>
      </c>
      <c r="UCO66" s="960">
        <f>MIN(UCO60-UCO62,'Sources and Uses Budget'!UCO108-SUM('15 Year Pro Forma'!UCM66:UCN66))</f>
        <v>0</v>
      </c>
      <c r="UCQ66" s="960">
        <f>MIN(UCQ60-UCQ62,'Sources and Uses Budget'!UCQ108-SUM('15 Year Pro Forma'!UCO66:UCP66))</f>
        <v>0</v>
      </c>
      <c r="UCS66" s="960">
        <f>MIN(UCS60-UCS62,'Sources and Uses Budget'!UCS108-SUM('15 Year Pro Forma'!UCQ66:UCR66))</f>
        <v>0</v>
      </c>
      <c r="UCU66" s="960">
        <f>MIN(UCU60-UCU62,'Sources and Uses Budget'!UCU108-SUM('15 Year Pro Forma'!UCS66:UCT66))</f>
        <v>0</v>
      </c>
      <c r="UCW66" s="960">
        <f>MIN(UCW60-UCW62,'Sources and Uses Budget'!UCW108-SUM('15 Year Pro Forma'!UCU66:UCV66))</f>
        <v>0</v>
      </c>
      <c r="UCY66" s="960">
        <f>MIN(UCY60-UCY62,'Sources and Uses Budget'!UCY108-SUM('15 Year Pro Forma'!UCW66:UCX66))</f>
        <v>0</v>
      </c>
      <c r="UDA66" s="960">
        <f>MIN(UDA60-UDA62,'Sources and Uses Budget'!UDA108-SUM('15 Year Pro Forma'!UCY66:UCZ66))</f>
        <v>0</v>
      </c>
      <c r="UDC66" s="960">
        <f>MIN(UDC60-UDC62,'Sources and Uses Budget'!UDC108-SUM('15 Year Pro Forma'!UDA66:UDB66))</f>
        <v>0</v>
      </c>
      <c r="UDE66" s="960">
        <f>MIN(UDE60-UDE62,'Sources and Uses Budget'!UDE108-SUM('15 Year Pro Forma'!UDC66:UDD66))</f>
        <v>0</v>
      </c>
      <c r="UDG66" s="960">
        <f>MIN(UDG60-UDG62,'Sources and Uses Budget'!UDG108-SUM('15 Year Pro Forma'!UDE66:UDF66))</f>
        <v>0</v>
      </c>
      <c r="UDI66" s="960">
        <f>MIN(UDI60-UDI62,'Sources and Uses Budget'!UDI108-SUM('15 Year Pro Forma'!UDG66:UDH66))</f>
        <v>0</v>
      </c>
      <c r="UDK66" s="960">
        <f>MIN(UDK60-UDK62,'Sources and Uses Budget'!UDK108-SUM('15 Year Pro Forma'!UDI66:UDJ66))</f>
        <v>0</v>
      </c>
      <c r="UDM66" s="960">
        <f>MIN(UDM60-UDM62,'Sources and Uses Budget'!UDM108-SUM('15 Year Pro Forma'!UDK66:UDL66))</f>
        <v>0</v>
      </c>
      <c r="UDO66" s="960">
        <f>MIN(UDO60-UDO62,'Sources and Uses Budget'!UDO108-SUM('15 Year Pro Forma'!UDM66:UDN66))</f>
        <v>0</v>
      </c>
      <c r="UDQ66" s="960">
        <f>MIN(UDQ60-UDQ62,'Sources and Uses Budget'!UDQ108-SUM('15 Year Pro Forma'!UDO66:UDP66))</f>
        <v>0</v>
      </c>
      <c r="UDS66" s="960">
        <f>MIN(UDS60-UDS62,'Sources and Uses Budget'!UDS108-SUM('15 Year Pro Forma'!UDQ66:UDR66))</f>
        <v>0</v>
      </c>
      <c r="UDU66" s="960">
        <f>MIN(UDU60-UDU62,'Sources and Uses Budget'!UDU108-SUM('15 Year Pro Forma'!UDS66:UDT66))</f>
        <v>0</v>
      </c>
      <c r="UDW66" s="960">
        <f>MIN(UDW60-UDW62,'Sources and Uses Budget'!UDW108-SUM('15 Year Pro Forma'!UDU66:UDV66))</f>
        <v>0</v>
      </c>
      <c r="UDY66" s="960">
        <f>MIN(UDY60-UDY62,'Sources and Uses Budget'!UDY108-SUM('15 Year Pro Forma'!UDW66:UDX66))</f>
        <v>0</v>
      </c>
      <c r="UEA66" s="960">
        <f>MIN(UEA60-UEA62,'Sources and Uses Budget'!UEA108-SUM('15 Year Pro Forma'!UDY66:UDZ66))</f>
        <v>0</v>
      </c>
      <c r="UEC66" s="960">
        <f>MIN(UEC60-UEC62,'Sources and Uses Budget'!UEC108-SUM('15 Year Pro Forma'!UEA66:UEB66))</f>
        <v>0</v>
      </c>
      <c r="UEE66" s="960">
        <f>MIN(UEE60-UEE62,'Sources and Uses Budget'!UEE108-SUM('15 Year Pro Forma'!UEC66:UED66))</f>
        <v>0</v>
      </c>
      <c r="UEG66" s="960">
        <f>MIN(UEG60-UEG62,'Sources and Uses Budget'!UEG108-SUM('15 Year Pro Forma'!UEE66:UEF66))</f>
        <v>0</v>
      </c>
      <c r="UEI66" s="960">
        <f>MIN(UEI60-UEI62,'Sources and Uses Budget'!UEI108-SUM('15 Year Pro Forma'!UEG66:UEH66))</f>
        <v>0</v>
      </c>
      <c r="UEK66" s="960">
        <f>MIN(UEK60-UEK62,'Sources and Uses Budget'!UEK108-SUM('15 Year Pro Forma'!UEI66:UEJ66))</f>
        <v>0</v>
      </c>
      <c r="UEM66" s="960">
        <f>MIN(UEM60-UEM62,'Sources and Uses Budget'!UEM108-SUM('15 Year Pro Forma'!UEK66:UEL66))</f>
        <v>0</v>
      </c>
      <c r="UEO66" s="960">
        <f>MIN(UEO60-UEO62,'Sources and Uses Budget'!UEO108-SUM('15 Year Pro Forma'!UEM66:UEN66))</f>
        <v>0</v>
      </c>
      <c r="UEQ66" s="960">
        <f>MIN(UEQ60-UEQ62,'Sources and Uses Budget'!UEQ108-SUM('15 Year Pro Forma'!UEO66:UEP66))</f>
        <v>0</v>
      </c>
      <c r="UES66" s="960">
        <f>MIN(UES60-UES62,'Sources and Uses Budget'!UES108-SUM('15 Year Pro Forma'!UEQ66:UER66))</f>
        <v>0</v>
      </c>
      <c r="UEU66" s="960">
        <f>MIN(UEU60-UEU62,'Sources and Uses Budget'!UEU108-SUM('15 Year Pro Forma'!UES66:UET66))</f>
        <v>0</v>
      </c>
      <c r="UEW66" s="960">
        <f>MIN(UEW60-UEW62,'Sources and Uses Budget'!UEW108-SUM('15 Year Pro Forma'!UEU66:UEV66))</f>
        <v>0</v>
      </c>
      <c r="UEY66" s="960">
        <f>MIN(UEY60-UEY62,'Sources and Uses Budget'!UEY108-SUM('15 Year Pro Forma'!UEW66:UEX66))</f>
        <v>0</v>
      </c>
      <c r="UFA66" s="960">
        <f>MIN(UFA60-UFA62,'Sources and Uses Budget'!UFA108-SUM('15 Year Pro Forma'!UEY66:UEZ66))</f>
        <v>0</v>
      </c>
      <c r="UFC66" s="960">
        <f>MIN(UFC60-UFC62,'Sources and Uses Budget'!UFC108-SUM('15 Year Pro Forma'!UFA66:UFB66))</f>
        <v>0</v>
      </c>
      <c r="UFE66" s="960">
        <f>MIN(UFE60-UFE62,'Sources and Uses Budget'!UFE108-SUM('15 Year Pro Forma'!UFC66:UFD66))</f>
        <v>0</v>
      </c>
      <c r="UFG66" s="960">
        <f>MIN(UFG60-UFG62,'Sources and Uses Budget'!UFG108-SUM('15 Year Pro Forma'!UFE66:UFF66))</f>
        <v>0</v>
      </c>
      <c r="UFI66" s="960">
        <f>MIN(UFI60-UFI62,'Sources and Uses Budget'!UFI108-SUM('15 Year Pro Forma'!UFG66:UFH66))</f>
        <v>0</v>
      </c>
      <c r="UFK66" s="960">
        <f>MIN(UFK60-UFK62,'Sources and Uses Budget'!UFK108-SUM('15 Year Pro Forma'!UFI66:UFJ66))</f>
        <v>0</v>
      </c>
      <c r="UFM66" s="960">
        <f>MIN(UFM60-UFM62,'Sources and Uses Budget'!UFM108-SUM('15 Year Pro Forma'!UFK66:UFL66))</f>
        <v>0</v>
      </c>
      <c r="UFO66" s="960">
        <f>MIN(UFO60-UFO62,'Sources and Uses Budget'!UFO108-SUM('15 Year Pro Forma'!UFM66:UFN66))</f>
        <v>0</v>
      </c>
      <c r="UFQ66" s="960">
        <f>MIN(UFQ60-UFQ62,'Sources and Uses Budget'!UFQ108-SUM('15 Year Pro Forma'!UFO66:UFP66))</f>
        <v>0</v>
      </c>
      <c r="UFS66" s="960">
        <f>MIN(UFS60-UFS62,'Sources and Uses Budget'!UFS108-SUM('15 Year Pro Forma'!UFQ66:UFR66))</f>
        <v>0</v>
      </c>
      <c r="UFU66" s="960">
        <f>MIN(UFU60-UFU62,'Sources and Uses Budget'!UFU108-SUM('15 Year Pro Forma'!UFS66:UFT66))</f>
        <v>0</v>
      </c>
      <c r="UFW66" s="960">
        <f>MIN(UFW60-UFW62,'Sources and Uses Budget'!UFW108-SUM('15 Year Pro Forma'!UFU66:UFV66))</f>
        <v>0</v>
      </c>
      <c r="UFY66" s="960">
        <f>MIN(UFY60-UFY62,'Sources and Uses Budget'!UFY108-SUM('15 Year Pro Forma'!UFW66:UFX66))</f>
        <v>0</v>
      </c>
      <c r="UGA66" s="960">
        <f>MIN(UGA60-UGA62,'Sources and Uses Budget'!UGA108-SUM('15 Year Pro Forma'!UFY66:UFZ66))</f>
        <v>0</v>
      </c>
      <c r="UGC66" s="960">
        <f>MIN(UGC60-UGC62,'Sources and Uses Budget'!UGC108-SUM('15 Year Pro Forma'!UGA66:UGB66))</f>
        <v>0</v>
      </c>
      <c r="UGE66" s="960">
        <f>MIN(UGE60-UGE62,'Sources and Uses Budget'!UGE108-SUM('15 Year Pro Forma'!UGC66:UGD66))</f>
        <v>0</v>
      </c>
      <c r="UGG66" s="960">
        <f>MIN(UGG60-UGG62,'Sources and Uses Budget'!UGG108-SUM('15 Year Pro Forma'!UGE66:UGF66))</f>
        <v>0</v>
      </c>
      <c r="UGI66" s="960">
        <f>MIN(UGI60-UGI62,'Sources and Uses Budget'!UGI108-SUM('15 Year Pro Forma'!UGG66:UGH66))</f>
        <v>0</v>
      </c>
      <c r="UGK66" s="960">
        <f>MIN(UGK60-UGK62,'Sources and Uses Budget'!UGK108-SUM('15 Year Pro Forma'!UGI66:UGJ66))</f>
        <v>0</v>
      </c>
      <c r="UGM66" s="960">
        <f>MIN(UGM60-UGM62,'Sources and Uses Budget'!UGM108-SUM('15 Year Pro Forma'!UGK66:UGL66))</f>
        <v>0</v>
      </c>
      <c r="UGO66" s="960">
        <f>MIN(UGO60-UGO62,'Sources and Uses Budget'!UGO108-SUM('15 Year Pro Forma'!UGM66:UGN66))</f>
        <v>0</v>
      </c>
      <c r="UGQ66" s="960">
        <f>MIN(UGQ60-UGQ62,'Sources and Uses Budget'!UGQ108-SUM('15 Year Pro Forma'!UGO66:UGP66))</f>
        <v>0</v>
      </c>
      <c r="UGS66" s="960">
        <f>MIN(UGS60-UGS62,'Sources and Uses Budget'!UGS108-SUM('15 Year Pro Forma'!UGQ66:UGR66))</f>
        <v>0</v>
      </c>
      <c r="UGU66" s="960">
        <f>MIN(UGU60-UGU62,'Sources and Uses Budget'!UGU108-SUM('15 Year Pro Forma'!UGS66:UGT66))</f>
        <v>0</v>
      </c>
      <c r="UGW66" s="960">
        <f>MIN(UGW60-UGW62,'Sources and Uses Budget'!UGW108-SUM('15 Year Pro Forma'!UGU66:UGV66))</f>
        <v>0</v>
      </c>
      <c r="UGY66" s="960">
        <f>MIN(UGY60-UGY62,'Sources and Uses Budget'!UGY108-SUM('15 Year Pro Forma'!UGW66:UGX66))</f>
        <v>0</v>
      </c>
      <c r="UHA66" s="960">
        <f>MIN(UHA60-UHA62,'Sources and Uses Budget'!UHA108-SUM('15 Year Pro Forma'!UGY66:UGZ66))</f>
        <v>0</v>
      </c>
      <c r="UHC66" s="960">
        <f>MIN(UHC60-UHC62,'Sources and Uses Budget'!UHC108-SUM('15 Year Pro Forma'!UHA66:UHB66))</f>
        <v>0</v>
      </c>
      <c r="UHE66" s="960">
        <f>MIN(UHE60-UHE62,'Sources and Uses Budget'!UHE108-SUM('15 Year Pro Forma'!UHC66:UHD66))</f>
        <v>0</v>
      </c>
      <c r="UHG66" s="960">
        <f>MIN(UHG60-UHG62,'Sources and Uses Budget'!UHG108-SUM('15 Year Pro Forma'!UHE66:UHF66))</f>
        <v>0</v>
      </c>
      <c r="UHI66" s="960">
        <f>MIN(UHI60-UHI62,'Sources and Uses Budget'!UHI108-SUM('15 Year Pro Forma'!UHG66:UHH66))</f>
        <v>0</v>
      </c>
      <c r="UHK66" s="960">
        <f>MIN(UHK60-UHK62,'Sources and Uses Budget'!UHK108-SUM('15 Year Pro Forma'!UHI66:UHJ66))</f>
        <v>0</v>
      </c>
      <c r="UHM66" s="960">
        <f>MIN(UHM60-UHM62,'Sources and Uses Budget'!UHM108-SUM('15 Year Pro Forma'!UHK66:UHL66))</f>
        <v>0</v>
      </c>
      <c r="UHO66" s="960">
        <f>MIN(UHO60-UHO62,'Sources and Uses Budget'!UHO108-SUM('15 Year Pro Forma'!UHM66:UHN66))</f>
        <v>0</v>
      </c>
      <c r="UHQ66" s="960">
        <f>MIN(UHQ60-UHQ62,'Sources and Uses Budget'!UHQ108-SUM('15 Year Pro Forma'!UHO66:UHP66))</f>
        <v>0</v>
      </c>
      <c r="UHS66" s="960">
        <f>MIN(UHS60-UHS62,'Sources and Uses Budget'!UHS108-SUM('15 Year Pro Forma'!UHQ66:UHR66))</f>
        <v>0</v>
      </c>
      <c r="UHU66" s="960">
        <f>MIN(UHU60-UHU62,'Sources and Uses Budget'!UHU108-SUM('15 Year Pro Forma'!UHS66:UHT66))</f>
        <v>0</v>
      </c>
      <c r="UHW66" s="960">
        <f>MIN(UHW60-UHW62,'Sources and Uses Budget'!UHW108-SUM('15 Year Pro Forma'!UHU66:UHV66))</f>
        <v>0</v>
      </c>
      <c r="UHY66" s="960">
        <f>MIN(UHY60-UHY62,'Sources and Uses Budget'!UHY108-SUM('15 Year Pro Forma'!UHW66:UHX66))</f>
        <v>0</v>
      </c>
      <c r="UIA66" s="960">
        <f>MIN(UIA60-UIA62,'Sources and Uses Budget'!UIA108-SUM('15 Year Pro Forma'!UHY66:UHZ66))</f>
        <v>0</v>
      </c>
      <c r="UIC66" s="960">
        <f>MIN(UIC60-UIC62,'Sources and Uses Budget'!UIC108-SUM('15 Year Pro Forma'!UIA66:UIB66))</f>
        <v>0</v>
      </c>
      <c r="UIE66" s="960">
        <f>MIN(UIE60-UIE62,'Sources and Uses Budget'!UIE108-SUM('15 Year Pro Forma'!UIC66:UID66))</f>
        <v>0</v>
      </c>
      <c r="UIG66" s="960">
        <f>MIN(UIG60-UIG62,'Sources and Uses Budget'!UIG108-SUM('15 Year Pro Forma'!UIE66:UIF66))</f>
        <v>0</v>
      </c>
      <c r="UII66" s="960">
        <f>MIN(UII60-UII62,'Sources and Uses Budget'!UII108-SUM('15 Year Pro Forma'!UIG66:UIH66))</f>
        <v>0</v>
      </c>
      <c r="UIK66" s="960">
        <f>MIN(UIK60-UIK62,'Sources and Uses Budget'!UIK108-SUM('15 Year Pro Forma'!UII66:UIJ66))</f>
        <v>0</v>
      </c>
      <c r="UIM66" s="960">
        <f>MIN(UIM60-UIM62,'Sources and Uses Budget'!UIM108-SUM('15 Year Pro Forma'!UIK66:UIL66))</f>
        <v>0</v>
      </c>
      <c r="UIO66" s="960">
        <f>MIN(UIO60-UIO62,'Sources and Uses Budget'!UIO108-SUM('15 Year Pro Forma'!UIM66:UIN66))</f>
        <v>0</v>
      </c>
      <c r="UIQ66" s="960">
        <f>MIN(UIQ60-UIQ62,'Sources and Uses Budget'!UIQ108-SUM('15 Year Pro Forma'!UIO66:UIP66))</f>
        <v>0</v>
      </c>
      <c r="UIS66" s="960">
        <f>MIN(UIS60-UIS62,'Sources and Uses Budget'!UIS108-SUM('15 Year Pro Forma'!UIQ66:UIR66))</f>
        <v>0</v>
      </c>
      <c r="UIU66" s="960">
        <f>MIN(UIU60-UIU62,'Sources and Uses Budget'!UIU108-SUM('15 Year Pro Forma'!UIS66:UIT66))</f>
        <v>0</v>
      </c>
      <c r="UIW66" s="960">
        <f>MIN(UIW60-UIW62,'Sources and Uses Budget'!UIW108-SUM('15 Year Pro Forma'!UIU66:UIV66))</f>
        <v>0</v>
      </c>
      <c r="UIY66" s="960">
        <f>MIN(UIY60-UIY62,'Sources and Uses Budget'!UIY108-SUM('15 Year Pro Forma'!UIW66:UIX66))</f>
        <v>0</v>
      </c>
      <c r="UJA66" s="960">
        <f>MIN(UJA60-UJA62,'Sources and Uses Budget'!UJA108-SUM('15 Year Pro Forma'!UIY66:UIZ66))</f>
        <v>0</v>
      </c>
      <c r="UJC66" s="960">
        <f>MIN(UJC60-UJC62,'Sources and Uses Budget'!UJC108-SUM('15 Year Pro Forma'!UJA66:UJB66))</f>
        <v>0</v>
      </c>
      <c r="UJE66" s="960">
        <f>MIN(UJE60-UJE62,'Sources and Uses Budget'!UJE108-SUM('15 Year Pro Forma'!UJC66:UJD66))</f>
        <v>0</v>
      </c>
      <c r="UJG66" s="960">
        <f>MIN(UJG60-UJG62,'Sources and Uses Budget'!UJG108-SUM('15 Year Pro Forma'!UJE66:UJF66))</f>
        <v>0</v>
      </c>
      <c r="UJI66" s="960">
        <f>MIN(UJI60-UJI62,'Sources and Uses Budget'!UJI108-SUM('15 Year Pro Forma'!UJG66:UJH66))</f>
        <v>0</v>
      </c>
      <c r="UJK66" s="960">
        <f>MIN(UJK60-UJK62,'Sources and Uses Budget'!UJK108-SUM('15 Year Pro Forma'!UJI66:UJJ66))</f>
        <v>0</v>
      </c>
      <c r="UJM66" s="960">
        <f>MIN(UJM60-UJM62,'Sources and Uses Budget'!UJM108-SUM('15 Year Pro Forma'!UJK66:UJL66))</f>
        <v>0</v>
      </c>
      <c r="UJO66" s="960">
        <f>MIN(UJO60-UJO62,'Sources and Uses Budget'!UJO108-SUM('15 Year Pro Forma'!UJM66:UJN66))</f>
        <v>0</v>
      </c>
      <c r="UJQ66" s="960">
        <f>MIN(UJQ60-UJQ62,'Sources and Uses Budget'!UJQ108-SUM('15 Year Pro Forma'!UJO66:UJP66))</f>
        <v>0</v>
      </c>
      <c r="UJS66" s="960">
        <f>MIN(UJS60-UJS62,'Sources and Uses Budget'!UJS108-SUM('15 Year Pro Forma'!UJQ66:UJR66))</f>
        <v>0</v>
      </c>
      <c r="UJU66" s="960">
        <f>MIN(UJU60-UJU62,'Sources and Uses Budget'!UJU108-SUM('15 Year Pro Forma'!UJS66:UJT66))</f>
        <v>0</v>
      </c>
      <c r="UJW66" s="960">
        <f>MIN(UJW60-UJW62,'Sources and Uses Budget'!UJW108-SUM('15 Year Pro Forma'!UJU66:UJV66))</f>
        <v>0</v>
      </c>
      <c r="UJY66" s="960">
        <f>MIN(UJY60-UJY62,'Sources and Uses Budget'!UJY108-SUM('15 Year Pro Forma'!UJW66:UJX66))</f>
        <v>0</v>
      </c>
      <c r="UKA66" s="960">
        <f>MIN(UKA60-UKA62,'Sources and Uses Budget'!UKA108-SUM('15 Year Pro Forma'!UJY66:UJZ66))</f>
        <v>0</v>
      </c>
      <c r="UKC66" s="960">
        <f>MIN(UKC60-UKC62,'Sources and Uses Budget'!UKC108-SUM('15 Year Pro Forma'!UKA66:UKB66))</f>
        <v>0</v>
      </c>
      <c r="UKE66" s="960">
        <f>MIN(UKE60-UKE62,'Sources and Uses Budget'!UKE108-SUM('15 Year Pro Forma'!UKC66:UKD66))</f>
        <v>0</v>
      </c>
      <c r="UKG66" s="960">
        <f>MIN(UKG60-UKG62,'Sources and Uses Budget'!UKG108-SUM('15 Year Pro Forma'!UKE66:UKF66))</f>
        <v>0</v>
      </c>
      <c r="UKI66" s="960">
        <f>MIN(UKI60-UKI62,'Sources and Uses Budget'!UKI108-SUM('15 Year Pro Forma'!UKG66:UKH66))</f>
        <v>0</v>
      </c>
      <c r="UKK66" s="960">
        <f>MIN(UKK60-UKK62,'Sources and Uses Budget'!UKK108-SUM('15 Year Pro Forma'!UKI66:UKJ66))</f>
        <v>0</v>
      </c>
      <c r="UKM66" s="960">
        <f>MIN(UKM60-UKM62,'Sources and Uses Budget'!UKM108-SUM('15 Year Pro Forma'!UKK66:UKL66))</f>
        <v>0</v>
      </c>
      <c r="UKO66" s="960">
        <f>MIN(UKO60-UKO62,'Sources and Uses Budget'!UKO108-SUM('15 Year Pro Forma'!UKM66:UKN66))</f>
        <v>0</v>
      </c>
      <c r="UKQ66" s="960">
        <f>MIN(UKQ60-UKQ62,'Sources and Uses Budget'!UKQ108-SUM('15 Year Pro Forma'!UKO66:UKP66))</f>
        <v>0</v>
      </c>
      <c r="UKS66" s="960">
        <f>MIN(UKS60-UKS62,'Sources and Uses Budget'!UKS108-SUM('15 Year Pro Forma'!UKQ66:UKR66))</f>
        <v>0</v>
      </c>
      <c r="UKU66" s="960">
        <f>MIN(UKU60-UKU62,'Sources and Uses Budget'!UKU108-SUM('15 Year Pro Forma'!UKS66:UKT66))</f>
        <v>0</v>
      </c>
      <c r="UKW66" s="960">
        <f>MIN(UKW60-UKW62,'Sources and Uses Budget'!UKW108-SUM('15 Year Pro Forma'!UKU66:UKV66))</f>
        <v>0</v>
      </c>
      <c r="UKY66" s="960">
        <f>MIN(UKY60-UKY62,'Sources and Uses Budget'!UKY108-SUM('15 Year Pro Forma'!UKW66:UKX66))</f>
        <v>0</v>
      </c>
      <c r="ULA66" s="960">
        <f>MIN(ULA60-ULA62,'Sources and Uses Budget'!ULA108-SUM('15 Year Pro Forma'!UKY66:UKZ66))</f>
        <v>0</v>
      </c>
      <c r="ULC66" s="960">
        <f>MIN(ULC60-ULC62,'Sources and Uses Budget'!ULC108-SUM('15 Year Pro Forma'!ULA66:ULB66))</f>
        <v>0</v>
      </c>
      <c r="ULE66" s="960">
        <f>MIN(ULE60-ULE62,'Sources and Uses Budget'!ULE108-SUM('15 Year Pro Forma'!ULC66:ULD66))</f>
        <v>0</v>
      </c>
      <c r="ULG66" s="960">
        <f>MIN(ULG60-ULG62,'Sources and Uses Budget'!ULG108-SUM('15 Year Pro Forma'!ULE66:ULF66))</f>
        <v>0</v>
      </c>
      <c r="ULI66" s="960">
        <f>MIN(ULI60-ULI62,'Sources and Uses Budget'!ULI108-SUM('15 Year Pro Forma'!ULG66:ULH66))</f>
        <v>0</v>
      </c>
      <c r="ULK66" s="960">
        <f>MIN(ULK60-ULK62,'Sources and Uses Budget'!ULK108-SUM('15 Year Pro Forma'!ULI66:ULJ66))</f>
        <v>0</v>
      </c>
      <c r="ULM66" s="960">
        <f>MIN(ULM60-ULM62,'Sources and Uses Budget'!ULM108-SUM('15 Year Pro Forma'!ULK66:ULL66))</f>
        <v>0</v>
      </c>
      <c r="ULO66" s="960">
        <f>MIN(ULO60-ULO62,'Sources and Uses Budget'!ULO108-SUM('15 Year Pro Forma'!ULM66:ULN66))</f>
        <v>0</v>
      </c>
      <c r="ULQ66" s="960">
        <f>MIN(ULQ60-ULQ62,'Sources and Uses Budget'!ULQ108-SUM('15 Year Pro Forma'!ULO66:ULP66))</f>
        <v>0</v>
      </c>
      <c r="ULS66" s="960">
        <f>MIN(ULS60-ULS62,'Sources and Uses Budget'!ULS108-SUM('15 Year Pro Forma'!ULQ66:ULR66))</f>
        <v>0</v>
      </c>
      <c r="ULU66" s="960">
        <f>MIN(ULU60-ULU62,'Sources and Uses Budget'!ULU108-SUM('15 Year Pro Forma'!ULS66:ULT66))</f>
        <v>0</v>
      </c>
      <c r="ULW66" s="960">
        <f>MIN(ULW60-ULW62,'Sources and Uses Budget'!ULW108-SUM('15 Year Pro Forma'!ULU66:ULV66))</f>
        <v>0</v>
      </c>
      <c r="ULY66" s="960">
        <f>MIN(ULY60-ULY62,'Sources and Uses Budget'!ULY108-SUM('15 Year Pro Forma'!ULW66:ULX66))</f>
        <v>0</v>
      </c>
      <c r="UMA66" s="960">
        <f>MIN(UMA60-UMA62,'Sources and Uses Budget'!UMA108-SUM('15 Year Pro Forma'!ULY66:ULZ66))</f>
        <v>0</v>
      </c>
      <c r="UMC66" s="960">
        <f>MIN(UMC60-UMC62,'Sources and Uses Budget'!UMC108-SUM('15 Year Pro Forma'!UMA66:UMB66))</f>
        <v>0</v>
      </c>
      <c r="UME66" s="960">
        <f>MIN(UME60-UME62,'Sources and Uses Budget'!UME108-SUM('15 Year Pro Forma'!UMC66:UMD66))</f>
        <v>0</v>
      </c>
      <c r="UMG66" s="960">
        <f>MIN(UMG60-UMG62,'Sources and Uses Budget'!UMG108-SUM('15 Year Pro Forma'!UME66:UMF66))</f>
        <v>0</v>
      </c>
      <c r="UMI66" s="960">
        <f>MIN(UMI60-UMI62,'Sources and Uses Budget'!UMI108-SUM('15 Year Pro Forma'!UMG66:UMH66))</f>
        <v>0</v>
      </c>
      <c r="UMK66" s="960">
        <f>MIN(UMK60-UMK62,'Sources and Uses Budget'!UMK108-SUM('15 Year Pro Forma'!UMI66:UMJ66))</f>
        <v>0</v>
      </c>
      <c r="UMM66" s="960">
        <f>MIN(UMM60-UMM62,'Sources and Uses Budget'!UMM108-SUM('15 Year Pro Forma'!UMK66:UML66))</f>
        <v>0</v>
      </c>
      <c r="UMO66" s="960">
        <f>MIN(UMO60-UMO62,'Sources and Uses Budget'!UMO108-SUM('15 Year Pro Forma'!UMM66:UMN66))</f>
        <v>0</v>
      </c>
      <c r="UMQ66" s="960">
        <f>MIN(UMQ60-UMQ62,'Sources and Uses Budget'!UMQ108-SUM('15 Year Pro Forma'!UMO66:UMP66))</f>
        <v>0</v>
      </c>
      <c r="UMS66" s="960">
        <f>MIN(UMS60-UMS62,'Sources and Uses Budget'!UMS108-SUM('15 Year Pro Forma'!UMQ66:UMR66))</f>
        <v>0</v>
      </c>
      <c r="UMU66" s="960">
        <f>MIN(UMU60-UMU62,'Sources and Uses Budget'!UMU108-SUM('15 Year Pro Forma'!UMS66:UMT66))</f>
        <v>0</v>
      </c>
      <c r="UMW66" s="960">
        <f>MIN(UMW60-UMW62,'Sources and Uses Budget'!UMW108-SUM('15 Year Pro Forma'!UMU66:UMV66))</f>
        <v>0</v>
      </c>
      <c r="UMY66" s="960">
        <f>MIN(UMY60-UMY62,'Sources and Uses Budget'!UMY108-SUM('15 Year Pro Forma'!UMW66:UMX66))</f>
        <v>0</v>
      </c>
      <c r="UNA66" s="960">
        <f>MIN(UNA60-UNA62,'Sources and Uses Budget'!UNA108-SUM('15 Year Pro Forma'!UMY66:UMZ66))</f>
        <v>0</v>
      </c>
      <c r="UNC66" s="960">
        <f>MIN(UNC60-UNC62,'Sources and Uses Budget'!UNC108-SUM('15 Year Pro Forma'!UNA66:UNB66))</f>
        <v>0</v>
      </c>
      <c r="UNE66" s="960">
        <f>MIN(UNE60-UNE62,'Sources and Uses Budget'!UNE108-SUM('15 Year Pro Forma'!UNC66:UND66))</f>
        <v>0</v>
      </c>
      <c r="UNG66" s="960">
        <f>MIN(UNG60-UNG62,'Sources and Uses Budget'!UNG108-SUM('15 Year Pro Forma'!UNE66:UNF66))</f>
        <v>0</v>
      </c>
      <c r="UNI66" s="960">
        <f>MIN(UNI60-UNI62,'Sources and Uses Budget'!UNI108-SUM('15 Year Pro Forma'!UNG66:UNH66))</f>
        <v>0</v>
      </c>
      <c r="UNK66" s="960">
        <f>MIN(UNK60-UNK62,'Sources and Uses Budget'!UNK108-SUM('15 Year Pro Forma'!UNI66:UNJ66))</f>
        <v>0</v>
      </c>
      <c r="UNM66" s="960">
        <f>MIN(UNM60-UNM62,'Sources and Uses Budget'!UNM108-SUM('15 Year Pro Forma'!UNK66:UNL66))</f>
        <v>0</v>
      </c>
      <c r="UNO66" s="960">
        <f>MIN(UNO60-UNO62,'Sources and Uses Budget'!UNO108-SUM('15 Year Pro Forma'!UNM66:UNN66))</f>
        <v>0</v>
      </c>
      <c r="UNQ66" s="960">
        <f>MIN(UNQ60-UNQ62,'Sources and Uses Budget'!UNQ108-SUM('15 Year Pro Forma'!UNO66:UNP66))</f>
        <v>0</v>
      </c>
      <c r="UNS66" s="960">
        <f>MIN(UNS60-UNS62,'Sources and Uses Budget'!UNS108-SUM('15 Year Pro Forma'!UNQ66:UNR66))</f>
        <v>0</v>
      </c>
      <c r="UNU66" s="960">
        <f>MIN(UNU60-UNU62,'Sources and Uses Budget'!UNU108-SUM('15 Year Pro Forma'!UNS66:UNT66))</f>
        <v>0</v>
      </c>
      <c r="UNW66" s="960">
        <f>MIN(UNW60-UNW62,'Sources and Uses Budget'!UNW108-SUM('15 Year Pro Forma'!UNU66:UNV66))</f>
        <v>0</v>
      </c>
      <c r="UNY66" s="960">
        <f>MIN(UNY60-UNY62,'Sources and Uses Budget'!UNY108-SUM('15 Year Pro Forma'!UNW66:UNX66))</f>
        <v>0</v>
      </c>
      <c r="UOA66" s="960">
        <f>MIN(UOA60-UOA62,'Sources and Uses Budget'!UOA108-SUM('15 Year Pro Forma'!UNY66:UNZ66))</f>
        <v>0</v>
      </c>
      <c r="UOC66" s="960">
        <f>MIN(UOC60-UOC62,'Sources and Uses Budget'!UOC108-SUM('15 Year Pro Forma'!UOA66:UOB66))</f>
        <v>0</v>
      </c>
      <c r="UOE66" s="960">
        <f>MIN(UOE60-UOE62,'Sources and Uses Budget'!UOE108-SUM('15 Year Pro Forma'!UOC66:UOD66))</f>
        <v>0</v>
      </c>
      <c r="UOG66" s="960">
        <f>MIN(UOG60-UOG62,'Sources and Uses Budget'!UOG108-SUM('15 Year Pro Forma'!UOE66:UOF66))</f>
        <v>0</v>
      </c>
      <c r="UOI66" s="960">
        <f>MIN(UOI60-UOI62,'Sources and Uses Budget'!UOI108-SUM('15 Year Pro Forma'!UOG66:UOH66))</f>
        <v>0</v>
      </c>
      <c r="UOK66" s="960">
        <f>MIN(UOK60-UOK62,'Sources and Uses Budget'!UOK108-SUM('15 Year Pro Forma'!UOI66:UOJ66))</f>
        <v>0</v>
      </c>
      <c r="UOM66" s="960">
        <f>MIN(UOM60-UOM62,'Sources and Uses Budget'!UOM108-SUM('15 Year Pro Forma'!UOK66:UOL66))</f>
        <v>0</v>
      </c>
      <c r="UOO66" s="960">
        <f>MIN(UOO60-UOO62,'Sources and Uses Budget'!UOO108-SUM('15 Year Pro Forma'!UOM66:UON66))</f>
        <v>0</v>
      </c>
      <c r="UOQ66" s="960">
        <f>MIN(UOQ60-UOQ62,'Sources and Uses Budget'!UOQ108-SUM('15 Year Pro Forma'!UOO66:UOP66))</f>
        <v>0</v>
      </c>
      <c r="UOS66" s="960">
        <f>MIN(UOS60-UOS62,'Sources and Uses Budget'!UOS108-SUM('15 Year Pro Forma'!UOQ66:UOR66))</f>
        <v>0</v>
      </c>
      <c r="UOU66" s="960">
        <f>MIN(UOU60-UOU62,'Sources and Uses Budget'!UOU108-SUM('15 Year Pro Forma'!UOS66:UOT66))</f>
        <v>0</v>
      </c>
      <c r="UOW66" s="960">
        <f>MIN(UOW60-UOW62,'Sources and Uses Budget'!UOW108-SUM('15 Year Pro Forma'!UOU66:UOV66))</f>
        <v>0</v>
      </c>
      <c r="UOY66" s="960">
        <f>MIN(UOY60-UOY62,'Sources and Uses Budget'!UOY108-SUM('15 Year Pro Forma'!UOW66:UOX66))</f>
        <v>0</v>
      </c>
      <c r="UPA66" s="960">
        <f>MIN(UPA60-UPA62,'Sources and Uses Budget'!UPA108-SUM('15 Year Pro Forma'!UOY66:UOZ66))</f>
        <v>0</v>
      </c>
      <c r="UPC66" s="960">
        <f>MIN(UPC60-UPC62,'Sources and Uses Budget'!UPC108-SUM('15 Year Pro Forma'!UPA66:UPB66))</f>
        <v>0</v>
      </c>
      <c r="UPE66" s="960">
        <f>MIN(UPE60-UPE62,'Sources and Uses Budget'!UPE108-SUM('15 Year Pro Forma'!UPC66:UPD66))</f>
        <v>0</v>
      </c>
      <c r="UPG66" s="960">
        <f>MIN(UPG60-UPG62,'Sources and Uses Budget'!UPG108-SUM('15 Year Pro Forma'!UPE66:UPF66))</f>
        <v>0</v>
      </c>
      <c r="UPI66" s="960">
        <f>MIN(UPI60-UPI62,'Sources and Uses Budget'!UPI108-SUM('15 Year Pro Forma'!UPG66:UPH66))</f>
        <v>0</v>
      </c>
      <c r="UPK66" s="960">
        <f>MIN(UPK60-UPK62,'Sources and Uses Budget'!UPK108-SUM('15 Year Pro Forma'!UPI66:UPJ66))</f>
        <v>0</v>
      </c>
      <c r="UPM66" s="960">
        <f>MIN(UPM60-UPM62,'Sources and Uses Budget'!UPM108-SUM('15 Year Pro Forma'!UPK66:UPL66))</f>
        <v>0</v>
      </c>
      <c r="UPO66" s="960">
        <f>MIN(UPO60-UPO62,'Sources and Uses Budget'!UPO108-SUM('15 Year Pro Forma'!UPM66:UPN66))</f>
        <v>0</v>
      </c>
      <c r="UPQ66" s="960">
        <f>MIN(UPQ60-UPQ62,'Sources and Uses Budget'!UPQ108-SUM('15 Year Pro Forma'!UPO66:UPP66))</f>
        <v>0</v>
      </c>
      <c r="UPS66" s="960">
        <f>MIN(UPS60-UPS62,'Sources and Uses Budget'!UPS108-SUM('15 Year Pro Forma'!UPQ66:UPR66))</f>
        <v>0</v>
      </c>
      <c r="UPU66" s="960">
        <f>MIN(UPU60-UPU62,'Sources and Uses Budget'!UPU108-SUM('15 Year Pro Forma'!UPS66:UPT66))</f>
        <v>0</v>
      </c>
      <c r="UPW66" s="960">
        <f>MIN(UPW60-UPW62,'Sources and Uses Budget'!UPW108-SUM('15 Year Pro Forma'!UPU66:UPV66))</f>
        <v>0</v>
      </c>
      <c r="UPY66" s="960">
        <f>MIN(UPY60-UPY62,'Sources and Uses Budget'!UPY108-SUM('15 Year Pro Forma'!UPW66:UPX66))</f>
        <v>0</v>
      </c>
      <c r="UQA66" s="960">
        <f>MIN(UQA60-UQA62,'Sources and Uses Budget'!UQA108-SUM('15 Year Pro Forma'!UPY66:UPZ66))</f>
        <v>0</v>
      </c>
      <c r="UQC66" s="960">
        <f>MIN(UQC60-UQC62,'Sources and Uses Budget'!UQC108-SUM('15 Year Pro Forma'!UQA66:UQB66))</f>
        <v>0</v>
      </c>
      <c r="UQE66" s="960">
        <f>MIN(UQE60-UQE62,'Sources and Uses Budget'!UQE108-SUM('15 Year Pro Forma'!UQC66:UQD66))</f>
        <v>0</v>
      </c>
      <c r="UQG66" s="960">
        <f>MIN(UQG60-UQG62,'Sources and Uses Budget'!UQG108-SUM('15 Year Pro Forma'!UQE66:UQF66))</f>
        <v>0</v>
      </c>
      <c r="UQI66" s="960">
        <f>MIN(UQI60-UQI62,'Sources and Uses Budget'!UQI108-SUM('15 Year Pro Forma'!UQG66:UQH66))</f>
        <v>0</v>
      </c>
      <c r="UQK66" s="960">
        <f>MIN(UQK60-UQK62,'Sources and Uses Budget'!UQK108-SUM('15 Year Pro Forma'!UQI66:UQJ66))</f>
        <v>0</v>
      </c>
      <c r="UQM66" s="960">
        <f>MIN(UQM60-UQM62,'Sources and Uses Budget'!UQM108-SUM('15 Year Pro Forma'!UQK66:UQL66))</f>
        <v>0</v>
      </c>
      <c r="UQO66" s="960">
        <f>MIN(UQO60-UQO62,'Sources and Uses Budget'!UQO108-SUM('15 Year Pro Forma'!UQM66:UQN66))</f>
        <v>0</v>
      </c>
      <c r="UQQ66" s="960">
        <f>MIN(UQQ60-UQQ62,'Sources and Uses Budget'!UQQ108-SUM('15 Year Pro Forma'!UQO66:UQP66))</f>
        <v>0</v>
      </c>
      <c r="UQS66" s="960">
        <f>MIN(UQS60-UQS62,'Sources and Uses Budget'!UQS108-SUM('15 Year Pro Forma'!UQQ66:UQR66))</f>
        <v>0</v>
      </c>
      <c r="UQU66" s="960">
        <f>MIN(UQU60-UQU62,'Sources and Uses Budget'!UQU108-SUM('15 Year Pro Forma'!UQS66:UQT66))</f>
        <v>0</v>
      </c>
      <c r="UQW66" s="960">
        <f>MIN(UQW60-UQW62,'Sources and Uses Budget'!UQW108-SUM('15 Year Pro Forma'!UQU66:UQV66))</f>
        <v>0</v>
      </c>
      <c r="UQY66" s="960">
        <f>MIN(UQY60-UQY62,'Sources and Uses Budget'!UQY108-SUM('15 Year Pro Forma'!UQW66:UQX66))</f>
        <v>0</v>
      </c>
      <c r="URA66" s="960">
        <f>MIN(URA60-URA62,'Sources and Uses Budget'!URA108-SUM('15 Year Pro Forma'!UQY66:UQZ66))</f>
        <v>0</v>
      </c>
      <c r="URC66" s="960">
        <f>MIN(URC60-URC62,'Sources and Uses Budget'!URC108-SUM('15 Year Pro Forma'!URA66:URB66))</f>
        <v>0</v>
      </c>
      <c r="URE66" s="960">
        <f>MIN(URE60-URE62,'Sources and Uses Budget'!URE108-SUM('15 Year Pro Forma'!URC66:URD66))</f>
        <v>0</v>
      </c>
      <c r="URG66" s="960">
        <f>MIN(URG60-URG62,'Sources and Uses Budget'!URG108-SUM('15 Year Pro Forma'!URE66:URF66))</f>
        <v>0</v>
      </c>
      <c r="URI66" s="960">
        <f>MIN(URI60-URI62,'Sources and Uses Budget'!URI108-SUM('15 Year Pro Forma'!URG66:URH66))</f>
        <v>0</v>
      </c>
      <c r="URK66" s="960">
        <f>MIN(URK60-URK62,'Sources and Uses Budget'!URK108-SUM('15 Year Pro Forma'!URI66:URJ66))</f>
        <v>0</v>
      </c>
      <c r="URM66" s="960">
        <f>MIN(URM60-URM62,'Sources and Uses Budget'!URM108-SUM('15 Year Pro Forma'!URK66:URL66))</f>
        <v>0</v>
      </c>
      <c r="URO66" s="960">
        <f>MIN(URO60-URO62,'Sources and Uses Budget'!URO108-SUM('15 Year Pro Forma'!URM66:URN66))</f>
        <v>0</v>
      </c>
      <c r="URQ66" s="960">
        <f>MIN(URQ60-URQ62,'Sources and Uses Budget'!URQ108-SUM('15 Year Pro Forma'!URO66:URP66))</f>
        <v>0</v>
      </c>
      <c r="URS66" s="960">
        <f>MIN(URS60-URS62,'Sources and Uses Budget'!URS108-SUM('15 Year Pro Forma'!URQ66:URR66))</f>
        <v>0</v>
      </c>
      <c r="URU66" s="960">
        <f>MIN(URU60-URU62,'Sources and Uses Budget'!URU108-SUM('15 Year Pro Forma'!URS66:URT66))</f>
        <v>0</v>
      </c>
      <c r="URW66" s="960">
        <f>MIN(URW60-URW62,'Sources and Uses Budget'!URW108-SUM('15 Year Pro Forma'!URU66:URV66))</f>
        <v>0</v>
      </c>
      <c r="URY66" s="960">
        <f>MIN(URY60-URY62,'Sources and Uses Budget'!URY108-SUM('15 Year Pro Forma'!URW66:URX66))</f>
        <v>0</v>
      </c>
      <c r="USA66" s="960">
        <f>MIN(USA60-USA62,'Sources and Uses Budget'!USA108-SUM('15 Year Pro Forma'!URY66:URZ66))</f>
        <v>0</v>
      </c>
      <c r="USC66" s="960">
        <f>MIN(USC60-USC62,'Sources and Uses Budget'!USC108-SUM('15 Year Pro Forma'!USA66:USB66))</f>
        <v>0</v>
      </c>
      <c r="USE66" s="960">
        <f>MIN(USE60-USE62,'Sources and Uses Budget'!USE108-SUM('15 Year Pro Forma'!USC66:USD66))</f>
        <v>0</v>
      </c>
      <c r="USG66" s="960">
        <f>MIN(USG60-USG62,'Sources and Uses Budget'!USG108-SUM('15 Year Pro Forma'!USE66:USF66))</f>
        <v>0</v>
      </c>
      <c r="USI66" s="960">
        <f>MIN(USI60-USI62,'Sources and Uses Budget'!USI108-SUM('15 Year Pro Forma'!USG66:USH66))</f>
        <v>0</v>
      </c>
      <c r="USK66" s="960">
        <f>MIN(USK60-USK62,'Sources and Uses Budget'!USK108-SUM('15 Year Pro Forma'!USI66:USJ66))</f>
        <v>0</v>
      </c>
      <c r="USM66" s="960">
        <f>MIN(USM60-USM62,'Sources and Uses Budget'!USM108-SUM('15 Year Pro Forma'!USK66:USL66))</f>
        <v>0</v>
      </c>
      <c r="USO66" s="960">
        <f>MIN(USO60-USO62,'Sources and Uses Budget'!USO108-SUM('15 Year Pro Forma'!USM66:USN66))</f>
        <v>0</v>
      </c>
      <c r="USQ66" s="960">
        <f>MIN(USQ60-USQ62,'Sources and Uses Budget'!USQ108-SUM('15 Year Pro Forma'!USO66:USP66))</f>
        <v>0</v>
      </c>
      <c r="USS66" s="960">
        <f>MIN(USS60-USS62,'Sources and Uses Budget'!USS108-SUM('15 Year Pro Forma'!USQ66:USR66))</f>
        <v>0</v>
      </c>
      <c r="USU66" s="960">
        <f>MIN(USU60-USU62,'Sources and Uses Budget'!USU108-SUM('15 Year Pro Forma'!USS66:UST66))</f>
        <v>0</v>
      </c>
      <c r="USW66" s="960">
        <f>MIN(USW60-USW62,'Sources and Uses Budget'!USW108-SUM('15 Year Pro Forma'!USU66:USV66))</f>
        <v>0</v>
      </c>
      <c r="USY66" s="960">
        <f>MIN(USY60-USY62,'Sources and Uses Budget'!USY108-SUM('15 Year Pro Forma'!USW66:USX66))</f>
        <v>0</v>
      </c>
      <c r="UTA66" s="960">
        <f>MIN(UTA60-UTA62,'Sources and Uses Budget'!UTA108-SUM('15 Year Pro Forma'!USY66:USZ66))</f>
        <v>0</v>
      </c>
      <c r="UTC66" s="960">
        <f>MIN(UTC60-UTC62,'Sources and Uses Budget'!UTC108-SUM('15 Year Pro Forma'!UTA66:UTB66))</f>
        <v>0</v>
      </c>
      <c r="UTE66" s="960">
        <f>MIN(UTE60-UTE62,'Sources and Uses Budget'!UTE108-SUM('15 Year Pro Forma'!UTC66:UTD66))</f>
        <v>0</v>
      </c>
      <c r="UTG66" s="960">
        <f>MIN(UTG60-UTG62,'Sources and Uses Budget'!UTG108-SUM('15 Year Pro Forma'!UTE66:UTF66))</f>
        <v>0</v>
      </c>
      <c r="UTI66" s="960">
        <f>MIN(UTI60-UTI62,'Sources and Uses Budget'!UTI108-SUM('15 Year Pro Forma'!UTG66:UTH66))</f>
        <v>0</v>
      </c>
      <c r="UTK66" s="960">
        <f>MIN(UTK60-UTK62,'Sources and Uses Budget'!UTK108-SUM('15 Year Pro Forma'!UTI66:UTJ66))</f>
        <v>0</v>
      </c>
      <c r="UTM66" s="960">
        <f>MIN(UTM60-UTM62,'Sources and Uses Budget'!UTM108-SUM('15 Year Pro Forma'!UTK66:UTL66))</f>
        <v>0</v>
      </c>
      <c r="UTO66" s="960">
        <f>MIN(UTO60-UTO62,'Sources and Uses Budget'!UTO108-SUM('15 Year Pro Forma'!UTM66:UTN66))</f>
        <v>0</v>
      </c>
      <c r="UTQ66" s="960">
        <f>MIN(UTQ60-UTQ62,'Sources and Uses Budget'!UTQ108-SUM('15 Year Pro Forma'!UTO66:UTP66))</f>
        <v>0</v>
      </c>
      <c r="UTS66" s="960">
        <f>MIN(UTS60-UTS62,'Sources and Uses Budget'!UTS108-SUM('15 Year Pro Forma'!UTQ66:UTR66))</f>
        <v>0</v>
      </c>
      <c r="UTU66" s="960">
        <f>MIN(UTU60-UTU62,'Sources and Uses Budget'!UTU108-SUM('15 Year Pro Forma'!UTS66:UTT66))</f>
        <v>0</v>
      </c>
      <c r="UTW66" s="960">
        <f>MIN(UTW60-UTW62,'Sources and Uses Budget'!UTW108-SUM('15 Year Pro Forma'!UTU66:UTV66))</f>
        <v>0</v>
      </c>
      <c r="UTY66" s="960">
        <f>MIN(UTY60-UTY62,'Sources and Uses Budget'!UTY108-SUM('15 Year Pro Forma'!UTW66:UTX66))</f>
        <v>0</v>
      </c>
      <c r="UUA66" s="960">
        <f>MIN(UUA60-UUA62,'Sources and Uses Budget'!UUA108-SUM('15 Year Pro Forma'!UTY66:UTZ66))</f>
        <v>0</v>
      </c>
      <c r="UUC66" s="960">
        <f>MIN(UUC60-UUC62,'Sources and Uses Budget'!UUC108-SUM('15 Year Pro Forma'!UUA66:UUB66))</f>
        <v>0</v>
      </c>
      <c r="UUE66" s="960">
        <f>MIN(UUE60-UUE62,'Sources and Uses Budget'!UUE108-SUM('15 Year Pro Forma'!UUC66:UUD66))</f>
        <v>0</v>
      </c>
      <c r="UUG66" s="960">
        <f>MIN(UUG60-UUG62,'Sources and Uses Budget'!UUG108-SUM('15 Year Pro Forma'!UUE66:UUF66))</f>
        <v>0</v>
      </c>
      <c r="UUI66" s="960">
        <f>MIN(UUI60-UUI62,'Sources and Uses Budget'!UUI108-SUM('15 Year Pro Forma'!UUG66:UUH66))</f>
        <v>0</v>
      </c>
      <c r="UUK66" s="960">
        <f>MIN(UUK60-UUK62,'Sources and Uses Budget'!UUK108-SUM('15 Year Pro Forma'!UUI66:UUJ66))</f>
        <v>0</v>
      </c>
      <c r="UUM66" s="960">
        <f>MIN(UUM60-UUM62,'Sources and Uses Budget'!UUM108-SUM('15 Year Pro Forma'!UUK66:UUL66))</f>
        <v>0</v>
      </c>
      <c r="UUO66" s="960">
        <f>MIN(UUO60-UUO62,'Sources and Uses Budget'!UUO108-SUM('15 Year Pro Forma'!UUM66:UUN66))</f>
        <v>0</v>
      </c>
      <c r="UUQ66" s="960">
        <f>MIN(UUQ60-UUQ62,'Sources and Uses Budget'!UUQ108-SUM('15 Year Pro Forma'!UUO66:UUP66))</f>
        <v>0</v>
      </c>
      <c r="UUS66" s="960">
        <f>MIN(UUS60-UUS62,'Sources and Uses Budget'!UUS108-SUM('15 Year Pro Forma'!UUQ66:UUR66))</f>
        <v>0</v>
      </c>
      <c r="UUU66" s="960">
        <f>MIN(UUU60-UUU62,'Sources and Uses Budget'!UUU108-SUM('15 Year Pro Forma'!UUS66:UUT66))</f>
        <v>0</v>
      </c>
      <c r="UUW66" s="960">
        <f>MIN(UUW60-UUW62,'Sources and Uses Budget'!UUW108-SUM('15 Year Pro Forma'!UUU66:UUV66))</f>
        <v>0</v>
      </c>
      <c r="UUY66" s="960">
        <f>MIN(UUY60-UUY62,'Sources and Uses Budget'!UUY108-SUM('15 Year Pro Forma'!UUW66:UUX66))</f>
        <v>0</v>
      </c>
      <c r="UVA66" s="960">
        <f>MIN(UVA60-UVA62,'Sources and Uses Budget'!UVA108-SUM('15 Year Pro Forma'!UUY66:UUZ66))</f>
        <v>0</v>
      </c>
      <c r="UVC66" s="960">
        <f>MIN(UVC60-UVC62,'Sources and Uses Budget'!UVC108-SUM('15 Year Pro Forma'!UVA66:UVB66))</f>
        <v>0</v>
      </c>
      <c r="UVE66" s="960">
        <f>MIN(UVE60-UVE62,'Sources and Uses Budget'!UVE108-SUM('15 Year Pro Forma'!UVC66:UVD66))</f>
        <v>0</v>
      </c>
      <c r="UVG66" s="960">
        <f>MIN(UVG60-UVG62,'Sources and Uses Budget'!UVG108-SUM('15 Year Pro Forma'!UVE66:UVF66))</f>
        <v>0</v>
      </c>
      <c r="UVI66" s="960">
        <f>MIN(UVI60-UVI62,'Sources and Uses Budget'!UVI108-SUM('15 Year Pro Forma'!UVG66:UVH66))</f>
        <v>0</v>
      </c>
      <c r="UVK66" s="960">
        <f>MIN(UVK60-UVK62,'Sources and Uses Budget'!UVK108-SUM('15 Year Pro Forma'!UVI66:UVJ66))</f>
        <v>0</v>
      </c>
      <c r="UVM66" s="960">
        <f>MIN(UVM60-UVM62,'Sources and Uses Budget'!UVM108-SUM('15 Year Pro Forma'!UVK66:UVL66))</f>
        <v>0</v>
      </c>
      <c r="UVO66" s="960">
        <f>MIN(UVO60-UVO62,'Sources and Uses Budget'!UVO108-SUM('15 Year Pro Forma'!UVM66:UVN66))</f>
        <v>0</v>
      </c>
      <c r="UVQ66" s="960">
        <f>MIN(UVQ60-UVQ62,'Sources and Uses Budget'!UVQ108-SUM('15 Year Pro Forma'!UVO66:UVP66))</f>
        <v>0</v>
      </c>
      <c r="UVS66" s="960">
        <f>MIN(UVS60-UVS62,'Sources and Uses Budget'!UVS108-SUM('15 Year Pro Forma'!UVQ66:UVR66))</f>
        <v>0</v>
      </c>
      <c r="UVU66" s="960">
        <f>MIN(UVU60-UVU62,'Sources and Uses Budget'!UVU108-SUM('15 Year Pro Forma'!UVS66:UVT66))</f>
        <v>0</v>
      </c>
      <c r="UVW66" s="960">
        <f>MIN(UVW60-UVW62,'Sources and Uses Budget'!UVW108-SUM('15 Year Pro Forma'!UVU66:UVV66))</f>
        <v>0</v>
      </c>
      <c r="UVY66" s="960">
        <f>MIN(UVY60-UVY62,'Sources and Uses Budget'!UVY108-SUM('15 Year Pro Forma'!UVW66:UVX66))</f>
        <v>0</v>
      </c>
      <c r="UWA66" s="960">
        <f>MIN(UWA60-UWA62,'Sources and Uses Budget'!UWA108-SUM('15 Year Pro Forma'!UVY66:UVZ66))</f>
        <v>0</v>
      </c>
      <c r="UWC66" s="960">
        <f>MIN(UWC60-UWC62,'Sources and Uses Budget'!UWC108-SUM('15 Year Pro Forma'!UWA66:UWB66))</f>
        <v>0</v>
      </c>
      <c r="UWE66" s="960">
        <f>MIN(UWE60-UWE62,'Sources and Uses Budget'!UWE108-SUM('15 Year Pro Forma'!UWC66:UWD66))</f>
        <v>0</v>
      </c>
      <c r="UWG66" s="960">
        <f>MIN(UWG60-UWG62,'Sources and Uses Budget'!UWG108-SUM('15 Year Pro Forma'!UWE66:UWF66))</f>
        <v>0</v>
      </c>
      <c r="UWI66" s="960">
        <f>MIN(UWI60-UWI62,'Sources and Uses Budget'!UWI108-SUM('15 Year Pro Forma'!UWG66:UWH66))</f>
        <v>0</v>
      </c>
      <c r="UWK66" s="960">
        <f>MIN(UWK60-UWK62,'Sources and Uses Budget'!UWK108-SUM('15 Year Pro Forma'!UWI66:UWJ66))</f>
        <v>0</v>
      </c>
      <c r="UWM66" s="960">
        <f>MIN(UWM60-UWM62,'Sources and Uses Budget'!UWM108-SUM('15 Year Pro Forma'!UWK66:UWL66))</f>
        <v>0</v>
      </c>
      <c r="UWO66" s="960">
        <f>MIN(UWO60-UWO62,'Sources and Uses Budget'!UWO108-SUM('15 Year Pro Forma'!UWM66:UWN66))</f>
        <v>0</v>
      </c>
      <c r="UWQ66" s="960">
        <f>MIN(UWQ60-UWQ62,'Sources and Uses Budget'!UWQ108-SUM('15 Year Pro Forma'!UWO66:UWP66))</f>
        <v>0</v>
      </c>
      <c r="UWS66" s="960">
        <f>MIN(UWS60-UWS62,'Sources and Uses Budget'!UWS108-SUM('15 Year Pro Forma'!UWQ66:UWR66))</f>
        <v>0</v>
      </c>
      <c r="UWU66" s="960">
        <f>MIN(UWU60-UWU62,'Sources and Uses Budget'!UWU108-SUM('15 Year Pro Forma'!UWS66:UWT66))</f>
        <v>0</v>
      </c>
      <c r="UWW66" s="960">
        <f>MIN(UWW60-UWW62,'Sources and Uses Budget'!UWW108-SUM('15 Year Pro Forma'!UWU66:UWV66))</f>
        <v>0</v>
      </c>
      <c r="UWY66" s="960">
        <f>MIN(UWY60-UWY62,'Sources and Uses Budget'!UWY108-SUM('15 Year Pro Forma'!UWW66:UWX66))</f>
        <v>0</v>
      </c>
      <c r="UXA66" s="960">
        <f>MIN(UXA60-UXA62,'Sources and Uses Budget'!UXA108-SUM('15 Year Pro Forma'!UWY66:UWZ66))</f>
        <v>0</v>
      </c>
      <c r="UXC66" s="960">
        <f>MIN(UXC60-UXC62,'Sources and Uses Budget'!UXC108-SUM('15 Year Pro Forma'!UXA66:UXB66))</f>
        <v>0</v>
      </c>
      <c r="UXE66" s="960">
        <f>MIN(UXE60-UXE62,'Sources and Uses Budget'!UXE108-SUM('15 Year Pro Forma'!UXC66:UXD66))</f>
        <v>0</v>
      </c>
      <c r="UXG66" s="960">
        <f>MIN(UXG60-UXG62,'Sources and Uses Budget'!UXG108-SUM('15 Year Pro Forma'!UXE66:UXF66))</f>
        <v>0</v>
      </c>
      <c r="UXI66" s="960">
        <f>MIN(UXI60-UXI62,'Sources and Uses Budget'!UXI108-SUM('15 Year Pro Forma'!UXG66:UXH66))</f>
        <v>0</v>
      </c>
      <c r="UXK66" s="960">
        <f>MIN(UXK60-UXK62,'Sources and Uses Budget'!UXK108-SUM('15 Year Pro Forma'!UXI66:UXJ66))</f>
        <v>0</v>
      </c>
      <c r="UXM66" s="960">
        <f>MIN(UXM60-UXM62,'Sources and Uses Budget'!UXM108-SUM('15 Year Pro Forma'!UXK66:UXL66))</f>
        <v>0</v>
      </c>
      <c r="UXO66" s="960">
        <f>MIN(UXO60-UXO62,'Sources and Uses Budget'!UXO108-SUM('15 Year Pro Forma'!UXM66:UXN66))</f>
        <v>0</v>
      </c>
      <c r="UXQ66" s="960">
        <f>MIN(UXQ60-UXQ62,'Sources and Uses Budget'!UXQ108-SUM('15 Year Pro Forma'!UXO66:UXP66))</f>
        <v>0</v>
      </c>
      <c r="UXS66" s="960">
        <f>MIN(UXS60-UXS62,'Sources and Uses Budget'!UXS108-SUM('15 Year Pro Forma'!UXQ66:UXR66))</f>
        <v>0</v>
      </c>
      <c r="UXU66" s="960">
        <f>MIN(UXU60-UXU62,'Sources and Uses Budget'!UXU108-SUM('15 Year Pro Forma'!UXS66:UXT66))</f>
        <v>0</v>
      </c>
      <c r="UXW66" s="960">
        <f>MIN(UXW60-UXW62,'Sources and Uses Budget'!UXW108-SUM('15 Year Pro Forma'!UXU66:UXV66))</f>
        <v>0</v>
      </c>
      <c r="UXY66" s="960">
        <f>MIN(UXY60-UXY62,'Sources and Uses Budget'!UXY108-SUM('15 Year Pro Forma'!UXW66:UXX66))</f>
        <v>0</v>
      </c>
      <c r="UYA66" s="960">
        <f>MIN(UYA60-UYA62,'Sources and Uses Budget'!UYA108-SUM('15 Year Pro Forma'!UXY66:UXZ66))</f>
        <v>0</v>
      </c>
      <c r="UYC66" s="960">
        <f>MIN(UYC60-UYC62,'Sources and Uses Budget'!UYC108-SUM('15 Year Pro Forma'!UYA66:UYB66))</f>
        <v>0</v>
      </c>
      <c r="UYE66" s="960">
        <f>MIN(UYE60-UYE62,'Sources and Uses Budget'!UYE108-SUM('15 Year Pro Forma'!UYC66:UYD66))</f>
        <v>0</v>
      </c>
      <c r="UYG66" s="960">
        <f>MIN(UYG60-UYG62,'Sources and Uses Budget'!UYG108-SUM('15 Year Pro Forma'!UYE66:UYF66))</f>
        <v>0</v>
      </c>
      <c r="UYI66" s="960">
        <f>MIN(UYI60-UYI62,'Sources and Uses Budget'!UYI108-SUM('15 Year Pro Forma'!UYG66:UYH66))</f>
        <v>0</v>
      </c>
      <c r="UYK66" s="960">
        <f>MIN(UYK60-UYK62,'Sources and Uses Budget'!UYK108-SUM('15 Year Pro Forma'!UYI66:UYJ66))</f>
        <v>0</v>
      </c>
      <c r="UYM66" s="960">
        <f>MIN(UYM60-UYM62,'Sources and Uses Budget'!UYM108-SUM('15 Year Pro Forma'!UYK66:UYL66))</f>
        <v>0</v>
      </c>
      <c r="UYO66" s="960">
        <f>MIN(UYO60-UYO62,'Sources and Uses Budget'!UYO108-SUM('15 Year Pro Forma'!UYM66:UYN66))</f>
        <v>0</v>
      </c>
      <c r="UYQ66" s="960">
        <f>MIN(UYQ60-UYQ62,'Sources and Uses Budget'!UYQ108-SUM('15 Year Pro Forma'!UYO66:UYP66))</f>
        <v>0</v>
      </c>
      <c r="UYS66" s="960">
        <f>MIN(UYS60-UYS62,'Sources and Uses Budget'!UYS108-SUM('15 Year Pro Forma'!UYQ66:UYR66))</f>
        <v>0</v>
      </c>
      <c r="UYU66" s="960">
        <f>MIN(UYU60-UYU62,'Sources and Uses Budget'!UYU108-SUM('15 Year Pro Forma'!UYS66:UYT66))</f>
        <v>0</v>
      </c>
      <c r="UYW66" s="960">
        <f>MIN(UYW60-UYW62,'Sources and Uses Budget'!UYW108-SUM('15 Year Pro Forma'!UYU66:UYV66))</f>
        <v>0</v>
      </c>
      <c r="UYY66" s="960">
        <f>MIN(UYY60-UYY62,'Sources and Uses Budget'!UYY108-SUM('15 Year Pro Forma'!UYW66:UYX66))</f>
        <v>0</v>
      </c>
      <c r="UZA66" s="960">
        <f>MIN(UZA60-UZA62,'Sources and Uses Budget'!UZA108-SUM('15 Year Pro Forma'!UYY66:UYZ66))</f>
        <v>0</v>
      </c>
      <c r="UZC66" s="960">
        <f>MIN(UZC60-UZC62,'Sources and Uses Budget'!UZC108-SUM('15 Year Pro Forma'!UZA66:UZB66))</f>
        <v>0</v>
      </c>
      <c r="UZE66" s="960">
        <f>MIN(UZE60-UZE62,'Sources and Uses Budget'!UZE108-SUM('15 Year Pro Forma'!UZC66:UZD66))</f>
        <v>0</v>
      </c>
      <c r="UZG66" s="960">
        <f>MIN(UZG60-UZG62,'Sources and Uses Budget'!UZG108-SUM('15 Year Pro Forma'!UZE66:UZF66))</f>
        <v>0</v>
      </c>
      <c r="UZI66" s="960">
        <f>MIN(UZI60-UZI62,'Sources and Uses Budget'!UZI108-SUM('15 Year Pro Forma'!UZG66:UZH66))</f>
        <v>0</v>
      </c>
      <c r="UZK66" s="960">
        <f>MIN(UZK60-UZK62,'Sources and Uses Budget'!UZK108-SUM('15 Year Pro Forma'!UZI66:UZJ66))</f>
        <v>0</v>
      </c>
      <c r="UZM66" s="960">
        <f>MIN(UZM60-UZM62,'Sources and Uses Budget'!UZM108-SUM('15 Year Pro Forma'!UZK66:UZL66))</f>
        <v>0</v>
      </c>
      <c r="UZO66" s="960">
        <f>MIN(UZO60-UZO62,'Sources and Uses Budget'!UZO108-SUM('15 Year Pro Forma'!UZM66:UZN66))</f>
        <v>0</v>
      </c>
      <c r="UZQ66" s="960">
        <f>MIN(UZQ60-UZQ62,'Sources and Uses Budget'!UZQ108-SUM('15 Year Pro Forma'!UZO66:UZP66))</f>
        <v>0</v>
      </c>
      <c r="UZS66" s="960">
        <f>MIN(UZS60-UZS62,'Sources and Uses Budget'!UZS108-SUM('15 Year Pro Forma'!UZQ66:UZR66))</f>
        <v>0</v>
      </c>
      <c r="UZU66" s="960">
        <f>MIN(UZU60-UZU62,'Sources and Uses Budget'!UZU108-SUM('15 Year Pro Forma'!UZS66:UZT66))</f>
        <v>0</v>
      </c>
      <c r="UZW66" s="960">
        <f>MIN(UZW60-UZW62,'Sources and Uses Budget'!UZW108-SUM('15 Year Pro Forma'!UZU66:UZV66))</f>
        <v>0</v>
      </c>
      <c r="UZY66" s="960">
        <f>MIN(UZY60-UZY62,'Sources and Uses Budget'!UZY108-SUM('15 Year Pro Forma'!UZW66:UZX66))</f>
        <v>0</v>
      </c>
      <c r="VAA66" s="960">
        <f>MIN(VAA60-VAA62,'Sources and Uses Budget'!VAA108-SUM('15 Year Pro Forma'!UZY66:UZZ66))</f>
        <v>0</v>
      </c>
      <c r="VAC66" s="960">
        <f>MIN(VAC60-VAC62,'Sources and Uses Budget'!VAC108-SUM('15 Year Pro Forma'!VAA66:VAB66))</f>
        <v>0</v>
      </c>
      <c r="VAE66" s="960">
        <f>MIN(VAE60-VAE62,'Sources and Uses Budget'!VAE108-SUM('15 Year Pro Forma'!VAC66:VAD66))</f>
        <v>0</v>
      </c>
      <c r="VAG66" s="960">
        <f>MIN(VAG60-VAG62,'Sources and Uses Budget'!VAG108-SUM('15 Year Pro Forma'!VAE66:VAF66))</f>
        <v>0</v>
      </c>
      <c r="VAI66" s="960">
        <f>MIN(VAI60-VAI62,'Sources and Uses Budget'!VAI108-SUM('15 Year Pro Forma'!VAG66:VAH66))</f>
        <v>0</v>
      </c>
      <c r="VAK66" s="960">
        <f>MIN(VAK60-VAK62,'Sources and Uses Budget'!VAK108-SUM('15 Year Pro Forma'!VAI66:VAJ66))</f>
        <v>0</v>
      </c>
      <c r="VAM66" s="960">
        <f>MIN(VAM60-VAM62,'Sources and Uses Budget'!VAM108-SUM('15 Year Pro Forma'!VAK66:VAL66))</f>
        <v>0</v>
      </c>
      <c r="VAO66" s="960">
        <f>MIN(VAO60-VAO62,'Sources and Uses Budget'!VAO108-SUM('15 Year Pro Forma'!VAM66:VAN66))</f>
        <v>0</v>
      </c>
      <c r="VAQ66" s="960">
        <f>MIN(VAQ60-VAQ62,'Sources and Uses Budget'!VAQ108-SUM('15 Year Pro Forma'!VAO66:VAP66))</f>
        <v>0</v>
      </c>
      <c r="VAS66" s="960">
        <f>MIN(VAS60-VAS62,'Sources and Uses Budget'!VAS108-SUM('15 Year Pro Forma'!VAQ66:VAR66))</f>
        <v>0</v>
      </c>
      <c r="VAU66" s="960">
        <f>MIN(VAU60-VAU62,'Sources and Uses Budget'!VAU108-SUM('15 Year Pro Forma'!VAS66:VAT66))</f>
        <v>0</v>
      </c>
      <c r="VAW66" s="960">
        <f>MIN(VAW60-VAW62,'Sources and Uses Budget'!VAW108-SUM('15 Year Pro Forma'!VAU66:VAV66))</f>
        <v>0</v>
      </c>
      <c r="VAY66" s="960">
        <f>MIN(VAY60-VAY62,'Sources and Uses Budget'!VAY108-SUM('15 Year Pro Forma'!VAW66:VAX66))</f>
        <v>0</v>
      </c>
      <c r="VBA66" s="960">
        <f>MIN(VBA60-VBA62,'Sources and Uses Budget'!VBA108-SUM('15 Year Pro Forma'!VAY66:VAZ66))</f>
        <v>0</v>
      </c>
      <c r="VBC66" s="960">
        <f>MIN(VBC60-VBC62,'Sources and Uses Budget'!VBC108-SUM('15 Year Pro Forma'!VBA66:VBB66))</f>
        <v>0</v>
      </c>
      <c r="VBE66" s="960">
        <f>MIN(VBE60-VBE62,'Sources and Uses Budget'!VBE108-SUM('15 Year Pro Forma'!VBC66:VBD66))</f>
        <v>0</v>
      </c>
      <c r="VBG66" s="960">
        <f>MIN(VBG60-VBG62,'Sources and Uses Budget'!VBG108-SUM('15 Year Pro Forma'!VBE66:VBF66))</f>
        <v>0</v>
      </c>
      <c r="VBI66" s="960">
        <f>MIN(VBI60-VBI62,'Sources and Uses Budget'!VBI108-SUM('15 Year Pro Forma'!VBG66:VBH66))</f>
        <v>0</v>
      </c>
      <c r="VBK66" s="960">
        <f>MIN(VBK60-VBK62,'Sources and Uses Budget'!VBK108-SUM('15 Year Pro Forma'!VBI66:VBJ66))</f>
        <v>0</v>
      </c>
      <c r="VBM66" s="960">
        <f>MIN(VBM60-VBM62,'Sources and Uses Budget'!VBM108-SUM('15 Year Pro Forma'!VBK66:VBL66))</f>
        <v>0</v>
      </c>
      <c r="VBO66" s="960">
        <f>MIN(VBO60-VBO62,'Sources and Uses Budget'!VBO108-SUM('15 Year Pro Forma'!VBM66:VBN66))</f>
        <v>0</v>
      </c>
      <c r="VBQ66" s="960">
        <f>MIN(VBQ60-VBQ62,'Sources and Uses Budget'!VBQ108-SUM('15 Year Pro Forma'!VBO66:VBP66))</f>
        <v>0</v>
      </c>
      <c r="VBS66" s="960">
        <f>MIN(VBS60-VBS62,'Sources and Uses Budget'!VBS108-SUM('15 Year Pro Forma'!VBQ66:VBR66))</f>
        <v>0</v>
      </c>
      <c r="VBU66" s="960">
        <f>MIN(VBU60-VBU62,'Sources and Uses Budget'!VBU108-SUM('15 Year Pro Forma'!VBS66:VBT66))</f>
        <v>0</v>
      </c>
      <c r="VBW66" s="960">
        <f>MIN(VBW60-VBW62,'Sources and Uses Budget'!VBW108-SUM('15 Year Pro Forma'!VBU66:VBV66))</f>
        <v>0</v>
      </c>
      <c r="VBY66" s="960">
        <f>MIN(VBY60-VBY62,'Sources and Uses Budget'!VBY108-SUM('15 Year Pro Forma'!VBW66:VBX66))</f>
        <v>0</v>
      </c>
      <c r="VCA66" s="960">
        <f>MIN(VCA60-VCA62,'Sources and Uses Budget'!VCA108-SUM('15 Year Pro Forma'!VBY66:VBZ66))</f>
        <v>0</v>
      </c>
      <c r="VCC66" s="960">
        <f>MIN(VCC60-VCC62,'Sources and Uses Budget'!VCC108-SUM('15 Year Pro Forma'!VCA66:VCB66))</f>
        <v>0</v>
      </c>
      <c r="VCE66" s="960">
        <f>MIN(VCE60-VCE62,'Sources and Uses Budget'!VCE108-SUM('15 Year Pro Forma'!VCC66:VCD66))</f>
        <v>0</v>
      </c>
      <c r="VCG66" s="960">
        <f>MIN(VCG60-VCG62,'Sources and Uses Budget'!VCG108-SUM('15 Year Pro Forma'!VCE66:VCF66))</f>
        <v>0</v>
      </c>
      <c r="VCI66" s="960">
        <f>MIN(VCI60-VCI62,'Sources and Uses Budget'!VCI108-SUM('15 Year Pro Forma'!VCG66:VCH66))</f>
        <v>0</v>
      </c>
      <c r="VCK66" s="960">
        <f>MIN(VCK60-VCK62,'Sources and Uses Budget'!VCK108-SUM('15 Year Pro Forma'!VCI66:VCJ66))</f>
        <v>0</v>
      </c>
      <c r="VCM66" s="960">
        <f>MIN(VCM60-VCM62,'Sources and Uses Budget'!VCM108-SUM('15 Year Pro Forma'!VCK66:VCL66))</f>
        <v>0</v>
      </c>
      <c r="VCO66" s="960">
        <f>MIN(VCO60-VCO62,'Sources and Uses Budget'!VCO108-SUM('15 Year Pro Forma'!VCM66:VCN66))</f>
        <v>0</v>
      </c>
      <c r="VCQ66" s="960">
        <f>MIN(VCQ60-VCQ62,'Sources and Uses Budget'!VCQ108-SUM('15 Year Pro Forma'!VCO66:VCP66))</f>
        <v>0</v>
      </c>
      <c r="VCS66" s="960">
        <f>MIN(VCS60-VCS62,'Sources and Uses Budget'!VCS108-SUM('15 Year Pro Forma'!VCQ66:VCR66))</f>
        <v>0</v>
      </c>
      <c r="VCU66" s="960">
        <f>MIN(VCU60-VCU62,'Sources and Uses Budget'!VCU108-SUM('15 Year Pro Forma'!VCS66:VCT66))</f>
        <v>0</v>
      </c>
      <c r="VCW66" s="960">
        <f>MIN(VCW60-VCW62,'Sources and Uses Budget'!VCW108-SUM('15 Year Pro Forma'!VCU66:VCV66))</f>
        <v>0</v>
      </c>
      <c r="VCY66" s="960">
        <f>MIN(VCY60-VCY62,'Sources and Uses Budget'!VCY108-SUM('15 Year Pro Forma'!VCW66:VCX66))</f>
        <v>0</v>
      </c>
      <c r="VDA66" s="960">
        <f>MIN(VDA60-VDA62,'Sources and Uses Budget'!VDA108-SUM('15 Year Pro Forma'!VCY66:VCZ66))</f>
        <v>0</v>
      </c>
      <c r="VDC66" s="960">
        <f>MIN(VDC60-VDC62,'Sources and Uses Budget'!VDC108-SUM('15 Year Pro Forma'!VDA66:VDB66))</f>
        <v>0</v>
      </c>
      <c r="VDE66" s="960">
        <f>MIN(VDE60-VDE62,'Sources and Uses Budget'!VDE108-SUM('15 Year Pro Forma'!VDC66:VDD66))</f>
        <v>0</v>
      </c>
      <c r="VDG66" s="960">
        <f>MIN(VDG60-VDG62,'Sources and Uses Budget'!VDG108-SUM('15 Year Pro Forma'!VDE66:VDF66))</f>
        <v>0</v>
      </c>
      <c r="VDI66" s="960">
        <f>MIN(VDI60-VDI62,'Sources and Uses Budget'!VDI108-SUM('15 Year Pro Forma'!VDG66:VDH66))</f>
        <v>0</v>
      </c>
      <c r="VDK66" s="960">
        <f>MIN(VDK60-VDK62,'Sources and Uses Budget'!VDK108-SUM('15 Year Pro Forma'!VDI66:VDJ66))</f>
        <v>0</v>
      </c>
      <c r="VDM66" s="960">
        <f>MIN(VDM60-VDM62,'Sources and Uses Budget'!VDM108-SUM('15 Year Pro Forma'!VDK66:VDL66))</f>
        <v>0</v>
      </c>
      <c r="VDO66" s="960">
        <f>MIN(VDO60-VDO62,'Sources and Uses Budget'!VDO108-SUM('15 Year Pro Forma'!VDM66:VDN66))</f>
        <v>0</v>
      </c>
      <c r="VDQ66" s="960">
        <f>MIN(VDQ60-VDQ62,'Sources and Uses Budget'!VDQ108-SUM('15 Year Pro Forma'!VDO66:VDP66))</f>
        <v>0</v>
      </c>
      <c r="VDS66" s="960">
        <f>MIN(VDS60-VDS62,'Sources and Uses Budget'!VDS108-SUM('15 Year Pro Forma'!VDQ66:VDR66))</f>
        <v>0</v>
      </c>
      <c r="VDU66" s="960">
        <f>MIN(VDU60-VDU62,'Sources and Uses Budget'!VDU108-SUM('15 Year Pro Forma'!VDS66:VDT66))</f>
        <v>0</v>
      </c>
      <c r="VDW66" s="960">
        <f>MIN(VDW60-VDW62,'Sources and Uses Budget'!VDW108-SUM('15 Year Pro Forma'!VDU66:VDV66))</f>
        <v>0</v>
      </c>
      <c r="VDY66" s="960">
        <f>MIN(VDY60-VDY62,'Sources and Uses Budget'!VDY108-SUM('15 Year Pro Forma'!VDW66:VDX66))</f>
        <v>0</v>
      </c>
      <c r="VEA66" s="960">
        <f>MIN(VEA60-VEA62,'Sources and Uses Budget'!VEA108-SUM('15 Year Pro Forma'!VDY66:VDZ66))</f>
        <v>0</v>
      </c>
      <c r="VEC66" s="960">
        <f>MIN(VEC60-VEC62,'Sources and Uses Budget'!VEC108-SUM('15 Year Pro Forma'!VEA66:VEB66))</f>
        <v>0</v>
      </c>
      <c r="VEE66" s="960">
        <f>MIN(VEE60-VEE62,'Sources and Uses Budget'!VEE108-SUM('15 Year Pro Forma'!VEC66:VED66))</f>
        <v>0</v>
      </c>
      <c r="VEG66" s="960">
        <f>MIN(VEG60-VEG62,'Sources and Uses Budget'!VEG108-SUM('15 Year Pro Forma'!VEE66:VEF66))</f>
        <v>0</v>
      </c>
      <c r="VEI66" s="960">
        <f>MIN(VEI60-VEI62,'Sources and Uses Budget'!VEI108-SUM('15 Year Pro Forma'!VEG66:VEH66))</f>
        <v>0</v>
      </c>
      <c r="VEK66" s="960">
        <f>MIN(VEK60-VEK62,'Sources and Uses Budget'!VEK108-SUM('15 Year Pro Forma'!VEI66:VEJ66))</f>
        <v>0</v>
      </c>
      <c r="VEM66" s="960">
        <f>MIN(VEM60-VEM62,'Sources and Uses Budget'!VEM108-SUM('15 Year Pro Forma'!VEK66:VEL66))</f>
        <v>0</v>
      </c>
      <c r="VEO66" s="960">
        <f>MIN(VEO60-VEO62,'Sources and Uses Budget'!VEO108-SUM('15 Year Pro Forma'!VEM66:VEN66))</f>
        <v>0</v>
      </c>
      <c r="VEQ66" s="960">
        <f>MIN(VEQ60-VEQ62,'Sources and Uses Budget'!VEQ108-SUM('15 Year Pro Forma'!VEO66:VEP66))</f>
        <v>0</v>
      </c>
      <c r="VES66" s="960">
        <f>MIN(VES60-VES62,'Sources and Uses Budget'!VES108-SUM('15 Year Pro Forma'!VEQ66:VER66))</f>
        <v>0</v>
      </c>
      <c r="VEU66" s="960">
        <f>MIN(VEU60-VEU62,'Sources and Uses Budget'!VEU108-SUM('15 Year Pro Forma'!VES66:VET66))</f>
        <v>0</v>
      </c>
      <c r="VEW66" s="960">
        <f>MIN(VEW60-VEW62,'Sources and Uses Budget'!VEW108-SUM('15 Year Pro Forma'!VEU66:VEV66))</f>
        <v>0</v>
      </c>
      <c r="VEY66" s="960">
        <f>MIN(VEY60-VEY62,'Sources and Uses Budget'!VEY108-SUM('15 Year Pro Forma'!VEW66:VEX66))</f>
        <v>0</v>
      </c>
      <c r="VFA66" s="960">
        <f>MIN(VFA60-VFA62,'Sources and Uses Budget'!VFA108-SUM('15 Year Pro Forma'!VEY66:VEZ66))</f>
        <v>0</v>
      </c>
      <c r="VFC66" s="960">
        <f>MIN(VFC60-VFC62,'Sources and Uses Budget'!VFC108-SUM('15 Year Pro Forma'!VFA66:VFB66))</f>
        <v>0</v>
      </c>
      <c r="VFE66" s="960">
        <f>MIN(VFE60-VFE62,'Sources and Uses Budget'!VFE108-SUM('15 Year Pro Forma'!VFC66:VFD66))</f>
        <v>0</v>
      </c>
      <c r="VFG66" s="960">
        <f>MIN(VFG60-VFG62,'Sources and Uses Budget'!VFG108-SUM('15 Year Pro Forma'!VFE66:VFF66))</f>
        <v>0</v>
      </c>
      <c r="VFI66" s="960">
        <f>MIN(VFI60-VFI62,'Sources and Uses Budget'!VFI108-SUM('15 Year Pro Forma'!VFG66:VFH66))</f>
        <v>0</v>
      </c>
      <c r="VFK66" s="960">
        <f>MIN(VFK60-VFK62,'Sources and Uses Budget'!VFK108-SUM('15 Year Pro Forma'!VFI66:VFJ66))</f>
        <v>0</v>
      </c>
      <c r="VFM66" s="960">
        <f>MIN(VFM60-VFM62,'Sources and Uses Budget'!VFM108-SUM('15 Year Pro Forma'!VFK66:VFL66))</f>
        <v>0</v>
      </c>
      <c r="VFO66" s="960">
        <f>MIN(VFO60-VFO62,'Sources and Uses Budget'!VFO108-SUM('15 Year Pro Forma'!VFM66:VFN66))</f>
        <v>0</v>
      </c>
      <c r="VFQ66" s="960">
        <f>MIN(VFQ60-VFQ62,'Sources and Uses Budget'!VFQ108-SUM('15 Year Pro Forma'!VFO66:VFP66))</f>
        <v>0</v>
      </c>
      <c r="VFS66" s="960">
        <f>MIN(VFS60-VFS62,'Sources and Uses Budget'!VFS108-SUM('15 Year Pro Forma'!VFQ66:VFR66))</f>
        <v>0</v>
      </c>
      <c r="VFU66" s="960">
        <f>MIN(VFU60-VFU62,'Sources and Uses Budget'!VFU108-SUM('15 Year Pro Forma'!VFS66:VFT66))</f>
        <v>0</v>
      </c>
      <c r="VFW66" s="960">
        <f>MIN(VFW60-VFW62,'Sources and Uses Budget'!VFW108-SUM('15 Year Pro Forma'!VFU66:VFV66))</f>
        <v>0</v>
      </c>
      <c r="VFY66" s="960">
        <f>MIN(VFY60-VFY62,'Sources and Uses Budget'!VFY108-SUM('15 Year Pro Forma'!VFW66:VFX66))</f>
        <v>0</v>
      </c>
      <c r="VGA66" s="960">
        <f>MIN(VGA60-VGA62,'Sources and Uses Budget'!VGA108-SUM('15 Year Pro Forma'!VFY66:VFZ66))</f>
        <v>0</v>
      </c>
      <c r="VGC66" s="960">
        <f>MIN(VGC60-VGC62,'Sources and Uses Budget'!VGC108-SUM('15 Year Pro Forma'!VGA66:VGB66))</f>
        <v>0</v>
      </c>
      <c r="VGE66" s="960">
        <f>MIN(VGE60-VGE62,'Sources and Uses Budget'!VGE108-SUM('15 Year Pro Forma'!VGC66:VGD66))</f>
        <v>0</v>
      </c>
      <c r="VGG66" s="960">
        <f>MIN(VGG60-VGG62,'Sources and Uses Budget'!VGG108-SUM('15 Year Pro Forma'!VGE66:VGF66))</f>
        <v>0</v>
      </c>
      <c r="VGI66" s="960">
        <f>MIN(VGI60-VGI62,'Sources and Uses Budget'!VGI108-SUM('15 Year Pro Forma'!VGG66:VGH66))</f>
        <v>0</v>
      </c>
      <c r="VGK66" s="960">
        <f>MIN(VGK60-VGK62,'Sources and Uses Budget'!VGK108-SUM('15 Year Pro Forma'!VGI66:VGJ66))</f>
        <v>0</v>
      </c>
      <c r="VGM66" s="960">
        <f>MIN(VGM60-VGM62,'Sources and Uses Budget'!VGM108-SUM('15 Year Pro Forma'!VGK66:VGL66))</f>
        <v>0</v>
      </c>
      <c r="VGO66" s="960">
        <f>MIN(VGO60-VGO62,'Sources and Uses Budget'!VGO108-SUM('15 Year Pro Forma'!VGM66:VGN66))</f>
        <v>0</v>
      </c>
      <c r="VGQ66" s="960">
        <f>MIN(VGQ60-VGQ62,'Sources and Uses Budget'!VGQ108-SUM('15 Year Pro Forma'!VGO66:VGP66))</f>
        <v>0</v>
      </c>
      <c r="VGS66" s="960">
        <f>MIN(VGS60-VGS62,'Sources and Uses Budget'!VGS108-SUM('15 Year Pro Forma'!VGQ66:VGR66))</f>
        <v>0</v>
      </c>
      <c r="VGU66" s="960">
        <f>MIN(VGU60-VGU62,'Sources and Uses Budget'!VGU108-SUM('15 Year Pro Forma'!VGS66:VGT66))</f>
        <v>0</v>
      </c>
      <c r="VGW66" s="960">
        <f>MIN(VGW60-VGW62,'Sources and Uses Budget'!VGW108-SUM('15 Year Pro Forma'!VGU66:VGV66))</f>
        <v>0</v>
      </c>
      <c r="VGY66" s="960">
        <f>MIN(VGY60-VGY62,'Sources and Uses Budget'!VGY108-SUM('15 Year Pro Forma'!VGW66:VGX66))</f>
        <v>0</v>
      </c>
      <c r="VHA66" s="960">
        <f>MIN(VHA60-VHA62,'Sources and Uses Budget'!VHA108-SUM('15 Year Pro Forma'!VGY66:VGZ66))</f>
        <v>0</v>
      </c>
      <c r="VHC66" s="960">
        <f>MIN(VHC60-VHC62,'Sources and Uses Budget'!VHC108-SUM('15 Year Pro Forma'!VHA66:VHB66))</f>
        <v>0</v>
      </c>
      <c r="VHE66" s="960">
        <f>MIN(VHE60-VHE62,'Sources and Uses Budget'!VHE108-SUM('15 Year Pro Forma'!VHC66:VHD66))</f>
        <v>0</v>
      </c>
      <c r="VHG66" s="960">
        <f>MIN(VHG60-VHG62,'Sources and Uses Budget'!VHG108-SUM('15 Year Pro Forma'!VHE66:VHF66))</f>
        <v>0</v>
      </c>
      <c r="VHI66" s="960">
        <f>MIN(VHI60-VHI62,'Sources and Uses Budget'!VHI108-SUM('15 Year Pro Forma'!VHG66:VHH66))</f>
        <v>0</v>
      </c>
      <c r="VHK66" s="960">
        <f>MIN(VHK60-VHK62,'Sources and Uses Budget'!VHK108-SUM('15 Year Pro Forma'!VHI66:VHJ66))</f>
        <v>0</v>
      </c>
      <c r="VHM66" s="960">
        <f>MIN(VHM60-VHM62,'Sources and Uses Budget'!VHM108-SUM('15 Year Pro Forma'!VHK66:VHL66))</f>
        <v>0</v>
      </c>
      <c r="VHO66" s="960">
        <f>MIN(VHO60-VHO62,'Sources and Uses Budget'!VHO108-SUM('15 Year Pro Forma'!VHM66:VHN66))</f>
        <v>0</v>
      </c>
      <c r="VHQ66" s="960">
        <f>MIN(VHQ60-VHQ62,'Sources and Uses Budget'!VHQ108-SUM('15 Year Pro Forma'!VHO66:VHP66))</f>
        <v>0</v>
      </c>
      <c r="VHS66" s="960">
        <f>MIN(VHS60-VHS62,'Sources and Uses Budget'!VHS108-SUM('15 Year Pro Forma'!VHQ66:VHR66))</f>
        <v>0</v>
      </c>
      <c r="VHU66" s="960">
        <f>MIN(VHU60-VHU62,'Sources and Uses Budget'!VHU108-SUM('15 Year Pro Forma'!VHS66:VHT66))</f>
        <v>0</v>
      </c>
      <c r="VHW66" s="960">
        <f>MIN(VHW60-VHW62,'Sources and Uses Budget'!VHW108-SUM('15 Year Pro Forma'!VHU66:VHV66))</f>
        <v>0</v>
      </c>
      <c r="VHY66" s="960">
        <f>MIN(VHY60-VHY62,'Sources and Uses Budget'!VHY108-SUM('15 Year Pro Forma'!VHW66:VHX66))</f>
        <v>0</v>
      </c>
      <c r="VIA66" s="960">
        <f>MIN(VIA60-VIA62,'Sources and Uses Budget'!VIA108-SUM('15 Year Pro Forma'!VHY66:VHZ66))</f>
        <v>0</v>
      </c>
      <c r="VIC66" s="960">
        <f>MIN(VIC60-VIC62,'Sources and Uses Budget'!VIC108-SUM('15 Year Pro Forma'!VIA66:VIB66))</f>
        <v>0</v>
      </c>
      <c r="VIE66" s="960">
        <f>MIN(VIE60-VIE62,'Sources and Uses Budget'!VIE108-SUM('15 Year Pro Forma'!VIC66:VID66))</f>
        <v>0</v>
      </c>
      <c r="VIG66" s="960">
        <f>MIN(VIG60-VIG62,'Sources and Uses Budget'!VIG108-SUM('15 Year Pro Forma'!VIE66:VIF66))</f>
        <v>0</v>
      </c>
      <c r="VII66" s="960">
        <f>MIN(VII60-VII62,'Sources and Uses Budget'!VII108-SUM('15 Year Pro Forma'!VIG66:VIH66))</f>
        <v>0</v>
      </c>
      <c r="VIK66" s="960">
        <f>MIN(VIK60-VIK62,'Sources and Uses Budget'!VIK108-SUM('15 Year Pro Forma'!VII66:VIJ66))</f>
        <v>0</v>
      </c>
      <c r="VIM66" s="960">
        <f>MIN(VIM60-VIM62,'Sources and Uses Budget'!VIM108-SUM('15 Year Pro Forma'!VIK66:VIL66))</f>
        <v>0</v>
      </c>
      <c r="VIO66" s="960">
        <f>MIN(VIO60-VIO62,'Sources and Uses Budget'!VIO108-SUM('15 Year Pro Forma'!VIM66:VIN66))</f>
        <v>0</v>
      </c>
      <c r="VIQ66" s="960">
        <f>MIN(VIQ60-VIQ62,'Sources and Uses Budget'!VIQ108-SUM('15 Year Pro Forma'!VIO66:VIP66))</f>
        <v>0</v>
      </c>
      <c r="VIS66" s="960">
        <f>MIN(VIS60-VIS62,'Sources and Uses Budget'!VIS108-SUM('15 Year Pro Forma'!VIQ66:VIR66))</f>
        <v>0</v>
      </c>
      <c r="VIU66" s="960">
        <f>MIN(VIU60-VIU62,'Sources and Uses Budget'!VIU108-SUM('15 Year Pro Forma'!VIS66:VIT66))</f>
        <v>0</v>
      </c>
      <c r="VIW66" s="960">
        <f>MIN(VIW60-VIW62,'Sources and Uses Budget'!VIW108-SUM('15 Year Pro Forma'!VIU66:VIV66))</f>
        <v>0</v>
      </c>
      <c r="VIY66" s="960">
        <f>MIN(VIY60-VIY62,'Sources and Uses Budget'!VIY108-SUM('15 Year Pro Forma'!VIW66:VIX66))</f>
        <v>0</v>
      </c>
      <c r="VJA66" s="960">
        <f>MIN(VJA60-VJA62,'Sources and Uses Budget'!VJA108-SUM('15 Year Pro Forma'!VIY66:VIZ66))</f>
        <v>0</v>
      </c>
      <c r="VJC66" s="960">
        <f>MIN(VJC60-VJC62,'Sources and Uses Budget'!VJC108-SUM('15 Year Pro Forma'!VJA66:VJB66))</f>
        <v>0</v>
      </c>
      <c r="VJE66" s="960">
        <f>MIN(VJE60-VJE62,'Sources and Uses Budget'!VJE108-SUM('15 Year Pro Forma'!VJC66:VJD66))</f>
        <v>0</v>
      </c>
      <c r="VJG66" s="960">
        <f>MIN(VJG60-VJG62,'Sources and Uses Budget'!VJG108-SUM('15 Year Pro Forma'!VJE66:VJF66))</f>
        <v>0</v>
      </c>
      <c r="VJI66" s="960">
        <f>MIN(VJI60-VJI62,'Sources and Uses Budget'!VJI108-SUM('15 Year Pro Forma'!VJG66:VJH66))</f>
        <v>0</v>
      </c>
      <c r="VJK66" s="960">
        <f>MIN(VJK60-VJK62,'Sources and Uses Budget'!VJK108-SUM('15 Year Pro Forma'!VJI66:VJJ66))</f>
        <v>0</v>
      </c>
      <c r="VJM66" s="960">
        <f>MIN(VJM60-VJM62,'Sources and Uses Budget'!VJM108-SUM('15 Year Pro Forma'!VJK66:VJL66))</f>
        <v>0</v>
      </c>
      <c r="VJO66" s="960">
        <f>MIN(VJO60-VJO62,'Sources and Uses Budget'!VJO108-SUM('15 Year Pro Forma'!VJM66:VJN66))</f>
        <v>0</v>
      </c>
      <c r="VJQ66" s="960">
        <f>MIN(VJQ60-VJQ62,'Sources and Uses Budget'!VJQ108-SUM('15 Year Pro Forma'!VJO66:VJP66))</f>
        <v>0</v>
      </c>
      <c r="VJS66" s="960">
        <f>MIN(VJS60-VJS62,'Sources and Uses Budget'!VJS108-SUM('15 Year Pro Forma'!VJQ66:VJR66))</f>
        <v>0</v>
      </c>
      <c r="VJU66" s="960">
        <f>MIN(VJU60-VJU62,'Sources and Uses Budget'!VJU108-SUM('15 Year Pro Forma'!VJS66:VJT66))</f>
        <v>0</v>
      </c>
      <c r="VJW66" s="960">
        <f>MIN(VJW60-VJW62,'Sources and Uses Budget'!VJW108-SUM('15 Year Pro Forma'!VJU66:VJV66))</f>
        <v>0</v>
      </c>
      <c r="VJY66" s="960">
        <f>MIN(VJY60-VJY62,'Sources and Uses Budget'!VJY108-SUM('15 Year Pro Forma'!VJW66:VJX66))</f>
        <v>0</v>
      </c>
      <c r="VKA66" s="960">
        <f>MIN(VKA60-VKA62,'Sources and Uses Budget'!VKA108-SUM('15 Year Pro Forma'!VJY66:VJZ66))</f>
        <v>0</v>
      </c>
      <c r="VKC66" s="960">
        <f>MIN(VKC60-VKC62,'Sources and Uses Budget'!VKC108-SUM('15 Year Pro Forma'!VKA66:VKB66))</f>
        <v>0</v>
      </c>
      <c r="VKE66" s="960">
        <f>MIN(VKE60-VKE62,'Sources and Uses Budget'!VKE108-SUM('15 Year Pro Forma'!VKC66:VKD66))</f>
        <v>0</v>
      </c>
      <c r="VKG66" s="960">
        <f>MIN(VKG60-VKG62,'Sources and Uses Budget'!VKG108-SUM('15 Year Pro Forma'!VKE66:VKF66))</f>
        <v>0</v>
      </c>
      <c r="VKI66" s="960">
        <f>MIN(VKI60-VKI62,'Sources and Uses Budget'!VKI108-SUM('15 Year Pro Forma'!VKG66:VKH66))</f>
        <v>0</v>
      </c>
      <c r="VKK66" s="960">
        <f>MIN(VKK60-VKK62,'Sources and Uses Budget'!VKK108-SUM('15 Year Pro Forma'!VKI66:VKJ66))</f>
        <v>0</v>
      </c>
      <c r="VKM66" s="960">
        <f>MIN(VKM60-VKM62,'Sources and Uses Budget'!VKM108-SUM('15 Year Pro Forma'!VKK66:VKL66))</f>
        <v>0</v>
      </c>
      <c r="VKO66" s="960">
        <f>MIN(VKO60-VKO62,'Sources and Uses Budget'!VKO108-SUM('15 Year Pro Forma'!VKM66:VKN66))</f>
        <v>0</v>
      </c>
      <c r="VKQ66" s="960">
        <f>MIN(VKQ60-VKQ62,'Sources and Uses Budget'!VKQ108-SUM('15 Year Pro Forma'!VKO66:VKP66))</f>
        <v>0</v>
      </c>
      <c r="VKS66" s="960">
        <f>MIN(VKS60-VKS62,'Sources and Uses Budget'!VKS108-SUM('15 Year Pro Forma'!VKQ66:VKR66))</f>
        <v>0</v>
      </c>
      <c r="VKU66" s="960">
        <f>MIN(VKU60-VKU62,'Sources and Uses Budget'!VKU108-SUM('15 Year Pro Forma'!VKS66:VKT66))</f>
        <v>0</v>
      </c>
      <c r="VKW66" s="960">
        <f>MIN(VKW60-VKW62,'Sources and Uses Budget'!VKW108-SUM('15 Year Pro Forma'!VKU66:VKV66))</f>
        <v>0</v>
      </c>
      <c r="VKY66" s="960">
        <f>MIN(VKY60-VKY62,'Sources and Uses Budget'!VKY108-SUM('15 Year Pro Forma'!VKW66:VKX66))</f>
        <v>0</v>
      </c>
      <c r="VLA66" s="960">
        <f>MIN(VLA60-VLA62,'Sources and Uses Budget'!VLA108-SUM('15 Year Pro Forma'!VKY66:VKZ66))</f>
        <v>0</v>
      </c>
      <c r="VLC66" s="960">
        <f>MIN(VLC60-VLC62,'Sources and Uses Budget'!VLC108-SUM('15 Year Pro Forma'!VLA66:VLB66))</f>
        <v>0</v>
      </c>
      <c r="VLE66" s="960">
        <f>MIN(VLE60-VLE62,'Sources and Uses Budget'!VLE108-SUM('15 Year Pro Forma'!VLC66:VLD66))</f>
        <v>0</v>
      </c>
      <c r="VLG66" s="960">
        <f>MIN(VLG60-VLG62,'Sources and Uses Budget'!VLG108-SUM('15 Year Pro Forma'!VLE66:VLF66))</f>
        <v>0</v>
      </c>
      <c r="VLI66" s="960">
        <f>MIN(VLI60-VLI62,'Sources and Uses Budget'!VLI108-SUM('15 Year Pro Forma'!VLG66:VLH66))</f>
        <v>0</v>
      </c>
      <c r="VLK66" s="960">
        <f>MIN(VLK60-VLK62,'Sources and Uses Budget'!VLK108-SUM('15 Year Pro Forma'!VLI66:VLJ66))</f>
        <v>0</v>
      </c>
      <c r="VLM66" s="960">
        <f>MIN(VLM60-VLM62,'Sources and Uses Budget'!VLM108-SUM('15 Year Pro Forma'!VLK66:VLL66))</f>
        <v>0</v>
      </c>
      <c r="VLO66" s="960">
        <f>MIN(VLO60-VLO62,'Sources and Uses Budget'!VLO108-SUM('15 Year Pro Forma'!VLM66:VLN66))</f>
        <v>0</v>
      </c>
      <c r="VLQ66" s="960">
        <f>MIN(VLQ60-VLQ62,'Sources and Uses Budget'!VLQ108-SUM('15 Year Pro Forma'!VLO66:VLP66))</f>
        <v>0</v>
      </c>
      <c r="VLS66" s="960">
        <f>MIN(VLS60-VLS62,'Sources and Uses Budget'!VLS108-SUM('15 Year Pro Forma'!VLQ66:VLR66))</f>
        <v>0</v>
      </c>
      <c r="VLU66" s="960">
        <f>MIN(VLU60-VLU62,'Sources and Uses Budget'!VLU108-SUM('15 Year Pro Forma'!VLS66:VLT66))</f>
        <v>0</v>
      </c>
      <c r="VLW66" s="960">
        <f>MIN(VLW60-VLW62,'Sources and Uses Budget'!VLW108-SUM('15 Year Pro Forma'!VLU66:VLV66))</f>
        <v>0</v>
      </c>
      <c r="VLY66" s="960">
        <f>MIN(VLY60-VLY62,'Sources and Uses Budget'!VLY108-SUM('15 Year Pro Forma'!VLW66:VLX66))</f>
        <v>0</v>
      </c>
      <c r="VMA66" s="960">
        <f>MIN(VMA60-VMA62,'Sources and Uses Budget'!VMA108-SUM('15 Year Pro Forma'!VLY66:VLZ66))</f>
        <v>0</v>
      </c>
      <c r="VMC66" s="960">
        <f>MIN(VMC60-VMC62,'Sources and Uses Budget'!VMC108-SUM('15 Year Pro Forma'!VMA66:VMB66))</f>
        <v>0</v>
      </c>
      <c r="VME66" s="960">
        <f>MIN(VME60-VME62,'Sources and Uses Budget'!VME108-SUM('15 Year Pro Forma'!VMC66:VMD66))</f>
        <v>0</v>
      </c>
      <c r="VMG66" s="960">
        <f>MIN(VMG60-VMG62,'Sources and Uses Budget'!VMG108-SUM('15 Year Pro Forma'!VME66:VMF66))</f>
        <v>0</v>
      </c>
      <c r="VMI66" s="960">
        <f>MIN(VMI60-VMI62,'Sources and Uses Budget'!VMI108-SUM('15 Year Pro Forma'!VMG66:VMH66))</f>
        <v>0</v>
      </c>
      <c r="VMK66" s="960">
        <f>MIN(VMK60-VMK62,'Sources and Uses Budget'!VMK108-SUM('15 Year Pro Forma'!VMI66:VMJ66))</f>
        <v>0</v>
      </c>
      <c r="VMM66" s="960">
        <f>MIN(VMM60-VMM62,'Sources and Uses Budget'!VMM108-SUM('15 Year Pro Forma'!VMK66:VML66))</f>
        <v>0</v>
      </c>
      <c r="VMO66" s="960">
        <f>MIN(VMO60-VMO62,'Sources and Uses Budget'!VMO108-SUM('15 Year Pro Forma'!VMM66:VMN66))</f>
        <v>0</v>
      </c>
      <c r="VMQ66" s="960">
        <f>MIN(VMQ60-VMQ62,'Sources and Uses Budget'!VMQ108-SUM('15 Year Pro Forma'!VMO66:VMP66))</f>
        <v>0</v>
      </c>
      <c r="VMS66" s="960">
        <f>MIN(VMS60-VMS62,'Sources and Uses Budget'!VMS108-SUM('15 Year Pro Forma'!VMQ66:VMR66))</f>
        <v>0</v>
      </c>
      <c r="VMU66" s="960">
        <f>MIN(VMU60-VMU62,'Sources and Uses Budget'!VMU108-SUM('15 Year Pro Forma'!VMS66:VMT66))</f>
        <v>0</v>
      </c>
      <c r="VMW66" s="960">
        <f>MIN(VMW60-VMW62,'Sources and Uses Budget'!VMW108-SUM('15 Year Pro Forma'!VMU66:VMV66))</f>
        <v>0</v>
      </c>
      <c r="VMY66" s="960">
        <f>MIN(VMY60-VMY62,'Sources and Uses Budget'!VMY108-SUM('15 Year Pro Forma'!VMW66:VMX66))</f>
        <v>0</v>
      </c>
      <c r="VNA66" s="960">
        <f>MIN(VNA60-VNA62,'Sources and Uses Budget'!VNA108-SUM('15 Year Pro Forma'!VMY66:VMZ66))</f>
        <v>0</v>
      </c>
      <c r="VNC66" s="960">
        <f>MIN(VNC60-VNC62,'Sources and Uses Budget'!VNC108-SUM('15 Year Pro Forma'!VNA66:VNB66))</f>
        <v>0</v>
      </c>
      <c r="VNE66" s="960">
        <f>MIN(VNE60-VNE62,'Sources and Uses Budget'!VNE108-SUM('15 Year Pro Forma'!VNC66:VND66))</f>
        <v>0</v>
      </c>
      <c r="VNG66" s="960">
        <f>MIN(VNG60-VNG62,'Sources and Uses Budget'!VNG108-SUM('15 Year Pro Forma'!VNE66:VNF66))</f>
        <v>0</v>
      </c>
      <c r="VNI66" s="960">
        <f>MIN(VNI60-VNI62,'Sources and Uses Budget'!VNI108-SUM('15 Year Pro Forma'!VNG66:VNH66))</f>
        <v>0</v>
      </c>
      <c r="VNK66" s="960">
        <f>MIN(VNK60-VNK62,'Sources and Uses Budget'!VNK108-SUM('15 Year Pro Forma'!VNI66:VNJ66))</f>
        <v>0</v>
      </c>
      <c r="VNM66" s="960">
        <f>MIN(VNM60-VNM62,'Sources and Uses Budget'!VNM108-SUM('15 Year Pro Forma'!VNK66:VNL66))</f>
        <v>0</v>
      </c>
      <c r="VNO66" s="960">
        <f>MIN(VNO60-VNO62,'Sources and Uses Budget'!VNO108-SUM('15 Year Pro Forma'!VNM66:VNN66))</f>
        <v>0</v>
      </c>
      <c r="VNQ66" s="960">
        <f>MIN(VNQ60-VNQ62,'Sources and Uses Budget'!VNQ108-SUM('15 Year Pro Forma'!VNO66:VNP66))</f>
        <v>0</v>
      </c>
      <c r="VNS66" s="960">
        <f>MIN(VNS60-VNS62,'Sources and Uses Budget'!VNS108-SUM('15 Year Pro Forma'!VNQ66:VNR66))</f>
        <v>0</v>
      </c>
      <c r="VNU66" s="960">
        <f>MIN(VNU60-VNU62,'Sources and Uses Budget'!VNU108-SUM('15 Year Pro Forma'!VNS66:VNT66))</f>
        <v>0</v>
      </c>
      <c r="VNW66" s="960">
        <f>MIN(VNW60-VNW62,'Sources and Uses Budget'!VNW108-SUM('15 Year Pro Forma'!VNU66:VNV66))</f>
        <v>0</v>
      </c>
      <c r="VNY66" s="960">
        <f>MIN(VNY60-VNY62,'Sources and Uses Budget'!VNY108-SUM('15 Year Pro Forma'!VNW66:VNX66))</f>
        <v>0</v>
      </c>
      <c r="VOA66" s="960">
        <f>MIN(VOA60-VOA62,'Sources and Uses Budget'!VOA108-SUM('15 Year Pro Forma'!VNY66:VNZ66))</f>
        <v>0</v>
      </c>
      <c r="VOC66" s="960">
        <f>MIN(VOC60-VOC62,'Sources and Uses Budget'!VOC108-SUM('15 Year Pro Forma'!VOA66:VOB66))</f>
        <v>0</v>
      </c>
      <c r="VOE66" s="960">
        <f>MIN(VOE60-VOE62,'Sources and Uses Budget'!VOE108-SUM('15 Year Pro Forma'!VOC66:VOD66))</f>
        <v>0</v>
      </c>
      <c r="VOG66" s="960">
        <f>MIN(VOG60-VOG62,'Sources and Uses Budget'!VOG108-SUM('15 Year Pro Forma'!VOE66:VOF66))</f>
        <v>0</v>
      </c>
      <c r="VOI66" s="960">
        <f>MIN(VOI60-VOI62,'Sources and Uses Budget'!VOI108-SUM('15 Year Pro Forma'!VOG66:VOH66))</f>
        <v>0</v>
      </c>
      <c r="VOK66" s="960">
        <f>MIN(VOK60-VOK62,'Sources and Uses Budget'!VOK108-SUM('15 Year Pro Forma'!VOI66:VOJ66))</f>
        <v>0</v>
      </c>
      <c r="VOM66" s="960">
        <f>MIN(VOM60-VOM62,'Sources and Uses Budget'!VOM108-SUM('15 Year Pro Forma'!VOK66:VOL66))</f>
        <v>0</v>
      </c>
      <c r="VOO66" s="960">
        <f>MIN(VOO60-VOO62,'Sources and Uses Budget'!VOO108-SUM('15 Year Pro Forma'!VOM66:VON66))</f>
        <v>0</v>
      </c>
      <c r="VOQ66" s="960">
        <f>MIN(VOQ60-VOQ62,'Sources and Uses Budget'!VOQ108-SUM('15 Year Pro Forma'!VOO66:VOP66))</f>
        <v>0</v>
      </c>
      <c r="VOS66" s="960">
        <f>MIN(VOS60-VOS62,'Sources and Uses Budget'!VOS108-SUM('15 Year Pro Forma'!VOQ66:VOR66))</f>
        <v>0</v>
      </c>
      <c r="VOU66" s="960">
        <f>MIN(VOU60-VOU62,'Sources and Uses Budget'!VOU108-SUM('15 Year Pro Forma'!VOS66:VOT66))</f>
        <v>0</v>
      </c>
      <c r="VOW66" s="960">
        <f>MIN(VOW60-VOW62,'Sources and Uses Budget'!VOW108-SUM('15 Year Pro Forma'!VOU66:VOV66))</f>
        <v>0</v>
      </c>
      <c r="VOY66" s="960">
        <f>MIN(VOY60-VOY62,'Sources and Uses Budget'!VOY108-SUM('15 Year Pro Forma'!VOW66:VOX66))</f>
        <v>0</v>
      </c>
      <c r="VPA66" s="960">
        <f>MIN(VPA60-VPA62,'Sources and Uses Budget'!VPA108-SUM('15 Year Pro Forma'!VOY66:VOZ66))</f>
        <v>0</v>
      </c>
      <c r="VPC66" s="960">
        <f>MIN(VPC60-VPC62,'Sources and Uses Budget'!VPC108-SUM('15 Year Pro Forma'!VPA66:VPB66))</f>
        <v>0</v>
      </c>
      <c r="VPE66" s="960">
        <f>MIN(VPE60-VPE62,'Sources and Uses Budget'!VPE108-SUM('15 Year Pro Forma'!VPC66:VPD66))</f>
        <v>0</v>
      </c>
      <c r="VPG66" s="960">
        <f>MIN(VPG60-VPG62,'Sources and Uses Budget'!VPG108-SUM('15 Year Pro Forma'!VPE66:VPF66))</f>
        <v>0</v>
      </c>
      <c r="VPI66" s="960">
        <f>MIN(VPI60-VPI62,'Sources and Uses Budget'!VPI108-SUM('15 Year Pro Forma'!VPG66:VPH66))</f>
        <v>0</v>
      </c>
      <c r="VPK66" s="960">
        <f>MIN(VPK60-VPK62,'Sources and Uses Budget'!VPK108-SUM('15 Year Pro Forma'!VPI66:VPJ66))</f>
        <v>0</v>
      </c>
      <c r="VPM66" s="960">
        <f>MIN(VPM60-VPM62,'Sources and Uses Budget'!VPM108-SUM('15 Year Pro Forma'!VPK66:VPL66))</f>
        <v>0</v>
      </c>
      <c r="VPO66" s="960">
        <f>MIN(VPO60-VPO62,'Sources and Uses Budget'!VPO108-SUM('15 Year Pro Forma'!VPM66:VPN66))</f>
        <v>0</v>
      </c>
      <c r="VPQ66" s="960">
        <f>MIN(VPQ60-VPQ62,'Sources and Uses Budget'!VPQ108-SUM('15 Year Pro Forma'!VPO66:VPP66))</f>
        <v>0</v>
      </c>
      <c r="VPS66" s="960">
        <f>MIN(VPS60-VPS62,'Sources and Uses Budget'!VPS108-SUM('15 Year Pro Forma'!VPQ66:VPR66))</f>
        <v>0</v>
      </c>
      <c r="VPU66" s="960">
        <f>MIN(VPU60-VPU62,'Sources and Uses Budget'!VPU108-SUM('15 Year Pro Forma'!VPS66:VPT66))</f>
        <v>0</v>
      </c>
      <c r="VPW66" s="960">
        <f>MIN(VPW60-VPW62,'Sources and Uses Budget'!VPW108-SUM('15 Year Pro Forma'!VPU66:VPV66))</f>
        <v>0</v>
      </c>
      <c r="VPY66" s="960">
        <f>MIN(VPY60-VPY62,'Sources and Uses Budget'!VPY108-SUM('15 Year Pro Forma'!VPW66:VPX66))</f>
        <v>0</v>
      </c>
      <c r="VQA66" s="960">
        <f>MIN(VQA60-VQA62,'Sources and Uses Budget'!VQA108-SUM('15 Year Pro Forma'!VPY66:VPZ66))</f>
        <v>0</v>
      </c>
      <c r="VQC66" s="960">
        <f>MIN(VQC60-VQC62,'Sources and Uses Budget'!VQC108-SUM('15 Year Pro Forma'!VQA66:VQB66))</f>
        <v>0</v>
      </c>
      <c r="VQE66" s="960">
        <f>MIN(VQE60-VQE62,'Sources and Uses Budget'!VQE108-SUM('15 Year Pro Forma'!VQC66:VQD66))</f>
        <v>0</v>
      </c>
      <c r="VQG66" s="960">
        <f>MIN(VQG60-VQG62,'Sources and Uses Budget'!VQG108-SUM('15 Year Pro Forma'!VQE66:VQF66))</f>
        <v>0</v>
      </c>
      <c r="VQI66" s="960">
        <f>MIN(VQI60-VQI62,'Sources and Uses Budget'!VQI108-SUM('15 Year Pro Forma'!VQG66:VQH66))</f>
        <v>0</v>
      </c>
      <c r="VQK66" s="960">
        <f>MIN(VQK60-VQK62,'Sources and Uses Budget'!VQK108-SUM('15 Year Pro Forma'!VQI66:VQJ66))</f>
        <v>0</v>
      </c>
      <c r="VQM66" s="960">
        <f>MIN(VQM60-VQM62,'Sources and Uses Budget'!VQM108-SUM('15 Year Pro Forma'!VQK66:VQL66))</f>
        <v>0</v>
      </c>
      <c r="VQO66" s="960">
        <f>MIN(VQO60-VQO62,'Sources and Uses Budget'!VQO108-SUM('15 Year Pro Forma'!VQM66:VQN66))</f>
        <v>0</v>
      </c>
      <c r="VQQ66" s="960">
        <f>MIN(VQQ60-VQQ62,'Sources and Uses Budget'!VQQ108-SUM('15 Year Pro Forma'!VQO66:VQP66))</f>
        <v>0</v>
      </c>
      <c r="VQS66" s="960">
        <f>MIN(VQS60-VQS62,'Sources and Uses Budget'!VQS108-SUM('15 Year Pro Forma'!VQQ66:VQR66))</f>
        <v>0</v>
      </c>
      <c r="VQU66" s="960">
        <f>MIN(VQU60-VQU62,'Sources and Uses Budget'!VQU108-SUM('15 Year Pro Forma'!VQS66:VQT66))</f>
        <v>0</v>
      </c>
      <c r="VQW66" s="960">
        <f>MIN(VQW60-VQW62,'Sources and Uses Budget'!VQW108-SUM('15 Year Pro Forma'!VQU66:VQV66))</f>
        <v>0</v>
      </c>
      <c r="VQY66" s="960">
        <f>MIN(VQY60-VQY62,'Sources and Uses Budget'!VQY108-SUM('15 Year Pro Forma'!VQW66:VQX66))</f>
        <v>0</v>
      </c>
      <c r="VRA66" s="960">
        <f>MIN(VRA60-VRA62,'Sources and Uses Budget'!VRA108-SUM('15 Year Pro Forma'!VQY66:VQZ66))</f>
        <v>0</v>
      </c>
      <c r="VRC66" s="960">
        <f>MIN(VRC60-VRC62,'Sources and Uses Budget'!VRC108-SUM('15 Year Pro Forma'!VRA66:VRB66))</f>
        <v>0</v>
      </c>
      <c r="VRE66" s="960">
        <f>MIN(VRE60-VRE62,'Sources and Uses Budget'!VRE108-SUM('15 Year Pro Forma'!VRC66:VRD66))</f>
        <v>0</v>
      </c>
      <c r="VRG66" s="960">
        <f>MIN(VRG60-VRG62,'Sources and Uses Budget'!VRG108-SUM('15 Year Pro Forma'!VRE66:VRF66))</f>
        <v>0</v>
      </c>
      <c r="VRI66" s="960">
        <f>MIN(VRI60-VRI62,'Sources and Uses Budget'!VRI108-SUM('15 Year Pro Forma'!VRG66:VRH66))</f>
        <v>0</v>
      </c>
      <c r="VRK66" s="960">
        <f>MIN(VRK60-VRK62,'Sources and Uses Budget'!VRK108-SUM('15 Year Pro Forma'!VRI66:VRJ66))</f>
        <v>0</v>
      </c>
      <c r="VRM66" s="960">
        <f>MIN(VRM60-VRM62,'Sources and Uses Budget'!VRM108-SUM('15 Year Pro Forma'!VRK66:VRL66))</f>
        <v>0</v>
      </c>
      <c r="VRO66" s="960">
        <f>MIN(VRO60-VRO62,'Sources and Uses Budget'!VRO108-SUM('15 Year Pro Forma'!VRM66:VRN66))</f>
        <v>0</v>
      </c>
      <c r="VRQ66" s="960">
        <f>MIN(VRQ60-VRQ62,'Sources and Uses Budget'!VRQ108-SUM('15 Year Pro Forma'!VRO66:VRP66))</f>
        <v>0</v>
      </c>
      <c r="VRS66" s="960">
        <f>MIN(VRS60-VRS62,'Sources and Uses Budget'!VRS108-SUM('15 Year Pro Forma'!VRQ66:VRR66))</f>
        <v>0</v>
      </c>
      <c r="VRU66" s="960">
        <f>MIN(VRU60-VRU62,'Sources and Uses Budget'!VRU108-SUM('15 Year Pro Forma'!VRS66:VRT66))</f>
        <v>0</v>
      </c>
      <c r="VRW66" s="960">
        <f>MIN(VRW60-VRW62,'Sources and Uses Budget'!VRW108-SUM('15 Year Pro Forma'!VRU66:VRV66))</f>
        <v>0</v>
      </c>
      <c r="VRY66" s="960">
        <f>MIN(VRY60-VRY62,'Sources and Uses Budget'!VRY108-SUM('15 Year Pro Forma'!VRW66:VRX66))</f>
        <v>0</v>
      </c>
      <c r="VSA66" s="960">
        <f>MIN(VSA60-VSA62,'Sources and Uses Budget'!VSA108-SUM('15 Year Pro Forma'!VRY66:VRZ66))</f>
        <v>0</v>
      </c>
      <c r="VSC66" s="960">
        <f>MIN(VSC60-VSC62,'Sources and Uses Budget'!VSC108-SUM('15 Year Pro Forma'!VSA66:VSB66))</f>
        <v>0</v>
      </c>
      <c r="VSE66" s="960">
        <f>MIN(VSE60-VSE62,'Sources and Uses Budget'!VSE108-SUM('15 Year Pro Forma'!VSC66:VSD66))</f>
        <v>0</v>
      </c>
      <c r="VSG66" s="960">
        <f>MIN(VSG60-VSG62,'Sources and Uses Budget'!VSG108-SUM('15 Year Pro Forma'!VSE66:VSF66))</f>
        <v>0</v>
      </c>
      <c r="VSI66" s="960">
        <f>MIN(VSI60-VSI62,'Sources and Uses Budget'!VSI108-SUM('15 Year Pro Forma'!VSG66:VSH66))</f>
        <v>0</v>
      </c>
      <c r="VSK66" s="960">
        <f>MIN(VSK60-VSK62,'Sources and Uses Budget'!VSK108-SUM('15 Year Pro Forma'!VSI66:VSJ66))</f>
        <v>0</v>
      </c>
      <c r="VSM66" s="960">
        <f>MIN(VSM60-VSM62,'Sources and Uses Budget'!VSM108-SUM('15 Year Pro Forma'!VSK66:VSL66))</f>
        <v>0</v>
      </c>
      <c r="VSO66" s="960">
        <f>MIN(VSO60-VSO62,'Sources and Uses Budget'!VSO108-SUM('15 Year Pro Forma'!VSM66:VSN66))</f>
        <v>0</v>
      </c>
      <c r="VSQ66" s="960">
        <f>MIN(VSQ60-VSQ62,'Sources and Uses Budget'!VSQ108-SUM('15 Year Pro Forma'!VSO66:VSP66))</f>
        <v>0</v>
      </c>
      <c r="VSS66" s="960">
        <f>MIN(VSS60-VSS62,'Sources and Uses Budget'!VSS108-SUM('15 Year Pro Forma'!VSQ66:VSR66))</f>
        <v>0</v>
      </c>
      <c r="VSU66" s="960">
        <f>MIN(VSU60-VSU62,'Sources and Uses Budget'!VSU108-SUM('15 Year Pro Forma'!VSS66:VST66))</f>
        <v>0</v>
      </c>
      <c r="VSW66" s="960">
        <f>MIN(VSW60-VSW62,'Sources and Uses Budget'!VSW108-SUM('15 Year Pro Forma'!VSU66:VSV66))</f>
        <v>0</v>
      </c>
      <c r="VSY66" s="960">
        <f>MIN(VSY60-VSY62,'Sources and Uses Budget'!VSY108-SUM('15 Year Pro Forma'!VSW66:VSX66))</f>
        <v>0</v>
      </c>
      <c r="VTA66" s="960">
        <f>MIN(VTA60-VTA62,'Sources and Uses Budget'!VTA108-SUM('15 Year Pro Forma'!VSY66:VSZ66))</f>
        <v>0</v>
      </c>
      <c r="VTC66" s="960">
        <f>MIN(VTC60-VTC62,'Sources and Uses Budget'!VTC108-SUM('15 Year Pro Forma'!VTA66:VTB66))</f>
        <v>0</v>
      </c>
      <c r="VTE66" s="960">
        <f>MIN(VTE60-VTE62,'Sources and Uses Budget'!VTE108-SUM('15 Year Pro Forma'!VTC66:VTD66))</f>
        <v>0</v>
      </c>
      <c r="VTG66" s="960">
        <f>MIN(VTG60-VTG62,'Sources and Uses Budget'!VTG108-SUM('15 Year Pro Forma'!VTE66:VTF66))</f>
        <v>0</v>
      </c>
      <c r="VTI66" s="960">
        <f>MIN(VTI60-VTI62,'Sources and Uses Budget'!VTI108-SUM('15 Year Pro Forma'!VTG66:VTH66))</f>
        <v>0</v>
      </c>
      <c r="VTK66" s="960">
        <f>MIN(VTK60-VTK62,'Sources and Uses Budget'!VTK108-SUM('15 Year Pro Forma'!VTI66:VTJ66))</f>
        <v>0</v>
      </c>
      <c r="VTM66" s="960">
        <f>MIN(VTM60-VTM62,'Sources and Uses Budget'!VTM108-SUM('15 Year Pro Forma'!VTK66:VTL66))</f>
        <v>0</v>
      </c>
      <c r="VTO66" s="960">
        <f>MIN(VTO60-VTO62,'Sources and Uses Budget'!VTO108-SUM('15 Year Pro Forma'!VTM66:VTN66))</f>
        <v>0</v>
      </c>
      <c r="VTQ66" s="960">
        <f>MIN(VTQ60-VTQ62,'Sources and Uses Budget'!VTQ108-SUM('15 Year Pro Forma'!VTO66:VTP66))</f>
        <v>0</v>
      </c>
      <c r="VTS66" s="960">
        <f>MIN(VTS60-VTS62,'Sources and Uses Budget'!VTS108-SUM('15 Year Pro Forma'!VTQ66:VTR66))</f>
        <v>0</v>
      </c>
      <c r="VTU66" s="960">
        <f>MIN(VTU60-VTU62,'Sources and Uses Budget'!VTU108-SUM('15 Year Pro Forma'!VTS66:VTT66))</f>
        <v>0</v>
      </c>
      <c r="VTW66" s="960">
        <f>MIN(VTW60-VTW62,'Sources and Uses Budget'!VTW108-SUM('15 Year Pro Forma'!VTU66:VTV66))</f>
        <v>0</v>
      </c>
      <c r="VTY66" s="960">
        <f>MIN(VTY60-VTY62,'Sources and Uses Budget'!VTY108-SUM('15 Year Pro Forma'!VTW66:VTX66))</f>
        <v>0</v>
      </c>
      <c r="VUA66" s="960">
        <f>MIN(VUA60-VUA62,'Sources and Uses Budget'!VUA108-SUM('15 Year Pro Forma'!VTY66:VTZ66))</f>
        <v>0</v>
      </c>
      <c r="VUC66" s="960">
        <f>MIN(VUC60-VUC62,'Sources and Uses Budget'!VUC108-SUM('15 Year Pro Forma'!VUA66:VUB66))</f>
        <v>0</v>
      </c>
      <c r="VUE66" s="960">
        <f>MIN(VUE60-VUE62,'Sources and Uses Budget'!VUE108-SUM('15 Year Pro Forma'!VUC66:VUD66))</f>
        <v>0</v>
      </c>
      <c r="VUG66" s="960">
        <f>MIN(VUG60-VUG62,'Sources and Uses Budget'!VUG108-SUM('15 Year Pro Forma'!VUE66:VUF66))</f>
        <v>0</v>
      </c>
      <c r="VUI66" s="960">
        <f>MIN(VUI60-VUI62,'Sources and Uses Budget'!VUI108-SUM('15 Year Pro Forma'!VUG66:VUH66))</f>
        <v>0</v>
      </c>
      <c r="VUK66" s="960">
        <f>MIN(VUK60-VUK62,'Sources and Uses Budget'!VUK108-SUM('15 Year Pro Forma'!VUI66:VUJ66))</f>
        <v>0</v>
      </c>
      <c r="VUM66" s="960">
        <f>MIN(VUM60-VUM62,'Sources and Uses Budget'!VUM108-SUM('15 Year Pro Forma'!VUK66:VUL66))</f>
        <v>0</v>
      </c>
      <c r="VUO66" s="960">
        <f>MIN(VUO60-VUO62,'Sources and Uses Budget'!VUO108-SUM('15 Year Pro Forma'!VUM66:VUN66))</f>
        <v>0</v>
      </c>
      <c r="VUQ66" s="960">
        <f>MIN(VUQ60-VUQ62,'Sources and Uses Budget'!VUQ108-SUM('15 Year Pro Forma'!VUO66:VUP66))</f>
        <v>0</v>
      </c>
      <c r="VUS66" s="960">
        <f>MIN(VUS60-VUS62,'Sources and Uses Budget'!VUS108-SUM('15 Year Pro Forma'!VUQ66:VUR66))</f>
        <v>0</v>
      </c>
      <c r="VUU66" s="960">
        <f>MIN(VUU60-VUU62,'Sources and Uses Budget'!VUU108-SUM('15 Year Pro Forma'!VUS66:VUT66))</f>
        <v>0</v>
      </c>
      <c r="VUW66" s="960">
        <f>MIN(VUW60-VUW62,'Sources and Uses Budget'!VUW108-SUM('15 Year Pro Forma'!VUU66:VUV66))</f>
        <v>0</v>
      </c>
      <c r="VUY66" s="960">
        <f>MIN(VUY60-VUY62,'Sources and Uses Budget'!VUY108-SUM('15 Year Pro Forma'!VUW66:VUX66))</f>
        <v>0</v>
      </c>
      <c r="VVA66" s="960">
        <f>MIN(VVA60-VVA62,'Sources and Uses Budget'!VVA108-SUM('15 Year Pro Forma'!VUY66:VUZ66))</f>
        <v>0</v>
      </c>
      <c r="VVC66" s="960">
        <f>MIN(VVC60-VVC62,'Sources and Uses Budget'!VVC108-SUM('15 Year Pro Forma'!VVA66:VVB66))</f>
        <v>0</v>
      </c>
      <c r="VVE66" s="960">
        <f>MIN(VVE60-VVE62,'Sources and Uses Budget'!VVE108-SUM('15 Year Pro Forma'!VVC66:VVD66))</f>
        <v>0</v>
      </c>
      <c r="VVG66" s="960">
        <f>MIN(VVG60-VVG62,'Sources and Uses Budget'!VVG108-SUM('15 Year Pro Forma'!VVE66:VVF66))</f>
        <v>0</v>
      </c>
      <c r="VVI66" s="960">
        <f>MIN(VVI60-VVI62,'Sources and Uses Budget'!VVI108-SUM('15 Year Pro Forma'!VVG66:VVH66))</f>
        <v>0</v>
      </c>
      <c r="VVK66" s="960">
        <f>MIN(VVK60-VVK62,'Sources and Uses Budget'!VVK108-SUM('15 Year Pro Forma'!VVI66:VVJ66))</f>
        <v>0</v>
      </c>
      <c r="VVM66" s="960">
        <f>MIN(VVM60-VVM62,'Sources and Uses Budget'!VVM108-SUM('15 Year Pro Forma'!VVK66:VVL66))</f>
        <v>0</v>
      </c>
      <c r="VVO66" s="960">
        <f>MIN(VVO60-VVO62,'Sources and Uses Budget'!VVO108-SUM('15 Year Pro Forma'!VVM66:VVN66))</f>
        <v>0</v>
      </c>
      <c r="VVQ66" s="960">
        <f>MIN(VVQ60-VVQ62,'Sources and Uses Budget'!VVQ108-SUM('15 Year Pro Forma'!VVO66:VVP66))</f>
        <v>0</v>
      </c>
      <c r="VVS66" s="960">
        <f>MIN(VVS60-VVS62,'Sources and Uses Budget'!VVS108-SUM('15 Year Pro Forma'!VVQ66:VVR66))</f>
        <v>0</v>
      </c>
      <c r="VVU66" s="960">
        <f>MIN(VVU60-VVU62,'Sources and Uses Budget'!VVU108-SUM('15 Year Pro Forma'!VVS66:VVT66))</f>
        <v>0</v>
      </c>
      <c r="VVW66" s="960">
        <f>MIN(VVW60-VVW62,'Sources and Uses Budget'!VVW108-SUM('15 Year Pro Forma'!VVU66:VVV66))</f>
        <v>0</v>
      </c>
      <c r="VVY66" s="960">
        <f>MIN(VVY60-VVY62,'Sources and Uses Budget'!VVY108-SUM('15 Year Pro Forma'!VVW66:VVX66))</f>
        <v>0</v>
      </c>
      <c r="VWA66" s="960">
        <f>MIN(VWA60-VWA62,'Sources and Uses Budget'!VWA108-SUM('15 Year Pro Forma'!VVY66:VVZ66))</f>
        <v>0</v>
      </c>
      <c r="VWC66" s="960">
        <f>MIN(VWC60-VWC62,'Sources and Uses Budget'!VWC108-SUM('15 Year Pro Forma'!VWA66:VWB66))</f>
        <v>0</v>
      </c>
      <c r="VWE66" s="960">
        <f>MIN(VWE60-VWE62,'Sources and Uses Budget'!VWE108-SUM('15 Year Pro Forma'!VWC66:VWD66))</f>
        <v>0</v>
      </c>
      <c r="VWG66" s="960">
        <f>MIN(VWG60-VWG62,'Sources and Uses Budget'!VWG108-SUM('15 Year Pro Forma'!VWE66:VWF66))</f>
        <v>0</v>
      </c>
      <c r="VWI66" s="960">
        <f>MIN(VWI60-VWI62,'Sources and Uses Budget'!VWI108-SUM('15 Year Pro Forma'!VWG66:VWH66))</f>
        <v>0</v>
      </c>
      <c r="VWK66" s="960">
        <f>MIN(VWK60-VWK62,'Sources and Uses Budget'!VWK108-SUM('15 Year Pro Forma'!VWI66:VWJ66))</f>
        <v>0</v>
      </c>
      <c r="VWM66" s="960">
        <f>MIN(VWM60-VWM62,'Sources and Uses Budget'!VWM108-SUM('15 Year Pro Forma'!VWK66:VWL66))</f>
        <v>0</v>
      </c>
      <c r="VWO66" s="960">
        <f>MIN(VWO60-VWO62,'Sources and Uses Budget'!VWO108-SUM('15 Year Pro Forma'!VWM66:VWN66))</f>
        <v>0</v>
      </c>
      <c r="VWQ66" s="960">
        <f>MIN(VWQ60-VWQ62,'Sources and Uses Budget'!VWQ108-SUM('15 Year Pro Forma'!VWO66:VWP66))</f>
        <v>0</v>
      </c>
      <c r="VWS66" s="960">
        <f>MIN(VWS60-VWS62,'Sources and Uses Budget'!VWS108-SUM('15 Year Pro Forma'!VWQ66:VWR66))</f>
        <v>0</v>
      </c>
      <c r="VWU66" s="960">
        <f>MIN(VWU60-VWU62,'Sources and Uses Budget'!VWU108-SUM('15 Year Pro Forma'!VWS66:VWT66))</f>
        <v>0</v>
      </c>
      <c r="VWW66" s="960">
        <f>MIN(VWW60-VWW62,'Sources and Uses Budget'!VWW108-SUM('15 Year Pro Forma'!VWU66:VWV66))</f>
        <v>0</v>
      </c>
      <c r="VWY66" s="960">
        <f>MIN(VWY60-VWY62,'Sources and Uses Budget'!VWY108-SUM('15 Year Pro Forma'!VWW66:VWX66))</f>
        <v>0</v>
      </c>
      <c r="VXA66" s="960">
        <f>MIN(VXA60-VXA62,'Sources and Uses Budget'!VXA108-SUM('15 Year Pro Forma'!VWY66:VWZ66))</f>
        <v>0</v>
      </c>
      <c r="VXC66" s="960">
        <f>MIN(VXC60-VXC62,'Sources and Uses Budget'!VXC108-SUM('15 Year Pro Forma'!VXA66:VXB66))</f>
        <v>0</v>
      </c>
      <c r="VXE66" s="960">
        <f>MIN(VXE60-VXE62,'Sources and Uses Budget'!VXE108-SUM('15 Year Pro Forma'!VXC66:VXD66))</f>
        <v>0</v>
      </c>
      <c r="VXG66" s="960">
        <f>MIN(VXG60-VXG62,'Sources and Uses Budget'!VXG108-SUM('15 Year Pro Forma'!VXE66:VXF66))</f>
        <v>0</v>
      </c>
      <c r="VXI66" s="960">
        <f>MIN(VXI60-VXI62,'Sources and Uses Budget'!VXI108-SUM('15 Year Pro Forma'!VXG66:VXH66))</f>
        <v>0</v>
      </c>
      <c r="VXK66" s="960">
        <f>MIN(VXK60-VXK62,'Sources and Uses Budget'!VXK108-SUM('15 Year Pro Forma'!VXI66:VXJ66))</f>
        <v>0</v>
      </c>
      <c r="VXM66" s="960">
        <f>MIN(VXM60-VXM62,'Sources and Uses Budget'!VXM108-SUM('15 Year Pro Forma'!VXK66:VXL66))</f>
        <v>0</v>
      </c>
      <c r="VXO66" s="960">
        <f>MIN(VXO60-VXO62,'Sources and Uses Budget'!VXO108-SUM('15 Year Pro Forma'!VXM66:VXN66))</f>
        <v>0</v>
      </c>
      <c r="VXQ66" s="960">
        <f>MIN(VXQ60-VXQ62,'Sources and Uses Budget'!VXQ108-SUM('15 Year Pro Forma'!VXO66:VXP66))</f>
        <v>0</v>
      </c>
      <c r="VXS66" s="960">
        <f>MIN(VXS60-VXS62,'Sources and Uses Budget'!VXS108-SUM('15 Year Pro Forma'!VXQ66:VXR66))</f>
        <v>0</v>
      </c>
      <c r="VXU66" s="960">
        <f>MIN(VXU60-VXU62,'Sources and Uses Budget'!VXU108-SUM('15 Year Pro Forma'!VXS66:VXT66))</f>
        <v>0</v>
      </c>
      <c r="VXW66" s="960">
        <f>MIN(VXW60-VXW62,'Sources and Uses Budget'!VXW108-SUM('15 Year Pro Forma'!VXU66:VXV66))</f>
        <v>0</v>
      </c>
      <c r="VXY66" s="960">
        <f>MIN(VXY60-VXY62,'Sources and Uses Budget'!VXY108-SUM('15 Year Pro Forma'!VXW66:VXX66))</f>
        <v>0</v>
      </c>
      <c r="VYA66" s="960">
        <f>MIN(VYA60-VYA62,'Sources and Uses Budget'!VYA108-SUM('15 Year Pro Forma'!VXY66:VXZ66))</f>
        <v>0</v>
      </c>
      <c r="VYC66" s="960">
        <f>MIN(VYC60-VYC62,'Sources and Uses Budget'!VYC108-SUM('15 Year Pro Forma'!VYA66:VYB66))</f>
        <v>0</v>
      </c>
      <c r="VYE66" s="960">
        <f>MIN(VYE60-VYE62,'Sources and Uses Budget'!VYE108-SUM('15 Year Pro Forma'!VYC66:VYD66))</f>
        <v>0</v>
      </c>
      <c r="VYG66" s="960">
        <f>MIN(VYG60-VYG62,'Sources and Uses Budget'!VYG108-SUM('15 Year Pro Forma'!VYE66:VYF66))</f>
        <v>0</v>
      </c>
      <c r="VYI66" s="960">
        <f>MIN(VYI60-VYI62,'Sources and Uses Budget'!VYI108-SUM('15 Year Pro Forma'!VYG66:VYH66))</f>
        <v>0</v>
      </c>
      <c r="VYK66" s="960">
        <f>MIN(VYK60-VYK62,'Sources and Uses Budget'!VYK108-SUM('15 Year Pro Forma'!VYI66:VYJ66))</f>
        <v>0</v>
      </c>
      <c r="VYM66" s="960">
        <f>MIN(VYM60-VYM62,'Sources and Uses Budget'!VYM108-SUM('15 Year Pro Forma'!VYK66:VYL66))</f>
        <v>0</v>
      </c>
      <c r="VYO66" s="960">
        <f>MIN(VYO60-VYO62,'Sources and Uses Budget'!VYO108-SUM('15 Year Pro Forma'!VYM66:VYN66))</f>
        <v>0</v>
      </c>
      <c r="VYQ66" s="960">
        <f>MIN(VYQ60-VYQ62,'Sources and Uses Budget'!VYQ108-SUM('15 Year Pro Forma'!VYO66:VYP66))</f>
        <v>0</v>
      </c>
      <c r="VYS66" s="960">
        <f>MIN(VYS60-VYS62,'Sources and Uses Budget'!VYS108-SUM('15 Year Pro Forma'!VYQ66:VYR66))</f>
        <v>0</v>
      </c>
      <c r="VYU66" s="960">
        <f>MIN(VYU60-VYU62,'Sources and Uses Budget'!VYU108-SUM('15 Year Pro Forma'!VYS66:VYT66))</f>
        <v>0</v>
      </c>
      <c r="VYW66" s="960">
        <f>MIN(VYW60-VYW62,'Sources and Uses Budget'!VYW108-SUM('15 Year Pro Forma'!VYU66:VYV66))</f>
        <v>0</v>
      </c>
      <c r="VYY66" s="960">
        <f>MIN(VYY60-VYY62,'Sources and Uses Budget'!VYY108-SUM('15 Year Pro Forma'!VYW66:VYX66))</f>
        <v>0</v>
      </c>
      <c r="VZA66" s="960">
        <f>MIN(VZA60-VZA62,'Sources and Uses Budget'!VZA108-SUM('15 Year Pro Forma'!VYY66:VYZ66))</f>
        <v>0</v>
      </c>
      <c r="VZC66" s="960">
        <f>MIN(VZC60-VZC62,'Sources and Uses Budget'!VZC108-SUM('15 Year Pro Forma'!VZA66:VZB66))</f>
        <v>0</v>
      </c>
      <c r="VZE66" s="960">
        <f>MIN(VZE60-VZE62,'Sources and Uses Budget'!VZE108-SUM('15 Year Pro Forma'!VZC66:VZD66))</f>
        <v>0</v>
      </c>
      <c r="VZG66" s="960">
        <f>MIN(VZG60-VZG62,'Sources and Uses Budget'!VZG108-SUM('15 Year Pro Forma'!VZE66:VZF66))</f>
        <v>0</v>
      </c>
      <c r="VZI66" s="960">
        <f>MIN(VZI60-VZI62,'Sources and Uses Budget'!VZI108-SUM('15 Year Pro Forma'!VZG66:VZH66))</f>
        <v>0</v>
      </c>
      <c r="VZK66" s="960">
        <f>MIN(VZK60-VZK62,'Sources and Uses Budget'!VZK108-SUM('15 Year Pro Forma'!VZI66:VZJ66))</f>
        <v>0</v>
      </c>
      <c r="VZM66" s="960">
        <f>MIN(VZM60-VZM62,'Sources and Uses Budget'!VZM108-SUM('15 Year Pro Forma'!VZK66:VZL66))</f>
        <v>0</v>
      </c>
      <c r="VZO66" s="960">
        <f>MIN(VZO60-VZO62,'Sources and Uses Budget'!VZO108-SUM('15 Year Pro Forma'!VZM66:VZN66))</f>
        <v>0</v>
      </c>
      <c r="VZQ66" s="960">
        <f>MIN(VZQ60-VZQ62,'Sources and Uses Budget'!VZQ108-SUM('15 Year Pro Forma'!VZO66:VZP66))</f>
        <v>0</v>
      </c>
      <c r="VZS66" s="960">
        <f>MIN(VZS60-VZS62,'Sources and Uses Budget'!VZS108-SUM('15 Year Pro Forma'!VZQ66:VZR66))</f>
        <v>0</v>
      </c>
      <c r="VZU66" s="960">
        <f>MIN(VZU60-VZU62,'Sources and Uses Budget'!VZU108-SUM('15 Year Pro Forma'!VZS66:VZT66))</f>
        <v>0</v>
      </c>
      <c r="VZW66" s="960">
        <f>MIN(VZW60-VZW62,'Sources and Uses Budget'!VZW108-SUM('15 Year Pro Forma'!VZU66:VZV66))</f>
        <v>0</v>
      </c>
      <c r="VZY66" s="960">
        <f>MIN(VZY60-VZY62,'Sources and Uses Budget'!VZY108-SUM('15 Year Pro Forma'!VZW66:VZX66))</f>
        <v>0</v>
      </c>
      <c r="WAA66" s="960">
        <f>MIN(WAA60-WAA62,'Sources and Uses Budget'!WAA108-SUM('15 Year Pro Forma'!VZY66:VZZ66))</f>
        <v>0</v>
      </c>
      <c r="WAC66" s="960">
        <f>MIN(WAC60-WAC62,'Sources and Uses Budget'!WAC108-SUM('15 Year Pro Forma'!WAA66:WAB66))</f>
        <v>0</v>
      </c>
      <c r="WAE66" s="960">
        <f>MIN(WAE60-WAE62,'Sources and Uses Budget'!WAE108-SUM('15 Year Pro Forma'!WAC66:WAD66))</f>
        <v>0</v>
      </c>
      <c r="WAG66" s="960">
        <f>MIN(WAG60-WAG62,'Sources and Uses Budget'!WAG108-SUM('15 Year Pro Forma'!WAE66:WAF66))</f>
        <v>0</v>
      </c>
      <c r="WAI66" s="960">
        <f>MIN(WAI60-WAI62,'Sources and Uses Budget'!WAI108-SUM('15 Year Pro Forma'!WAG66:WAH66))</f>
        <v>0</v>
      </c>
      <c r="WAK66" s="960">
        <f>MIN(WAK60-WAK62,'Sources and Uses Budget'!WAK108-SUM('15 Year Pro Forma'!WAI66:WAJ66))</f>
        <v>0</v>
      </c>
      <c r="WAM66" s="960">
        <f>MIN(WAM60-WAM62,'Sources and Uses Budget'!WAM108-SUM('15 Year Pro Forma'!WAK66:WAL66))</f>
        <v>0</v>
      </c>
      <c r="WAO66" s="960">
        <f>MIN(WAO60-WAO62,'Sources and Uses Budget'!WAO108-SUM('15 Year Pro Forma'!WAM66:WAN66))</f>
        <v>0</v>
      </c>
      <c r="WAQ66" s="960">
        <f>MIN(WAQ60-WAQ62,'Sources and Uses Budget'!WAQ108-SUM('15 Year Pro Forma'!WAO66:WAP66))</f>
        <v>0</v>
      </c>
      <c r="WAS66" s="960">
        <f>MIN(WAS60-WAS62,'Sources and Uses Budget'!WAS108-SUM('15 Year Pro Forma'!WAQ66:WAR66))</f>
        <v>0</v>
      </c>
      <c r="WAU66" s="960">
        <f>MIN(WAU60-WAU62,'Sources and Uses Budget'!WAU108-SUM('15 Year Pro Forma'!WAS66:WAT66))</f>
        <v>0</v>
      </c>
      <c r="WAW66" s="960">
        <f>MIN(WAW60-WAW62,'Sources and Uses Budget'!WAW108-SUM('15 Year Pro Forma'!WAU66:WAV66))</f>
        <v>0</v>
      </c>
      <c r="WAY66" s="960">
        <f>MIN(WAY60-WAY62,'Sources and Uses Budget'!WAY108-SUM('15 Year Pro Forma'!WAW66:WAX66))</f>
        <v>0</v>
      </c>
      <c r="WBA66" s="960">
        <f>MIN(WBA60-WBA62,'Sources and Uses Budget'!WBA108-SUM('15 Year Pro Forma'!WAY66:WAZ66))</f>
        <v>0</v>
      </c>
      <c r="WBC66" s="960">
        <f>MIN(WBC60-WBC62,'Sources and Uses Budget'!WBC108-SUM('15 Year Pro Forma'!WBA66:WBB66))</f>
        <v>0</v>
      </c>
      <c r="WBE66" s="960">
        <f>MIN(WBE60-WBE62,'Sources and Uses Budget'!WBE108-SUM('15 Year Pro Forma'!WBC66:WBD66))</f>
        <v>0</v>
      </c>
      <c r="WBG66" s="960">
        <f>MIN(WBG60-WBG62,'Sources and Uses Budget'!WBG108-SUM('15 Year Pro Forma'!WBE66:WBF66))</f>
        <v>0</v>
      </c>
      <c r="WBI66" s="960">
        <f>MIN(WBI60-WBI62,'Sources and Uses Budget'!WBI108-SUM('15 Year Pro Forma'!WBG66:WBH66))</f>
        <v>0</v>
      </c>
      <c r="WBK66" s="960">
        <f>MIN(WBK60-WBK62,'Sources and Uses Budget'!WBK108-SUM('15 Year Pro Forma'!WBI66:WBJ66))</f>
        <v>0</v>
      </c>
      <c r="WBM66" s="960">
        <f>MIN(WBM60-WBM62,'Sources and Uses Budget'!WBM108-SUM('15 Year Pro Forma'!WBK66:WBL66))</f>
        <v>0</v>
      </c>
      <c r="WBO66" s="960">
        <f>MIN(WBO60-WBO62,'Sources and Uses Budget'!WBO108-SUM('15 Year Pro Forma'!WBM66:WBN66))</f>
        <v>0</v>
      </c>
      <c r="WBQ66" s="960">
        <f>MIN(WBQ60-WBQ62,'Sources and Uses Budget'!WBQ108-SUM('15 Year Pro Forma'!WBO66:WBP66))</f>
        <v>0</v>
      </c>
      <c r="WBS66" s="960">
        <f>MIN(WBS60-WBS62,'Sources and Uses Budget'!WBS108-SUM('15 Year Pro Forma'!WBQ66:WBR66))</f>
        <v>0</v>
      </c>
      <c r="WBU66" s="960">
        <f>MIN(WBU60-WBU62,'Sources and Uses Budget'!WBU108-SUM('15 Year Pro Forma'!WBS66:WBT66))</f>
        <v>0</v>
      </c>
      <c r="WBW66" s="960">
        <f>MIN(WBW60-WBW62,'Sources and Uses Budget'!WBW108-SUM('15 Year Pro Forma'!WBU66:WBV66))</f>
        <v>0</v>
      </c>
      <c r="WBY66" s="960">
        <f>MIN(WBY60-WBY62,'Sources and Uses Budget'!WBY108-SUM('15 Year Pro Forma'!WBW66:WBX66))</f>
        <v>0</v>
      </c>
      <c r="WCA66" s="960">
        <f>MIN(WCA60-WCA62,'Sources and Uses Budget'!WCA108-SUM('15 Year Pro Forma'!WBY66:WBZ66))</f>
        <v>0</v>
      </c>
      <c r="WCC66" s="960">
        <f>MIN(WCC60-WCC62,'Sources and Uses Budget'!WCC108-SUM('15 Year Pro Forma'!WCA66:WCB66))</f>
        <v>0</v>
      </c>
      <c r="WCE66" s="960">
        <f>MIN(WCE60-WCE62,'Sources and Uses Budget'!WCE108-SUM('15 Year Pro Forma'!WCC66:WCD66))</f>
        <v>0</v>
      </c>
      <c r="WCG66" s="960">
        <f>MIN(WCG60-WCG62,'Sources and Uses Budget'!WCG108-SUM('15 Year Pro Forma'!WCE66:WCF66))</f>
        <v>0</v>
      </c>
      <c r="WCI66" s="960">
        <f>MIN(WCI60-WCI62,'Sources and Uses Budget'!WCI108-SUM('15 Year Pro Forma'!WCG66:WCH66))</f>
        <v>0</v>
      </c>
      <c r="WCK66" s="960">
        <f>MIN(WCK60-WCK62,'Sources and Uses Budget'!WCK108-SUM('15 Year Pro Forma'!WCI66:WCJ66))</f>
        <v>0</v>
      </c>
      <c r="WCM66" s="960">
        <f>MIN(WCM60-WCM62,'Sources and Uses Budget'!WCM108-SUM('15 Year Pro Forma'!WCK66:WCL66))</f>
        <v>0</v>
      </c>
      <c r="WCO66" s="960">
        <f>MIN(WCO60-WCO62,'Sources and Uses Budget'!WCO108-SUM('15 Year Pro Forma'!WCM66:WCN66))</f>
        <v>0</v>
      </c>
      <c r="WCQ66" s="960">
        <f>MIN(WCQ60-WCQ62,'Sources and Uses Budget'!WCQ108-SUM('15 Year Pro Forma'!WCO66:WCP66))</f>
        <v>0</v>
      </c>
      <c r="WCS66" s="960">
        <f>MIN(WCS60-WCS62,'Sources and Uses Budget'!WCS108-SUM('15 Year Pro Forma'!WCQ66:WCR66))</f>
        <v>0</v>
      </c>
      <c r="WCU66" s="960">
        <f>MIN(WCU60-WCU62,'Sources and Uses Budget'!WCU108-SUM('15 Year Pro Forma'!WCS66:WCT66))</f>
        <v>0</v>
      </c>
      <c r="WCW66" s="960">
        <f>MIN(WCW60-WCW62,'Sources and Uses Budget'!WCW108-SUM('15 Year Pro Forma'!WCU66:WCV66))</f>
        <v>0</v>
      </c>
      <c r="WCY66" s="960">
        <f>MIN(WCY60-WCY62,'Sources and Uses Budget'!WCY108-SUM('15 Year Pro Forma'!WCW66:WCX66))</f>
        <v>0</v>
      </c>
      <c r="WDA66" s="960">
        <f>MIN(WDA60-WDA62,'Sources and Uses Budget'!WDA108-SUM('15 Year Pro Forma'!WCY66:WCZ66))</f>
        <v>0</v>
      </c>
      <c r="WDC66" s="960">
        <f>MIN(WDC60-WDC62,'Sources and Uses Budget'!WDC108-SUM('15 Year Pro Forma'!WDA66:WDB66))</f>
        <v>0</v>
      </c>
      <c r="WDE66" s="960">
        <f>MIN(WDE60-WDE62,'Sources and Uses Budget'!WDE108-SUM('15 Year Pro Forma'!WDC66:WDD66))</f>
        <v>0</v>
      </c>
      <c r="WDG66" s="960">
        <f>MIN(WDG60-WDG62,'Sources and Uses Budget'!WDG108-SUM('15 Year Pro Forma'!WDE66:WDF66))</f>
        <v>0</v>
      </c>
      <c r="WDI66" s="960">
        <f>MIN(WDI60-WDI62,'Sources and Uses Budget'!WDI108-SUM('15 Year Pro Forma'!WDG66:WDH66))</f>
        <v>0</v>
      </c>
      <c r="WDK66" s="960">
        <f>MIN(WDK60-WDK62,'Sources and Uses Budget'!WDK108-SUM('15 Year Pro Forma'!WDI66:WDJ66))</f>
        <v>0</v>
      </c>
      <c r="WDM66" s="960">
        <f>MIN(WDM60-WDM62,'Sources and Uses Budget'!WDM108-SUM('15 Year Pro Forma'!WDK66:WDL66))</f>
        <v>0</v>
      </c>
      <c r="WDO66" s="960">
        <f>MIN(WDO60-WDO62,'Sources and Uses Budget'!WDO108-SUM('15 Year Pro Forma'!WDM66:WDN66))</f>
        <v>0</v>
      </c>
      <c r="WDQ66" s="960">
        <f>MIN(WDQ60-WDQ62,'Sources and Uses Budget'!WDQ108-SUM('15 Year Pro Forma'!WDO66:WDP66))</f>
        <v>0</v>
      </c>
      <c r="WDS66" s="960">
        <f>MIN(WDS60-WDS62,'Sources and Uses Budget'!WDS108-SUM('15 Year Pro Forma'!WDQ66:WDR66))</f>
        <v>0</v>
      </c>
      <c r="WDU66" s="960">
        <f>MIN(WDU60-WDU62,'Sources and Uses Budget'!WDU108-SUM('15 Year Pro Forma'!WDS66:WDT66))</f>
        <v>0</v>
      </c>
      <c r="WDW66" s="960">
        <f>MIN(WDW60-WDW62,'Sources and Uses Budget'!WDW108-SUM('15 Year Pro Forma'!WDU66:WDV66))</f>
        <v>0</v>
      </c>
      <c r="WDY66" s="960">
        <f>MIN(WDY60-WDY62,'Sources and Uses Budget'!WDY108-SUM('15 Year Pro Forma'!WDW66:WDX66))</f>
        <v>0</v>
      </c>
      <c r="WEA66" s="960">
        <f>MIN(WEA60-WEA62,'Sources and Uses Budget'!WEA108-SUM('15 Year Pro Forma'!WDY66:WDZ66))</f>
        <v>0</v>
      </c>
      <c r="WEC66" s="960">
        <f>MIN(WEC60-WEC62,'Sources and Uses Budget'!WEC108-SUM('15 Year Pro Forma'!WEA66:WEB66))</f>
        <v>0</v>
      </c>
      <c r="WEE66" s="960">
        <f>MIN(WEE60-WEE62,'Sources and Uses Budget'!WEE108-SUM('15 Year Pro Forma'!WEC66:WED66))</f>
        <v>0</v>
      </c>
      <c r="WEG66" s="960">
        <f>MIN(WEG60-WEG62,'Sources and Uses Budget'!WEG108-SUM('15 Year Pro Forma'!WEE66:WEF66))</f>
        <v>0</v>
      </c>
      <c r="WEI66" s="960">
        <f>MIN(WEI60-WEI62,'Sources and Uses Budget'!WEI108-SUM('15 Year Pro Forma'!WEG66:WEH66))</f>
        <v>0</v>
      </c>
      <c r="WEK66" s="960">
        <f>MIN(WEK60-WEK62,'Sources and Uses Budget'!WEK108-SUM('15 Year Pro Forma'!WEI66:WEJ66))</f>
        <v>0</v>
      </c>
      <c r="WEM66" s="960">
        <f>MIN(WEM60-WEM62,'Sources and Uses Budget'!WEM108-SUM('15 Year Pro Forma'!WEK66:WEL66))</f>
        <v>0</v>
      </c>
      <c r="WEO66" s="960">
        <f>MIN(WEO60-WEO62,'Sources and Uses Budget'!WEO108-SUM('15 Year Pro Forma'!WEM66:WEN66))</f>
        <v>0</v>
      </c>
      <c r="WEQ66" s="960">
        <f>MIN(WEQ60-WEQ62,'Sources and Uses Budget'!WEQ108-SUM('15 Year Pro Forma'!WEO66:WEP66))</f>
        <v>0</v>
      </c>
      <c r="WES66" s="960">
        <f>MIN(WES60-WES62,'Sources and Uses Budget'!WES108-SUM('15 Year Pro Forma'!WEQ66:WER66))</f>
        <v>0</v>
      </c>
      <c r="WEU66" s="960">
        <f>MIN(WEU60-WEU62,'Sources and Uses Budget'!WEU108-SUM('15 Year Pro Forma'!WES66:WET66))</f>
        <v>0</v>
      </c>
      <c r="WEW66" s="960">
        <f>MIN(WEW60-WEW62,'Sources and Uses Budget'!WEW108-SUM('15 Year Pro Forma'!WEU66:WEV66))</f>
        <v>0</v>
      </c>
      <c r="WEY66" s="960">
        <f>MIN(WEY60-WEY62,'Sources and Uses Budget'!WEY108-SUM('15 Year Pro Forma'!WEW66:WEX66))</f>
        <v>0</v>
      </c>
      <c r="WFA66" s="960">
        <f>MIN(WFA60-WFA62,'Sources and Uses Budget'!WFA108-SUM('15 Year Pro Forma'!WEY66:WEZ66))</f>
        <v>0</v>
      </c>
      <c r="WFC66" s="960">
        <f>MIN(WFC60-WFC62,'Sources and Uses Budget'!WFC108-SUM('15 Year Pro Forma'!WFA66:WFB66))</f>
        <v>0</v>
      </c>
      <c r="WFE66" s="960">
        <f>MIN(WFE60-WFE62,'Sources and Uses Budget'!WFE108-SUM('15 Year Pro Forma'!WFC66:WFD66))</f>
        <v>0</v>
      </c>
      <c r="WFG66" s="960">
        <f>MIN(WFG60-WFG62,'Sources and Uses Budget'!WFG108-SUM('15 Year Pro Forma'!WFE66:WFF66))</f>
        <v>0</v>
      </c>
      <c r="WFI66" s="960">
        <f>MIN(WFI60-WFI62,'Sources and Uses Budget'!WFI108-SUM('15 Year Pro Forma'!WFG66:WFH66))</f>
        <v>0</v>
      </c>
      <c r="WFK66" s="960">
        <f>MIN(WFK60-WFK62,'Sources and Uses Budget'!WFK108-SUM('15 Year Pro Forma'!WFI66:WFJ66))</f>
        <v>0</v>
      </c>
      <c r="WFM66" s="960">
        <f>MIN(WFM60-WFM62,'Sources and Uses Budget'!WFM108-SUM('15 Year Pro Forma'!WFK66:WFL66))</f>
        <v>0</v>
      </c>
      <c r="WFO66" s="960">
        <f>MIN(WFO60-WFO62,'Sources and Uses Budget'!WFO108-SUM('15 Year Pro Forma'!WFM66:WFN66))</f>
        <v>0</v>
      </c>
      <c r="WFQ66" s="960">
        <f>MIN(WFQ60-WFQ62,'Sources and Uses Budget'!WFQ108-SUM('15 Year Pro Forma'!WFO66:WFP66))</f>
        <v>0</v>
      </c>
      <c r="WFS66" s="960">
        <f>MIN(WFS60-WFS62,'Sources and Uses Budget'!WFS108-SUM('15 Year Pro Forma'!WFQ66:WFR66))</f>
        <v>0</v>
      </c>
      <c r="WFU66" s="960">
        <f>MIN(WFU60-WFU62,'Sources and Uses Budget'!WFU108-SUM('15 Year Pro Forma'!WFS66:WFT66))</f>
        <v>0</v>
      </c>
      <c r="WFW66" s="960">
        <f>MIN(WFW60-WFW62,'Sources and Uses Budget'!WFW108-SUM('15 Year Pro Forma'!WFU66:WFV66))</f>
        <v>0</v>
      </c>
      <c r="WFY66" s="960">
        <f>MIN(WFY60-WFY62,'Sources and Uses Budget'!WFY108-SUM('15 Year Pro Forma'!WFW66:WFX66))</f>
        <v>0</v>
      </c>
      <c r="WGA66" s="960">
        <f>MIN(WGA60-WGA62,'Sources and Uses Budget'!WGA108-SUM('15 Year Pro Forma'!WFY66:WFZ66))</f>
        <v>0</v>
      </c>
      <c r="WGC66" s="960">
        <f>MIN(WGC60-WGC62,'Sources and Uses Budget'!WGC108-SUM('15 Year Pro Forma'!WGA66:WGB66))</f>
        <v>0</v>
      </c>
      <c r="WGE66" s="960">
        <f>MIN(WGE60-WGE62,'Sources and Uses Budget'!WGE108-SUM('15 Year Pro Forma'!WGC66:WGD66))</f>
        <v>0</v>
      </c>
      <c r="WGG66" s="960">
        <f>MIN(WGG60-WGG62,'Sources and Uses Budget'!WGG108-SUM('15 Year Pro Forma'!WGE66:WGF66))</f>
        <v>0</v>
      </c>
      <c r="WGI66" s="960">
        <f>MIN(WGI60-WGI62,'Sources and Uses Budget'!WGI108-SUM('15 Year Pro Forma'!WGG66:WGH66))</f>
        <v>0</v>
      </c>
      <c r="WGK66" s="960">
        <f>MIN(WGK60-WGK62,'Sources and Uses Budget'!WGK108-SUM('15 Year Pro Forma'!WGI66:WGJ66))</f>
        <v>0</v>
      </c>
      <c r="WGM66" s="960">
        <f>MIN(WGM60-WGM62,'Sources and Uses Budget'!WGM108-SUM('15 Year Pro Forma'!WGK66:WGL66))</f>
        <v>0</v>
      </c>
      <c r="WGO66" s="960">
        <f>MIN(WGO60-WGO62,'Sources and Uses Budget'!WGO108-SUM('15 Year Pro Forma'!WGM66:WGN66))</f>
        <v>0</v>
      </c>
      <c r="WGQ66" s="960">
        <f>MIN(WGQ60-WGQ62,'Sources and Uses Budget'!WGQ108-SUM('15 Year Pro Forma'!WGO66:WGP66))</f>
        <v>0</v>
      </c>
      <c r="WGS66" s="960">
        <f>MIN(WGS60-WGS62,'Sources and Uses Budget'!WGS108-SUM('15 Year Pro Forma'!WGQ66:WGR66))</f>
        <v>0</v>
      </c>
      <c r="WGU66" s="960">
        <f>MIN(WGU60-WGU62,'Sources and Uses Budget'!WGU108-SUM('15 Year Pro Forma'!WGS66:WGT66))</f>
        <v>0</v>
      </c>
      <c r="WGW66" s="960">
        <f>MIN(WGW60-WGW62,'Sources and Uses Budget'!WGW108-SUM('15 Year Pro Forma'!WGU66:WGV66))</f>
        <v>0</v>
      </c>
      <c r="WGY66" s="960">
        <f>MIN(WGY60-WGY62,'Sources and Uses Budget'!WGY108-SUM('15 Year Pro Forma'!WGW66:WGX66))</f>
        <v>0</v>
      </c>
      <c r="WHA66" s="960">
        <f>MIN(WHA60-WHA62,'Sources and Uses Budget'!WHA108-SUM('15 Year Pro Forma'!WGY66:WGZ66))</f>
        <v>0</v>
      </c>
      <c r="WHC66" s="960">
        <f>MIN(WHC60-WHC62,'Sources and Uses Budget'!WHC108-SUM('15 Year Pro Forma'!WHA66:WHB66))</f>
        <v>0</v>
      </c>
      <c r="WHE66" s="960">
        <f>MIN(WHE60-WHE62,'Sources and Uses Budget'!WHE108-SUM('15 Year Pro Forma'!WHC66:WHD66))</f>
        <v>0</v>
      </c>
      <c r="WHG66" s="960">
        <f>MIN(WHG60-WHG62,'Sources and Uses Budget'!WHG108-SUM('15 Year Pro Forma'!WHE66:WHF66))</f>
        <v>0</v>
      </c>
      <c r="WHI66" s="960">
        <f>MIN(WHI60-WHI62,'Sources and Uses Budget'!WHI108-SUM('15 Year Pro Forma'!WHG66:WHH66))</f>
        <v>0</v>
      </c>
      <c r="WHK66" s="960">
        <f>MIN(WHK60-WHK62,'Sources and Uses Budget'!WHK108-SUM('15 Year Pro Forma'!WHI66:WHJ66))</f>
        <v>0</v>
      </c>
      <c r="WHM66" s="960">
        <f>MIN(WHM60-WHM62,'Sources and Uses Budget'!WHM108-SUM('15 Year Pro Forma'!WHK66:WHL66))</f>
        <v>0</v>
      </c>
      <c r="WHO66" s="960">
        <f>MIN(WHO60-WHO62,'Sources and Uses Budget'!WHO108-SUM('15 Year Pro Forma'!WHM66:WHN66))</f>
        <v>0</v>
      </c>
      <c r="WHQ66" s="960">
        <f>MIN(WHQ60-WHQ62,'Sources and Uses Budget'!WHQ108-SUM('15 Year Pro Forma'!WHO66:WHP66))</f>
        <v>0</v>
      </c>
      <c r="WHS66" s="960">
        <f>MIN(WHS60-WHS62,'Sources and Uses Budget'!WHS108-SUM('15 Year Pro Forma'!WHQ66:WHR66))</f>
        <v>0</v>
      </c>
      <c r="WHU66" s="960">
        <f>MIN(WHU60-WHU62,'Sources and Uses Budget'!WHU108-SUM('15 Year Pro Forma'!WHS66:WHT66))</f>
        <v>0</v>
      </c>
      <c r="WHW66" s="960">
        <f>MIN(WHW60-WHW62,'Sources and Uses Budget'!WHW108-SUM('15 Year Pro Forma'!WHU66:WHV66))</f>
        <v>0</v>
      </c>
      <c r="WHY66" s="960">
        <f>MIN(WHY60-WHY62,'Sources and Uses Budget'!WHY108-SUM('15 Year Pro Forma'!WHW66:WHX66))</f>
        <v>0</v>
      </c>
      <c r="WIA66" s="960">
        <f>MIN(WIA60-WIA62,'Sources and Uses Budget'!WIA108-SUM('15 Year Pro Forma'!WHY66:WHZ66))</f>
        <v>0</v>
      </c>
      <c r="WIC66" s="960">
        <f>MIN(WIC60-WIC62,'Sources and Uses Budget'!WIC108-SUM('15 Year Pro Forma'!WIA66:WIB66))</f>
        <v>0</v>
      </c>
      <c r="WIE66" s="960">
        <f>MIN(WIE60-WIE62,'Sources and Uses Budget'!WIE108-SUM('15 Year Pro Forma'!WIC66:WID66))</f>
        <v>0</v>
      </c>
      <c r="WIG66" s="960">
        <f>MIN(WIG60-WIG62,'Sources and Uses Budget'!WIG108-SUM('15 Year Pro Forma'!WIE66:WIF66))</f>
        <v>0</v>
      </c>
      <c r="WII66" s="960">
        <f>MIN(WII60-WII62,'Sources and Uses Budget'!WII108-SUM('15 Year Pro Forma'!WIG66:WIH66))</f>
        <v>0</v>
      </c>
      <c r="WIK66" s="960">
        <f>MIN(WIK60-WIK62,'Sources and Uses Budget'!WIK108-SUM('15 Year Pro Forma'!WII66:WIJ66))</f>
        <v>0</v>
      </c>
      <c r="WIM66" s="960">
        <f>MIN(WIM60-WIM62,'Sources and Uses Budget'!WIM108-SUM('15 Year Pro Forma'!WIK66:WIL66))</f>
        <v>0</v>
      </c>
      <c r="WIO66" s="960">
        <f>MIN(WIO60-WIO62,'Sources and Uses Budget'!WIO108-SUM('15 Year Pro Forma'!WIM66:WIN66))</f>
        <v>0</v>
      </c>
      <c r="WIQ66" s="960">
        <f>MIN(WIQ60-WIQ62,'Sources and Uses Budget'!WIQ108-SUM('15 Year Pro Forma'!WIO66:WIP66))</f>
        <v>0</v>
      </c>
      <c r="WIS66" s="960">
        <f>MIN(WIS60-WIS62,'Sources and Uses Budget'!WIS108-SUM('15 Year Pro Forma'!WIQ66:WIR66))</f>
        <v>0</v>
      </c>
      <c r="WIU66" s="960">
        <f>MIN(WIU60-WIU62,'Sources and Uses Budget'!WIU108-SUM('15 Year Pro Forma'!WIS66:WIT66))</f>
        <v>0</v>
      </c>
      <c r="WIW66" s="960">
        <f>MIN(WIW60-WIW62,'Sources and Uses Budget'!WIW108-SUM('15 Year Pro Forma'!WIU66:WIV66))</f>
        <v>0</v>
      </c>
      <c r="WIY66" s="960">
        <f>MIN(WIY60-WIY62,'Sources and Uses Budget'!WIY108-SUM('15 Year Pro Forma'!WIW66:WIX66))</f>
        <v>0</v>
      </c>
      <c r="WJA66" s="960">
        <f>MIN(WJA60-WJA62,'Sources and Uses Budget'!WJA108-SUM('15 Year Pro Forma'!WIY66:WIZ66))</f>
        <v>0</v>
      </c>
      <c r="WJC66" s="960">
        <f>MIN(WJC60-WJC62,'Sources and Uses Budget'!WJC108-SUM('15 Year Pro Forma'!WJA66:WJB66))</f>
        <v>0</v>
      </c>
      <c r="WJE66" s="960">
        <f>MIN(WJE60-WJE62,'Sources and Uses Budget'!WJE108-SUM('15 Year Pro Forma'!WJC66:WJD66))</f>
        <v>0</v>
      </c>
      <c r="WJG66" s="960">
        <f>MIN(WJG60-WJG62,'Sources and Uses Budget'!WJG108-SUM('15 Year Pro Forma'!WJE66:WJF66))</f>
        <v>0</v>
      </c>
      <c r="WJI66" s="960">
        <f>MIN(WJI60-WJI62,'Sources and Uses Budget'!WJI108-SUM('15 Year Pro Forma'!WJG66:WJH66))</f>
        <v>0</v>
      </c>
      <c r="WJK66" s="960">
        <f>MIN(WJK60-WJK62,'Sources and Uses Budget'!WJK108-SUM('15 Year Pro Forma'!WJI66:WJJ66))</f>
        <v>0</v>
      </c>
      <c r="WJM66" s="960">
        <f>MIN(WJM60-WJM62,'Sources and Uses Budget'!WJM108-SUM('15 Year Pro Forma'!WJK66:WJL66))</f>
        <v>0</v>
      </c>
      <c r="WJO66" s="960">
        <f>MIN(WJO60-WJO62,'Sources and Uses Budget'!WJO108-SUM('15 Year Pro Forma'!WJM66:WJN66))</f>
        <v>0</v>
      </c>
      <c r="WJQ66" s="960">
        <f>MIN(WJQ60-WJQ62,'Sources and Uses Budget'!WJQ108-SUM('15 Year Pro Forma'!WJO66:WJP66))</f>
        <v>0</v>
      </c>
      <c r="WJS66" s="960">
        <f>MIN(WJS60-WJS62,'Sources and Uses Budget'!WJS108-SUM('15 Year Pro Forma'!WJQ66:WJR66))</f>
        <v>0</v>
      </c>
      <c r="WJU66" s="960">
        <f>MIN(WJU60-WJU62,'Sources and Uses Budget'!WJU108-SUM('15 Year Pro Forma'!WJS66:WJT66))</f>
        <v>0</v>
      </c>
      <c r="WJW66" s="960">
        <f>MIN(WJW60-WJW62,'Sources and Uses Budget'!WJW108-SUM('15 Year Pro Forma'!WJU66:WJV66))</f>
        <v>0</v>
      </c>
      <c r="WJY66" s="960">
        <f>MIN(WJY60-WJY62,'Sources and Uses Budget'!WJY108-SUM('15 Year Pro Forma'!WJW66:WJX66))</f>
        <v>0</v>
      </c>
      <c r="WKA66" s="960">
        <f>MIN(WKA60-WKA62,'Sources and Uses Budget'!WKA108-SUM('15 Year Pro Forma'!WJY66:WJZ66))</f>
        <v>0</v>
      </c>
      <c r="WKC66" s="960">
        <f>MIN(WKC60-WKC62,'Sources and Uses Budget'!WKC108-SUM('15 Year Pro Forma'!WKA66:WKB66))</f>
        <v>0</v>
      </c>
      <c r="WKE66" s="960">
        <f>MIN(WKE60-WKE62,'Sources and Uses Budget'!WKE108-SUM('15 Year Pro Forma'!WKC66:WKD66))</f>
        <v>0</v>
      </c>
      <c r="WKG66" s="960">
        <f>MIN(WKG60-WKG62,'Sources and Uses Budget'!WKG108-SUM('15 Year Pro Forma'!WKE66:WKF66))</f>
        <v>0</v>
      </c>
      <c r="WKI66" s="960">
        <f>MIN(WKI60-WKI62,'Sources and Uses Budget'!WKI108-SUM('15 Year Pro Forma'!WKG66:WKH66))</f>
        <v>0</v>
      </c>
      <c r="WKK66" s="960">
        <f>MIN(WKK60-WKK62,'Sources and Uses Budget'!WKK108-SUM('15 Year Pro Forma'!WKI66:WKJ66))</f>
        <v>0</v>
      </c>
      <c r="WKM66" s="960">
        <f>MIN(WKM60-WKM62,'Sources and Uses Budget'!WKM108-SUM('15 Year Pro Forma'!WKK66:WKL66))</f>
        <v>0</v>
      </c>
      <c r="WKO66" s="960">
        <f>MIN(WKO60-WKO62,'Sources and Uses Budget'!WKO108-SUM('15 Year Pro Forma'!WKM66:WKN66))</f>
        <v>0</v>
      </c>
      <c r="WKQ66" s="960">
        <f>MIN(WKQ60-WKQ62,'Sources and Uses Budget'!WKQ108-SUM('15 Year Pro Forma'!WKO66:WKP66))</f>
        <v>0</v>
      </c>
      <c r="WKS66" s="960">
        <f>MIN(WKS60-WKS62,'Sources and Uses Budget'!WKS108-SUM('15 Year Pro Forma'!WKQ66:WKR66))</f>
        <v>0</v>
      </c>
      <c r="WKU66" s="960">
        <f>MIN(WKU60-WKU62,'Sources and Uses Budget'!WKU108-SUM('15 Year Pro Forma'!WKS66:WKT66))</f>
        <v>0</v>
      </c>
      <c r="WKW66" s="960">
        <f>MIN(WKW60-WKW62,'Sources and Uses Budget'!WKW108-SUM('15 Year Pro Forma'!WKU66:WKV66))</f>
        <v>0</v>
      </c>
      <c r="WKY66" s="960">
        <f>MIN(WKY60-WKY62,'Sources and Uses Budget'!WKY108-SUM('15 Year Pro Forma'!WKW66:WKX66))</f>
        <v>0</v>
      </c>
      <c r="WLA66" s="960">
        <f>MIN(WLA60-WLA62,'Sources and Uses Budget'!WLA108-SUM('15 Year Pro Forma'!WKY66:WKZ66))</f>
        <v>0</v>
      </c>
      <c r="WLC66" s="960">
        <f>MIN(WLC60-WLC62,'Sources and Uses Budget'!WLC108-SUM('15 Year Pro Forma'!WLA66:WLB66))</f>
        <v>0</v>
      </c>
      <c r="WLE66" s="960">
        <f>MIN(WLE60-WLE62,'Sources and Uses Budget'!WLE108-SUM('15 Year Pro Forma'!WLC66:WLD66))</f>
        <v>0</v>
      </c>
      <c r="WLG66" s="960">
        <f>MIN(WLG60-WLG62,'Sources and Uses Budget'!WLG108-SUM('15 Year Pro Forma'!WLE66:WLF66))</f>
        <v>0</v>
      </c>
      <c r="WLI66" s="960">
        <f>MIN(WLI60-WLI62,'Sources and Uses Budget'!WLI108-SUM('15 Year Pro Forma'!WLG66:WLH66))</f>
        <v>0</v>
      </c>
      <c r="WLK66" s="960">
        <f>MIN(WLK60-WLK62,'Sources and Uses Budget'!WLK108-SUM('15 Year Pro Forma'!WLI66:WLJ66))</f>
        <v>0</v>
      </c>
      <c r="WLM66" s="960">
        <f>MIN(WLM60-WLM62,'Sources and Uses Budget'!WLM108-SUM('15 Year Pro Forma'!WLK66:WLL66))</f>
        <v>0</v>
      </c>
      <c r="WLO66" s="960">
        <f>MIN(WLO60-WLO62,'Sources and Uses Budget'!WLO108-SUM('15 Year Pro Forma'!WLM66:WLN66))</f>
        <v>0</v>
      </c>
      <c r="WLQ66" s="960">
        <f>MIN(WLQ60-WLQ62,'Sources and Uses Budget'!WLQ108-SUM('15 Year Pro Forma'!WLO66:WLP66))</f>
        <v>0</v>
      </c>
      <c r="WLS66" s="960">
        <f>MIN(WLS60-WLS62,'Sources and Uses Budget'!WLS108-SUM('15 Year Pro Forma'!WLQ66:WLR66))</f>
        <v>0</v>
      </c>
      <c r="WLU66" s="960">
        <f>MIN(WLU60-WLU62,'Sources and Uses Budget'!WLU108-SUM('15 Year Pro Forma'!WLS66:WLT66))</f>
        <v>0</v>
      </c>
      <c r="WLW66" s="960">
        <f>MIN(WLW60-WLW62,'Sources and Uses Budget'!WLW108-SUM('15 Year Pro Forma'!WLU66:WLV66))</f>
        <v>0</v>
      </c>
      <c r="WLY66" s="960">
        <f>MIN(WLY60-WLY62,'Sources and Uses Budget'!WLY108-SUM('15 Year Pro Forma'!WLW66:WLX66))</f>
        <v>0</v>
      </c>
      <c r="WMA66" s="960">
        <f>MIN(WMA60-WMA62,'Sources and Uses Budget'!WMA108-SUM('15 Year Pro Forma'!WLY66:WLZ66))</f>
        <v>0</v>
      </c>
      <c r="WMC66" s="960">
        <f>MIN(WMC60-WMC62,'Sources and Uses Budget'!WMC108-SUM('15 Year Pro Forma'!WMA66:WMB66))</f>
        <v>0</v>
      </c>
      <c r="WME66" s="960">
        <f>MIN(WME60-WME62,'Sources and Uses Budget'!WME108-SUM('15 Year Pro Forma'!WMC66:WMD66))</f>
        <v>0</v>
      </c>
      <c r="WMG66" s="960">
        <f>MIN(WMG60-WMG62,'Sources and Uses Budget'!WMG108-SUM('15 Year Pro Forma'!WME66:WMF66))</f>
        <v>0</v>
      </c>
      <c r="WMI66" s="960">
        <f>MIN(WMI60-WMI62,'Sources and Uses Budget'!WMI108-SUM('15 Year Pro Forma'!WMG66:WMH66))</f>
        <v>0</v>
      </c>
      <c r="WMK66" s="960">
        <f>MIN(WMK60-WMK62,'Sources and Uses Budget'!WMK108-SUM('15 Year Pro Forma'!WMI66:WMJ66))</f>
        <v>0</v>
      </c>
      <c r="WMM66" s="960">
        <f>MIN(WMM60-WMM62,'Sources and Uses Budget'!WMM108-SUM('15 Year Pro Forma'!WMK66:WML66))</f>
        <v>0</v>
      </c>
      <c r="WMO66" s="960">
        <f>MIN(WMO60-WMO62,'Sources and Uses Budget'!WMO108-SUM('15 Year Pro Forma'!WMM66:WMN66))</f>
        <v>0</v>
      </c>
      <c r="WMQ66" s="960">
        <f>MIN(WMQ60-WMQ62,'Sources and Uses Budget'!WMQ108-SUM('15 Year Pro Forma'!WMO66:WMP66))</f>
        <v>0</v>
      </c>
      <c r="WMS66" s="960">
        <f>MIN(WMS60-WMS62,'Sources and Uses Budget'!WMS108-SUM('15 Year Pro Forma'!WMQ66:WMR66))</f>
        <v>0</v>
      </c>
      <c r="WMU66" s="960">
        <f>MIN(WMU60-WMU62,'Sources and Uses Budget'!WMU108-SUM('15 Year Pro Forma'!WMS66:WMT66))</f>
        <v>0</v>
      </c>
      <c r="WMW66" s="960">
        <f>MIN(WMW60-WMW62,'Sources and Uses Budget'!WMW108-SUM('15 Year Pro Forma'!WMU66:WMV66))</f>
        <v>0</v>
      </c>
      <c r="WMY66" s="960">
        <f>MIN(WMY60-WMY62,'Sources and Uses Budget'!WMY108-SUM('15 Year Pro Forma'!WMW66:WMX66))</f>
        <v>0</v>
      </c>
      <c r="WNA66" s="960">
        <f>MIN(WNA60-WNA62,'Sources and Uses Budget'!WNA108-SUM('15 Year Pro Forma'!WMY66:WMZ66))</f>
        <v>0</v>
      </c>
      <c r="WNC66" s="960">
        <f>MIN(WNC60-WNC62,'Sources and Uses Budget'!WNC108-SUM('15 Year Pro Forma'!WNA66:WNB66))</f>
        <v>0</v>
      </c>
      <c r="WNE66" s="960">
        <f>MIN(WNE60-WNE62,'Sources and Uses Budget'!WNE108-SUM('15 Year Pro Forma'!WNC66:WND66))</f>
        <v>0</v>
      </c>
      <c r="WNG66" s="960">
        <f>MIN(WNG60-WNG62,'Sources and Uses Budget'!WNG108-SUM('15 Year Pro Forma'!WNE66:WNF66))</f>
        <v>0</v>
      </c>
      <c r="WNI66" s="960">
        <f>MIN(WNI60-WNI62,'Sources and Uses Budget'!WNI108-SUM('15 Year Pro Forma'!WNG66:WNH66))</f>
        <v>0</v>
      </c>
      <c r="WNK66" s="960">
        <f>MIN(WNK60-WNK62,'Sources and Uses Budget'!WNK108-SUM('15 Year Pro Forma'!WNI66:WNJ66))</f>
        <v>0</v>
      </c>
      <c r="WNM66" s="960">
        <f>MIN(WNM60-WNM62,'Sources and Uses Budget'!WNM108-SUM('15 Year Pro Forma'!WNK66:WNL66))</f>
        <v>0</v>
      </c>
      <c r="WNO66" s="960">
        <f>MIN(WNO60-WNO62,'Sources and Uses Budget'!WNO108-SUM('15 Year Pro Forma'!WNM66:WNN66))</f>
        <v>0</v>
      </c>
      <c r="WNQ66" s="960">
        <f>MIN(WNQ60-WNQ62,'Sources and Uses Budget'!WNQ108-SUM('15 Year Pro Forma'!WNO66:WNP66))</f>
        <v>0</v>
      </c>
      <c r="WNS66" s="960">
        <f>MIN(WNS60-WNS62,'Sources and Uses Budget'!WNS108-SUM('15 Year Pro Forma'!WNQ66:WNR66))</f>
        <v>0</v>
      </c>
      <c r="WNU66" s="960">
        <f>MIN(WNU60-WNU62,'Sources and Uses Budget'!WNU108-SUM('15 Year Pro Forma'!WNS66:WNT66))</f>
        <v>0</v>
      </c>
      <c r="WNW66" s="960">
        <f>MIN(WNW60-WNW62,'Sources and Uses Budget'!WNW108-SUM('15 Year Pro Forma'!WNU66:WNV66))</f>
        <v>0</v>
      </c>
      <c r="WNY66" s="960">
        <f>MIN(WNY60-WNY62,'Sources and Uses Budget'!WNY108-SUM('15 Year Pro Forma'!WNW66:WNX66))</f>
        <v>0</v>
      </c>
      <c r="WOA66" s="960">
        <f>MIN(WOA60-WOA62,'Sources and Uses Budget'!WOA108-SUM('15 Year Pro Forma'!WNY66:WNZ66))</f>
        <v>0</v>
      </c>
      <c r="WOC66" s="960">
        <f>MIN(WOC60-WOC62,'Sources and Uses Budget'!WOC108-SUM('15 Year Pro Forma'!WOA66:WOB66))</f>
        <v>0</v>
      </c>
      <c r="WOE66" s="960">
        <f>MIN(WOE60-WOE62,'Sources and Uses Budget'!WOE108-SUM('15 Year Pro Forma'!WOC66:WOD66))</f>
        <v>0</v>
      </c>
      <c r="WOG66" s="960">
        <f>MIN(WOG60-WOG62,'Sources and Uses Budget'!WOG108-SUM('15 Year Pro Forma'!WOE66:WOF66))</f>
        <v>0</v>
      </c>
      <c r="WOI66" s="960">
        <f>MIN(WOI60-WOI62,'Sources and Uses Budget'!WOI108-SUM('15 Year Pro Forma'!WOG66:WOH66))</f>
        <v>0</v>
      </c>
      <c r="WOK66" s="960">
        <f>MIN(WOK60-WOK62,'Sources and Uses Budget'!WOK108-SUM('15 Year Pro Forma'!WOI66:WOJ66))</f>
        <v>0</v>
      </c>
      <c r="WOM66" s="960">
        <f>MIN(WOM60-WOM62,'Sources and Uses Budget'!WOM108-SUM('15 Year Pro Forma'!WOK66:WOL66))</f>
        <v>0</v>
      </c>
      <c r="WOO66" s="960">
        <f>MIN(WOO60-WOO62,'Sources and Uses Budget'!WOO108-SUM('15 Year Pro Forma'!WOM66:WON66))</f>
        <v>0</v>
      </c>
      <c r="WOQ66" s="960">
        <f>MIN(WOQ60-WOQ62,'Sources and Uses Budget'!WOQ108-SUM('15 Year Pro Forma'!WOO66:WOP66))</f>
        <v>0</v>
      </c>
      <c r="WOS66" s="960">
        <f>MIN(WOS60-WOS62,'Sources and Uses Budget'!WOS108-SUM('15 Year Pro Forma'!WOQ66:WOR66))</f>
        <v>0</v>
      </c>
      <c r="WOU66" s="960">
        <f>MIN(WOU60-WOU62,'Sources and Uses Budget'!WOU108-SUM('15 Year Pro Forma'!WOS66:WOT66))</f>
        <v>0</v>
      </c>
      <c r="WOW66" s="960">
        <f>MIN(WOW60-WOW62,'Sources and Uses Budget'!WOW108-SUM('15 Year Pro Forma'!WOU66:WOV66))</f>
        <v>0</v>
      </c>
      <c r="WOY66" s="960">
        <f>MIN(WOY60-WOY62,'Sources and Uses Budget'!WOY108-SUM('15 Year Pro Forma'!WOW66:WOX66))</f>
        <v>0</v>
      </c>
      <c r="WPA66" s="960">
        <f>MIN(WPA60-WPA62,'Sources and Uses Budget'!WPA108-SUM('15 Year Pro Forma'!WOY66:WOZ66))</f>
        <v>0</v>
      </c>
      <c r="WPC66" s="960">
        <f>MIN(WPC60-WPC62,'Sources and Uses Budget'!WPC108-SUM('15 Year Pro Forma'!WPA66:WPB66))</f>
        <v>0</v>
      </c>
      <c r="WPE66" s="960">
        <f>MIN(WPE60-WPE62,'Sources and Uses Budget'!WPE108-SUM('15 Year Pro Forma'!WPC66:WPD66))</f>
        <v>0</v>
      </c>
      <c r="WPG66" s="960">
        <f>MIN(WPG60-WPG62,'Sources and Uses Budget'!WPG108-SUM('15 Year Pro Forma'!WPE66:WPF66))</f>
        <v>0</v>
      </c>
      <c r="WPI66" s="960">
        <f>MIN(WPI60-WPI62,'Sources and Uses Budget'!WPI108-SUM('15 Year Pro Forma'!WPG66:WPH66))</f>
        <v>0</v>
      </c>
      <c r="WPK66" s="960">
        <f>MIN(WPK60-WPK62,'Sources and Uses Budget'!WPK108-SUM('15 Year Pro Forma'!WPI66:WPJ66))</f>
        <v>0</v>
      </c>
      <c r="WPM66" s="960">
        <f>MIN(WPM60-WPM62,'Sources and Uses Budget'!WPM108-SUM('15 Year Pro Forma'!WPK66:WPL66))</f>
        <v>0</v>
      </c>
      <c r="WPO66" s="960">
        <f>MIN(WPO60-WPO62,'Sources and Uses Budget'!WPO108-SUM('15 Year Pro Forma'!WPM66:WPN66))</f>
        <v>0</v>
      </c>
      <c r="WPQ66" s="960">
        <f>MIN(WPQ60-WPQ62,'Sources and Uses Budget'!WPQ108-SUM('15 Year Pro Forma'!WPO66:WPP66))</f>
        <v>0</v>
      </c>
      <c r="WPS66" s="960">
        <f>MIN(WPS60-WPS62,'Sources and Uses Budget'!WPS108-SUM('15 Year Pro Forma'!WPQ66:WPR66))</f>
        <v>0</v>
      </c>
      <c r="WPU66" s="960">
        <f>MIN(WPU60-WPU62,'Sources and Uses Budget'!WPU108-SUM('15 Year Pro Forma'!WPS66:WPT66))</f>
        <v>0</v>
      </c>
      <c r="WPW66" s="960">
        <f>MIN(WPW60-WPW62,'Sources and Uses Budget'!WPW108-SUM('15 Year Pro Forma'!WPU66:WPV66))</f>
        <v>0</v>
      </c>
      <c r="WPY66" s="960">
        <f>MIN(WPY60-WPY62,'Sources and Uses Budget'!WPY108-SUM('15 Year Pro Forma'!WPW66:WPX66))</f>
        <v>0</v>
      </c>
      <c r="WQA66" s="960">
        <f>MIN(WQA60-WQA62,'Sources and Uses Budget'!WQA108-SUM('15 Year Pro Forma'!WPY66:WPZ66))</f>
        <v>0</v>
      </c>
      <c r="WQC66" s="960">
        <f>MIN(WQC60-WQC62,'Sources and Uses Budget'!WQC108-SUM('15 Year Pro Forma'!WQA66:WQB66))</f>
        <v>0</v>
      </c>
      <c r="WQE66" s="960">
        <f>MIN(WQE60-WQE62,'Sources and Uses Budget'!WQE108-SUM('15 Year Pro Forma'!WQC66:WQD66))</f>
        <v>0</v>
      </c>
      <c r="WQG66" s="960">
        <f>MIN(WQG60-WQG62,'Sources and Uses Budget'!WQG108-SUM('15 Year Pro Forma'!WQE66:WQF66))</f>
        <v>0</v>
      </c>
      <c r="WQI66" s="960">
        <f>MIN(WQI60-WQI62,'Sources and Uses Budget'!WQI108-SUM('15 Year Pro Forma'!WQG66:WQH66))</f>
        <v>0</v>
      </c>
      <c r="WQK66" s="960">
        <f>MIN(WQK60-WQK62,'Sources and Uses Budget'!WQK108-SUM('15 Year Pro Forma'!WQI66:WQJ66))</f>
        <v>0</v>
      </c>
      <c r="WQM66" s="960">
        <f>MIN(WQM60-WQM62,'Sources and Uses Budget'!WQM108-SUM('15 Year Pro Forma'!WQK66:WQL66))</f>
        <v>0</v>
      </c>
      <c r="WQO66" s="960">
        <f>MIN(WQO60-WQO62,'Sources and Uses Budget'!WQO108-SUM('15 Year Pro Forma'!WQM66:WQN66))</f>
        <v>0</v>
      </c>
      <c r="WQQ66" s="960">
        <f>MIN(WQQ60-WQQ62,'Sources and Uses Budget'!WQQ108-SUM('15 Year Pro Forma'!WQO66:WQP66))</f>
        <v>0</v>
      </c>
      <c r="WQS66" s="960">
        <f>MIN(WQS60-WQS62,'Sources and Uses Budget'!WQS108-SUM('15 Year Pro Forma'!WQQ66:WQR66))</f>
        <v>0</v>
      </c>
      <c r="WQU66" s="960">
        <f>MIN(WQU60-WQU62,'Sources and Uses Budget'!WQU108-SUM('15 Year Pro Forma'!WQS66:WQT66))</f>
        <v>0</v>
      </c>
      <c r="WQW66" s="960">
        <f>MIN(WQW60-WQW62,'Sources and Uses Budget'!WQW108-SUM('15 Year Pro Forma'!WQU66:WQV66))</f>
        <v>0</v>
      </c>
      <c r="WQY66" s="960">
        <f>MIN(WQY60-WQY62,'Sources and Uses Budget'!WQY108-SUM('15 Year Pro Forma'!WQW66:WQX66))</f>
        <v>0</v>
      </c>
      <c r="WRA66" s="960">
        <f>MIN(WRA60-WRA62,'Sources and Uses Budget'!WRA108-SUM('15 Year Pro Forma'!WQY66:WQZ66))</f>
        <v>0</v>
      </c>
      <c r="WRC66" s="960">
        <f>MIN(WRC60-WRC62,'Sources and Uses Budget'!WRC108-SUM('15 Year Pro Forma'!WRA66:WRB66))</f>
        <v>0</v>
      </c>
      <c r="WRE66" s="960">
        <f>MIN(WRE60-WRE62,'Sources and Uses Budget'!WRE108-SUM('15 Year Pro Forma'!WRC66:WRD66))</f>
        <v>0</v>
      </c>
      <c r="WRG66" s="960">
        <f>MIN(WRG60-WRG62,'Sources and Uses Budget'!WRG108-SUM('15 Year Pro Forma'!WRE66:WRF66))</f>
        <v>0</v>
      </c>
      <c r="WRI66" s="960">
        <f>MIN(WRI60-WRI62,'Sources and Uses Budget'!WRI108-SUM('15 Year Pro Forma'!WRG66:WRH66))</f>
        <v>0</v>
      </c>
      <c r="WRK66" s="960">
        <f>MIN(WRK60-WRK62,'Sources and Uses Budget'!WRK108-SUM('15 Year Pro Forma'!WRI66:WRJ66))</f>
        <v>0</v>
      </c>
      <c r="WRM66" s="960">
        <f>MIN(WRM60-WRM62,'Sources and Uses Budget'!WRM108-SUM('15 Year Pro Forma'!WRK66:WRL66))</f>
        <v>0</v>
      </c>
      <c r="WRO66" s="960">
        <f>MIN(WRO60-WRO62,'Sources and Uses Budget'!WRO108-SUM('15 Year Pro Forma'!WRM66:WRN66))</f>
        <v>0</v>
      </c>
      <c r="WRQ66" s="960">
        <f>MIN(WRQ60-WRQ62,'Sources and Uses Budget'!WRQ108-SUM('15 Year Pro Forma'!WRO66:WRP66))</f>
        <v>0</v>
      </c>
      <c r="WRS66" s="960">
        <f>MIN(WRS60-WRS62,'Sources and Uses Budget'!WRS108-SUM('15 Year Pro Forma'!WRQ66:WRR66))</f>
        <v>0</v>
      </c>
      <c r="WRU66" s="960">
        <f>MIN(WRU60-WRU62,'Sources and Uses Budget'!WRU108-SUM('15 Year Pro Forma'!WRS66:WRT66))</f>
        <v>0</v>
      </c>
      <c r="WRW66" s="960">
        <f>MIN(WRW60-WRW62,'Sources and Uses Budget'!WRW108-SUM('15 Year Pro Forma'!WRU66:WRV66))</f>
        <v>0</v>
      </c>
      <c r="WRY66" s="960">
        <f>MIN(WRY60-WRY62,'Sources and Uses Budget'!WRY108-SUM('15 Year Pro Forma'!WRW66:WRX66))</f>
        <v>0</v>
      </c>
      <c r="WSA66" s="960">
        <f>MIN(WSA60-WSA62,'Sources and Uses Budget'!WSA108-SUM('15 Year Pro Forma'!WRY66:WRZ66))</f>
        <v>0</v>
      </c>
      <c r="WSC66" s="960">
        <f>MIN(WSC60-WSC62,'Sources and Uses Budget'!WSC108-SUM('15 Year Pro Forma'!WSA66:WSB66))</f>
        <v>0</v>
      </c>
      <c r="WSE66" s="960">
        <f>MIN(WSE60-WSE62,'Sources and Uses Budget'!WSE108-SUM('15 Year Pro Forma'!WSC66:WSD66))</f>
        <v>0</v>
      </c>
      <c r="WSG66" s="960">
        <f>MIN(WSG60-WSG62,'Sources and Uses Budget'!WSG108-SUM('15 Year Pro Forma'!WSE66:WSF66))</f>
        <v>0</v>
      </c>
      <c r="WSI66" s="960">
        <f>MIN(WSI60-WSI62,'Sources and Uses Budget'!WSI108-SUM('15 Year Pro Forma'!WSG66:WSH66))</f>
        <v>0</v>
      </c>
      <c r="WSK66" s="960">
        <f>MIN(WSK60-WSK62,'Sources and Uses Budget'!WSK108-SUM('15 Year Pro Forma'!WSI66:WSJ66))</f>
        <v>0</v>
      </c>
      <c r="WSM66" s="960">
        <f>MIN(WSM60-WSM62,'Sources and Uses Budget'!WSM108-SUM('15 Year Pro Forma'!WSK66:WSL66))</f>
        <v>0</v>
      </c>
      <c r="WSO66" s="960">
        <f>MIN(WSO60-WSO62,'Sources and Uses Budget'!WSO108-SUM('15 Year Pro Forma'!WSM66:WSN66))</f>
        <v>0</v>
      </c>
      <c r="WSQ66" s="960">
        <f>MIN(WSQ60-WSQ62,'Sources and Uses Budget'!WSQ108-SUM('15 Year Pro Forma'!WSO66:WSP66))</f>
        <v>0</v>
      </c>
      <c r="WSS66" s="960">
        <f>MIN(WSS60-WSS62,'Sources and Uses Budget'!WSS108-SUM('15 Year Pro Forma'!WSQ66:WSR66))</f>
        <v>0</v>
      </c>
      <c r="WSU66" s="960">
        <f>MIN(WSU60-WSU62,'Sources and Uses Budget'!WSU108-SUM('15 Year Pro Forma'!WSS66:WST66))</f>
        <v>0</v>
      </c>
      <c r="WSW66" s="960">
        <f>MIN(WSW60-WSW62,'Sources and Uses Budget'!WSW108-SUM('15 Year Pro Forma'!WSU66:WSV66))</f>
        <v>0</v>
      </c>
      <c r="WSY66" s="960">
        <f>MIN(WSY60-WSY62,'Sources and Uses Budget'!WSY108-SUM('15 Year Pro Forma'!WSW66:WSX66))</f>
        <v>0</v>
      </c>
      <c r="WTA66" s="960">
        <f>MIN(WTA60-WTA62,'Sources and Uses Budget'!WTA108-SUM('15 Year Pro Forma'!WSY66:WSZ66))</f>
        <v>0</v>
      </c>
      <c r="WTC66" s="960">
        <f>MIN(WTC60-WTC62,'Sources and Uses Budget'!WTC108-SUM('15 Year Pro Forma'!WTA66:WTB66))</f>
        <v>0</v>
      </c>
      <c r="WTE66" s="960">
        <f>MIN(WTE60-WTE62,'Sources and Uses Budget'!WTE108-SUM('15 Year Pro Forma'!WTC66:WTD66))</f>
        <v>0</v>
      </c>
      <c r="WTG66" s="960">
        <f>MIN(WTG60-WTG62,'Sources and Uses Budget'!WTG108-SUM('15 Year Pro Forma'!WTE66:WTF66))</f>
        <v>0</v>
      </c>
      <c r="WTI66" s="960">
        <f>MIN(WTI60-WTI62,'Sources and Uses Budget'!WTI108-SUM('15 Year Pro Forma'!WTG66:WTH66))</f>
        <v>0</v>
      </c>
      <c r="WTK66" s="960">
        <f>MIN(WTK60-WTK62,'Sources and Uses Budget'!WTK108-SUM('15 Year Pro Forma'!WTI66:WTJ66))</f>
        <v>0</v>
      </c>
      <c r="WTM66" s="960">
        <f>MIN(WTM60-WTM62,'Sources and Uses Budget'!WTM108-SUM('15 Year Pro Forma'!WTK66:WTL66))</f>
        <v>0</v>
      </c>
      <c r="WTO66" s="960">
        <f>MIN(WTO60-WTO62,'Sources and Uses Budget'!WTO108-SUM('15 Year Pro Forma'!WTM66:WTN66))</f>
        <v>0</v>
      </c>
      <c r="WTQ66" s="960">
        <f>MIN(WTQ60-WTQ62,'Sources and Uses Budget'!WTQ108-SUM('15 Year Pro Forma'!WTO66:WTP66))</f>
        <v>0</v>
      </c>
      <c r="WTS66" s="960">
        <f>MIN(WTS60-WTS62,'Sources and Uses Budget'!WTS108-SUM('15 Year Pro Forma'!WTQ66:WTR66))</f>
        <v>0</v>
      </c>
      <c r="WTU66" s="960">
        <f>MIN(WTU60-WTU62,'Sources and Uses Budget'!WTU108-SUM('15 Year Pro Forma'!WTS66:WTT66))</f>
        <v>0</v>
      </c>
      <c r="WTW66" s="960">
        <f>MIN(WTW60-WTW62,'Sources and Uses Budget'!WTW108-SUM('15 Year Pro Forma'!WTU66:WTV66))</f>
        <v>0</v>
      </c>
      <c r="WTY66" s="960">
        <f>MIN(WTY60-WTY62,'Sources and Uses Budget'!WTY108-SUM('15 Year Pro Forma'!WTW66:WTX66))</f>
        <v>0</v>
      </c>
      <c r="WUA66" s="960">
        <f>MIN(WUA60-WUA62,'Sources and Uses Budget'!WUA108-SUM('15 Year Pro Forma'!WTY66:WTZ66))</f>
        <v>0</v>
      </c>
      <c r="WUC66" s="960">
        <f>MIN(WUC60-WUC62,'Sources and Uses Budget'!WUC108-SUM('15 Year Pro Forma'!WUA66:WUB66))</f>
        <v>0</v>
      </c>
      <c r="WUE66" s="960">
        <f>MIN(WUE60-WUE62,'Sources and Uses Budget'!WUE108-SUM('15 Year Pro Forma'!WUC66:WUD66))</f>
        <v>0</v>
      </c>
      <c r="WUG66" s="960">
        <f>MIN(WUG60-WUG62,'Sources and Uses Budget'!WUG108-SUM('15 Year Pro Forma'!WUE66:WUF66))</f>
        <v>0</v>
      </c>
      <c r="WUI66" s="960">
        <f>MIN(WUI60-WUI62,'Sources and Uses Budget'!WUI108-SUM('15 Year Pro Forma'!WUG66:WUH66))</f>
        <v>0</v>
      </c>
      <c r="WUK66" s="960">
        <f>MIN(WUK60-WUK62,'Sources and Uses Budget'!WUK108-SUM('15 Year Pro Forma'!WUI66:WUJ66))</f>
        <v>0</v>
      </c>
      <c r="WUM66" s="960">
        <f>MIN(WUM60-WUM62,'Sources and Uses Budget'!WUM108-SUM('15 Year Pro Forma'!WUK66:WUL66))</f>
        <v>0</v>
      </c>
      <c r="WUO66" s="960">
        <f>MIN(WUO60-WUO62,'Sources and Uses Budget'!WUO108-SUM('15 Year Pro Forma'!WUM66:WUN66))</f>
        <v>0</v>
      </c>
      <c r="WUQ66" s="960">
        <f>MIN(WUQ60-WUQ62,'Sources and Uses Budget'!WUQ108-SUM('15 Year Pro Forma'!WUO66:WUP66))</f>
        <v>0</v>
      </c>
      <c r="WUS66" s="960">
        <f>MIN(WUS60-WUS62,'Sources and Uses Budget'!WUS108-SUM('15 Year Pro Forma'!WUQ66:WUR66))</f>
        <v>0</v>
      </c>
      <c r="WUU66" s="960">
        <f>MIN(WUU60-WUU62,'Sources and Uses Budget'!WUU108-SUM('15 Year Pro Forma'!WUS66:WUT66))</f>
        <v>0</v>
      </c>
      <c r="WUW66" s="960">
        <f>MIN(WUW60-WUW62,'Sources and Uses Budget'!WUW108-SUM('15 Year Pro Forma'!WUU66:WUV66))</f>
        <v>0</v>
      </c>
      <c r="WUY66" s="960">
        <f>MIN(WUY60-WUY62,'Sources and Uses Budget'!WUY108-SUM('15 Year Pro Forma'!WUW66:WUX66))</f>
        <v>0</v>
      </c>
      <c r="WVA66" s="960">
        <f>MIN(WVA60-WVA62,'Sources and Uses Budget'!WVA108-SUM('15 Year Pro Forma'!WUY66:WUZ66))</f>
        <v>0</v>
      </c>
      <c r="WVC66" s="960">
        <f>MIN(WVC60-WVC62,'Sources and Uses Budget'!WVC108-SUM('15 Year Pro Forma'!WVA66:WVB66))</f>
        <v>0</v>
      </c>
      <c r="WVE66" s="960">
        <f>MIN(WVE60-WVE62,'Sources and Uses Budget'!WVE108-SUM('15 Year Pro Forma'!WVC66:WVD66))</f>
        <v>0</v>
      </c>
      <c r="WVG66" s="960">
        <f>MIN(WVG60-WVG62,'Sources and Uses Budget'!WVG108-SUM('15 Year Pro Forma'!WVE66:WVF66))</f>
        <v>0</v>
      </c>
      <c r="WVI66" s="960">
        <f>MIN(WVI60-WVI62,'Sources and Uses Budget'!WVI108-SUM('15 Year Pro Forma'!WVG66:WVH66))</f>
        <v>0</v>
      </c>
      <c r="WVK66" s="960">
        <f>MIN(WVK60-WVK62,'Sources and Uses Budget'!WVK108-SUM('15 Year Pro Forma'!WVI66:WVJ66))</f>
        <v>0</v>
      </c>
      <c r="WVM66" s="960">
        <f>MIN(WVM60-WVM62,'Sources and Uses Budget'!WVM108-SUM('15 Year Pro Forma'!WVK66:WVL66))</f>
        <v>0</v>
      </c>
      <c r="WVO66" s="960">
        <f>MIN(WVO60-WVO62,'Sources and Uses Budget'!WVO108-SUM('15 Year Pro Forma'!WVM66:WVN66))</f>
        <v>0</v>
      </c>
      <c r="WVQ66" s="960">
        <f>MIN(WVQ60-WVQ62,'Sources and Uses Budget'!WVQ108-SUM('15 Year Pro Forma'!WVO66:WVP66))</f>
        <v>0</v>
      </c>
      <c r="WVS66" s="960">
        <f>MIN(WVS60-WVS62,'Sources and Uses Budget'!WVS108-SUM('15 Year Pro Forma'!WVQ66:WVR66))</f>
        <v>0</v>
      </c>
      <c r="WVU66" s="960">
        <f>MIN(WVU60-WVU62,'Sources and Uses Budget'!WVU108-SUM('15 Year Pro Forma'!WVS66:WVT66))</f>
        <v>0</v>
      </c>
      <c r="WVW66" s="960">
        <f>MIN(WVW60-WVW62,'Sources and Uses Budget'!WVW108-SUM('15 Year Pro Forma'!WVU66:WVV66))</f>
        <v>0</v>
      </c>
      <c r="WVY66" s="960">
        <f>MIN(WVY60-WVY62,'Sources and Uses Budget'!WVY108-SUM('15 Year Pro Forma'!WVW66:WVX66))</f>
        <v>0</v>
      </c>
      <c r="WWA66" s="960">
        <f>MIN(WWA60-WWA62,'Sources and Uses Budget'!WWA108-SUM('15 Year Pro Forma'!WVY66:WVZ66))</f>
        <v>0</v>
      </c>
      <c r="WWC66" s="960">
        <f>MIN(WWC60-WWC62,'Sources and Uses Budget'!WWC108-SUM('15 Year Pro Forma'!WWA66:WWB66))</f>
        <v>0</v>
      </c>
      <c r="WWE66" s="960">
        <f>MIN(WWE60-WWE62,'Sources and Uses Budget'!WWE108-SUM('15 Year Pro Forma'!WWC66:WWD66))</f>
        <v>0</v>
      </c>
      <c r="WWG66" s="960">
        <f>MIN(WWG60-WWG62,'Sources and Uses Budget'!WWG108-SUM('15 Year Pro Forma'!WWE66:WWF66))</f>
        <v>0</v>
      </c>
      <c r="WWI66" s="960">
        <f>MIN(WWI60-WWI62,'Sources and Uses Budget'!WWI108-SUM('15 Year Pro Forma'!WWG66:WWH66))</f>
        <v>0</v>
      </c>
      <c r="WWK66" s="960">
        <f>MIN(WWK60-WWK62,'Sources and Uses Budget'!WWK108-SUM('15 Year Pro Forma'!WWI66:WWJ66))</f>
        <v>0</v>
      </c>
      <c r="WWM66" s="960">
        <f>MIN(WWM60-WWM62,'Sources and Uses Budget'!WWM108-SUM('15 Year Pro Forma'!WWK66:WWL66))</f>
        <v>0</v>
      </c>
      <c r="WWO66" s="960">
        <f>MIN(WWO60-WWO62,'Sources and Uses Budget'!WWO108-SUM('15 Year Pro Forma'!WWM66:WWN66))</f>
        <v>0</v>
      </c>
      <c r="WWQ66" s="960">
        <f>MIN(WWQ60-WWQ62,'Sources and Uses Budget'!WWQ108-SUM('15 Year Pro Forma'!WWO66:WWP66))</f>
        <v>0</v>
      </c>
      <c r="WWS66" s="960">
        <f>MIN(WWS60-WWS62,'Sources and Uses Budget'!WWS108-SUM('15 Year Pro Forma'!WWQ66:WWR66))</f>
        <v>0</v>
      </c>
      <c r="WWU66" s="960">
        <f>MIN(WWU60-WWU62,'Sources and Uses Budget'!WWU108-SUM('15 Year Pro Forma'!WWS66:WWT66))</f>
        <v>0</v>
      </c>
      <c r="WWW66" s="960">
        <f>MIN(WWW60-WWW62,'Sources and Uses Budget'!WWW108-SUM('15 Year Pro Forma'!WWU66:WWV66))</f>
        <v>0</v>
      </c>
      <c r="WWY66" s="960">
        <f>MIN(WWY60-WWY62,'Sources and Uses Budget'!WWY108-SUM('15 Year Pro Forma'!WWW66:WWX66))</f>
        <v>0</v>
      </c>
      <c r="WXA66" s="960">
        <f>MIN(WXA60-WXA62,'Sources and Uses Budget'!WXA108-SUM('15 Year Pro Forma'!WWY66:WWZ66))</f>
        <v>0</v>
      </c>
      <c r="WXC66" s="960">
        <f>MIN(WXC60-WXC62,'Sources and Uses Budget'!WXC108-SUM('15 Year Pro Forma'!WXA66:WXB66))</f>
        <v>0</v>
      </c>
      <c r="WXE66" s="960">
        <f>MIN(WXE60-WXE62,'Sources and Uses Budget'!WXE108-SUM('15 Year Pro Forma'!WXC66:WXD66))</f>
        <v>0</v>
      </c>
      <c r="WXG66" s="960">
        <f>MIN(WXG60-WXG62,'Sources and Uses Budget'!WXG108-SUM('15 Year Pro Forma'!WXE66:WXF66))</f>
        <v>0</v>
      </c>
      <c r="WXI66" s="960">
        <f>MIN(WXI60-WXI62,'Sources and Uses Budget'!WXI108-SUM('15 Year Pro Forma'!WXG66:WXH66))</f>
        <v>0</v>
      </c>
      <c r="WXK66" s="960">
        <f>MIN(WXK60-WXK62,'Sources and Uses Budget'!WXK108-SUM('15 Year Pro Forma'!WXI66:WXJ66))</f>
        <v>0</v>
      </c>
      <c r="WXM66" s="960">
        <f>MIN(WXM60-WXM62,'Sources and Uses Budget'!WXM108-SUM('15 Year Pro Forma'!WXK66:WXL66))</f>
        <v>0</v>
      </c>
      <c r="WXO66" s="960">
        <f>MIN(WXO60-WXO62,'Sources and Uses Budget'!WXO108-SUM('15 Year Pro Forma'!WXM66:WXN66))</f>
        <v>0</v>
      </c>
      <c r="WXQ66" s="960">
        <f>MIN(WXQ60-WXQ62,'Sources and Uses Budget'!WXQ108-SUM('15 Year Pro Forma'!WXO66:WXP66))</f>
        <v>0</v>
      </c>
      <c r="WXS66" s="960">
        <f>MIN(WXS60-WXS62,'Sources and Uses Budget'!WXS108-SUM('15 Year Pro Forma'!WXQ66:WXR66))</f>
        <v>0</v>
      </c>
      <c r="WXU66" s="960">
        <f>MIN(WXU60-WXU62,'Sources and Uses Budget'!WXU108-SUM('15 Year Pro Forma'!WXS66:WXT66))</f>
        <v>0</v>
      </c>
      <c r="WXW66" s="960">
        <f>MIN(WXW60-WXW62,'Sources and Uses Budget'!WXW108-SUM('15 Year Pro Forma'!WXU66:WXV66))</f>
        <v>0</v>
      </c>
      <c r="WXY66" s="960">
        <f>MIN(WXY60-WXY62,'Sources and Uses Budget'!WXY108-SUM('15 Year Pro Forma'!WXW66:WXX66))</f>
        <v>0</v>
      </c>
      <c r="WYA66" s="960">
        <f>MIN(WYA60-WYA62,'Sources and Uses Budget'!WYA108-SUM('15 Year Pro Forma'!WXY66:WXZ66))</f>
        <v>0</v>
      </c>
      <c r="WYC66" s="960">
        <f>MIN(WYC60-WYC62,'Sources and Uses Budget'!WYC108-SUM('15 Year Pro Forma'!WYA66:WYB66))</f>
        <v>0</v>
      </c>
      <c r="WYE66" s="960">
        <f>MIN(WYE60-WYE62,'Sources and Uses Budget'!WYE108-SUM('15 Year Pro Forma'!WYC66:WYD66))</f>
        <v>0</v>
      </c>
      <c r="WYG66" s="960">
        <f>MIN(WYG60-WYG62,'Sources and Uses Budget'!WYG108-SUM('15 Year Pro Forma'!WYE66:WYF66))</f>
        <v>0</v>
      </c>
      <c r="WYI66" s="960">
        <f>MIN(WYI60-WYI62,'Sources and Uses Budget'!WYI108-SUM('15 Year Pro Forma'!WYG66:WYH66))</f>
        <v>0</v>
      </c>
      <c r="WYK66" s="960">
        <f>MIN(WYK60-WYK62,'Sources and Uses Budget'!WYK108-SUM('15 Year Pro Forma'!WYI66:WYJ66))</f>
        <v>0</v>
      </c>
      <c r="WYM66" s="960">
        <f>MIN(WYM60-WYM62,'Sources and Uses Budget'!WYM108-SUM('15 Year Pro Forma'!WYK66:WYL66))</f>
        <v>0</v>
      </c>
      <c r="WYO66" s="960">
        <f>MIN(WYO60-WYO62,'Sources and Uses Budget'!WYO108-SUM('15 Year Pro Forma'!WYM66:WYN66))</f>
        <v>0</v>
      </c>
      <c r="WYQ66" s="960">
        <f>MIN(WYQ60-WYQ62,'Sources and Uses Budget'!WYQ108-SUM('15 Year Pro Forma'!WYO66:WYP66))</f>
        <v>0</v>
      </c>
      <c r="WYS66" s="960">
        <f>MIN(WYS60-WYS62,'Sources and Uses Budget'!WYS108-SUM('15 Year Pro Forma'!WYQ66:WYR66))</f>
        <v>0</v>
      </c>
      <c r="WYU66" s="960">
        <f>MIN(WYU60-WYU62,'Sources and Uses Budget'!WYU108-SUM('15 Year Pro Forma'!WYS66:WYT66))</f>
        <v>0</v>
      </c>
      <c r="WYW66" s="960">
        <f>MIN(WYW60-WYW62,'Sources and Uses Budget'!WYW108-SUM('15 Year Pro Forma'!WYU66:WYV66))</f>
        <v>0</v>
      </c>
      <c r="WYY66" s="960">
        <f>MIN(WYY60-WYY62,'Sources and Uses Budget'!WYY108-SUM('15 Year Pro Forma'!WYW66:WYX66))</f>
        <v>0</v>
      </c>
      <c r="WZA66" s="960">
        <f>MIN(WZA60-WZA62,'Sources and Uses Budget'!WZA108-SUM('15 Year Pro Forma'!WYY66:WYZ66))</f>
        <v>0</v>
      </c>
      <c r="WZC66" s="960">
        <f>MIN(WZC60-WZC62,'Sources and Uses Budget'!WZC108-SUM('15 Year Pro Forma'!WZA66:WZB66))</f>
        <v>0</v>
      </c>
      <c r="WZE66" s="960">
        <f>MIN(WZE60-WZE62,'Sources and Uses Budget'!WZE108-SUM('15 Year Pro Forma'!WZC66:WZD66))</f>
        <v>0</v>
      </c>
      <c r="WZG66" s="960">
        <f>MIN(WZG60-WZG62,'Sources and Uses Budget'!WZG108-SUM('15 Year Pro Forma'!WZE66:WZF66))</f>
        <v>0</v>
      </c>
      <c r="WZI66" s="960">
        <f>MIN(WZI60-WZI62,'Sources and Uses Budget'!WZI108-SUM('15 Year Pro Forma'!WZG66:WZH66))</f>
        <v>0</v>
      </c>
      <c r="WZK66" s="960">
        <f>MIN(WZK60-WZK62,'Sources and Uses Budget'!WZK108-SUM('15 Year Pro Forma'!WZI66:WZJ66))</f>
        <v>0</v>
      </c>
      <c r="WZM66" s="960">
        <f>MIN(WZM60-WZM62,'Sources and Uses Budget'!WZM108-SUM('15 Year Pro Forma'!WZK66:WZL66))</f>
        <v>0</v>
      </c>
      <c r="WZO66" s="960">
        <f>MIN(WZO60-WZO62,'Sources and Uses Budget'!WZO108-SUM('15 Year Pro Forma'!WZM66:WZN66))</f>
        <v>0</v>
      </c>
      <c r="WZQ66" s="960">
        <f>MIN(WZQ60-WZQ62,'Sources and Uses Budget'!WZQ108-SUM('15 Year Pro Forma'!WZO66:WZP66))</f>
        <v>0</v>
      </c>
      <c r="WZS66" s="960">
        <f>MIN(WZS60-WZS62,'Sources and Uses Budget'!WZS108-SUM('15 Year Pro Forma'!WZQ66:WZR66))</f>
        <v>0</v>
      </c>
      <c r="WZU66" s="960">
        <f>MIN(WZU60-WZU62,'Sources and Uses Budget'!WZU108-SUM('15 Year Pro Forma'!WZS66:WZT66))</f>
        <v>0</v>
      </c>
      <c r="WZW66" s="960">
        <f>MIN(WZW60-WZW62,'Sources and Uses Budget'!WZW108-SUM('15 Year Pro Forma'!WZU66:WZV66))</f>
        <v>0</v>
      </c>
      <c r="WZY66" s="960">
        <f>MIN(WZY60-WZY62,'Sources and Uses Budget'!WZY108-SUM('15 Year Pro Forma'!WZW66:WZX66))</f>
        <v>0</v>
      </c>
      <c r="XAA66" s="960">
        <f>MIN(XAA60-XAA62,'Sources and Uses Budget'!XAA108-SUM('15 Year Pro Forma'!WZY66:WZZ66))</f>
        <v>0</v>
      </c>
      <c r="XAC66" s="960">
        <f>MIN(XAC60-XAC62,'Sources and Uses Budget'!XAC108-SUM('15 Year Pro Forma'!XAA66:XAB66))</f>
        <v>0</v>
      </c>
      <c r="XAE66" s="960">
        <f>MIN(XAE60-XAE62,'Sources and Uses Budget'!XAE108-SUM('15 Year Pro Forma'!XAC66:XAD66))</f>
        <v>0</v>
      </c>
      <c r="XAG66" s="960">
        <f>MIN(XAG60-XAG62,'Sources and Uses Budget'!XAG108-SUM('15 Year Pro Forma'!XAE66:XAF66))</f>
        <v>0</v>
      </c>
      <c r="XAI66" s="960">
        <f>MIN(XAI60-XAI62,'Sources and Uses Budget'!XAI108-SUM('15 Year Pro Forma'!XAG66:XAH66))</f>
        <v>0</v>
      </c>
      <c r="XAK66" s="960">
        <f>MIN(XAK60-XAK62,'Sources and Uses Budget'!XAK108-SUM('15 Year Pro Forma'!XAI66:XAJ66))</f>
        <v>0</v>
      </c>
      <c r="XAM66" s="960">
        <f>MIN(XAM60-XAM62,'Sources and Uses Budget'!XAM108-SUM('15 Year Pro Forma'!XAK66:XAL66))</f>
        <v>0</v>
      </c>
      <c r="XAO66" s="960">
        <f>MIN(XAO60-XAO62,'Sources and Uses Budget'!XAO108-SUM('15 Year Pro Forma'!XAM66:XAN66))</f>
        <v>0</v>
      </c>
      <c r="XAQ66" s="960">
        <f>MIN(XAQ60-XAQ62,'Sources and Uses Budget'!XAQ108-SUM('15 Year Pro Forma'!XAO66:XAP66))</f>
        <v>0</v>
      </c>
      <c r="XAS66" s="960">
        <f>MIN(XAS60-XAS62,'Sources and Uses Budget'!XAS108-SUM('15 Year Pro Forma'!XAQ66:XAR66))</f>
        <v>0</v>
      </c>
      <c r="XAU66" s="960">
        <f>MIN(XAU60-XAU62,'Sources and Uses Budget'!XAU108-SUM('15 Year Pro Forma'!XAS66:XAT66))</f>
        <v>0</v>
      </c>
      <c r="XAW66" s="960">
        <f>MIN(XAW60-XAW62,'Sources and Uses Budget'!XAW108-SUM('15 Year Pro Forma'!XAU66:XAV66))</f>
        <v>0</v>
      </c>
      <c r="XAY66" s="960">
        <f>MIN(XAY60-XAY62,'Sources and Uses Budget'!XAY108-SUM('15 Year Pro Forma'!XAW66:XAX66))</f>
        <v>0</v>
      </c>
      <c r="XBA66" s="960">
        <f>MIN(XBA60-XBA62,'Sources and Uses Budget'!XBA108-SUM('15 Year Pro Forma'!XAY66:XAZ66))</f>
        <v>0</v>
      </c>
      <c r="XBC66" s="960">
        <f>MIN(XBC60-XBC62,'Sources and Uses Budget'!XBC108-SUM('15 Year Pro Forma'!XBA66:XBB66))</f>
        <v>0</v>
      </c>
      <c r="XBE66" s="960">
        <f>MIN(XBE60-XBE62,'Sources and Uses Budget'!XBE108-SUM('15 Year Pro Forma'!XBC66:XBD66))</f>
        <v>0</v>
      </c>
      <c r="XBG66" s="960">
        <f>MIN(XBG60-XBG62,'Sources and Uses Budget'!XBG108-SUM('15 Year Pro Forma'!XBE66:XBF66))</f>
        <v>0</v>
      </c>
      <c r="XBI66" s="960">
        <f>MIN(XBI60-XBI62,'Sources and Uses Budget'!XBI108-SUM('15 Year Pro Forma'!XBG66:XBH66))</f>
        <v>0</v>
      </c>
      <c r="XBK66" s="960">
        <f>MIN(XBK60-XBK62,'Sources and Uses Budget'!XBK108-SUM('15 Year Pro Forma'!XBI66:XBJ66))</f>
        <v>0</v>
      </c>
      <c r="XBM66" s="960">
        <f>MIN(XBM60-XBM62,'Sources and Uses Budget'!XBM108-SUM('15 Year Pro Forma'!XBK66:XBL66))</f>
        <v>0</v>
      </c>
      <c r="XBO66" s="960">
        <f>MIN(XBO60-XBO62,'Sources and Uses Budget'!XBO108-SUM('15 Year Pro Forma'!XBM66:XBN66))</f>
        <v>0</v>
      </c>
      <c r="XBQ66" s="960">
        <f>MIN(XBQ60-XBQ62,'Sources and Uses Budget'!XBQ108-SUM('15 Year Pro Forma'!XBO66:XBP66))</f>
        <v>0</v>
      </c>
      <c r="XBS66" s="960">
        <f>MIN(XBS60-XBS62,'Sources and Uses Budget'!XBS108-SUM('15 Year Pro Forma'!XBQ66:XBR66))</f>
        <v>0</v>
      </c>
      <c r="XBU66" s="960">
        <f>MIN(XBU60-XBU62,'Sources and Uses Budget'!XBU108-SUM('15 Year Pro Forma'!XBS66:XBT66))</f>
        <v>0</v>
      </c>
      <c r="XBW66" s="960">
        <f>MIN(XBW60-XBW62,'Sources and Uses Budget'!XBW108-SUM('15 Year Pro Forma'!XBU66:XBV66))</f>
        <v>0</v>
      </c>
      <c r="XBY66" s="960">
        <f>MIN(XBY60-XBY62,'Sources and Uses Budget'!XBY108-SUM('15 Year Pro Forma'!XBW66:XBX66))</f>
        <v>0</v>
      </c>
      <c r="XCA66" s="960">
        <f>MIN(XCA60-XCA62,'Sources and Uses Budget'!XCA108-SUM('15 Year Pro Forma'!XBY66:XBZ66))</f>
        <v>0</v>
      </c>
      <c r="XCC66" s="960">
        <f>MIN(XCC60-XCC62,'Sources and Uses Budget'!XCC108-SUM('15 Year Pro Forma'!XCA66:XCB66))</f>
        <v>0</v>
      </c>
      <c r="XCE66" s="960">
        <f>MIN(XCE60-XCE62,'Sources and Uses Budget'!XCE108-SUM('15 Year Pro Forma'!XCC66:XCD66))</f>
        <v>0</v>
      </c>
      <c r="XCG66" s="960">
        <f>MIN(XCG60-XCG62,'Sources and Uses Budget'!XCG108-SUM('15 Year Pro Forma'!XCE66:XCF66))</f>
        <v>0</v>
      </c>
      <c r="XCI66" s="960">
        <f>MIN(XCI60-XCI62,'Sources and Uses Budget'!XCI108-SUM('15 Year Pro Forma'!XCG66:XCH66))</f>
        <v>0</v>
      </c>
      <c r="XCK66" s="960">
        <f>MIN(XCK60-XCK62,'Sources and Uses Budget'!XCK108-SUM('15 Year Pro Forma'!XCI66:XCJ66))</f>
        <v>0</v>
      </c>
      <c r="XCM66" s="960">
        <f>MIN(XCM60-XCM62,'Sources and Uses Budget'!XCM108-SUM('15 Year Pro Forma'!XCK66:XCL66))</f>
        <v>0</v>
      </c>
      <c r="XCO66" s="960">
        <f>MIN(XCO60-XCO62,'Sources and Uses Budget'!XCO108-SUM('15 Year Pro Forma'!XCM66:XCN66))</f>
        <v>0</v>
      </c>
      <c r="XCQ66" s="960">
        <f>MIN(XCQ60-XCQ62,'Sources and Uses Budget'!XCQ108-SUM('15 Year Pro Forma'!XCO66:XCP66))</f>
        <v>0</v>
      </c>
      <c r="XCS66" s="960">
        <f>MIN(XCS60-XCS62,'Sources and Uses Budget'!XCS108-SUM('15 Year Pro Forma'!XCQ66:XCR66))</f>
        <v>0</v>
      </c>
      <c r="XCU66" s="960">
        <f>MIN(XCU60-XCU62,'Sources and Uses Budget'!XCU108-SUM('15 Year Pro Forma'!XCS66:XCT66))</f>
        <v>0</v>
      </c>
      <c r="XCW66" s="960">
        <f>MIN(XCW60-XCW62,'Sources and Uses Budget'!XCW108-SUM('15 Year Pro Forma'!XCU66:XCV66))</f>
        <v>0</v>
      </c>
      <c r="XCY66" s="960">
        <f>MIN(XCY60-XCY62,'Sources and Uses Budget'!XCY108-SUM('15 Year Pro Forma'!XCW66:XCX66))</f>
        <v>0</v>
      </c>
      <c r="XDA66" s="960">
        <f>MIN(XDA60-XDA62,'Sources and Uses Budget'!XDA108-SUM('15 Year Pro Forma'!XCY66:XCZ66))</f>
        <v>0</v>
      </c>
      <c r="XDC66" s="960">
        <f>MIN(XDC60-XDC62,'Sources and Uses Budget'!XDC108-SUM('15 Year Pro Forma'!XDA66:XDB66))</f>
        <v>0</v>
      </c>
      <c r="XDE66" s="960">
        <f>MIN(XDE60-XDE62,'Sources and Uses Budget'!XDE108-SUM('15 Year Pro Forma'!XDC66:XDD66))</f>
        <v>0</v>
      </c>
      <c r="XDG66" s="960">
        <f>MIN(XDG60-XDG62,'Sources and Uses Budget'!XDG108-SUM('15 Year Pro Forma'!XDE66:XDF66))</f>
        <v>0</v>
      </c>
      <c r="XDI66" s="960">
        <f>MIN(XDI60-XDI62,'Sources and Uses Budget'!XDI108-SUM('15 Year Pro Forma'!XDG66:XDH66))</f>
        <v>0</v>
      </c>
      <c r="XDK66" s="960">
        <f>MIN(XDK60-XDK62,'Sources and Uses Budget'!XDK108-SUM('15 Year Pro Forma'!XDI66:XDJ66))</f>
        <v>0</v>
      </c>
      <c r="XDM66" s="960">
        <f>MIN(XDM60-XDM62,'Sources and Uses Budget'!XDM108-SUM('15 Year Pro Forma'!XDK66:XDL66))</f>
        <v>0</v>
      </c>
      <c r="XDO66" s="960">
        <f>MIN(XDO60-XDO62,'Sources and Uses Budget'!XDO108-SUM('15 Year Pro Forma'!XDM66:XDN66))</f>
        <v>0</v>
      </c>
      <c r="XDQ66" s="960">
        <f>MIN(XDQ60-XDQ62,'Sources and Uses Budget'!XDQ108-SUM('15 Year Pro Forma'!XDO66:XDP66))</f>
        <v>0</v>
      </c>
      <c r="XDS66" s="960">
        <f>MIN(XDS60-XDS62,'Sources and Uses Budget'!XDS108-SUM('15 Year Pro Forma'!XDQ66:XDR66))</f>
        <v>0</v>
      </c>
      <c r="XDU66" s="960">
        <f>MIN(XDU60-XDU62,'Sources and Uses Budget'!XDU108-SUM('15 Year Pro Forma'!XDS66:XDT66))</f>
        <v>0</v>
      </c>
      <c r="XDW66" s="960">
        <f>MIN(XDW60-XDW62,'Sources and Uses Budget'!XDW108-SUM('15 Year Pro Forma'!XDU66:XDV66))</f>
        <v>0</v>
      </c>
      <c r="XDY66" s="960">
        <f>MIN(XDY60-XDY62,'Sources and Uses Budget'!XDY108-SUM('15 Year Pro Forma'!XDW66:XDX66))</f>
        <v>0</v>
      </c>
      <c r="XEA66" s="960">
        <f>MIN(XEA60-XEA62,'Sources and Uses Budget'!XEA108-SUM('15 Year Pro Forma'!XDY66:XDZ66))</f>
        <v>0</v>
      </c>
      <c r="XEC66" s="960">
        <f>MIN(XEC60-XEC62,'Sources and Uses Budget'!XEC108-SUM('15 Year Pro Forma'!XEA66:XEB66))</f>
        <v>0</v>
      </c>
      <c r="XEE66" s="960">
        <f>MIN(XEE60-XEE62,'Sources and Uses Budget'!XEE108-SUM('15 Year Pro Forma'!XEC66:XED66))</f>
        <v>0</v>
      </c>
      <c r="XEG66" s="960">
        <f>MIN(XEG60-XEG62,'Sources and Uses Budget'!XEG108-SUM('15 Year Pro Forma'!XEE66:XEF66))</f>
        <v>0</v>
      </c>
      <c r="XEI66" s="960">
        <f>MIN(XEI60-XEI62,'Sources and Uses Budget'!XEI108-SUM('15 Year Pro Forma'!XEG66:XEH66))</f>
        <v>0</v>
      </c>
      <c r="XEK66" s="960">
        <f>MIN(XEK60-XEK62,'Sources and Uses Budget'!XEK108-SUM('15 Year Pro Forma'!XEI66:XEJ66))</f>
        <v>0</v>
      </c>
      <c r="XEM66" s="960">
        <f>MIN(XEM60-XEM62,'Sources and Uses Budget'!XEM108-SUM('15 Year Pro Forma'!XEK66:XEL66))</f>
        <v>0</v>
      </c>
      <c r="XEO66" s="960">
        <f>MIN(XEO60-XEO62,'Sources and Uses Budget'!XEO108-SUM('15 Year Pro Forma'!XEM66:XEN66))</f>
        <v>0</v>
      </c>
      <c r="XEQ66" s="960">
        <f>MIN(XEQ60-XEQ62,'Sources and Uses Budget'!XEQ108-SUM('15 Year Pro Forma'!XEO66:XEP66))</f>
        <v>0</v>
      </c>
      <c r="XES66" s="960">
        <f>MIN(XES60-XES62,'Sources and Uses Budget'!XES108-SUM('15 Year Pro Forma'!XEQ66:XER66))</f>
        <v>0</v>
      </c>
      <c r="XEU66" s="960">
        <f>MIN(XEU60-XEU62,'Sources and Uses Budget'!XEU108-SUM('15 Year Pro Forma'!XES66:XET66))</f>
        <v>0</v>
      </c>
      <c r="XEW66" s="960">
        <f>MIN(XEW60-XEW62,'Sources and Uses Budget'!XEW108-SUM('15 Year Pro Forma'!XEU66:XEV66))</f>
        <v>0</v>
      </c>
      <c r="XEY66" s="960">
        <f>MIN(XEY60-XEY62,'Sources and Uses Budget'!XEY108-SUM('15 Year Pro Forma'!XEW66:XEX66))</f>
        <v>0</v>
      </c>
      <c r="XFA66" s="960">
        <f>MIN(XFA60-XFA62,'Sources and Uses Budget'!XFA108-SUM('15 Year Pro Forma'!XEY66:XEZ66))</f>
        <v>0</v>
      </c>
      <c r="XFC66" s="960">
        <f>MIN(XFC60-XFC62,'Sources and Uses Budget'!XFC108-SUM('15 Year Pro Forma'!XFA66:XFB66))</f>
        <v>0</v>
      </c>
    </row>
    <row r="67" spans="1:1023 1025:2047 2049:3071 3073:4095 4097:5119 5121:6143 6145:7167 7169:8191 8193:9215 9217:10239 10241:11263 11265:12287 12289:13311 13313:14335 14337:15359 15361:16383" s="960" customFormat="1">
      <c r="A67" s="965"/>
      <c r="B67" s="965"/>
      <c r="C67" s="970"/>
      <c r="E67" s="964"/>
    </row>
    <row r="68" spans="1:1023 1025:2047 2049:3071 3073:4095 4097:5119 5121:6143 6145:7167 7169:8191 8193:9215 9217:10239 10241:11263 11265:12287 12289:13311 13313:14335 14337:15359 15361:16383" s="960" customFormat="1">
      <c r="A68" s="965"/>
      <c r="B68" s="965"/>
      <c r="C68" s="970"/>
      <c r="E68" s="965"/>
      <c r="G68" s="960">
        <f t="shared" ref="G68:AG69" si="2">E68*$C$66</f>
        <v>0</v>
      </c>
      <c r="I68" s="960">
        <f t="shared" si="2"/>
        <v>0</v>
      </c>
      <c r="K68" s="960">
        <f t="shared" si="2"/>
        <v>0</v>
      </c>
      <c r="M68" s="960">
        <f t="shared" si="2"/>
        <v>0</v>
      </c>
      <c r="O68" s="960">
        <f t="shared" si="2"/>
        <v>0</v>
      </c>
      <c r="Q68" s="960">
        <f t="shared" si="2"/>
        <v>0</v>
      </c>
      <c r="S68" s="960">
        <f t="shared" si="2"/>
        <v>0</v>
      </c>
      <c r="U68" s="960">
        <f t="shared" si="2"/>
        <v>0</v>
      </c>
      <c r="W68" s="960">
        <f t="shared" si="2"/>
        <v>0</v>
      </c>
      <c r="Y68" s="960">
        <f t="shared" si="2"/>
        <v>0</v>
      </c>
      <c r="AA68" s="960">
        <f t="shared" si="2"/>
        <v>0</v>
      </c>
      <c r="AC68" s="960">
        <f t="shared" si="2"/>
        <v>0</v>
      </c>
      <c r="AE68" s="960">
        <f t="shared" si="2"/>
        <v>0</v>
      </c>
      <c r="AG68" s="960">
        <f t="shared" si="2"/>
        <v>0</v>
      </c>
    </row>
    <row r="69" spans="1:1023 1025:2047 2049:3071 3073:4095 4097:5119 5121:6143 6145:7167 7169:8191 8193:9215 9217:10239 10241:11263 11265:12287 12289:13311 13313:14335 14337:15359 15361:16383" s="960" customFormat="1">
      <c r="A69" s="965"/>
      <c r="B69" s="965"/>
      <c r="C69" s="970"/>
      <c r="E69" s="967"/>
      <c r="G69" s="968">
        <f t="shared" si="2"/>
        <v>0</v>
      </c>
      <c r="I69" s="968">
        <f t="shared" si="2"/>
        <v>0</v>
      </c>
      <c r="K69" s="968">
        <f t="shared" si="2"/>
        <v>0</v>
      </c>
      <c r="M69" s="968">
        <f t="shared" si="2"/>
        <v>0</v>
      </c>
      <c r="O69" s="968">
        <f t="shared" si="2"/>
        <v>0</v>
      </c>
      <c r="Q69" s="968">
        <f t="shared" si="2"/>
        <v>0</v>
      </c>
      <c r="S69" s="968">
        <f t="shared" si="2"/>
        <v>0</v>
      </c>
      <c r="U69" s="968">
        <f t="shared" si="2"/>
        <v>0</v>
      </c>
      <c r="W69" s="968">
        <f t="shared" si="2"/>
        <v>0</v>
      </c>
      <c r="Y69" s="968">
        <f t="shared" si="2"/>
        <v>0</v>
      </c>
      <c r="AA69" s="968">
        <f t="shared" si="2"/>
        <v>0</v>
      </c>
      <c r="AC69" s="968">
        <f t="shared" si="2"/>
        <v>0</v>
      </c>
      <c r="AE69" s="968">
        <f t="shared" si="2"/>
        <v>0</v>
      </c>
      <c r="AG69" s="968">
        <f t="shared" si="2"/>
        <v>0</v>
      </c>
    </row>
    <row r="70" spans="1:1023 1025:2047 2049:3071 3073:4095 4097:5119 5121:6143 6145:7167 7169:8191 8193:9215 9217:10239 10241:11263 11265:12287 12289:13311 13313:14335 14337:15359 15361:16383" s="960" customFormat="1">
      <c r="A70" s="962" t="s">
        <v>853</v>
      </c>
      <c r="C70" s="970"/>
      <c r="E70" s="960">
        <f>SUM(E66:E69)</f>
        <v>44959.885470453417</v>
      </c>
      <c r="G70" s="960">
        <f>SUM(G66:G69)</f>
        <v>52813.328595453408</v>
      </c>
      <c r="I70" s="960">
        <f>SUM(I66:I69)</f>
        <v>60800.201473578316</v>
      </c>
      <c r="K70" s="960">
        <f>SUM(K66:K69)</f>
        <v>68921.64150228136</v>
      </c>
      <c r="M70" s="960">
        <f>SUM(M66:M69)</f>
        <v>77178.737678703765</v>
      </c>
      <c r="O70" s="960">
        <f>SUM(O66:O69)</f>
        <v>85572.526703752636</v>
      </c>
      <c r="Q70" s="960">
        <f>SUM(Q66:Q69)</f>
        <v>94103.988894874055</v>
      </c>
      <c r="S70" s="960">
        <f>SUM(S66:S69)</f>
        <v>102774.04389945802</v>
      </c>
      <c r="U70" s="960">
        <f>SUM(U66:U69)</f>
        <v>111583.54620049184</v>
      </c>
      <c r="W70" s="960">
        <f>SUM(W66:W69)</f>
        <v>120533.2804057477</v>
      </c>
      <c r="Y70" s="960">
        <f>SUM(Y66:Y69)</f>
        <v>129623.95631145791</v>
      </c>
      <c r="AA70" s="960">
        <f>SUM(AA66:AA69)</f>
        <v>138856.20373106957</v>
      </c>
      <c r="AC70" s="960">
        <f>SUM(AC66:AC69)</f>
        <v>148230.56707930361</v>
      </c>
      <c r="AE70" s="960">
        <f>SUM(AE66:AE69)</f>
        <v>157747.49970137165</v>
      </c>
      <c r="AG70" s="960">
        <f>SUM(AG66:AG69)</f>
        <v>167407.35793679743</v>
      </c>
    </row>
    <row r="71" spans="1:1023 1025:2047 2049:3071 3073:4095 4097:5119 5121:6143 6145:7167 7169:8191 8193:9215 9217:10239 10241:11263 11265:12287 12289:13311 13313:14335 14337:15359 15361:16383" s="960" customFormat="1">
      <c r="A71" s="962"/>
      <c r="C71" s="970"/>
    </row>
    <row r="72" spans="1:1023 1025:2047 2049:3071 3073:4095 4097:5119 5121:6143 6145:7167 7169:8191 8193:9215 9217:10239 10241:11263 11265:12287 12289:13311 13313:14335 14337:15359 15361:16383" s="960" customFormat="1">
      <c r="A72" s="962" t="s">
        <v>1723</v>
      </c>
      <c r="C72" s="970"/>
      <c r="E72" s="962">
        <f>E60-E62-E70</f>
        <v>0</v>
      </c>
      <c r="G72" s="962">
        <f>G60-G62-G70</f>
        <v>0</v>
      </c>
      <c r="I72" s="962">
        <f>I60-I62-I70</f>
        <v>0</v>
      </c>
      <c r="K72" s="962">
        <f>K60-K62-K70</f>
        <v>0</v>
      </c>
      <c r="M72" s="962">
        <f>M60-M62-M70</f>
        <v>0</v>
      </c>
      <c r="O72" s="962">
        <f>O60-O62-O70</f>
        <v>0</v>
      </c>
      <c r="Q72" s="962">
        <f>Q60-Q62-Q70</f>
        <v>0</v>
      </c>
      <c r="S72" s="962">
        <f>S60-S62-S70</f>
        <v>0</v>
      </c>
      <c r="U72" s="962">
        <f>U60-U62-U70</f>
        <v>0</v>
      </c>
      <c r="W72" s="962">
        <f>W60-W62-W70</f>
        <v>0</v>
      </c>
      <c r="Y72" s="962">
        <f>Y60-Y62-Y70</f>
        <v>0</v>
      </c>
      <c r="AA72" s="962">
        <f>AA60-AA62-AA70</f>
        <v>0</v>
      </c>
      <c r="AC72" s="962">
        <f>AC60-AC62-AC70</f>
        <v>0</v>
      </c>
      <c r="AE72" s="962">
        <f>AE60-AE62-AE70</f>
        <v>0</v>
      </c>
      <c r="AG72" s="962">
        <f>AG60-AG62-AG70</f>
        <v>0</v>
      </c>
    </row>
    <row r="73" spans="1:1023 1025:2047 2049:3071 3073:4095 4097:5119 5121:6143 6145:7167 7169:8191 8193:9215 9217:10239 10241:11263 11265:12287 12289:13311 13313:14335 14337:15359 15361:16383" s="960" customFormat="1">
      <c r="A73" s="529"/>
      <c r="C73" s="970"/>
    </row>
    <row r="74" spans="1:1023 1025:2047 2049:3071 3073:4095 4097:5119 5121:6143 6145:7167 7169:8191 8193:9215 9217:10239 10241:11263 11265:12287 12289:13311 13313:14335 14337:15359 15361:16383" s="217" customFormat="1">
      <c r="A74" s="529"/>
      <c r="C74" s="183"/>
    </row>
    <row r="75" spans="1:1023 1025:2047 2049:3071 3073:4095 4097:5119 5121:6143 6145:7167 7169:8191 8193:9215 9217:10239 10241:11263 11265:12287 12289:13311 13313:14335 14337:15359 15361:16383" s="217" customFormat="1">
      <c r="A75" s="960" t="s">
        <v>1722</v>
      </c>
      <c r="C75" s="183"/>
    </row>
    <row r="76" spans="1:1023 1025:2047 2049:3071 3073:4095 4097:5119 5121:6143 6145:7167 7169:8191 8193:9215 9217:10239 10241:11263 11265:12287 12289:13311 13313:14335 14337:15359 15361:16383" s="217" customFormat="1">
      <c r="C76" s="183"/>
    </row>
    <row r="77" spans="1:1023 1025:2047 2049:3071 3073:4095 4097:5119 5121:6143 6145:7167 7169:8191 8193:9215 9217:10239 10241:11263 11265:12287 12289:13311 13313:14335 14337:15359 15361:16383" s="234" customFormat="1" ht="30" customHeight="1">
      <c r="A77" s="2692" t="s">
        <v>1721</v>
      </c>
      <c r="B77" s="2693"/>
      <c r="C77" s="2693"/>
      <c r="D77" s="2693"/>
      <c r="E77" s="2693"/>
      <c r="F77" s="2693"/>
      <c r="G77" s="2693"/>
      <c r="H77" s="2693"/>
      <c r="I77" s="2693"/>
      <c r="J77" s="2693"/>
      <c r="K77" s="2693"/>
      <c r="L77" s="2693"/>
      <c r="M77" s="2693"/>
      <c r="N77" s="2693"/>
      <c r="O77" s="2693"/>
      <c r="P77" s="2693"/>
      <c r="Q77" s="2693"/>
      <c r="R77" s="2693"/>
      <c r="S77" s="2693"/>
      <c r="T77" s="2693"/>
      <c r="U77" s="2693"/>
      <c r="V77" s="2693"/>
      <c r="W77" s="2693"/>
      <c r="X77" s="2693"/>
      <c r="Y77" s="2693"/>
      <c r="Z77" s="2693"/>
      <c r="AA77" s="2693"/>
      <c r="AB77" s="2693"/>
      <c r="AC77" s="2693"/>
      <c r="AD77" s="2693"/>
      <c r="AE77" s="2693"/>
      <c r="AF77" s="2693"/>
      <c r="AG77" s="2693"/>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8" firstPageNumber="47" orientation="landscape" useFirstPageNumber="1" r:id="rId2"/>
  <headerFooter>
    <oddFooter>&amp;C&amp;P&amp;R&amp;A</oddFooter>
  </headerFooter>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showGridLines="0" workbookViewId="0"/>
  </sheetViews>
  <sheetFormatPr defaultColWidth="0" defaultRowHeight="12.75" zeroHeight="1"/>
  <cols>
    <col min="1" max="1" width="161.7109375" customWidth="1"/>
    <col min="2" max="16384" width="8.85546875" hidden="1"/>
  </cols>
  <sheetData>
    <row r="1" spans="1:1" ht="47.25">
      <c r="A1" s="313" t="s">
        <v>971</v>
      </c>
    </row>
    <row r="2" spans="1:1" ht="15.75">
      <c r="A2" s="314"/>
    </row>
    <row r="3" spans="1:1" ht="15.75">
      <c r="A3" s="315" t="s">
        <v>966</v>
      </c>
    </row>
    <row r="4" spans="1:1" ht="15.75">
      <c r="A4" s="315" t="s">
        <v>967</v>
      </c>
    </row>
    <row r="5" spans="1:1" ht="15.75">
      <c r="A5" s="315" t="s">
        <v>968</v>
      </c>
    </row>
    <row r="6" spans="1:1" ht="15.75">
      <c r="A6" s="315" t="s">
        <v>970</v>
      </c>
    </row>
    <row r="7" spans="1:1" ht="15.75">
      <c r="A7" s="315" t="s">
        <v>969</v>
      </c>
    </row>
    <row r="8" spans="1:1" ht="15.75">
      <c r="A8" s="346" t="s">
        <v>1024</v>
      </c>
    </row>
    <row r="9" spans="1:1" ht="15.75">
      <c r="A9" s="315" t="s">
        <v>1025</v>
      </c>
    </row>
  </sheetData>
  <sheetProtection algorithmName="SHA-512" hashValue="MJ38VdBPcRPeFkIpamdOp5f74HI9QhoIePg8D38RwHf5UPcq59DjEPmTjKriPyXiBmcAMzWzHJj3I3CEMTY1jg==" saltValue="mZIUeJdIhf0VSuIRDGMDG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F107"/>
  <sheetViews>
    <sheetView showGridLines="0" workbookViewId="0"/>
  </sheetViews>
  <sheetFormatPr defaultColWidth="9.140625" defaultRowHeight="12.75" zeroHeight="1"/>
  <cols>
    <col min="1" max="1" width="35.7109375" style="204" customWidth="1"/>
    <col min="2" max="4" width="14.7109375" style="204" customWidth="1"/>
    <col min="5" max="5" width="50.7109375" style="204" customWidth="1"/>
    <col min="6" max="253" width="9.140625" style="204" customWidth="1"/>
    <col min="254" max="16384" width="9.140625" style="204"/>
  </cols>
  <sheetData>
    <row r="1" spans="1:6" s="275" customFormat="1" ht="18" customHeight="1">
      <c r="A1" s="513" t="s">
        <v>1217</v>
      </c>
      <c r="D1" s="280"/>
    </row>
    <row r="2" spans="1:6" s="275" customFormat="1">
      <c r="A2" s="259" t="s">
        <v>889</v>
      </c>
      <c r="B2" s="261"/>
      <c r="C2" s="261"/>
      <c r="D2" s="258"/>
      <c r="E2" s="262"/>
      <c r="F2" s="261"/>
    </row>
    <row r="3" spans="1:6" s="351" customFormat="1" ht="80.25" customHeight="1">
      <c r="A3" s="277"/>
      <c r="B3" s="263" t="s">
        <v>890</v>
      </c>
      <c r="C3" s="263" t="s">
        <v>891</v>
      </c>
      <c r="D3" s="263" t="s">
        <v>892</v>
      </c>
      <c r="E3" s="260" t="s">
        <v>893</v>
      </c>
      <c r="F3" s="260"/>
    </row>
    <row r="4" spans="1:6" s="352" customFormat="1">
      <c r="A4" s="264" t="s">
        <v>26</v>
      </c>
      <c r="B4" s="264"/>
      <c r="C4" s="264"/>
      <c r="D4" s="264"/>
      <c r="E4" s="282"/>
      <c r="F4" s="264"/>
    </row>
    <row r="5" spans="1:6" s="352" customFormat="1">
      <c r="A5" s="364" t="s">
        <v>27</v>
      </c>
      <c r="B5" s="266">
        <f>'Sources and Uses Budget'!$C4</f>
        <v>300000</v>
      </c>
      <c r="C5" s="266">
        <f>'Sources and Uses Budget'!$C4</f>
        <v>300000</v>
      </c>
      <c r="D5" s="270">
        <f>C5-B5</f>
        <v>0</v>
      </c>
      <c r="E5" s="268"/>
      <c r="F5" s="267"/>
    </row>
    <row r="6" spans="1:6" s="352" customFormat="1">
      <c r="A6" s="364" t="s">
        <v>28</v>
      </c>
      <c r="B6" s="266">
        <f>'Sources and Uses Budget'!$C5</f>
        <v>0</v>
      </c>
      <c r="C6" s="266">
        <f>'Sources and Uses Budget'!$C5</f>
        <v>0</v>
      </c>
      <c r="D6" s="270">
        <f t="shared" ref="D6:D77" si="0">C6-B6</f>
        <v>0</v>
      </c>
      <c r="E6" s="268"/>
      <c r="F6" s="267"/>
    </row>
    <row r="7" spans="1:6" s="352" customFormat="1">
      <c r="A7" s="364" t="s">
        <v>29</v>
      </c>
      <c r="B7" s="266">
        <f>'Sources and Uses Budget'!$C6</f>
        <v>0</v>
      </c>
      <c r="C7" s="266">
        <f>'Sources and Uses Budget'!$C6</f>
        <v>0</v>
      </c>
      <c r="D7" s="270">
        <f t="shared" si="0"/>
        <v>0</v>
      </c>
      <c r="E7" s="268"/>
      <c r="F7" s="267"/>
    </row>
    <row r="8" spans="1:6" s="352" customFormat="1">
      <c r="A8" s="364" t="s">
        <v>97</v>
      </c>
      <c r="B8" s="266">
        <f>'Sources and Uses Budget'!$C7</f>
        <v>0</v>
      </c>
      <c r="C8" s="266">
        <f>'Sources and Uses Budget'!$C7</f>
        <v>0</v>
      </c>
      <c r="D8" s="270">
        <f t="shared" si="0"/>
        <v>0</v>
      </c>
      <c r="E8" s="268"/>
      <c r="F8" s="267"/>
    </row>
    <row r="9" spans="1:6" s="352" customFormat="1">
      <c r="A9" s="365" t="s">
        <v>593</v>
      </c>
      <c r="B9" s="270">
        <f>SUM(B5:B8)</f>
        <v>300000</v>
      </c>
      <c r="C9" s="270">
        <f>SUM(C5:C8)</f>
        <v>300000</v>
      </c>
      <c r="D9" s="270">
        <f t="shared" si="0"/>
        <v>0</v>
      </c>
      <c r="E9" s="268"/>
      <c r="F9" s="267"/>
    </row>
    <row r="10" spans="1:6" s="352" customFormat="1">
      <c r="A10" s="364" t="s">
        <v>594</v>
      </c>
      <c r="B10" s="266">
        <f>'Sources and Uses Budget'!$C9</f>
        <v>0</v>
      </c>
      <c r="C10" s="266">
        <f>'Sources and Uses Budget'!$C9</f>
        <v>0</v>
      </c>
      <c r="D10" s="270">
        <f t="shared" si="0"/>
        <v>0</v>
      </c>
      <c r="E10" s="268"/>
      <c r="F10" s="267"/>
    </row>
    <row r="11" spans="1:6" s="352" customFormat="1">
      <c r="A11" s="364" t="s">
        <v>595</v>
      </c>
      <c r="B11" s="266">
        <f>'Sources and Uses Budget'!$C10</f>
        <v>0</v>
      </c>
      <c r="C11" s="266">
        <f>'Sources and Uses Budget'!$C10</f>
        <v>0</v>
      </c>
      <c r="D11" s="270">
        <f t="shared" si="0"/>
        <v>0</v>
      </c>
      <c r="E11" s="268"/>
      <c r="F11" s="267"/>
    </row>
    <row r="12" spans="1:6" s="352" customFormat="1">
      <c r="A12" s="365" t="s">
        <v>596</v>
      </c>
      <c r="B12" s="270">
        <f>SUM(B10:B11)</f>
        <v>0</v>
      </c>
      <c r="C12" s="270">
        <f>SUM(C10:C11)</f>
        <v>0</v>
      </c>
      <c r="D12" s="270">
        <f t="shared" si="0"/>
        <v>0</v>
      </c>
      <c r="E12" s="268"/>
      <c r="F12" s="267"/>
    </row>
    <row r="13" spans="1:6" s="352" customFormat="1">
      <c r="A13" s="365" t="s">
        <v>84</v>
      </c>
      <c r="B13" s="270">
        <f>SUM(B9+B12)</f>
        <v>300000</v>
      </c>
      <c r="C13" s="270">
        <f>SUM(C9+C12)</f>
        <v>300000</v>
      </c>
      <c r="D13" s="270">
        <f t="shared" si="0"/>
        <v>0</v>
      </c>
      <c r="E13" s="268"/>
      <c r="F13" s="267"/>
    </row>
    <row r="14" spans="1:6" s="352" customFormat="1">
      <c r="A14" s="366" t="s">
        <v>902</v>
      </c>
      <c r="B14" s="266">
        <f>'Sources and Uses Budget'!$C13</f>
        <v>20000</v>
      </c>
      <c r="C14" s="266">
        <f>'Sources and Uses Budget'!$C13</f>
        <v>20000</v>
      </c>
      <c r="D14" s="270">
        <f t="shared" si="0"/>
        <v>0</v>
      </c>
      <c r="E14" s="268"/>
      <c r="F14" s="267"/>
    </row>
    <row r="15" spans="1:6" s="352" customFormat="1" ht="24">
      <c r="A15" s="364" t="s">
        <v>903</v>
      </c>
      <c r="B15" s="266">
        <f>'Sources and Uses Budget'!$C14</f>
        <v>0</v>
      </c>
      <c r="C15" s="266">
        <f>'Sources and Uses Budget'!$C14</f>
        <v>0</v>
      </c>
      <c r="D15" s="270">
        <f t="shared" si="0"/>
        <v>0</v>
      </c>
      <c r="E15" s="268"/>
      <c r="F15" s="267"/>
    </row>
    <row r="16" spans="1:6" s="352" customFormat="1">
      <c r="A16" s="364" t="s">
        <v>1161</v>
      </c>
      <c r="B16" s="266">
        <f>'Sources and Uses Budget'!$C15</f>
        <v>0</v>
      </c>
      <c r="C16" s="266">
        <f>'Sources and Uses Budget'!$C15</f>
        <v>0</v>
      </c>
      <c r="D16" s="270">
        <f t="shared" si="0"/>
        <v>0</v>
      </c>
      <c r="E16" s="268"/>
      <c r="F16" s="267"/>
    </row>
    <row r="17" spans="1:6" s="352" customFormat="1">
      <c r="A17" s="264" t="s">
        <v>597</v>
      </c>
      <c r="B17" s="264"/>
      <c r="C17" s="264"/>
      <c r="D17" s="264"/>
      <c r="E17" s="282"/>
      <c r="F17" s="264"/>
    </row>
    <row r="18" spans="1:6" s="352" customFormat="1">
      <c r="A18" s="145" t="s">
        <v>598</v>
      </c>
      <c r="B18" s="266">
        <f>'Sources and Uses Budget'!$C17</f>
        <v>0</v>
      </c>
      <c r="C18" s="266">
        <f>'Sources and Uses Budget'!$C17</f>
        <v>0</v>
      </c>
      <c r="D18" s="270">
        <f t="shared" si="0"/>
        <v>0</v>
      </c>
      <c r="E18" s="268"/>
      <c r="F18" s="267"/>
    </row>
    <row r="19" spans="1:6" s="352" customFormat="1">
      <c r="A19" s="145" t="s">
        <v>599</v>
      </c>
      <c r="B19" s="266">
        <f>'Sources and Uses Budget'!$C18</f>
        <v>0</v>
      </c>
      <c r="C19" s="266">
        <f>'Sources and Uses Budget'!$C18</f>
        <v>0</v>
      </c>
      <c r="D19" s="270">
        <f t="shared" si="0"/>
        <v>0</v>
      </c>
      <c r="E19" s="268"/>
      <c r="F19" s="267"/>
    </row>
    <row r="20" spans="1:6" s="352" customFormat="1">
      <c r="A20" s="145" t="s">
        <v>600</v>
      </c>
      <c r="B20" s="266">
        <f>'Sources and Uses Budget'!$C19</f>
        <v>0</v>
      </c>
      <c r="C20" s="266">
        <f>'Sources and Uses Budget'!$C19</f>
        <v>0</v>
      </c>
      <c r="D20" s="270">
        <f t="shared" si="0"/>
        <v>0</v>
      </c>
      <c r="E20" s="268"/>
      <c r="F20" s="267"/>
    </row>
    <row r="21" spans="1:6" s="352" customFormat="1">
      <c r="A21" s="145" t="s">
        <v>137</v>
      </c>
      <c r="B21" s="266">
        <f>'Sources and Uses Budget'!$C20</f>
        <v>0</v>
      </c>
      <c r="C21" s="266">
        <f>'Sources and Uses Budget'!$C20</f>
        <v>0</v>
      </c>
      <c r="D21" s="270">
        <f t="shared" si="0"/>
        <v>0</v>
      </c>
      <c r="E21" s="268"/>
      <c r="F21" s="267"/>
    </row>
    <row r="22" spans="1:6" s="352" customFormat="1">
      <c r="A22" s="145" t="s">
        <v>138</v>
      </c>
      <c r="B22" s="266">
        <f>'Sources and Uses Budget'!$C21</f>
        <v>0</v>
      </c>
      <c r="C22" s="266">
        <f>'Sources and Uses Budget'!$C21</f>
        <v>0</v>
      </c>
      <c r="D22" s="270">
        <f t="shared" si="0"/>
        <v>0</v>
      </c>
      <c r="E22" s="268"/>
      <c r="F22" s="267"/>
    </row>
    <row r="23" spans="1:6" s="352" customFormat="1">
      <c r="A23" s="145" t="s">
        <v>139</v>
      </c>
      <c r="B23" s="266">
        <f>'Sources and Uses Budget'!$C22</f>
        <v>0</v>
      </c>
      <c r="C23" s="266">
        <f>'Sources and Uses Budget'!$C22</f>
        <v>0</v>
      </c>
      <c r="D23" s="270">
        <f t="shared" si="0"/>
        <v>0</v>
      </c>
      <c r="E23" s="268"/>
      <c r="F23" s="267"/>
    </row>
    <row r="24" spans="1:6" s="352" customFormat="1">
      <c r="A24" s="145" t="s">
        <v>140</v>
      </c>
      <c r="B24" s="266">
        <f>'Sources and Uses Budget'!$C23</f>
        <v>0</v>
      </c>
      <c r="C24" s="266">
        <f>'Sources and Uses Budget'!$C23</f>
        <v>0</v>
      </c>
      <c r="D24" s="270">
        <f t="shared" si="0"/>
        <v>0</v>
      </c>
      <c r="E24" s="268"/>
      <c r="F24" s="267"/>
    </row>
    <row r="25" spans="1:6" s="352" customFormat="1">
      <c r="A25" s="508" t="s">
        <v>1640</v>
      </c>
      <c r="B25" s="266">
        <f>'Sources and Uses Budget'!$C24</f>
        <v>0</v>
      </c>
      <c r="C25" s="266">
        <f>'Sources and Uses Budget'!$C24</f>
        <v>0</v>
      </c>
      <c r="D25" s="270">
        <f t="shared" si="0"/>
        <v>0</v>
      </c>
      <c r="E25" s="268"/>
      <c r="F25" s="267"/>
    </row>
    <row r="26" spans="1:6" s="352" customFormat="1">
      <c r="A26" s="155" t="str">
        <f>'Sources and Uses Budget'!A25</f>
        <v>Other: (Specify)</v>
      </c>
      <c r="B26" s="266">
        <f>'Sources and Uses Budget'!$C25</f>
        <v>0</v>
      </c>
      <c r="C26" s="266">
        <f>'Sources and Uses Budget'!$C25</f>
        <v>0</v>
      </c>
      <c r="D26" s="270">
        <f t="shared" si="0"/>
        <v>0</v>
      </c>
      <c r="E26" s="268"/>
      <c r="F26" s="267"/>
    </row>
    <row r="27" spans="1:6" s="352" customFormat="1">
      <c r="A27" s="1018" t="s">
        <v>133</v>
      </c>
      <c r="B27" s="270">
        <f>SUM(B18:B26)</f>
        <v>0</v>
      </c>
      <c r="C27" s="270">
        <f>SUM(C18:C26)</f>
        <v>0</v>
      </c>
      <c r="D27" s="270">
        <f>SUM(D18:D26)</f>
        <v>0</v>
      </c>
      <c r="E27" s="268"/>
      <c r="F27" s="267"/>
    </row>
    <row r="28" spans="1:6" s="352" customFormat="1">
      <c r="A28" s="271" t="s">
        <v>141</v>
      </c>
      <c r="B28" s="266">
        <f>'Sources and Uses Budget'!$C$27</f>
        <v>0</v>
      </c>
      <c r="C28" s="266">
        <f>'Sources and Uses Budget'!$C$27</f>
        <v>0</v>
      </c>
      <c r="D28" s="270">
        <f t="shared" si="0"/>
        <v>0</v>
      </c>
      <c r="E28" s="268"/>
      <c r="F28" s="267"/>
    </row>
    <row r="29" spans="1:6" s="352" customFormat="1">
      <c r="A29" s="264" t="s">
        <v>142</v>
      </c>
      <c r="B29" s="264"/>
      <c r="C29" s="264"/>
      <c r="D29" s="264"/>
      <c r="E29" s="282"/>
      <c r="F29" s="264"/>
    </row>
    <row r="30" spans="1:6" s="352" customFormat="1">
      <c r="A30" s="145" t="s">
        <v>598</v>
      </c>
      <c r="B30" s="266">
        <f>'Sources and Uses Budget'!$C29</f>
        <v>3250000</v>
      </c>
      <c r="C30" s="266">
        <f>'Sources and Uses Budget'!$C29</f>
        <v>3250000</v>
      </c>
      <c r="D30" s="270">
        <f t="shared" si="0"/>
        <v>0</v>
      </c>
      <c r="E30" s="268"/>
      <c r="F30" s="267"/>
    </row>
    <row r="31" spans="1:6" s="352" customFormat="1">
      <c r="A31" s="145" t="s">
        <v>599</v>
      </c>
      <c r="B31" s="266">
        <f>'Sources and Uses Budget'!$C30</f>
        <v>22382653</v>
      </c>
      <c r="C31" s="266">
        <f>'Sources and Uses Budget'!$C30</f>
        <v>22382653</v>
      </c>
      <c r="D31" s="270">
        <f t="shared" si="0"/>
        <v>0</v>
      </c>
      <c r="E31" s="268"/>
      <c r="F31" s="267"/>
    </row>
    <row r="32" spans="1:6" s="352" customFormat="1">
      <c r="A32" s="145" t="s">
        <v>600</v>
      </c>
      <c r="B32" s="266">
        <f>'Sources and Uses Budget'!$C31</f>
        <v>2513319</v>
      </c>
      <c r="C32" s="266">
        <f>'Sources and Uses Budget'!$C31</f>
        <v>2513319</v>
      </c>
      <c r="D32" s="270">
        <f t="shared" si="0"/>
        <v>0</v>
      </c>
      <c r="E32" s="268"/>
      <c r="F32" s="267"/>
    </row>
    <row r="33" spans="1:6" s="352" customFormat="1">
      <c r="A33" s="145" t="s">
        <v>137</v>
      </c>
      <c r="B33" s="266">
        <f>'Sources and Uses Budget'!$C32</f>
        <v>664181</v>
      </c>
      <c r="C33" s="266">
        <f>'Sources and Uses Budget'!$C32</f>
        <v>664181</v>
      </c>
      <c r="D33" s="270">
        <f t="shared" si="0"/>
        <v>0</v>
      </c>
      <c r="E33" s="268"/>
      <c r="F33" s="267"/>
    </row>
    <row r="34" spans="1:6" s="352" customFormat="1">
      <c r="A34" s="145" t="s">
        <v>138</v>
      </c>
      <c r="B34" s="266">
        <f>'Sources and Uses Budget'!$C33</f>
        <v>500000</v>
      </c>
      <c r="C34" s="266">
        <f>'Sources and Uses Budget'!$C33</f>
        <v>500000</v>
      </c>
      <c r="D34" s="270">
        <f t="shared" si="0"/>
        <v>0</v>
      </c>
      <c r="E34" s="268"/>
      <c r="F34" s="267"/>
    </row>
    <row r="35" spans="1:6" s="352" customFormat="1">
      <c r="A35" s="145" t="s">
        <v>139</v>
      </c>
      <c r="B35" s="266">
        <f>'Sources and Uses Budget'!$C34</f>
        <v>0</v>
      </c>
      <c r="C35" s="266">
        <f>'Sources and Uses Budget'!$C34</f>
        <v>0</v>
      </c>
      <c r="D35" s="270">
        <f t="shared" si="0"/>
        <v>0</v>
      </c>
      <c r="E35" s="268"/>
      <c r="F35" s="267"/>
    </row>
    <row r="36" spans="1:6" s="352" customFormat="1">
      <c r="A36" s="145" t="s">
        <v>140</v>
      </c>
      <c r="B36" s="266">
        <f>'Sources and Uses Budget'!$C35</f>
        <v>850000</v>
      </c>
      <c r="C36" s="266">
        <f>'Sources and Uses Budget'!$C35</f>
        <v>850000</v>
      </c>
      <c r="D36" s="270">
        <f t="shared" si="0"/>
        <v>0</v>
      </c>
      <c r="E36" s="268"/>
      <c r="F36" s="267"/>
    </row>
    <row r="37" spans="1:6" s="352" customFormat="1">
      <c r="A37" s="283" t="s">
        <v>1640</v>
      </c>
      <c r="B37" s="266">
        <f>'Sources and Uses Budget'!$C36</f>
        <v>250000</v>
      </c>
      <c r="C37" s="266">
        <f>'Sources and Uses Budget'!$C36</f>
        <v>250000</v>
      </c>
      <c r="D37" s="270"/>
      <c r="E37" s="268"/>
      <c r="F37" s="267"/>
    </row>
    <row r="38" spans="1:6" s="352" customFormat="1">
      <c r="A38" s="155" t="str">
        <f>'Sources and Uses Budget'!A37</f>
        <v>Other: (Specify)</v>
      </c>
      <c r="B38" s="266">
        <f>'Sources and Uses Budget'!$C37</f>
        <v>0</v>
      </c>
      <c r="C38" s="266">
        <f>'Sources and Uses Budget'!$C37</f>
        <v>0</v>
      </c>
      <c r="D38" s="270">
        <f t="shared" si="0"/>
        <v>0</v>
      </c>
      <c r="E38" s="268"/>
      <c r="F38" s="267"/>
    </row>
    <row r="39" spans="1:6" s="352" customFormat="1">
      <c r="A39" s="271" t="s">
        <v>143</v>
      </c>
      <c r="B39" s="270">
        <f>SUM(B30:B38)</f>
        <v>30410153</v>
      </c>
      <c r="C39" s="270">
        <f>SUM(C30:C38)</f>
        <v>30410153</v>
      </c>
      <c r="D39" s="270">
        <f t="shared" si="0"/>
        <v>0</v>
      </c>
      <c r="E39" s="268"/>
      <c r="F39" s="267"/>
    </row>
    <row r="40" spans="1:6" s="352" customFormat="1">
      <c r="A40" s="264" t="s">
        <v>144</v>
      </c>
      <c r="B40" s="264"/>
      <c r="C40" s="264"/>
      <c r="D40" s="264"/>
      <c r="E40" s="282"/>
      <c r="F40" s="264"/>
    </row>
    <row r="41" spans="1:6" s="352" customFormat="1">
      <c r="A41" s="269" t="s">
        <v>145</v>
      </c>
      <c r="B41" s="266">
        <f>'Sources and Uses Budget'!$C40</f>
        <v>700000</v>
      </c>
      <c r="C41" s="266">
        <f>'Sources and Uses Budget'!$C40</f>
        <v>700000</v>
      </c>
      <c r="D41" s="270">
        <f t="shared" si="0"/>
        <v>0</v>
      </c>
      <c r="E41" s="268"/>
      <c r="F41" s="267"/>
    </row>
    <row r="42" spans="1:6" s="352" customFormat="1">
      <c r="A42" s="269" t="s">
        <v>146</v>
      </c>
      <c r="B42" s="266">
        <f>'Sources and Uses Budget'!$C41</f>
        <v>700000</v>
      </c>
      <c r="C42" s="266">
        <f>'Sources and Uses Budget'!$C41</f>
        <v>700000</v>
      </c>
      <c r="D42" s="270">
        <f t="shared" si="0"/>
        <v>0</v>
      </c>
      <c r="E42" s="268"/>
      <c r="F42" s="267"/>
    </row>
    <row r="43" spans="1:6" s="352" customFormat="1">
      <c r="A43" s="271" t="s">
        <v>147</v>
      </c>
      <c r="B43" s="270">
        <f>SUM(B41:B42)</f>
        <v>1400000</v>
      </c>
      <c r="C43" s="270">
        <f>SUM(C41:C42)</f>
        <v>1400000</v>
      </c>
      <c r="D43" s="270">
        <f t="shared" si="0"/>
        <v>0</v>
      </c>
      <c r="E43" s="268"/>
      <c r="F43" s="267"/>
    </row>
    <row r="44" spans="1:6" s="352" customFormat="1">
      <c r="A44" s="271" t="s">
        <v>148</v>
      </c>
      <c r="B44" s="266">
        <f>'Sources and Uses Budget'!$C43</f>
        <v>150000</v>
      </c>
      <c r="C44" s="266">
        <f>'Sources and Uses Budget'!$C43</f>
        <v>150000</v>
      </c>
      <c r="D44" s="270">
        <f t="shared" si="0"/>
        <v>0</v>
      </c>
      <c r="E44" s="268"/>
      <c r="F44" s="267"/>
    </row>
    <row r="45" spans="1:6" s="352" customFormat="1" ht="12" customHeight="1">
      <c r="A45" s="264" t="s">
        <v>149</v>
      </c>
      <c r="B45" s="264"/>
      <c r="C45" s="264"/>
      <c r="D45" s="264"/>
      <c r="E45" s="282"/>
      <c r="F45" s="264"/>
    </row>
    <row r="46" spans="1:6" s="352" customFormat="1">
      <c r="A46" s="145" t="s">
        <v>150</v>
      </c>
      <c r="B46" s="266">
        <f>'Sources and Uses Budget'!$C45</f>
        <v>3272118</v>
      </c>
      <c r="C46" s="266">
        <f>'Sources and Uses Budget'!$C45</f>
        <v>3272118</v>
      </c>
      <c r="D46" s="270">
        <f t="shared" si="0"/>
        <v>0</v>
      </c>
      <c r="E46" s="268"/>
      <c r="F46" s="267"/>
    </row>
    <row r="47" spans="1:6" s="352" customFormat="1">
      <c r="A47" s="145" t="s">
        <v>151</v>
      </c>
      <c r="B47" s="266">
        <f>'Sources and Uses Budget'!$C46</f>
        <v>434385</v>
      </c>
      <c r="C47" s="266">
        <f>'Sources and Uses Budget'!$C46</f>
        <v>434385</v>
      </c>
      <c r="D47" s="270">
        <f t="shared" si="0"/>
        <v>0</v>
      </c>
      <c r="E47" s="268"/>
      <c r="F47" s="267"/>
    </row>
    <row r="48" spans="1:6" s="352" customFormat="1" ht="12" customHeight="1">
      <c r="A48" s="186" t="s">
        <v>152</v>
      </c>
      <c r="B48" s="266">
        <f>'Sources and Uses Budget'!$C47</f>
        <v>0</v>
      </c>
      <c r="C48" s="266">
        <f>'Sources and Uses Budget'!$C47</f>
        <v>0</v>
      </c>
      <c r="D48" s="270">
        <f t="shared" si="0"/>
        <v>0</v>
      </c>
      <c r="E48" s="268"/>
      <c r="F48" s="267"/>
    </row>
    <row r="49" spans="1:6" s="352" customFormat="1">
      <c r="A49" s="145" t="s">
        <v>153</v>
      </c>
      <c r="B49" s="266">
        <f>'Sources and Uses Budget'!$C48</f>
        <v>396195</v>
      </c>
      <c r="C49" s="266">
        <f>'Sources and Uses Budget'!$C48</f>
        <v>396195</v>
      </c>
      <c r="D49" s="270">
        <f t="shared" si="0"/>
        <v>0</v>
      </c>
      <c r="E49" s="268"/>
      <c r="F49" s="267"/>
    </row>
    <row r="50" spans="1:6" s="352" customFormat="1">
      <c r="A50" s="145" t="s">
        <v>57</v>
      </c>
      <c r="B50" s="266">
        <f>'Sources and Uses Budget'!$C49</f>
        <v>245000</v>
      </c>
      <c r="C50" s="266">
        <f>'Sources and Uses Budget'!$C49</f>
        <v>245000</v>
      </c>
      <c r="D50" s="270">
        <f t="shared" si="0"/>
        <v>0</v>
      </c>
      <c r="E50" s="268"/>
      <c r="F50" s="267"/>
    </row>
    <row r="51" spans="1:6" s="352" customFormat="1">
      <c r="A51" s="145" t="s">
        <v>156</v>
      </c>
      <c r="B51" s="266">
        <f>'Sources and Uses Budget'!$C50</f>
        <v>50000</v>
      </c>
      <c r="C51" s="266">
        <f>'Sources and Uses Budget'!$C50</f>
        <v>50000</v>
      </c>
      <c r="D51" s="270">
        <f t="shared" si="0"/>
        <v>0</v>
      </c>
      <c r="E51" s="268"/>
      <c r="F51" s="267"/>
    </row>
    <row r="52" spans="1:6" s="352" customFormat="1">
      <c r="A52" s="283" t="s">
        <v>154</v>
      </c>
      <c r="B52" s="266">
        <f>'Sources and Uses Budget'!$C51</f>
        <v>0</v>
      </c>
      <c r="C52" s="266">
        <f>'Sources and Uses Budget'!$C51</f>
        <v>0</v>
      </c>
      <c r="D52" s="270">
        <f t="shared" si="0"/>
        <v>0</v>
      </c>
      <c r="E52" s="268"/>
      <c r="F52" s="267"/>
    </row>
    <row r="53" spans="1:6" s="352" customFormat="1">
      <c r="A53" s="145" t="s">
        <v>155</v>
      </c>
      <c r="B53" s="266">
        <f>'Sources and Uses Budget'!$C52</f>
        <v>0</v>
      </c>
      <c r="C53" s="266">
        <f>'Sources and Uses Budget'!$C52</f>
        <v>0</v>
      </c>
      <c r="D53" s="270">
        <f t="shared" si="0"/>
        <v>0</v>
      </c>
      <c r="E53" s="268"/>
      <c r="F53" s="267"/>
    </row>
    <row r="54" spans="1:6" s="352" customFormat="1">
      <c r="A54" s="155" t="str">
        <f>'Sources and Uses Budget'!A53</f>
        <v>Other: (Specify)</v>
      </c>
      <c r="B54" s="266">
        <f>'Sources and Uses Budget'!$C53</f>
        <v>0</v>
      </c>
      <c r="C54" s="266">
        <f>'Sources and Uses Budget'!$C53</f>
        <v>0</v>
      </c>
      <c r="D54" s="270">
        <f t="shared" si="0"/>
        <v>0</v>
      </c>
      <c r="E54" s="268"/>
      <c r="F54" s="267"/>
    </row>
    <row r="55" spans="1:6" s="353" customFormat="1">
      <c r="A55" s="271" t="s">
        <v>157</v>
      </c>
      <c r="B55" s="273">
        <f>SUM(B46:B54)</f>
        <v>4397698</v>
      </c>
      <c r="C55" s="273">
        <f>SUM(C46:C54)</f>
        <v>4397698</v>
      </c>
      <c r="D55" s="270">
        <f t="shared" si="0"/>
        <v>0</v>
      </c>
      <c r="E55" s="268"/>
      <c r="F55" s="267"/>
    </row>
    <row r="56" spans="1:6" s="352" customFormat="1">
      <c r="A56" s="264" t="s">
        <v>417</v>
      </c>
      <c r="B56" s="264"/>
      <c r="C56" s="264"/>
      <c r="D56" s="264"/>
      <c r="E56" s="282"/>
      <c r="F56" s="264"/>
    </row>
    <row r="57" spans="1:6" s="352" customFormat="1">
      <c r="A57" s="269" t="s">
        <v>158</v>
      </c>
      <c r="B57" s="266">
        <f>'Sources and Uses Budget'!$C56</f>
        <v>295534</v>
      </c>
      <c r="C57" s="266">
        <f>'Sources and Uses Budget'!$C56</f>
        <v>295534</v>
      </c>
      <c r="D57" s="270">
        <f t="shared" si="0"/>
        <v>0</v>
      </c>
      <c r="E57" s="268"/>
      <c r="F57" s="267"/>
    </row>
    <row r="58" spans="1:6" s="352" customFormat="1" ht="12" customHeight="1">
      <c r="A58" s="269" t="s">
        <v>152</v>
      </c>
      <c r="B58" s="266">
        <f>'Sources and Uses Budget'!$C57</f>
        <v>0</v>
      </c>
      <c r="C58" s="266">
        <f>'Sources and Uses Budget'!$C57</f>
        <v>0</v>
      </c>
      <c r="D58" s="270">
        <f t="shared" si="0"/>
        <v>0</v>
      </c>
      <c r="E58" s="268"/>
      <c r="F58" s="267"/>
    </row>
    <row r="59" spans="1:6" s="352" customFormat="1">
      <c r="A59" s="269" t="s">
        <v>156</v>
      </c>
      <c r="B59" s="266">
        <f>'Sources and Uses Budget'!$C58</f>
        <v>10000</v>
      </c>
      <c r="C59" s="266">
        <f>'Sources and Uses Budget'!$C58</f>
        <v>10000</v>
      </c>
      <c r="D59" s="270">
        <f t="shared" si="0"/>
        <v>0</v>
      </c>
      <c r="E59" s="268"/>
      <c r="F59" s="267"/>
    </row>
    <row r="60" spans="1:6" s="352" customFormat="1">
      <c r="A60" s="269" t="s">
        <v>154</v>
      </c>
      <c r="B60" s="266">
        <f>'Sources and Uses Budget'!$C59</f>
        <v>0</v>
      </c>
      <c r="C60" s="266">
        <f>'Sources and Uses Budget'!$C59</f>
        <v>0</v>
      </c>
      <c r="D60" s="270">
        <f t="shared" si="0"/>
        <v>0</v>
      </c>
      <c r="E60" s="268"/>
      <c r="F60" s="267"/>
    </row>
    <row r="61" spans="1:6" s="352" customFormat="1">
      <c r="A61" s="269" t="s">
        <v>155</v>
      </c>
      <c r="B61" s="266">
        <f>'Sources and Uses Budget'!$C60</f>
        <v>0</v>
      </c>
      <c r="C61" s="266">
        <f>'Sources and Uses Budget'!$C60</f>
        <v>0</v>
      </c>
      <c r="D61" s="270">
        <f t="shared" si="0"/>
        <v>0</v>
      </c>
      <c r="E61" s="268"/>
      <c r="F61" s="267"/>
    </row>
    <row r="62" spans="1:6" s="352" customFormat="1">
      <c r="A62" s="1019" t="str">
        <f>'Sources and Uses Budget'!A61</f>
        <v>Other: (Specify)</v>
      </c>
      <c r="B62" s="266">
        <f>'Sources and Uses Budget'!$C61</f>
        <v>0</v>
      </c>
      <c r="C62" s="266">
        <f>'Sources and Uses Budget'!$C61</f>
        <v>0</v>
      </c>
      <c r="D62" s="270">
        <f t="shared" si="0"/>
        <v>0</v>
      </c>
      <c r="E62" s="268"/>
      <c r="F62" s="267"/>
    </row>
    <row r="63" spans="1:6" s="352" customFormat="1" ht="13.7" customHeight="1">
      <c r="A63" s="271" t="s">
        <v>300</v>
      </c>
      <c r="B63" s="270">
        <f>SUM(B57:B62)</f>
        <v>305534</v>
      </c>
      <c r="C63" s="270">
        <f>SUM(C57:C62)</f>
        <v>305534</v>
      </c>
      <c r="D63" s="270">
        <f t="shared" si="0"/>
        <v>0</v>
      </c>
      <c r="E63" s="268"/>
      <c r="F63" s="267"/>
    </row>
    <row r="64" spans="1:6" s="352" customFormat="1">
      <c r="A64" s="274" t="s">
        <v>301</v>
      </c>
      <c r="B64" s="270">
        <f>SUM(B9+B12+B14+B15+B17+B26+B28+B39+B43+B44+B55+B63)</f>
        <v>36983385</v>
      </c>
      <c r="C64" s="270">
        <f>SUM(C9+C12+C14+C15+C17+C26+C28+C39+C43+C44+C55+C63)</f>
        <v>36983385</v>
      </c>
      <c r="D64" s="270">
        <f t="shared" si="0"/>
        <v>0</v>
      </c>
      <c r="E64" s="268"/>
      <c r="F64" s="267"/>
    </row>
    <row r="65" spans="1:6" s="352" customFormat="1" ht="24">
      <c r="A65" s="141" t="s">
        <v>1644</v>
      </c>
      <c r="B65" s="264"/>
      <c r="C65" s="264"/>
      <c r="D65" s="264"/>
      <c r="E65" s="282"/>
      <c r="F65" s="264"/>
    </row>
    <row r="66" spans="1:6" s="352" customFormat="1">
      <c r="A66" s="145" t="s">
        <v>170</v>
      </c>
      <c r="B66" s="266">
        <f>'Sources and Uses Budget'!$C65</f>
        <v>450000</v>
      </c>
      <c r="C66" s="266">
        <f>'Sources and Uses Budget'!$C65</f>
        <v>450000</v>
      </c>
      <c r="D66" s="270">
        <f t="shared" si="0"/>
        <v>0</v>
      </c>
      <c r="E66" s="268"/>
      <c r="F66" s="267"/>
    </row>
    <row r="67" spans="1:6" s="352" customFormat="1" ht="24">
      <c r="A67" s="283" t="s">
        <v>1641</v>
      </c>
      <c r="B67" s="266">
        <f>'Sources and Uses Budget'!$C66</f>
        <v>300000</v>
      </c>
      <c r="C67" s="266">
        <f>'Sources and Uses Budget'!$C66</f>
        <v>300000</v>
      </c>
      <c r="D67" s="270"/>
      <c r="E67" s="268"/>
      <c r="F67" s="267"/>
    </row>
    <row r="68" spans="1:6" s="352" customFormat="1" ht="24">
      <c r="A68" s="283" t="s">
        <v>1642</v>
      </c>
      <c r="B68" s="266">
        <f>'Sources and Uses Budget'!$C67</f>
        <v>0</v>
      </c>
      <c r="C68" s="266">
        <f>'Sources and Uses Budget'!$C67</f>
        <v>0</v>
      </c>
      <c r="D68" s="270"/>
      <c r="E68" s="268"/>
      <c r="F68" s="267"/>
    </row>
    <row r="69" spans="1:6" s="352" customFormat="1">
      <c r="A69" s="283" t="s">
        <v>1648</v>
      </c>
      <c r="B69" s="266">
        <f>'Sources and Uses Budget'!$C68</f>
        <v>0</v>
      </c>
      <c r="C69" s="266">
        <f>'Sources and Uses Budget'!$C68</f>
        <v>0</v>
      </c>
      <c r="D69" s="270"/>
      <c r="E69" s="268"/>
      <c r="F69" s="267"/>
    </row>
    <row r="70" spans="1:6" s="352" customFormat="1">
      <c r="A70" s="155" t="str">
        <f>'Sources and Uses Budget'!A69</f>
        <v>Other: (Specify)</v>
      </c>
      <c r="B70" s="266">
        <f>'Sources and Uses Budget'!$C69</f>
        <v>0</v>
      </c>
      <c r="C70" s="266">
        <f>'Sources and Uses Budget'!$C69</f>
        <v>0</v>
      </c>
      <c r="D70" s="270">
        <f t="shared" si="0"/>
        <v>0</v>
      </c>
      <c r="E70" s="268"/>
      <c r="F70" s="267"/>
    </row>
    <row r="71" spans="1:6" s="352" customFormat="1">
      <c r="A71" s="149" t="s">
        <v>1645</v>
      </c>
      <c r="B71" s="270">
        <f>SUM(B66:B70)</f>
        <v>750000</v>
      </c>
      <c r="C71" s="270">
        <f>SUM(C66:C70)</f>
        <v>750000</v>
      </c>
      <c r="D71" s="270">
        <f t="shared" si="0"/>
        <v>0</v>
      </c>
      <c r="E71" s="268"/>
      <c r="F71" s="267"/>
    </row>
    <row r="72" spans="1:6" s="352" customFormat="1">
      <c r="A72" s="264" t="s">
        <v>602</v>
      </c>
      <c r="B72" s="264"/>
      <c r="C72" s="264"/>
      <c r="D72" s="264"/>
      <c r="E72" s="282"/>
      <c r="F72" s="264"/>
    </row>
    <row r="73" spans="1:6" s="352" customFormat="1">
      <c r="A73" s="269" t="s">
        <v>603</v>
      </c>
      <c r="B73" s="266">
        <f>'Sources and Uses Budget'!$C72</f>
        <v>0</v>
      </c>
      <c r="C73" s="266">
        <f>'Sources and Uses Budget'!$C72</f>
        <v>0</v>
      </c>
      <c r="D73" s="270">
        <f t="shared" si="0"/>
        <v>0</v>
      </c>
      <c r="E73" s="268"/>
      <c r="F73" s="267"/>
    </row>
    <row r="74" spans="1:6" s="352" customFormat="1">
      <c r="A74" s="269" t="s">
        <v>604</v>
      </c>
      <c r="B74" s="266">
        <f>'Sources and Uses Budget'!$C73</f>
        <v>0</v>
      </c>
      <c r="C74" s="266">
        <f>'Sources and Uses Budget'!$C73</f>
        <v>0</v>
      </c>
      <c r="D74" s="270">
        <f t="shared" si="0"/>
        <v>0</v>
      </c>
      <c r="E74" s="268"/>
      <c r="F74" s="267"/>
    </row>
    <row r="75" spans="1:6" s="352" customFormat="1">
      <c r="A75" s="287" t="s">
        <v>986</v>
      </c>
      <c r="B75" s="266">
        <f>'Sources and Uses Budget'!$C74</f>
        <v>0</v>
      </c>
      <c r="C75" s="266">
        <f>'Sources and Uses Budget'!$C74</f>
        <v>0</v>
      </c>
      <c r="D75" s="270">
        <f t="shared" si="0"/>
        <v>0</v>
      </c>
      <c r="E75" s="268"/>
      <c r="F75" s="267"/>
    </row>
    <row r="76" spans="1:6" s="352" customFormat="1">
      <c r="A76" s="269" t="s">
        <v>605</v>
      </c>
      <c r="B76" s="266">
        <f>'Sources and Uses Budget'!$C75</f>
        <v>692204</v>
      </c>
      <c r="C76" s="266">
        <f>'Sources and Uses Budget'!$C75</f>
        <v>692204</v>
      </c>
      <c r="D76" s="270">
        <f t="shared" si="0"/>
        <v>0</v>
      </c>
      <c r="E76" s="268"/>
      <c r="F76" s="267"/>
    </row>
    <row r="77" spans="1:6" s="352" customFormat="1">
      <c r="A77" s="272" t="s">
        <v>34</v>
      </c>
      <c r="B77" s="266">
        <f>'Sources and Uses Budget'!$C76</f>
        <v>0</v>
      </c>
      <c r="C77" s="266">
        <f>'Sources and Uses Budget'!$C76</f>
        <v>0</v>
      </c>
      <c r="D77" s="270">
        <f t="shared" si="0"/>
        <v>0</v>
      </c>
      <c r="E77" s="268"/>
      <c r="F77" s="267"/>
    </row>
    <row r="78" spans="1:6" s="352" customFormat="1">
      <c r="A78" s="271" t="s">
        <v>606</v>
      </c>
      <c r="B78" s="270">
        <f>SUM(B73:B77)</f>
        <v>692204</v>
      </c>
      <c r="C78" s="270">
        <f>SUM(C73:C77)</f>
        <v>692204</v>
      </c>
      <c r="D78" s="270">
        <f t="shared" ref="D78:D106" si="1">C78-B78</f>
        <v>0</v>
      </c>
      <c r="E78" s="268"/>
      <c r="F78" s="267"/>
    </row>
    <row r="79" spans="1:6" s="352" customFormat="1">
      <c r="A79" s="264" t="s">
        <v>1210</v>
      </c>
      <c r="B79" s="264"/>
      <c r="C79" s="264"/>
      <c r="D79" s="264"/>
      <c r="E79" s="282"/>
      <c r="F79" s="264"/>
    </row>
    <row r="80" spans="1:6" s="352" customFormat="1">
      <c r="A80" s="510" t="s">
        <v>1212</v>
      </c>
      <c r="B80" s="266">
        <f>'Sources and Uses Budget'!$C79</f>
        <v>1560000</v>
      </c>
      <c r="C80" s="266">
        <f>'Sources and Uses Budget'!$C79</f>
        <v>1560000</v>
      </c>
      <c r="D80" s="270">
        <f t="shared" si="1"/>
        <v>0</v>
      </c>
      <c r="E80" s="268"/>
      <c r="F80" s="267"/>
    </row>
    <row r="81" spans="1:6" s="352" customFormat="1">
      <c r="A81" s="510" t="s">
        <v>58</v>
      </c>
      <c r="B81" s="266">
        <f>'Sources and Uses Budget'!$C80</f>
        <v>500000</v>
      </c>
      <c r="C81" s="266">
        <f>'Sources and Uses Budget'!$C80</f>
        <v>500000</v>
      </c>
      <c r="D81" s="270">
        <f>C81-B81</f>
        <v>0</v>
      </c>
      <c r="E81" s="268"/>
      <c r="F81" s="267"/>
    </row>
    <row r="82" spans="1:6" s="352" customFormat="1">
      <c r="A82" s="271" t="s">
        <v>1209</v>
      </c>
      <c r="B82" s="270">
        <f>SUM(B80:B81)</f>
        <v>2060000</v>
      </c>
      <c r="C82" s="270">
        <f>SUM(C80:C81)</f>
        <v>2060000</v>
      </c>
      <c r="D82" s="270">
        <f t="shared" si="1"/>
        <v>0</v>
      </c>
      <c r="E82" s="268"/>
      <c r="F82" s="267"/>
    </row>
    <row r="83" spans="1:6" s="352" customFormat="1">
      <c r="A83" s="264" t="s">
        <v>765</v>
      </c>
      <c r="B83" s="264"/>
      <c r="C83" s="264"/>
      <c r="D83" s="264"/>
      <c r="E83" s="282"/>
      <c r="F83" s="264"/>
    </row>
    <row r="84" spans="1:6" s="352" customFormat="1" ht="13.7" customHeight="1">
      <c r="A84" s="269" t="s">
        <v>766</v>
      </c>
      <c r="B84" s="266">
        <f>'Sources and Uses Budget'!$C83</f>
        <v>206771</v>
      </c>
      <c r="C84" s="266">
        <f>'Sources and Uses Budget'!$C83</f>
        <v>206771</v>
      </c>
      <c r="D84" s="270">
        <f t="shared" si="1"/>
        <v>0</v>
      </c>
      <c r="E84" s="268"/>
      <c r="F84" s="267"/>
    </row>
    <row r="85" spans="1:6" s="352" customFormat="1">
      <c r="A85" s="269" t="s">
        <v>767</v>
      </c>
      <c r="B85" s="266">
        <f>'Sources and Uses Budget'!$C84</f>
        <v>0</v>
      </c>
      <c r="C85" s="266">
        <f>'Sources and Uses Budget'!$C84</f>
        <v>0</v>
      </c>
      <c r="D85" s="270">
        <f t="shared" si="1"/>
        <v>0</v>
      </c>
      <c r="E85" s="268"/>
      <c r="F85" s="267"/>
    </row>
    <row r="86" spans="1:6" s="352" customFormat="1">
      <c r="A86" s="269" t="s">
        <v>768</v>
      </c>
      <c r="B86" s="266">
        <f>'Sources and Uses Budget'!$C85</f>
        <v>2500000</v>
      </c>
      <c r="C86" s="266">
        <f>'Sources and Uses Budget'!$C85</f>
        <v>2500000</v>
      </c>
      <c r="D86" s="270">
        <f t="shared" si="1"/>
        <v>0</v>
      </c>
      <c r="E86" s="268"/>
      <c r="F86" s="267"/>
    </row>
    <row r="87" spans="1:6" s="352" customFormat="1">
      <c r="A87" s="269" t="s">
        <v>769</v>
      </c>
      <c r="B87" s="266">
        <f>'Sources and Uses Budget'!$C86</f>
        <v>900000</v>
      </c>
      <c r="C87" s="266">
        <f>'Sources and Uses Budget'!$C86</f>
        <v>900000</v>
      </c>
      <c r="D87" s="270">
        <f t="shared" si="1"/>
        <v>0</v>
      </c>
      <c r="E87" s="268"/>
      <c r="F87" s="267"/>
    </row>
    <row r="88" spans="1:6" s="352" customFormat="1">
      <c r="A88" s="269" t="s">
        <v>770</v>
      </c>
      <c r="B88" s="266">
        <f>'Sources and Uses Budget'!$C87</f>
        <v>0</v>
      </c>
      <c r="C88" s="266">
        <f>'Sources and Uses Budget'!$C87</f>
        <v>0</v>
      </c>
      <c r="D88" s="270">
        <f t="shared" si="1"/>
        <v>0</v>
      </c>
      <c r="E88" s="268"/>
      <c r="F88" s="267"/>
    </row>
    <row r="89" spans="1:6" s="352" customFormat="1">
      <c r="A89" s="269" t="s">
        <v>771</v>
      </c>
      <c r="B89" s="266">
        <f>'Sources and Uses Budget'!$C88</f>
        <v>100000</v>
      </c>
      <c r="C89" s="266">
        <f>'Sources and Uses Budget'!$C88</f>
        <v>100000</v>
      </c>
      <c r="D89" s="270">
        <f t="shared" si="1"/>
        <v>0</v>
      </c>
      <c r="E89" s="268"/>
      <c r="F89" s="267"/>
    </row>
    <row r="90" spans="1:6" s="352" customFormat="1">
      <c r="A90" s="269" t="s">
        <v>772</v>
      </c>
      <c r="B90" s="266">
        <f>'Sources and Uses Budget'!$C89</f>
        <v>150000</v>
      </c>
      <c r="C90" s="266">
        <f>'Sources and Uses Budget'!$C89</f>
        <v>150000</v>
      </c>
      <c r="D90" s="270">
        <f t="shared" si="1"/>
        <v>0</v>
      </c>
      <c r="E90" s="268"/>
      <c r="F90" s="267"/>
    </row>
    <row r="91" spans="1:6" s="352" customFormat="1">
      <c r="A91" s="269" t="s">
        <v>773</v>
      </c>
      <c r="B91" s="266">
        <f>'Sources and Uses Budget'!$C90</f>
        <v>15000</v>
      </c>
      <c r="C91" s="266">
        <f>'Sources and Uses Budget'!$C90</f>
        <v>15000</v>
      </c>
      <c r="D91" s="270">
        <f t="shared" si="1"/>
        <v>0</v>
      </c>
      <c r="E91" s="268"/>
      <c r="F91" s="267"/>
    </row>
    <row r="92" spans="1:6" s="352" customFormat="1">
      <c r="A92" s="269" t="s">
        <v>371</v>
      </c>
      <c r="B92" s="266">
        <f>'Sources and Uses Budget'!$C91</f>
        <v>55000</v>
      </c>
      <c r="C92" s="266">
        <f>'Sources and Uses Budget'!$C91</f>
        <v>55000</v>
      </c>
      <c r="D92" s="270">
        <f t="shared" si="1"/>
        <v>0</v>
      </c>
      <c r="E92" s="268"/>
      <c r="F92" s="267"/>
    </row>
    <row r="93" spans="1:6" s="352" customFormat="1">
      <c r="A93" s="510" t="s">
        <v>1211</v>
      </c>
      <c r="B93" s="266">
        <f>'Sources and Uses Budget'!$C92</f>
        <v>15000</v>
      </c>
      <c r="C93" s="266">
        <f>'Sources and Uses Budget'!$C92</f>
        <v>15000</v>
      </c>
      <c r="D93" s="270">
        <f t="shared" si="1"/>
        <v>0</v>
      </c>
      <c r="E93" s="268"/>
      <c r="F93" s="267"/>
    </row>
    <row r="94" spans="1:6" s="352" customFormat="1">
      <c r="A94" s="272" t="s">
        <v>34</v>
      </c>
      <c r="B94" s="266">
        <f>'Sources and Uses Budget'!$C93</f>
        <v>40000</v>
      </c>
      <c r="C94" s="266">
        <f>'Sources and Uses Budget'!$C93</f>
        <v>40000</v>
      </c>
      <c r="D94" s="270">
        <f t="shared" si="1"/>
        <v>0</v>
      </c>
      <c r="E94" s="268"/>
      <c r="F94" s="267"/>
    </row>
    <row r="95" spans="1:6" s="352" customFormat="1">
      <c r="A95" s="272" t="s">
        <v>34</v>
      </c>
      <c r="B95" s="266">
        <f>'Sources and Uses Budget'!$C94</f>
        <v>0</v>
      </c>
      <c r="C95" s="266">
        <f>'Sources and Uses Budget'!$C94</f>
        <v>0</v>
      </c>
      <c r="D95" s="270">
        <f t="shared" si="1"/>
        <v>0</v>
      </c>
      <c r="E95" s="268"/>
      <c r="F95" s="267"/>
    </row>
    <row r="96" spans="1:6" s="352" customFormat="1">
      <c r="A96" s="272" t="s">
        <v>34</v>
      </c>
      <c r="B96" s="266">
        <f>'Sources and Uses Budget'!$C95</f>
        <v>0</v>
      </c>
      <c r="C96" s="266">
        <f>'Sources and Uses Budget'!$C95</f>
        <v>0</v>
      </c>
      <c r="D96" s="270">
        <f t="shared" si="1"/>
        <v>0</v>
      </c>
      <c r="E96" s="268"/>
      <c r="F96" s="267"/>
    </row>
    <row r="97" spans="1:6" s="352" customFormat="1">
      <c r="A97" s="271" t="s">
        <v>774</v>
      </c>
      <c r="B97" s="270">
        <f>SUM(B84:B96)</f>
        <v>3981771</v>
      </c>
      <c r="C97" s="270">
        <f>SUM(C84:C96)</f>
        <v>3981771</v>
      </c>
      <c r="D97" s="270">
        <f t="shared" si="1"/>
        <v>0</v>
      </c>
      <c r="E97" s="268"/>
      <c r="F97" s="267"/>
    </row>
    <row r="98" spans="1:6" s="352" customFormat="1">
      <c r="A98" s="271" t="s">
        <v>775</v>
      </c>
      <c r="B98" s="270">
        <f>SUM(B64+B71+B78+B82+B97)</f>
        <v>44467360</v>
      </c>
      <c r="C98" s="270">
        <f>SUM(C64+C71+C78+C82+C97)</f>
        <v>44467360</v>
      </c>
      <c r="D98" s="270">
        <f t="shared" si="1"/>
        <v>0</v>
      </c>
      <c r="E98" s="268"/>
      <c r="F98" s="267"/>
    </row>
    <row r="99" spans="1:6" s="352" customFormat="1">
      <c r="A99" s="264" t="s">
        <v>776</v>
      </c>
      <c r="B99" s="264"/>
      <c r="C99" s="264"/>
      <c r="D99" s="264"/>
      <c r="E99" s="282"/>
      <c r="F99" s="264"/>
    </row>
    <row r="100" spans="1:6" s="352" customFormat="1">
      <c r="A100" s="145" t="s">
        <v>777</v>
      </c>
      <c r="B100" s="266">
        <f>'Sources and Uses Budget'!$C99</f>
        <v>6137750</v>
      </c>
      <c r="C100" s="266">
        <f>'Sources and Uses Budget'!$C99</f>
        <v>6137750</v>
      </c>
      <c r="D100" s="270">
        <f t="shared" si="1"/>
        <v>0</v>
      </c>
      <c r="E100" s="268"/>
      <c r="F100" s="267"/>
    </row>
    <row r="101" spans="1:6" s="352" customFormat="1">
      <c r="A101" s="283" t="s">
        <v>1646</v>
      </c>
      <c r="B101" s="266">
        <f>'Sources and Uses Budget'!$C100</f>
        <v>0</v>
      </c>
      <c r="C101" s="266">
        <f>'Sources and Uses Budget'!$C100</f>
        <v>0</v>
      </c>
      <c r="D101" s="270">
        <f t="shared" si="1"/>
        <v>0</v>
      </c>
      <c r="E101" s="268"/>
      <c r="F101" s="267"/>
    </row>
    <row r="102" spans="1:6" s="352" customFormat="1">
      <c r="A102" s="145" t="s">
        <v>778</v>
      </c>
      <c r="B102" s="266">
        <f>'Sources and Uses Budget'!$C101</f>
        <v>0</v>
      </c>
      <c r="C102" s="266">
        <f>'Sources and Uses Budget'!$C101</f>
        <v>0</v>
      </c>
      <c r="D102" s="270">
        <f t="shared" si="1"/>
        <v>0</v>
      </c>
      <c r="E102" s="268"/>
      <c r="F102" s="267"/>
    </row>
    <row r="103" spans="1:6" s="352" customFormat="1" ht="12" customHeight="1">
      <c r="A103" s="283" t="s">
        <v>1647</v>
      </c>
      <c r="B103" s="266">
        <f>'Sources and Uses Budget'!$C102</f>
        <v>0</v>
      </c>
      <c r="C103" s="266">
        <f>'Sources and Uses Budget'!$C102</f>
        <v>0</v>
      </c>
      <c r="D103" s="270">
        <f t="shared" si="1"/>
        <v>0</v>
      </c>
      <c r="E103" s="268"/>
      <c r="F103" s="267"/>
    </row>
    <row r="104" spans="1:6" s="352" customFormat="1">
      <c r="A104" s="1019" t="str">
        <f>'Sources and Uses Budget'!A103</f>
        <v>Other: (Specify)</v>
      </c>
      <c r="B104" s="266">
        <f>'Sources and Uses Budget'!$C103</f>
        <v>0</v>
      </c>
      <c r="C104" s="266">
        <f>'Sources and Uses Budget'!$C103</f>
        <v>0</v>
      </c>
      <c r="D104" s="270">
        <f t="shared" si="1"/>
        <v>0</v>
      </c>
      <c r="E104" s="268"/>
      <c r="F104" s="267"/>
    </row>
    <row r="105" spans="1:6" s="352" customFormat="1">
      <c r="A105" s="271" t="s">
        <v>779</v>
      </c>
      <c r="B105" s="270">
        <f>SUM(B100:B104)</f>
        <v>6137750</v>
      </c>
      <c r="C105" s="270">
        <f>SUM(C100:C104)</f>
        <v>6137750</v>
      </c>
      <c r="D105" s="270">
        <f t="shared" si="1"/>
        <v>0</v>
      </c>
      <c r="E105" s="268"/>
      <c r="F105" s="267"/>
    </row>
    <row r="106" spans="1:6" s="352" customFormat="1">
      <c r="A106" s="271" t="s">
        <v>780</v>
      </c>
      <c r="B106" s="273">
        <f>SUM(B98+B105)</f>
        <v>50605110</v>
      </c>
      <c r="C106" s="273">
        <f>SUM(C98+C105)</f>
        <v>50605110</v>
      </c>
      <c r="D106" s="270">
        <f t="shared" si="1"/>
        <v>0</v>
      </c>
      <c r="E106" s="268"/>
      <c r="F106" s="267"/>
    </row>
    <row r="107" spans="1:6" s="352" customFormat="1">
      <c r="A107" s="277" t="s">
        <v>781</v>
      </c>
      <c r="B107" s="278"/>
      <c r="C107" s="279"/>
      <c r="D107" s="281"/>
      <c r="E107" s="265"/>
      <c r="F107" s="276"/>
    </row>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showGridLines="0" workbookViewId="0">
      <selection sqref="A1:J1"/>
    </sheetView>
  </sheetViews>
  <sheetFormatPr defaultColWidth="0" defaultRowHeight="12.4" customHeight="1" zeroHeight="1"/>
  <cols>
    <col min="1" max="10" width="10.7109375" style="402" customWidth="1"/>
    <col min="11" max="16384" width="8.85546875" style="402" hidden="1"/>
  </cols>
  <sheetData>
    <row r="1" spans="1:10" ht="15.75">
      <c r="A1" s="1274" t="s">
        <v>1869</v>
      </c>
      <c r="B1" s="1275"/>
      <c r="C1" s="1275"/>
      <c r="D1" s="1275"/>
      <c r="E1" s="1275"/>
      <c r="F1" s="1275"/>
      <c r="G1" s="1275"/>
      <c r="H1" s="1275"/>
      <c r="I1" s="1275"/>
      <c r="J1" s="1275"/>
    </row>
    <row r="2" spans="1:10" ht="15">
      <c r="A2" s="1278" t="s">
        <v>1268</v>
      </c>
      <c r="B2" s="1279"/>
      <c r="C2" s="1279"/>
      <c r="D2" s="1279"/>
      <c r="E2" s="1279"/>
      <c r="F2" s="1279"/>
      <c r="G2" s="1279"/>
      <c r="H2" s="1279"/>
      <c r="I2" s="1279"/>
      <c r="J2" s="1279"/>
    </row>
    <row r="3" spans="1:10" ht="12.75"/>
    <row r="4" spans="1:10" ht="12.75" customHeight="1">
      <c r="A4" s="1276" t="s">
        <v>2047</v>
      </c>
      <c r="B4" s="1276"/>
      <c r="C4" s="1276"/>
      <c r="D4" s="1276"/>
      <c r="E4" s="1276"/>
      <c r="F4" s="1276"/>
      <c r="G4" s="1276"/>
      <c r="H4" s="1276"/>
      <c r="I4" s="1276"/>
      <c r="J4" s="1276"/>
    </row>
    <row r="5" spans="1:10" ht="12.75">
      <c r="A5" s="1276"/>
      <c r="B5" s="1276"/>
      <c r="C5" s="1276"/>
      <c r="D5" s="1276"/>
      <c r="E5" s="1276"/>
      <c r="F5" s="1276"/>
      <c r="G5" s="1276"/>
      <c r="H5" s="1276"/>
      <c r="I5" s="1276"/>
      <c r="J5" s="1276"/>
    </row>
    <row r="6" spans="1:10" ht="30" customHeight="1">
      <c r="A6" s="1276"/>
      <c r="B6" s="1276"/>
      <c r="C6" s="1276"/>
      <c r="D6" s="1276"/>
      <c r="E6" s="1276"/>
      <c r="F6" s="1276"/>
      <c r="G6" s="1276"/>
      <c r="H6" s="1276"/>
      <c r="I6" s="1276"/>
      <c r="J6" s="1276"/>
    </row>
    <row r="7" spans="1:10" ht="12.75">
      <c r="A7" s="416"/>
      <c r="B7" s="416"/>
      <c r="C7" s="416"/>
      <c r="D7" s="416"/>
      <c r="E7" s="416"/>
      <c r="F7" s="416"/>
      <c r="G7" s="416"/>
      <c r="H7" s="416"/>
      <c r="I7" s="416"/>
      <c r="J7" s="416"/>
    </row>
    <row r="8" spans="1:10" ht="12.75" customHeight="1">
      <c r="A8" s="402" t="s">
        <v>1872</v>
      </c>
      <c r="B8" s="416"/>
      <c r="C8" s="416"/>
      <c r="D8" s="416"/>
      <c r="E8" s="416"/>
      <c r="F8" s="416"/>
      <c r="G8" s="416"/>
      <c r="H8" s="416"/>
      <c r="I8" s="416"/>
      <c r="J8" s="416"/>
    </row>
    <row r="9" spans="1:10" ht="12.75"/>
    <row r="10" spans="1:10" ht="12.75" customHeight="1">
      <c r="A10" s="1280" t="s">
        <v>1874</v>
      </c>
      <c r="B10" s="1280"/>
      <c r="C10" s="1280"/>
      <c r="D10" s="1280"/>
      <c r="E10" s="1280"/>
      <c r="F10" s="1280"/>
      <c r="G10" s="1280"/>
      <c r="H10" s="1280"/>
      <c r="I10" s="1280"/>
      <c r="J10" s="1280"/>
    </row>
    <row r="11" spans="1:10" ht="12.75">
      <c r="A11" s="1280"/>
      <c r="B11" s="1280"/>
      <c r="C11" s="1280"/>
      <c r="D11" s="1280"/>
      <c r="E11" s="1280"/>
      <c r="F11" s="1280"/>
      <c r="G11" s="1280"/>
      <c r="H11" s="1280"/>
      <c r="I11" s="1280"/>
      <c r="J11" s="1280"/>
    </row>
    <row r="12" spans="1:10" ht="12.75">
      <c r="A12" s="1280"/>
      <c r="B12" s="1280"/>
      <c r="C12" s="1280"/>
      <c r="D12" s="1280"/>
      <c r="E12" s="1280"/>
      <c r="F12" s="1280"/>
      <c r="G12" s="1280"/>
      <c r="H12" s="1280"/>
      <c r="I12" s="1280"/>
      <c r="J12" s="1280"/>
    </row>
    <row r="13" spans="1:10" ht="12.75">
      <c r="A13" s="1280"/>
      <c r="B13" s="1280"/>
      <c r="C13" s="1280"/>
      <c r="D13" s="1280"/>
      <c r="E13" s="1280"/>
      <c r="F13" s="1280"/>
      <c r="G13" s="1280"/>
      <c r="H13" s="1280"/>
      <c r="I13" s="1280"/>
      <c r="J13" s="1280"/>
    </row>
    <row r="14" spans="1:10" ht="12.75">
      <c r="A14" s="1280"/>
      <c r="B14" s="1280"/>
      <c r="C14" s="1280"/>
      <c r="D14" s="1280"/>
      <c r="E14" s="1280"/>
      <c r="F14" s="1280"/>
      <c r="G14" s="1280"/>
      <c r="H14" s="1280"/>
      <c r="I14" s="1280"/>
      <c r="J14" s="1280"/>
    </row>
    <row r="15" spans="1:10" ht="12.75">
      <c r="A15" s="1280"/>
      <c r="B15" s="1280"/>
      <c r="C15" s="1280"/>
      <c r="D15" s="1280"/>
      <c r="E15" s="1280"/>
      <c r="F15" s="1280"/>
      <c r="G15" s="1280"/>
      <c r="H15" s="1280"/>
      <c r="I15" s="1280"/>
      <c r="J15" s="1280"/>
    </row>
    <row r="16" spans="1:10" ht="12.75">
      <c r="A16" s="524"/>
      <c r="B16" s="524"/>
      <c r="C16" s="524"/>
      <c r="D16" s="524"/>
      <c r="E16" s="524"/>
      <c r="F16" s="524"/>
      <c r="G16" s="524"/>
      <c r="H16" s="524"/>
      <c r="I16" s="524"/>
      <c r="J16" s="524"/>
    </row>
    <row r="17" spans="1:10" ht="12.75">
      <c r="A17" s="476" t="s">
        <v>1873</v>
      </c>
      <c r="B17" s="416"/>
      <c r="C17" s="416"/>
      <c r="D17" s="416"/>
      <c r="E17" s="416"/>
      <c r="F17" s="416"/>
      <c r="G17" s="416"/>
      <c r="H17" s="416"/>
      <c r="I17" s="416"/>
      <c r="J17" s="416"/>
    </row>
    <row r="18" spans="1:10" ht="12.75">
      <c r="A18" s="416" t="s">
        <v>249</v>
      </c>
      <c r="B18" s="416"/>
      <c r="C18" s="416"/>
      <c r="D18" s="416"/>
      <c r="E18" s="416"/>
      <c r="F18" s="416"/>
      <c r="G18" s="416"/>
      <c r="H18" s="416"/>
      <c r="I18" s="416"/>
      <c r="J18" s="416"/>
    </row>
    <row r="19" spans="1:10" ht="12.75">
      <c r="A19" s="1279" t="s">
        <v>1189</v>
      </c>
      <c r="B19" s="1279"/>
      <c r="C19" s="1279"/>
      <c r="D19" s="1279"/>
      <c r="E19" s="1279"/>
    </row>
    <row r="20" spans="1:10" ht="12.75"/>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c r="A56" s="1276" t="s">
        <v>1190</v>
      </c>
      <c r="B56" s="1276"/>
      <c r="C56" s="1276"/>
      <c r="D56" s="1276"/>
      <c r="E56" s="1276"/>
      <c r="F56" s="1276"/>
      <c r="G56" s="1276"/>
      <c r="H56" s="1276"/>
      <c r="I56" s="1276"/>
      <c r="J56" s="1276"/>
    </row>
    <row r="57" spans="1:10" ht="12.75">
      <c r="A57" s="1276"/>
      <c r="B57" s="1276"/>
      <c r="C57" s="1276"/>
      <c r="D57" s="1276"/>
      <c r="E57" s="1276"/>
      <c r="F57" s="1276"/>
      <c r="G57" s="1276"/>
      <c r="H57" s="1276"/>
      <c r="I57" s="1276"/>
      <c r="J57" s="1276"/>
    </row>
    <row r="58" spans="1:10" ht="12.75">
      <c r="A58" s="1276"/>
      <c r="B58" s="1276"/>
      <c r="C58" s="1276"/>
      <c r="D58" s="1276"/>
      <c r="E58" s="1276"/>
      <c r="F58" s="1276"/>
      <c r="G58" s="1276"/>
      <c r="H58" s="1276"/>
      <c r="I58" s="1276"/>
      <c r="J58" s="1276"/>
    </row>
    <row r="59" spans="1:10" ht="12.75"/>
    <row r="60" spans="1:10" ht="12.75">
      <c r="A60" s="402" t="s">
        <v>1189</v>
      </c>
    </row>
    <row r="61" spans="1:10" ht="12.75"/>
    <row r="62" spans="1:10" ht="12.75"/>
    <row r="63" spans="1:10" ht="12.75"/>
    <row r="64" spans="1:10" ht="12.75"/>
    <row r="65" spans="1:9" ht="12.75"/>
    <row r="66" spans="1:9" ht="12.75"/>
    <row r="67" spans="1:9" ht="12.75"/>
    <row r="68" spans="1:9" ht="12.75"/>
    <row r="69" spans="1:9" ht="12.75"/>
    <row r="70" spans="1:9" ht="12.75"/>
    <row r="71" spans="1:9" ht="12.75">
      <c r="A71" s="1277" t="s">
        <v>1870</v>
      </c>
      <c r="B71" s="1277"/>
      <c r="C71" s="1277"/>
      <c r="D71" s="1277"/>
      <c r="E71" s="1277"/>
      <c r="F71" s="1277"/>
      <c r="G71" s="1277"/>
      <c r="H71" s="1277"/>
      <c r="I71" s="1277"/>
    </row>
    <row r="72" spans="1:9" ht="12.75">
      <c r="A72" s="1269" t="s">
        <v>2045</v>
      </c>
      <c r="B72" s="1269"/>
      <c r="C72" s="1269"/>
      <c r="D72" s="1269"/>
      <c r="E72" s="1269"/>
    </row>
    <row r="73" spans="1:9" ht="12.75">
      <c r="A73" s="1269" t="s">
        <v>2046</v>
      </c>
      <c r="B73" s="1269"/>
      <c r="C73" s="1269"/>
      <c r="D73" s="1269"/>
      <c r="E73" s="1269"/>
    </row>
    <row r="74" spans="1:9" ht="12.75">
      <c r="A74" s="1269" t="s">
        <v>1871</v>
      </c>
      <c r="B74" s="1269"/>
      <c r="C74" s="1269"/>
      <c r="D74" s="1269"/>
      <c r="E74" s="1269"/>
    </row>
    <row r="75" spans="1:9" ht="12.75"/>
    <row r="76" spans="1:9" ht="12.75"/>
    <row r="77" spans="1:9" ht="12.75"/>
    <row r="78" spans="1:9" ht="12.4" customHeight="1"/>
    <row r="79" spans="1:9" ht="12.4" customHeight="1"/>
    <row r="80" spans="1:9" ht="12.4" customHeight="1"/>
    <row r="81" ht="12.4" customHeight="1"/>
    <row r="82" ht="12.4" customHeight="1"/>
    <row r="83" ht="12.4" customHeight="1"/>
    <row r="84" ht="12.4" customHeight="1"/>
    <row r="85" ht="12.4" customHeight="1"/>
  </sheetData>
  <sheetProtection algorithmName="SHA-512" hashValue="shkaiIa62bcvL/tg7qbXJYwSfcfV0w6s36auQmJZzrJLVUt/8fu2xjHdaetiELwxGPyOHvqx4QUMDnV9sZr+WQ==" saltValue="0Ki43Xg6HQVBLZRgcdNsJg==" spinCount="100000" sheet="1" objects="1" scenarios="1"/>
  <mergeCells count="10">
    <mergeCell ref="A74:E74"/>
    <mergeCell ref="A72:E72"/>
    <mergeCell ref="A73:E73"/>
    <mergeCell ref="A1:J1"/>
    <mergeCell ref="A56:J58"/>
    <mergeCell ref="A71:I71"/>
    <mergeCell ref="A2:J2"/>
    <mergeCell ref="A4:J6"/>
    <mergeCell ref="A10:J15"/>
    <mergeCell ref="A19:E19"/>
  </mergeCells>
  <hyperlinks>
    <hyperlink ref="A72" r:id="rId1" display="http://www.treasurer.ca.gov/ctcac/assignments.asp" xr:uid="{00000000-0004-0000-0200-000000000000}"/>
    <hyperlink ref="A73" r:id="rId2" display="http://www.treasurer.ca.gov/ctcac/contacts.asp" xr:uid="{00000000-0004-0000-0200-000001000000}"/>
    <hyperlink ref="A74"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51</xdr:row>
                <xdr:rowOff>0</xdr:rowOff>
              </from>
              <to>
                <xdr:col>0</xdr:col>
                <xdr:colOff>9525</xdr:colOff>
                <xdr:row>77</xdr:row>
                <xdr:rowOff>95250</xdr:rowOff>
              </to>
            </anchor>
          </objectPr>
        </oleObject>
      </mc:Choice>
      <mc:Fallback>
        <oleObject progId="Word.Document.12" shapeId="53249"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18"/>
  <sheetViews>
    <sheetView showGridLines="0" topLeftCell="A1097" zoomScale="85" zoomScaleNormal="85" workbookViewId="0">
      <selection activeCell="D1123" sqref="D1123:F1126"/>
    </sheetView>
  </sheetViews>
  <sheetFormatPr defaultColWidth="0" defaultRowHeight="12.75" zeroHeight="1"/>
  <cols>
    <col min="1" max="1" width="3.5703125" style="480" customWidth="1"/>
    <col min="2" max="2" width="13.5703125" style="480" customWidth="1"/>
    <col min="3" max="3" width="2.5703125" style="480" customWidth="1"/>
    <col min="4" max="5" width="3.5703125" style="402" customWidth="1"/>
    <col min="6" max="6" width="65.5703125" style="402" customWidth="1"/>
    <col min="7" max="7" width="1.5703125" style="402" customWidth="1"/>
    <col min="8" max="8" width="3.5703125" style="402" customWidth="1"/>
    <col min="9" max="9" width="9.140625" style="404" customWidth="1"/>
    <col min="10" max="10" width="8.85546875" style="402" hidden="1" customWidth="1"/>
    <col min="11" max="16384" width="8.85546875" style="402" hidden="1"/>
  </cols>
  <sheetData>
    <row r="1" spans="1:13"/>
    <row r="2" spans="1:13">
      <c r="A2" s="1331" t="s">
        <v>2455</v>
      </c>
      <c r="B2" s="1331"/>
      <c r="C2" s="1331"/>
      <c r="D2" s="1331"/>
      <c r="E2" s="1331"/>
      <c r="F2" s="1331"/>
      <c r="G2" s="1331"/>
      <c r="H2" s="1331"/>
      <c r="I2" s="1331"/>
    </row>
    <row r="3" spans="1:13">
      <c r="A3" s="1319" t="s">
        <v>2219</v>
      </c>
      <c r="B3" s="1319"/>
      <c r="C3" s="1319"/>
      <c r="D3" s="1319"/>
      <c r="E3" s="1319"/>
      <c r="F3" s="1319"/>
      <c r="G3" s="1319"/>
      <c r="H3" s="1319"/>
      <c r="I3" s="1319"/>
    </row>
    <row r="4" spans="1:13">
      <c r="A4" s="1319"/>
      <c r="B4" s="1319"/>
      <c r="C4" s="1279"/>
      <c r="D4" s="1279"/>
      <c r="E4" s="1279"/>
      <c r="F4" s="1279"/>
      <c r="G4" s="1279"/>
    </row>
    <row r="5" spans="1:13">
      <c r="A5" s="1319"/>
      <c r="B5" s="1319"/>
      <c r="C5" s="1279"/>
      <c r="D5" s="1279"/>
      <c r="E5" s="1279"/>
      <c r="F5" s="1279"/>
      <c r="G5" s="1279"/>
    </row>
    <row r="6" spans="1:13" ht="12.75" customHeight="1">
      <c r="A6" s="1322" t="s">
        <v>2218</v>
      </c>
      <c r="B6" s="1322"/>
      <c r="C6" s="1322"/>
      <c r="D6" s="1322"/>
      <c r="E6" s="1322"/>
      <c r="F6" s="1322"/>
      <c r="G6" s="1322"/>
      <c r="I6" s="490"/>
    </row>
    <row r="7" spans="1:13">
      <c r="A7" s="1322"/>
      <c r="B7" s="1322"/>
      <c r="C7" s="1322"/>
      <c r="D7" s="1322"/>
      <c r="E7" s="1322"/>
      <c r="F7" s="1322"/>
      <c r="G7" s="1322"/>
      <c r="I7" s="490"/>
    </row>
    <row r="8" spans="1:13">
      <c r="A8" s="481"/>
      <c r="B8" s="481"/>
      <c r="C8" s="482"/>
      <c r="D8" s="482"/>
      <c r="E8" s="482"/>
      <c r="F8" s="482"/>
    </row>
    <row r="9" spans="1:13">
      <c r="A9" s="1308" t="s">
        <v>1101</v>
      </c>
      <c r="B9" s="1308"/>
      <c r="C9" s="1308"/>
      <c r="D9" s="1308"/>
      <c r="E9" s="1308"/>
      <c r="F9" s="1308"/>
      <c r="G9" s="1308"/>
      <c r="H9" s="1028"/>
      <c r="I9" s="1029"/>
    </row>
    <row r="10" spans="1:13">
      <c r="A10" s="482"/>
      <c r="B10" s="482"/>
      <c r="E10" s="404"/>
    </row>
    <row r="11" spans="1:13" ht="13.7" customHeight="1">
      <c r="C11" s="482"/>
      <c r="D11" s="1321" t="s">
        <v>1100</v>
      </c>
      <c r="E11" s="1321"/>
      <c r="F11" s="1321"/>
    </row>
    <row r="12" spans="1:13">
      <c r="C12" s="482"/>
      <c r="D12" s="1321"/>
      <c r="E12" s="1321"/>
      <c r="F12" s="1321"/>
    </row>
    <row r="13" spans="1:13">
      <c r="A13" s="483"/>
      <c r="B13" s="483"/>
      <c r="C13" s="483"/>
      <c r="D13" s="1299" t="s">
        <v>1090</v>
      </c>
      <c r="E13" s="1299"/>
      <c r="F13" s="1299"/>
      <c r="M13" s="96"/>
    </row>
    <row r="14" spans="1:13">
      <c r="A14" s="483"/>
      <c r="B14" s="483"/>
      <c r="C14" s="483"/>
      <c r="D14" s="476"/>
      <c r="L14" s="312"/>
    </row>
    <row r="15" spans="1:13" ht="14.25">
      <c r="A15" s="484"/>
      <c r="B15" s="485" t="s">
        <v>2751</v>
      </c>
      <c r="C15" s="483"/>
      <c r="D15" s="1301" t="s">
        <v>1922</v>
      </c>
      <c r="E15" s="1301"/>
      <c r="F15" s="1301"/>
      <c r="I15" s="490"/>
    </row>
    <row r="16" spans="1:13">
      <c r="A16" s="483"/>
      <c r="B16" s="483"/>
      <c r="C16" s="483"/>
      <c r="D16" s="1301"/>
      <c r="E16" s="1301"/>
      <c r="F16" s="1301"/>
      <c r="I16" s="490"/>
    </row>
    <row r="17" spans="1:9">
      <c r="A17" s="483"/>
      <c r="B17" s="483"/>
      <c r="C17" s="483"/>
      <c r="D17" s="1301"/>
      <c r="E17" s="1301"/>
      <c r="F17" s="1301"/>
      <c r="I17" s="490"/>
    </row>
    <row r="18" spans="1:9">
      <c r="A18" s="483"/>
      <c r="B18" s="483"/>
      <c r="C18" s="483"/>
      <c r="D18" s="445"/>
      <c r="E18" s="312" t="s">
        <v>1920</v>
      </c>
      <c r="F18" s="445"/>
      <c r="I18" s="490"/>
    </row>
    <row r="19" spans="1:9">
      <c r="A19" s="483"/>
      <c r="B19" s="483"/>
      <c r="C19" s="483"/>
      <c r="I19" s="490"/>
    </row>
    <row r="20" spans="1:9" ht="14.25">
      <c r="A20" s="484"/>
      <c r="B20" s="485" t="s">
        <v>2751</v>
      </c>
      <c r="D20" s="1301" t="s">
        <v>1923</v>
      </c>
      <c r="E20" s="1301"/>
      <c r="F20" s="1301"/>
      <c r="I20" s="490"/>
    </row>
    <row r="21" spans="1:9" ht="14.25">
      <c r="A21" s="484"/>
      <c r="D21" s="1301"/>
      <c r="E21" s="1301"/>
      <c r="F21" s="1301"/>
      <c r="I21" s="490"/>
    </row>
    <row r="22" spans="1:9" ht="14.25">
      <c r="A22" s="484"/>
      <c r="D22" s="392"/>
      <c r="E22" s="96" t="s">
        <v>1919</v>
      </c>
      <c r="F22" s="392"/>
      <c r="I22" s="490"/>
    </row>
    <row r="23" spans="1:9" ht="14.25">
      <c r="A23" s="484"/>
      <c r="B23" s="484"/>
      <c r="D23" s="446"/>
      <c r="I23" s="490"/>
    </row>
    <row r="24" spans="1:9" ht="14.25">
      <c r="A24" s="484"/>
      <c r="B24" s="485" t="s">
        <v>2730</v>
      </c>
      <c r="D24" s="1301" t="s">
        <v>1091</v>
      </c>
      <c r="E24" s="1301"/>
      <c r="F24" s="1301"/>
      <c r="I24" s="490"/>
    </row>
    <row r="25" spans="1:9" ht="14.25">
      <c r="A25" s="484"/>
      <c r="B25" s="484"/>
      <c r="D25" s="1301"/>
      <c r="E25" s="1301"/>
      <c r="F25" s="1301"/>
      <c r="I25" s="490"/>
    </row>
    <row r="26" spans="1:9">
      <c r="I26" s="490"/>
    </row>
    <row r="27" spans="1:9" ht="14.25">
      <c r="A27" s="484"/>
      <c r="B27" s="485" t="s">
        <v>2751</v>
      </c>
      <c r="D27" s="1301" t="s">
        <v>2048</v>
      </c>
      <c r="E27" s="1301"/>
      <c r="F27" s="1301"/>
      <c r="I27" s="490"/>
    </row>
    <row r="28" spans="1:9">
      <c r="D28" s="1301"/>
      <c r="E28" s="1301"/>
      <c r="F28" s="1301"/>
      <c r="I28" s="490"/>
    </row>
    <row r="29" spans="1:9">
      <c r="D29" s="1301"/>
      <c r="E29" s="1301"/>
      <c r="F29" s="1301"/>
      <c r="I29" s="490"/>
    </row>
    <row r="30" spans="1:9">
      <c r="D30" s="1301"/>
      <c r="E30" s="1301"/>
      <c r="F30" s="1301"/>
      <c r="I30" s="490"/>
    </row>
    <row r="31" spans="1:9">
      <c r="D31" s="1301"/>
      <c r="E31" s="1301"/>
      <c r="F31" s="1301"/>
      <c r="I31" s="490"/>
    </row>
    <row r="32" spans="1:9">
      <c r="D32" s="447"/>
      <c r="I32" s="490"/>
    </row>
    <row r="33" spans="1:9">
      <c r="B33" s="485" t="s">
        <v>2751</v>
      </c>
      <c r="D33" s="1301" t="s">
        <v>2049</v>
      </c>
      <c r="E33" s="1301"/>
      <c r="F33" s="1301"/>
      <c r="I33" s="490"/>
    </row>
    <row r="34" spans="1:9">
      <c r="D34" s="1301"/>
      <c r="E34" s="1301"/>
      <c r="F34" s="1301"/>
      <c r="I34" s="490"/>
    </row>
    <row r="35" spans="1:9" ht="14.25">
      <c r="A35" s="484"/>
      <c r="B35" s="484"/>
      <c r="D35" s="447"/>
      <c r="I35" s="490"/>
    </row>
    <row r="36" spans="1:9" ht="14.45" customHeight="1">
      <c r="A36" s="484"/>
      <c r="B36" s="485" t="s">
        <v>2751</v>
      </c>
      <c r="D36" s="1301" t="s">
        <v>1214</v>
      </c>
      <c r="E36" s="1301"/>
      <c r="F36" s="1301"/>
      <c r="I36" s="490"/>
    </row>
    <row r="37" spans="1:9" ht="14.25">
      <c r="A37" s="484"/>
      <c r="B37" s="484"/>
      <c r="D37" s="1301"/>
      <c r="E37" s="1301"/>
      <c r="F37" s="1301"/>
      <c r="I37" s="490"/>
    </row>
    <row r="38" spans="1:9" ht="14.25">
      <c r="A38" s="484"/>
      <c r="B38" s="484"/>
      <c r="D38" s="1301"/>
      <c r="E38" s="1301"/>
      <c r="F38" s="1301"/>
      <c r="I38" s="490"/>
    </row>
    <row r="39" spans="1:9" ht="14.25">
      <c r="A39" s="484"/>
      <c r="B39" s="484"/>
      <c r="D39" s="1301"/>
      <c r="E39" s="1301"/>
      <c r="F39" s="1301"/>
      <c r="I39" s="490"/>
    </row>
    <row r="40" spans="1:9" ht="14.25">
      <c r="A40" s="484"/>
      <c r="B40" s="484"/>
      <c r="I40" s="490"/>
    </row>
    <row r="41" spans="1:9" ht="14.25">
      <c r="A41" s="484"/>
      <c r="B41" s="485" t="s">
        <v>2730</v>
      </c>
      <c r="D41" s="1301" t="s">
        <v>1092</v>
      </c>
      <c r="E41" s="1301"/>
      <c r="F41" s="1301"/>
      <c r="I41" s="490"/>
    </row>
    <row r="42" spans="1:9" ht="14.25">
      <c r="A42" s="484"/>
      <c r="B42" s="484"/>
      <c r="D42" s="1301"/>
      <c r="E42" s="1301"/>
      <c r="F42" s="1301"/>
      <c r="I42" s="490"/>
    </row>
    <row r="43" spans="1:9" ht="14.25">
      <c r="A43" s="484"/>
      <c r="B43" s="484"/>
      <c r="D43" s="1301"/>
      <c r="E43" s="1301"/>
      <c r="F43" s="1301"/>
      <c r="I43" s="490"/>
    </row>
    <row r="44" spans="1:9" ht="14.25">
      <c r="A44" s="484"/>
      <c r="B44" s="484"/>
      <c r="D44" s="1301"/>
      <c r="E44" s="1301"/>
      <c r="F44" s="1301"/>
      <c r="I44" s="490"/>
    </row>
    <row r="45" spans="1:9" ht="14.25">
      <c r="A45" s="484"/>
      <c r="B45" s="484"/>
      <c r="D45" s="1301"/>
      <c r="E45" s="1301"/>
      <c r="F45" s="1301"/>
      <c r="I45" s="490"/>
    </row>
    <row r="46" spans="1:9" ht="14.25">
      <c r="A46" s="484"/>
      <c r="B46" s="484"/>
      <c r="D46" s="445"/>
      <c r="E46" s="445"/>
      <c r="F46" s="445"/>
      <c r="I46" s="490"/>
    </row>
    <row r="47" spans="1:9" ht="14.25">
      <c r="A47" s="484"/>
      <c r="B47" s="485" t="s">
        <v>2730</v>
      </c>
      <c r="D47" s="1301" t="s">
        <v>1093</v>
      </c>
      <c r="E47" s="1301"/>
      <c r="F47" s="1301"/>
      <c r="I47" s="490"/>
    </row>
    <row r="48" spans="1:9" ht="14.25">
      <c r="A48" s="484"/>
      <c r="B48" s="484"/>
      <c r="D48" s="1301"/>
      <c r="E48" s="1301"/>
      <c r="F48" s="1301"/>
      <c r="I48" s="490"/>
    </row>
    <row r="49" spans="1:9" ht="14.25">
      <c r="A49" s="484"/>
      <c r="B49" s="484"/>
      <c r="D49" s="1301"/>
      <c r="E49" s="1301"/>
      <c r="F49" s="1301"/>
      <c r="I49" s="490"/>
    </row>
    <row r="50" spans="1:9" ht="23.25" customHeight="1">
      <c r="A50" s="484"/>
      <c r="B50" s="484"/>
      <c r="D50" s="1301"/>
      <c r="E50" s="1301"/>
      <c r="F50" s="1301"/>
      <c r="I50" s="490"/>
    </row>
    <row r="51" spans="1:9" ht="14.25">
      <c r="A51" s="484"/>
      <c r="B51" s="484"/>
      <c r="D51" s="446"/>
      <c r="I51" s="490"/>
    </row>
    <row r="52" spans="1:9" ht="14.45" customHeight="1">
      <c r="A52" s="484"/>
      <c r="B52" s="485" t="s">
        <v>2730</v>
      </c>
      <c r="D52" s="1301" t="s">
        <v>1094</v>
      </c>
      <c r="E52" s="1301"/>
      <c r="F52" s="1301"/>
      <c r="I52" s="490"/>
    </row>
    <row r="53" spans="1:9" ht="14.25">
      <c r="A53" s="484"/>
      <c r="B53" s="484"/>
      <c r="D53" s="1301"/>
      <c r="E53" s="1301"/>
      <c r="F53" s="1301"/>
      <c r="I53" s="490"/>
    </row>
    <row r="54" spans="1:9" ht="14.25">
      <c r="A54" s="484"/>
      <c r="B54" s="484"/>
      <c r="D54" s="1301"/>
      <c r="E54" s="1301"/>
      <c r="F54" s="1301"/>
      <c r="I54" s="490"/>
    </row>
    <row r="55" spans="1:9" ht="14.25">
      <c r="A55" s="484"/>
      <c r="B55" s="484"/>
      <c r="I55" s="490"/>
    </row>
    <row r="56" spans="1:9" ht="14.25">
      <c r="A56" s="484"/>
      <c r="B56" s="485" t="s">
        <v>2751</v>
      </c>
      <c r="D56" s="1324" t="s">
        <v>1095</v>
      </c>
      <c r="E56" s="1324"/>
      <c r="F56" s="1324"/>
      <c r="I56" s="490"/>
    </row>
    <row r="57" spans="1:9" ht="14.25">
      <c r="A57" s="484"/>
      <c r="B57" s="484"/>
      <c r="D57" s="1324"/>
      <c r="E57" s="1324"/>
      <c r="F57" s="1324"/>
      <c r="I57" s="490"/>
    </row>
    <row r="58" spans="1:9" ht="14.25">
      <c r="A58" s="484"/>
      <c r="B58" s="484"/>
      <c r="D58" s="392" t="s">
        <v>1921</v>
      </c>
      <c r="E58" s="445"/>
      <c r="F58" s="445"/>
      <c r="I58" s="490"/>
    </row>
    <row r="59" spans="1:9" ht="14.25">
      <c r="A59" s="484"/>
      <c r="B59" s="484"/>
      <c r="D59" s="445"/>
      <c r="E59" s="312" t="s">
        <v>1920</v>
      </c>
      <c r="F59" s="445"/>
      <c r="I59" s="490"/>
    </row>
    <row r="60" spans="1:9">
      <c r="D60" s="447"/>
      <c r="I60" s="490"/>
    </row>
    <row r="61" spans="1:9" ht="14.25">
      <c r="A61" s="484"/>
      <c r="B61" s="485" t="s">
        <v>2751</v>
      </c>
      <c r="D61" s="1301" t="s">
        <v>1096</v>
      </c>
      <c r="E61" s="1301"/>
      <c r="F61" s="1301"/>
      <c r="I61" s="490"/>
    </row>
    <row r="62" spans="1:9">
      <c r="D62" s="1301"/>
      <c r="E62" s="1301"/>
      <c r="F62" s="1301"/>
      <c r="I62" s="490"/>
    </row>
    <row r="63" spans="1:9">
      <c r="D63" s="1301"/>
      <c r="E63" s="1301"/>
      <c r="F63" s="1301"/>
      <c r="I63" s="490"/>
    </row>
    <row r="64" spans="1:9">
      <c r="I64" s="490"/>
    </row>
    <row r="65" spans="1:9" ht="14.25">
      <c r="A65" s="484"/>
      <c r="B65" s="485" t="s">
        <v>2730</v>
      </c>
      <c r="D65" s="1301" t="s">
        <v>1097</v>
      </c>
      <c r="E65" s="1301"/>
      <c r="F65" s="1301"/>
      <c r="I65" s="490"/>
    </row>
    <row r="66" spans="1:9">
      <c r="D66" s="1301"/>
      <c r="E66" s="1301"/>
      <c r="F66" s="1301"/>
      <c r="I66" s="490"/>
    </row>
    <row r="67" spans="1:9">
      <c r="I67" s="490"/>
    </row>
    <row r="68" spans="1:9" ht="14.25">
      <c r="A68" s="484"/>
      <c r="B68" s="485" t="s">
        <v>2730</v>
      </c>
      <c r="D68" s="1301" t="s">
        <v>1098</v>
      </c>
      <c r="E68" s="1301"/>
      <c r="F68" s="1301"/>
      <c r="I68" s="490"/>
    </row>
    <row r="69" spans="1:9">
      <c r="D69" s="1301"/>
      <c r="E69" s="1301"/>
      <c r="F69" s="1301"/>
      <c r="I69" s="490"/>
    </row>
    <row r="70" spans="1:9">
      <c r="D70" s="1301"/>
      <c r="E70" s="1301"/>
      <c r="F70" s="1301"/>
      <c r="I70" s="490"/>
    </row>
    <row r="71" spans="1:9">
      <c r="I71" s="490"/>
    </row>
    <row r="72" spans="1:9" ht="14.25">
      <c r="A72" s="484"/>
      <c r="B72" s="485" t="s">
        <v>2730</v>
      </c>
      <c r="D72" s="1301" t="s">
        <v>1099</v>
      </c>
      <c r="E72" s="1301"/>
      <c r="F72" s="1301"/>
      <c r="I72" s="490"/>
    </row>
    <row r="73" spans="1:9">
      <c r="D73" s="1301"/>
      <c r="E73" s="1301"/>
      <c r="F73" s="1301"/>
      <c r="I73" s="490"/>
    </row>
    <row r="74" spans="1:9" ht="14.25">
      <c r="A74" s="484"/>
      <c r="B74" s="484"/>
      <c r="D74" s="446"/>
      <c r="I74" s="490"/>
    </row>
    <row r="75" spans="1:9">
      <c r="A75" s="1308" t="s">
        <v>1044</v>
      </c>
      <c r="B75" s="1308"/>
      <c r="C75" s="1308"/>
      <c r="D75" s="1308"/>
      <c r="E75" s="1308"/>
      <c r="F75" s="1308"/>
      <c r="G75" s="1308"/>
      <c r="H75" s="1028"/>
      <c r="I75" s="1153"/>
    </row>
    <row r="76" spans="1:9">
      <c r="I76" s="490"/>
    </row>
    <row r="77" spans="1:9">
      <c r="C77" s="486"/>
      <c r="D77" s="1317" t="s">
        <v>1102</v>
      </c>
      <c r="E77" s="1317"/>
      <c r="F77" s="1317"/>
      <c r="I77" s="490"/>
    </row>
    <row r="78" spans="1:9">
      <c r="A78" s="446"/>
      <c r="B78" s="446"/>
      <c r="D78" s="1301" t="s">
        <v>1117</v>
      </c>
      <c r="E78" s="1301"/>
      <c r="F78" s="1301"/>
      <c r="I78" s="490"/>
    </row>
    <row r="79" spans="1:9">
      <c r="A79" s="446"/>
      <c r="B79" s="446"/>
      <c r="I79" s="490"/>
    </row>
    <row r="80" spans="1:9" ht="13.7" customHeight="1">
      <c r="A80" s="484"/>
      <c r="B80" s="485" t="s">
        <v>2751</v>
      </c>
      <c r="D80" s="1301" t="s">
        <v>1245</v>
      </c>
      <c r="E80" s="1301"/>
      <c r="F80" s="1301"/>
      <c r="I80" s="490"/>
    </row>
    <row r="81" spans="1:9" ht="14.25">
      <c r="A81" s="484"/>
      <c r="B81" s="484"/>
      <c r="D81" s="1301"/>
      <c r="E81" s="1301"/>
      <c r="F81" s="1301"/>
      <c r="I81" s="490"/>
    </row>
    <row r="82" spans="1:9" ht="14.25">
      <c r="A82" s="484"/>
      <c r="B82" s="484"/>
      <c r="D82" s="1301"/>
      <c r="E82" s="1301"/>
      <c r="F82" s="1301"/>
      <c r="I82" s="490"/>
    </row>
    <row r="83" spans="1:9" ht="14.25">
      <c r="A83" s="484"/>
      <c r="B83" s="484"/>
      <c r="D83" s="1301"/>
      <c r="E83" s="1301"/>
      <c r="F83" s="1301"/>
      <c r="I83" s="490"/>
    </row>
    <row r="84" spans="1:9" ht="14.25">
      <c r="A84" s="484"/>
      <c r="B84" s="484"/>
      <c r="D84" s="1301"/>
      <c r="E84" s="1301"/>
      <c r="F84" s="1301"/>
      <c r="I84" s="490"/>
    </row>
    <row r="85" spans="1:9" ht="14.25">
      <c r="A85" s="484"/>
      <c r="B85" s="484"/>
      <c r="D85" s="1301"/>
      <c r="E85" s="1301"/>
      <c r="F85" s="1301"/>
      <c r="I85" s="490"/>
    </row>
    <row r="86" spans="1:9" ht="14.25">
      <c r="A86" s="484"/>
      <c r="B86" s="484"/>
      <c r="D86" s="1301"/>
      <c r="E86" s="1301"/>
      <c r="F86" s="1301"/>
      <c r="I86" s="490"/>
    </row>
    <row r="87" spans="1:9" ht="14.25">
      <c r="A87" s="484"/>
      <c r="B87" s="484"/>
      <c r="D87" s="1301"/>
      <c r="E87" s="1301"/>
      <c r="F87" s="1301"/>
      <c r="I87" s="490"/>
    </row>
    <row r="88" spans="1:9" ht="14.25">
      <c r="A88" s="484"/>
      <c r="B88" s="484"/>
      <c r="D88" s="385"/>
      <c r="E88" s="385"/>
      <c r="F88" s="385"/>
      <c r="I88" s="490"/>
    </row>
    <row r="89" spans="1:9" ht="15" customHeight="1">
      <c r="A89" s="484"/>
      <c r="B89" s="485" t="s">
        <v>2751</v>
      </c>
      <c r="D89" s="1301" t="s">
        <v>1742</v>
      </c>
      <c r="E89" s="1301"/>
      <c r="F89" s="1301"/>
      <c r="I89" s="490"/>
    </row>
    <row r="90" spans="1:9" ht="14.25">
      <c r="A90" s="484"/>
      <c r="B90" s="484"/>
      <c r="D90" s="1301"/>
      <c r="E90" s="1301"/>
      <c r="F90" s="1301"/>
      <c r="I90" s="490"/>
    </row>
    <row r="91" spans="1:9" ht="14.25">
      <c r="A91" s="484"/>
      <c r="B91" s="484"/>
      <c r="D91" s="445"/>
      <c r="E91" s="445"/>
      <c r="F91" s="445"/>
      <c r="I91" s="490"/>
    </row>
    <row r="92" spans="1:9" ht="14.25">
      <c r="A92" s="484"/>
      <c r="B92" s="485" t="s">
        <v>2751</v>
      </c>
      <c r="D92" s="1301" t="s">
        <v>1745</v>
      </c>
      <c r="E92" s="1301"/>
      <c r="F92" s="1301"/>
      <c r="I92" s="490"/>
    </row>
    <row r="93" spans="1:9" ht="14.25">
      <c r="A93" s="484"/>
      <c r="B93" s="484"/>
      <c r="D93" s="1301"/>
      <c r="E93" s="1301"/>
      <c r="F93" s="1301"/>
      <c r="I93" s="490"/>
    </row>
    <row r="94" spans="1:9" ht="14.25">
      <c r="A94" s="484"/>
      <c r="B94" s="484"/>
      <c r="D94" s="1301"/>
      <c r="E94" s="1301"/>
      <c r="F94" s="1301"/>
      <c r="I94" s="490"/>
    </row>
    <row r="95" spans="1:9" ht="14.25">
      <c r="A95" s="484"/>
      <c r="B95" s="484"/>
      <c r="D95" s="445"/>
      <c r="E95" s="445"/>
      <c r="F95" s="445"/>
      <c r="I95" s="490"/>
    </row>
    <row r="96" spans="1:9" ht="14.25">
      <c r="A96" s="484"/>
      <c r="B96" s="485" t="s">
        <v>2751</v>
      </c>
      <c r="D96" s="1301" t="s">
        <v>1744</v>
      </c>
      <c r="E96" s="1301"/>
      <c r="F96" s="1301"/>
      <c r="I96" s="490"/>
    </row>
    <row r="97" spans="1:9" s="987" customFormat="1" ht="14.25">
      <c r="A97" s="985"/>
      <c r="B97" s="985"/>
      <c r="C97" s="986"/>
      <c r="D97" s="1301"/>
      <c r="E97" s="1301"/>
      <c r="F97" s="1301"/>
      <c r="I97" s="1154"/>
    </row>
    <row r="98" spans="1:9" ht="14.25">
      <c r="A98" s="484"/>
      <c r="B98" s="484"/>
      <c r="D98" s="392"/>
      <c r="E98" s="312" t="s">
        <v>1924</v>
      </c>
      <c r="F98" s="445"/>
      <c r="I98" s="490"/>
    </row>
    <row r="99" spans="1:9" ht="14.25">
      <c r="A99" s="484"/>
      <c r="B99" s="484"/>
      <c r="D99" s="385"/>
      <c r="E99" s="385"/>
      <c r="F99" s="385"/>
      <c r="I99" s="490"/>
    </row>
    <row r="100" spans="1:9" ht="14.25">
      <c r="A100" s="484"/>
      <c r="B100" s="485" t="s">
        <v>2730</v>
      </c>
      <c r="D100" s="1301" t="s">
        <v>1743</v>
      </c>
      <c r="E100" s="1301"/>
      <c r="F100" s="1301"/>
      <c r="I100" s="490"/>
    </row>
    <row r="101" spans="1:9" ht="14.25">
      <c r="A101" s="484"/>
      <c r="B101" s="484"/>
      <c r="D101" s="1301"/>
      <c r="E101" s="1301"/>
      <c r="F101" s="1301"/>
      <c r="I101" s="490"/>
    </row>
    <row r="102" spans="1:9" ht="14.25">
      <c r="A102" s="484"/>
      <c r="B102" s="484"/>
      <c r="D102" s="445"/>
      <c r="E102" s="445"/>
      <c r="F102" s="445"/>
      <c r="I102" s="490"/>
    </row>
    <row r="103" spans="1:9" ht="14.45" customHeight="1">
      <c r="A103" s="484"/>
      <c r="B103" s="485" t="s">
        <v>2730</v>
      </c>
      <c r="D103" s="1301" t="s">
        <v>1194</v>
      </c>
      <c r="E103" s="1301"/>
      <c r="F103" s="1301"/>
      <c r="I103" s="490"/>
    </row>
    <row r="104" spans="1:9" ht="14.25">
      <c r="A104" s="484"/>
      <c r="B104" s="484"/>
      <c r="D104" s="1301"/>
      <c r="E104" s="1301"/>
      <c r="F104" s="1301"/>
      <c r="I104" s="490"/>
    </row>
    <row r="105" spans="1:9" ht="14.25">
      <c r="A105" s="484"/>
      <c r="B105" s="484"/>
      <c r="D105" s="1301"/>
      <c r="E105" s="1301"/>
      <c r="F105" s="1301"/>
      <c r="I105" s="490"/>
    </row>
    <row r="106" spans="1:9" ht="14.25">
      <c r="A106" s="484"/>
      <c r="B106" s="484"/>
      <c r="D106" s="1301"/>
      <c r="E106" s="1301"/>
      <c r="F106" s="1301"/>
      <c r="I106" s="490"/>
    </row>
    <row r="107" spans="1:9" ht="14.25">
      <c r="A107" s="484"/>
      <c r="B107" s="484"/>
      <c r="D107" s="1301"/>
      <c r="E107" s="1301"/>
      <c r="F107" s="1301"/>
      <c r="I107" s="490"/>
    </row>
    <row r="108" spans="1:9" ht="14.25">
      <c r="A108" s="484"/>
      <c r="B108" s="484"/>
      <c r="D108" s="1301"/>
      <c r="E108" s="1301"/>
      <c r="F108" s="1301"/>
      <c r="I108" s="490"/>
    </row>
    <row r="109" spans="1:9" ht="14.25">
      <c r="A109" s="484"/>
      <c r="B109" s="484"/>
      <c r="D109" s="1301"/>
      <c r="E109" s="1301"/>
      <c r="F109" s="1301"/>
      <c r="I109" s="490"/>
    </row>
    <row r="110" spans="1:9" ht="14.25">
      <c r="A110" s="484"/>
      <c r="B110" s="484"/>
      <c r="D110" s="1301"/>
      <c r="E110" s="1301"/>
      <c r="F110" s="1301"/>
      <c r="I110" s="490"/>
    </row>
    <row r="111" spans="1:9" ht="14.25">
      <c r="A111" s="484"/>
      <c r="B111" s="484"/>
      <c r="D111" s="1301"/>
      <c r="E111" s="1301"/>
      <c r="F111" s="1301"/>
      <c r="I111" s="490"/>
    </row>
    <row r="112" spans="1:9" ht="14.25">
      <c r="A112" s="484"/>
      <c r="B112" s="484"/>
      <c r="D112" s="1301"/>
      <c r="E112" s="1301"/>
      <c r="F112" s="1301"/>
      <c r="I112" s="490"/>
    </row>
    <row r="113" spans="1:9" ht="14.25">
      <c r="A113" s="484"/>
      <c r="B113" s="484"/>
      <c r="D113" s="1301"/>
      <c r="E113" s="1301"/>
      <c r="F113" s="1301"/>
      <c r="I113" s="490"/>
    </row>
    <row r="114" spans="1:9" ht="14.25">
      <c r="A114" s="484"/>
      <c r="B114" s="484"/>
      <c r="D114" s="1301"/>
      <c r="E114" s="1301"/>
      <c r="F114" s="1301"/>
      <c r="I114" s="490"/>
    </row>
    <row r="115" spans="1:9" ht="14.25">
      <c r="A115" s="484"/>
      <c r="B115" s="484"/>
      <c r="D115" s="1301"/>
      <c r="E115" s="1301"/>
      <c r="F115" s="1301"/>
      <c r="I115" s="490"/>
    </row>
    <row r="116" spans="1:9" ht="14.25">
      <c r="A116" s="484"/>
      <c r="B116" s="484"/>
      <c r="D116" s="1301"/>
      <c r="E116" s="1301"/>
      <c r="F116" s="1301"/>
      <c r="I116" s="490"/>
    </row>
    <row r="117" spans="1:9" ht="14.25">
      <c r="A117" s="484"/>
      <c r="B117" s="484"/>
      <c r="D117" s="1301"/>
      <c r="E117" s="1301"/>
      <c r="F117" s="1301"/>
      <c r="I117" s="490"/>
    </row>
    <row r="118" spans="1:9" ht="14.25">
      <c r="A118" s="484"/>
      <c r="B118" s="484"/>
      <c r="D118" s="524"/>
      <c r="E118" s="524"/>
      <c r="F118" s="524"/>
      <c r="I118" s="490"/>
    </row>
    <row r="119" spans="1:9" ht="14.25" customHeight="1">
      <c r="A119" s="484"/>
      <c r="B119" s="485" t="s">
        <v>2730</v>
      </c>
      <c r="D119" s="1323" t="s">
        <v>1103</v>
      </c>
      <c r="E119" s="1323"/>
      <c r="F119" s="1323"/>
      <c r="I119" s="490"/>
    </row>
    <row r="120" spans="1:9" ht="14.25">
      <c r="A120" s="484"/>
      <c r="B120" s="484"/>
      <c r="D120" s="1323"/>
      <c r="E120" s="1323"/>
      <c r="F120" s="1323"/>
      <c r="I120" s="490"/>
    </row>
    <row r="121" spans="1:9" ht="14.25">
      <c r="A121" s="484"/>
      <c r="B121" s="484"/>
      <c r="D121" s="1323"/>
      <c r="E121" s="1323"/>
      <c r="F121" s="1323"/>
      <c r="I121" s="490"/>
    </row>
    <row r="122" spans="1:9" ht="14.25">
      <c r="A122" s="484"/>
      <c r="B122" s="484"/>
      <c r="D122" s="1323"/>
      <c r="E122" s="1323"/>
      <c r="F122" s="1323"/>
      <c r="I122" s="490"/>
    </row>
    <row r="123" spans="1:9" ht="14.25">
      <c r="A123" s="484"/>
      <c r="B123" s="484"/>
      <c r="D123" s="1323"/>
      <c r="E123" s="1323"/>
      <c r="F123" s="1323"/>
      <c r="I123" s="490"/>
    </row>
    <row r="124" spans="1:9" ht="14.25">
      <c r="A124" s="484"/>
      <c r="B124" s="484"/>
      <c r="D124" s="1323"/>
      <c r="E124" s="1323"/>
      <c r="F124" s="1323"/>
      <c r="I124" s="490"/>
    </row>
    <row r="125" spans="1:9" ht="14.25">
      <c r="A125" s="484"/>
      <c r="B125" s="484"/>
      <c r="D125" s="1323"/>
      <c r="E125" s="1323"/>
      <c r="F125" s="1323"/>
      <c r="I125" s="490"/>
    </row>
    <row r="126" spans="1:9" ht="14.25">
      <c r="A126" s="484"/>
      <c r="B126" s="484"/>
      <c r="D126" s="1323"/>
      <c r="E126" s="1323"/>
      <c r="F126" s="1323"/>
      <c r="I126" s="490"/>
    </row>
    <row r="127" spans="1:9">
      <c r="C127" s="402"/>
      <c r="D127" s="525"/>
      <c r="E127" s="525"/>
      <c r="F127" s="525"/>
      <c r="I127" s="490"/>
    </row>
    <row r="128" spans="1:9" ht="14.25">
      <c r="A128" s="484"/>
      <c r="B128" s="485" t="s">
        <v>2751</v>
      </c>
      <c r="C128" s="402"/>
      <c r="D128" s="1323" t="s">
        <v>2050</v>
      </c>
      <c r="E128" s="1323"/>
      <c r="F128" s="1323"/>
      <c r="I128" s="490"/>
    </row>
    <row r="129" spans="1:9" ht="14.25">
      <c r="A129" s="484"/>
      <c r="B129" s="484"/>
      <c r="C129" s="402"/>
      <c r="D129" s="1323"/>
      <c r="E129" s="1323"/>
      <c r="F129" s="1323"/>
      <c r="I129" s="490"/>
    </row>
    <row r="130" spans="1:9">
      <c r="I130" s="490"/>
    </row>
    <row r="131" spans="1:9" ht="14.25">
      <c r="A131" s="484"/>
      <c r="B131" s="485" t="s">
        <v>2751</v>
      </c>
      <c r="D131" s="1301" t="s">
        <v>1104</v>
      </c>
      <c r="E131" s="1301"/>
      <c r="F131" s="1301"/>
      <c r="I131" s="490"/>
    </row>
    <row r="132" spans="1:9">
      <c r="D132" s="1301"/>
      <c r="E132" s="1301"/>
      <c r="F132" s="1301"/>
      <c r="I132" s="490"/>
    </row>
    <row r="133" spans="1:9">
      <c r="D133" s="1301"/>
      <c r="E133" s="1301"/>
      <c r="F133" s="1301"/>
      <c r="I133" s="490"/>
    </row>
    <row r="134" spans="1:9">
      <c r="D134" s="1301"/>
      <c r="E134" s="1301"/>
      <c r="F134" s="1301"/>
      <c r="I134" s="490"/>
    </row>
    <row r="135" spans="1:9">
      <c r="D135" s="1301"/>
      <c r="E135" s="1301"/>
      <c r="F135" s="1301"/>
      <c r="I135" s="490"/>
    </row>
    <row r="136" spans="1:9">
      <c r="I136" s="490"/>
    </row>
    <row r="137" spans="1:9" ht="14.25">
      <c r="A137" s="484"/>
      <c r="B137" s="485" t="s">
        <v>2751</v>
      </c>
      <c r="D137" s="1301" t="s">
        <v>1105</v>
      </c>
      <c r="E137" s="1301"/>
      <c r="F137" s="1301"/>
      <c r="I137" s="490"/>
    </row>
    <row r="138" spans="1:9" s="417" customFormat="1" ht="13.7" customHeight="1">
      <c r="A138" s="488"/>
      <c r="B138" s="488"/>
      <c r="C138" s="488"/>
      <c r="D138" s="1301"/>
      <c r="E138" s="1301"/>
      <c r="F138" s="1301"/>
      <c r="I138" s="1155"/>
    </row>
    <row r="139" spans="1:9" ht="13.7" customHeight="1">
      <c r="D139" s="1301"/>
      <c r="E139" s="1301"/>
      <c r="F139" s="1301"/>
      <c r="I139" s="490"/>
    </row>
    <row r="140" spans="1:9" ht="13.7" customHeight="1">
      <c r="D140" s="1301"/>
      <c r="E140" s="1301"/>
      <c r="F140" s="1301"/>
      <c r="I140" s="490"/>
    </row>
    <row r="141" spans="1:9" ht="13.7" customHeight="1">
      <c r="D141" s="1301"/>
      <c r="E141" s="1301"/>
      <c r="F141" s="1301"/>
      <c r="I141" s="490"/>
    </row>
    <row r="142" spans="1:9" ht="13.7" customHeight="1">
      <c r="A142" s="489"/>
      <c r="B142" s="489"/>
      <c r="D142" s="1301"/>
      <c r="E142" s="1301"/>
      <c r="F142" s="1301"/>
      <c r="I142" s="490"/>
    </row>
    <row r="143" spans="1:9" ht="13.7" customHeight="1">
      <c r="D143" s="1301"/>
      <c r="E143" s="1301"/>
      <c r="F143" s="1301"/>
      <c r="I143" s="490"/>
    </row>
    <row r="144" spans="1:9" ht="13.7" customHeight="1">
      <c r="D144" s="1301"/>
      <c r="E144" s="1301"/>
      <c r="F144" s="1301"/>
      <c r="I144" s="490"/>
    </row>
    <row r="145" spans="2:9" ht="13.7" customHeight="1">
      <c r="D145" s="1301"/>
      <c r="E145" s="1301"/>
      <c r="F145" s="1301"/>
      <c r="I145" s="490"/>
    </row>
    <row r="146" spans="2:9" ht="13.7" customHeight="1">
      <c r="D146" s="1301"/>
      <c r="E146" s="1301"/>
      <c r="F146" s="1301"/>
      <c r="I146" s="490"/>
    </row>
    <row r="147" spans="2:9" ht="13.7" customHeight="1">
      <c r="D147" s="1301"/>
      <c r="E147" s="1301"/>
      <c r="F147" s="1301"/>
      <c r="I147" s="490"/>
    </row>
    <row r="148" spans="2:9" ht="13.7" customHeight="1">
      <c r="D148" s="1301"/>
      <c r="E148" s="1301"/>
      <c r="F148" s="1301"/>
      <c r="I148" s="490"/>
    </row>
    <row r="149" spans="2:9" ht="13.7" customHeight="1">
      <c r="D149" s="1301"/>
      <c r="E149" s="1301"/>
      <c r="F149" s="1301"/>
      <c r="I149" s="490"/>
    </row>
    <row r="150" spans="2:9" ht="13.7" customHeight="1">
      <c r="D150" s="476"/>
      <c r="E150" s="446"/>
      <c r="F150" s="446"/>
      <c r="I150" s="490"/>
    </row>
    <row r="151" spans="2:9" ht="13.7" customHeight="1">
      <c r="B151" s="485" t="s">
        <v>2730</v>
      </c>
      <c r="D151" s="1301" t="s">
        <v>1177</v>
      </c>
      <c r="E151" s="1301"/>
      <c r="F151" s="1301"/>
      <c r="I151" s="490"/>
    </row>
    <row r="152" spans="2:9" ht="13.7" customHeight="1">
      <c r="D152" s="1301"/>
      <c r="E152" s="1301"/>
      <c r="F152" s="1301"/>
      <c r="I152" s="490"/>
    </row>
    <row r="153" spans="2:9" ht="13.7" customHeight="1">
      <c r="D153" s="1301"/>
      <c r="E153" s="1301"/>
      <c r="F153" s="1301"/>
      <c r="I153" s="490"/>
    </row>
    <row r="154" spans="2:9" ht="13.7" customHeight="1">
      <c r="D154" s="1301"/>
      <c r="E154" s="1301"/>
      <c r="F154" s="1301"/>
      <c r="I154" s="490"/>
    </row>
    <row r="155" spans="2:9" ht="13.7" customHeight="1">
      <c r="D155" s="1301"/>
      <c r="E155" s="1301"/>
      <c r="F155" s="1301"/>
      <c r="I155" s="490"/>
    </row>
    <row r="156" spans="2:9" ht="13.7" customHeight="1">
      <c r="D156" s="1301"/>
      <c r="E156" s="1301"/>
      <c r="F156" s="1301"/>
      <c r="I156" s="490"/>
    </row>
    <row r="157" spans="2:9" ht="13.7" customHeight="1">
      <c r="D157" s="1301"/>
      <c r="E157" s="1301"/>
      <c r="F157" s="1301"/>
      <c r="I157" s="490"/>
    </row>
    <row r="158" spans="2:9" ht="13.7" customHeight="1">
      <c r="D158" s="1301"/>
      <c r="E158" s="1301"/>
      <c r="F158" s="1301"/>
      <c r="I158" s="490"/>
    </row>
    <row r="159" spans="2:9" ht="13.7" customHeight="1">
      <c r="D159" s="1301"/>
      <c r="E159" s="1301"/>
      <c r="F159" s="1301"/>
      <c r="I159" s="490"/>
    </row>
    <row r="160" spans="2:9" ht="13.7" customHeight="1">
      <c r="D160" s="1301"/>
      <c r="E160" s="1301"/>
      <c r="F160" s="1301"/>
      <c r="I160" s="490"/>
    </row>
    <row r="161" spans="1:9" ht="13.7" customHeight="1">
      <c r="D161" s="1301"/>
      <c r="E161" s="1301"/>
      <c r="F161" s="1301"/>
      <c r="I161" s="490"/>
    </row>
    <row r="162" spans="1:9" ht="13.7" customHeight="1">
      <c r="D162" s="1301"/>
      <c r="E162" s="1301"/>
      <c r="F162" s="1301"/>
      <c r="I162" s="490"/>
    </row>
    <row r="163" spans="1:9" ht="13.7" customHeight="1">
      <c r="D163" s="1301"/>
      <c r="E163" s="1301"/>
      <c r="F163" s="1301"/>
      <c r="I163" s="490"/>
    </row>
    <row r="164" spans="1:9" ht="13.7" customHeight="1">
      <c r="D164" s="1301"/>
      <c r="E164" s="1301"/>
      <c r="F164" s="1301"/>
      <c r="I164" s="490"/>
    </row>
    <row r="165" spans="1:9" ht="13.7" customHeight="1">
      <c r="D165" s="1301"/>
      <c r="E165" s="1301"/>
      <c r="F165" s="1301"/>
      <c r="I165" s="490"/>
    </row>
    <row r="166" spans="1:9" ht="13.7" customHeight="1">
      <c r="D166" s="1301"/>
      <c r="E166" s="1301"/>
      <c r="F166" s="1301"/>
      <c r="I166" s="490"/>
    </row>
    <row r="167" spans="1:9" ht="13.7" customHeight="1">
      <c r="D167" s="1301"/>
      <c r="E167" s="1301"/>
      <c r="F167" s="1301"/>
      <c r="I167" s="490"/>
    </row>
    <row r="168" spans="1:9" ht="13.7" customHeight="1">
      <c r="D168" s="1301"/>
      <c r="E168" s="1301"/>
      <c r="F168" s="1301"/>
      <c r="I168" s="490"/>
    </row>
    <row r="169" spans="1:9" ht="13.7" customHeight="1">
      <c r="D169" s="1320" t="s">
        <v>2073</v>
      </c>
      <c r="E169" s="1320"/>
      <c r="F169" s="1320"/>
      <c r="G169" s="507"/>
      <c r="I169" s="490"/>
    </row>
    <row r="170" spans="1:9" ht="13.7" customHeight="1">
      <c r="D170" s="1318"/>
      <c r="E170" s="1318"/>
      <c r="F170" s="1318"/>
      <c r="G170" s="1318"/>
      <c r="I170" s="490"/>
    </row>
    <row r="171" spans="1:9" ht="14.45" customHeight="1">
      <c r="A171" s="489"/>
      <c r="B171" s="485" t="s">
        <v>2730</v>
      </c>
      <c r="C171" s="476"/>
      <c r="D171" s="1272" t="s">
        <v>2213</v>
      </c>
      <c r="E171" s="1272"/>
      <c r="F171" s="1272"/>
      <c r="G171" s="476"/>
      <c r="I171" s="490"/>
    </row>
    <row r="172" spans="1:9" ht="14.45" customHeight="1">
      <c r="A172" s="489"/>
      <c r="B172" s="489"/>
      <c r="C172" s="476"/>
      <c r="D172" s="1272"/>
      <c r="E172" s="1272"/>
      <c r="F172" s="1272"/>
      <c r="G172" s="476"/>
      <c r="I172" s="490"/>
    </row>
    <row r="173" spans="1:9" ht="14.45" customHeight="1">
      <c r="A173" s="489"/>
      <c r="B173" s="489"/>
      <c r="C173" s="476"/>
      <c r="D173" s="1272"/>
      <c r="E173" s="1272"/>
      <c r="F173" s="1272"/>
      <c r="G173" s="476"/>
      <c r="I173" s="490"/>
    </row>
    <row r="174" spans="1:9" ht="14.45" customHeight="1">
      <c r="A174" s="489"/>
      <c r="B174" s="489"/>
      <c r="C174" s="476"/>
      <c r="D174" s="1272"/>
      <c r="E174" s="1272"/>
      <c r="F174" s="1272"/>
      <c r="G174" s="476"/>
      <c r="I174" s="490"/>
    </row>
    <row r="175" spans="1:9" ht="13.7" customHeight="1">
      <c r="A175" s="489"/>
      <c r="B175" s="489"/>
      <c r="C175" s="476"/>
      <c r="D175" s="1272"/>
      <c r="E175" s="1272"/>
      <c r="F175" s="1272"/>
      <c r="G175" s="476"/>
      <c r="I175" s="490"/>
    </row>
    <row r="176" spans="1:9" ht="13.7" customHeight="1">
      <c r="A176" s="489"/>
      <c r="B176" s="489"/>
      <c r="C176" s="476"/>
      <c r="D176" s="476"/>
      <c r="E176" s="476"/>
      <c r="F176" s="476"/>
      <c r="G176" s="476"/>
      <c r="I176" s="490"/>
    </row>
    <row r="177" spans="1:9" ht="13.7" customHeight="1">
      <c r="A177" s="489"/>
      <c r="B177" s="485" t="s">
        <v>2730</v>
      </c>
      <c r="C177" s="476"/>
      <c r="D177" s="1272" t="s">
        <v>1106</v>
      </c>
      <c r="E177" s="1272"/>
      <c r="F177" s="1272"/>
      <c r="G177" s="476"/>
      <c r="I177" s="490"/>
    </row>
    <row r="178" spans="1:9" ht="13.7" customHeight="1">
      <c r="A178" s="489"/>
      <c r="B178" s="489"/>
      <c r="C178" s="476"/>
      <c r="D178" s="1272"/>
      <c r="E178" s="1272"/>
      <c r="F178" s="1272"/>
      <c r="G178" s="476"/>
      <c r="I178" s="490"/>
    </row>
    <row r="179" spans="1:9" ht="13.7" customHeight="1">
      <c r="A179" s="489"/>
      <c r="B179" s="489"/>
      <c r="C179" s="476"/>
      <c r="D179" s="1272"/>
      <c r="E179" s="1272"/>
      <c r="F179" s="1272"/>
      <c r="G179" s="476"/>
      <c r="I179" s="490"/>
    </row>
    <row r="180" spans="1:9" ht="13.7" customHeight="1">
      <c r="A180" s="489"/>
      <c r="B180" s="489"/>
      <c r="C180" s="476"/>
      <c r="D180" s="1272"/>
      <c r="E180" s="1272"/>
      <c r="F180" s="1272"/>
      <c r="G180" s="476"/>
      <c r="I180" s="490"/>
    </row>
    <row r="181" spans="1:9" ht="13.7" customHeight="1">
      <c r="D181" s="446"/>
      <c r="E181" s="446"/>
      <c r="F181" s="446"/>
      <c r="I181" s="490"/>
    </row>
    <row r="182" spans="1:9" ht="13.7" customHeight="1">
      <c r="B182" s="485" t="s">
        <v>2730</v>
      </c>
      <c r="D182" s="1313" t="s">
        <v>2051</v>
      </c>
      <c r="E182" s="1313"/>
      <c r="F182" s="1313"/>
      <c r="I182" s="490"/>
    </row>
    <row r="183" spans="1:9" ht="13.7" customHeight="1">
      <c r="D183" s="1313"/>
      <c r="E183" s="1313"/>
      <c r="F183" s="1313"/>
      <c r="I183" s="490"/>
    </row>
    <row r="184" spans="1:9" ht="13.7" customHeight="1">
      <c r="D184" s="1313"/>
      <c r="E184" s="1313"/>
      <c r="F184" s="1313"/>
      <c r="I184" s="490"/>
    </row>
    <row r="185" spans="1:9" ht="13.7" customHeight="1">
      <c r="A185" s="490"/>
      <c r="B185" s="490"/>
      <c r="E185" s="446"/>
      <c r="F185" s="446"/>
      <c r="I185" s="490"/>
    </row>
    <row r="186" spans="1:9">
      <c r="A186" s="1308" t="s">
        <v>2052</v>
      </c>
      <c r="B186" s="1308"/>
      <c r="C186" s="1308"/>
      <c r="D186" s="1308"/>
      <c r="E186" s="1308"/>
      <c r="F186" s="1308"/>
      <c r="G186" s="1308"/>
      <c r="H186" s="1028"/>
      <c r="I186" s="1153"/>
    </row>
    <row r="187" spans="1:9" ht="12" customHeight="1">
      <c r="D187" s="446"/>
      <c r="E187" s="446"/>
      <c r="F187" s="446"/>
      <c r="I187" s="490"/>
    </row>
    <row r="188" spans="1:9">
      <c r="B188" s="1303" t="s">
        <v>446</v>
      </c>
      <c r="C188" s="1303"/>
      <c r="D188" s="1303"/>
      <c r="E188" s="1303"/>
      <c r="F188" s="1303"/>
      <c r="I188" s="490"/>
    </row>
    <row r="189" spans="1:9">
      <c r="B189" s="392" t="s">
        <v>1875</v>
      </c>
      <c r="C189" s="392"/>
      <c r="D189" s="392"/>
      <c r="E189" s="392"/>
      <c r="F189" s="392"/>
      <c r="I189" s="490"/>
    </row>
    <row r="190" spans="1:9" ht="12" customHeight="1">
      <c r="A190" s="482"/>
      <c r="B190" s="482"/>
      <c r="C190" s="482"/>
      <c r="I190" s="490"/>
    </row>
    <row r="191" spans="1:9">
      <c r="A191" s="1308" t="s">
        <v>1045</v>
      </c>
      <c r="B191" s="1308"/>
      <c r="C191" s="1308"/>
      <c r="D191" s="1308"/>
      <c r="E191" s="1308"/>
      <c r="F191" s="1308"/>
      <c r="G191" s="1308"/>
      <c r="H191" s="1028"/>
      <c r="I191" s="1153"/>
    </row>
    <row r="192" spans="1:9" ht="12" customHeight="1">
      <c r="A192" s="404"/>
      <c r="B192" s="404"/>
      <c r="E192" s="404"/>
      <c r="I192" s="490"/>
    </row>
    <row r="193" spans="1:9" ht="13.7" customHeight="1">
      <c r="A193" s="404"/>
      <c r="B193" s="404"/>
      <c r="D193" s="1317" t="s">
        <v>1746</v>
      </c>
      <c r="E193" s="1317"/>
      <c r="F193" s="1317"/>
      <c r="I193" s="490"/>
    </row>
    <row r="194" spans="1:9">
      <c r="A194" s="404"/>
      <c r="B194" s="404"/>
      <c r="D194" s="1317"/>
      <c r="E194" s="1317"/>
      <c r="F194" s="1317"/>
      <c r="I194" s="490"/>
    </row>
    <row r="195" spans="1:9">
      <c r="A195" s="404"/>
      <c r="B195" s="404"/>
      <c r="D195" s="1303" t="s">
        <v>1195</v>
      </c>
      <c r="E195" s="1303"/>
      <c r="F195" s="1303"/>
      <c r="I195" s="490"/>
    </row>
    <row r="196" spans="1:9">
      <c r="A196" s="404"/>
      <c r="B196" s="404"/>
      <c r="D196" s="392"/>
      <c r="E196" s="392"/>
      <c r="F196" s="392"/>
      <c r="I196" s="490"/>
    </row>
    <row r="197" spans="1:9">
      <c r="A197" s="404"/>
      <c r="B197" s="485" t="s">
        <v>2751</v>
      </c>
      <c r="D197" s="1288" t="s">
        <v>1747</v>
      </c>
      <c r="E197" s="1288"/>
      <c r="F197" s="1288"/>
      <c r="I197" s="490"/>
    </row>
    <row r="198" spans="1:9">
      <c r="A198" s="404"/>
      <c r="B198" s="404"/>
      <c r="D198" s="1287" t="s">
        <v>1902</v>
      </c>
      <c r="E198" s="1287"/>
      <c r="F198" s="1287"/>
      <c r="I198" s="490"/>
    </row>
    <row r="199" spans="1:9">
      <c r="A199" s="404"/>
      <c r="B199" s="404"/>
      <c r="D199" s="96" t="s">
        <v>1748</v>
      </c>
      <c r="E199" s="1325" t="s">
        <v>1925</v>
      </c>
      <c r="F199" s="1325"/>
      <c r="I199" s="490"/>
    </row>
    <row r="200" spans="1:9">
      <c r="A200" s="404"/>
      <c r="B200" s="404"/>
      <c r="D200" s="3"/>
      <c r="E200" s="3"/>
      <c r="F200" s="3"/>
      <c r="I200" s="490"/>
    </row>
    <row r="201" spans="1:9">
      <c r="A201" s="404"/>
      <c r="B201" s="485" t="s">
        <v>2730</v>
      </c>
      <c r="D201" s="1287" t="s">
        <v>1749</v>
      </c>
      <c r="E201" s="1287"/>
      <c r="F201" s="1287"/>
      <c r="I201" s="490"/>
    </row>
    <row r="202" spans="1:9">
      <c r="A202" s="404"/>
      <c r="B202" s="404"/>
      <c r="D202" s="1288" t="s">
        <v>1902</v>
      </c>
      <c r="E202" s="1288"/>
      <c r="F202" s="1288"/>
      <c r="I202" s="490"/>
    </row>
    <row r="203" spans="1:9">
      <c r="A203" s="404"/>
      <c r="B203" s="404"/>
      <c r="D203" s="57" t="s">
        <v>1750</v>
      </c>
      <c r="E203" s="1325" t="s">
        <v>1926</v>
      </c>
      <c r="F203" s="1325"/>
      <c r="I203" s="490"/>
    </row>
    <row r="204" spans="1:9">
      <c r="A204" s="404"/>
      <c r="B204" s="404"/>
      <c r="D204" s="3"/>
      <c r="E204" s="3"/>
      <c r="F204" s="3"/>
      <c r="I204" s="490"/>
    </row>
    <row r="205" spans="1:9">
      <c r="A205" s="404"/>
      <c r="B205" s="485" t="s">
        <v>2730</v>
      </c>
      <c r="D205" s="1287" t="s">
        <v>1751</v>
      </c>
      <c r="E205" s="1287"/>
      <c r="F205" s="1287"/>
      <c r="I205" s="490"/>
    </row>
    <row r="206" spans="1:9">
      <c r="A206" s="404"/>
      <c r="B206" s="404"/>
      <c r="D206" s="1288" t="s">
        <v>1902</v>
      </c>
      <c r="E206" s="1288"/>
      <c r="F206" s="1288"/>
      <c r="I206" s="490"/>
    </row>
    <row r="207" spans="1:9">
      <c r="A207" s="404"/>
      <c r="B207" s="404"/>
      <c r="D207" s="57" t="s">
        <v>1748</v>
      </c>
      <c r="E207" s="1325" t="s">
        <v>1927</v>
      </c>
      <c r="F207" s="1325"/>
      <c r="I207" s="490"/>
    </row>
    <row r="208" spans="1:9">
      <c r="A208" s="404"/>
      <c r="B208" s="404"/>
      <c r="D208" s="392"/>
      <c r="E208" s="392"/>
      <c r="F208" s="392"/>
      <c r="I208" s="490"/>
    </row>
    <row r="209" spans="1:9" ht="14.25" customHeight="1">
      <c r="A209" s="484"/>
      <c r="B209" s="485" t="s">
        <v>2730</v>
      </c>
      <c r="D209" s="386" t="s">
        <v>1895</v>
      </c>
      <c r="E209" s="385"/>
      <c r="F209" s="385"/>
      <c r="I209" s="490"/>
    </row>
    <row r="210" spans="1:9" ht="14.25">
      <c r="A210" s="484"/>
      <c r="B210" s="484"/>
      <c r="D210" s="1288" t="s">
        <v>1902</v>
      </c>
      <c r="E210" s="1288"/>
      <c r="F210" s="1288"/>
      <c r="I210" s="490"/>
    </row>
    <row r="211" spans="1:9">
      <c r="D211" s="385"/>
      <c r="E211" s="1325" t="s">
        <v>1928</v>
      </c>
      <c r="F211" s="1325"/>
      <c r="I211" s="490"/>
    </row>
    <row r="212" spans="1:9">
      <c r="D212" s="447"/>
      <c r="I212" s="490"/>
    </row>
    <row r="213" spans="1:9">
      <c r="B213" s="485" t="s">
        <v>2730</v>
      </c>
      <c r="D213" s="1287" t="s">
        <v>1752</v>
      </c>
      <c r="E213" s="1287"/>
      <c r="F213" s="1287"/>
      <c r="I213" s="490"/>
    </row>
    <row r="214" spans="1:9">
      <c r="D214" s="1288" t="s">
        <v>1902</v>
      </c>
      <c r="E214" s="1288"/>
      <c r="F214" s="1288"/>
      <c r="I214" s="490"/>
    </row>
    <row r="215" spans="1:9">
      <c r="D215" s="57" t="s">
        <v>1748</v>
      </c>
      <c r="E215" s="1325" t="s">
        <v>1929</v>
      </c>
      <c r="F215" s="1325"/>
      <c r="I215" s="490"/>
    </row>
    <row r="216" spans="1:9">
      <c r="D216" s="451"/>
      <c r="E216" s="451"/>
      <c r="F216" s="451"/>
      <c r="I216" s="490"/>
    </row>
    <row r="217" spans="1:9" ht="14.25">
      <c r="A217" s="484"/>
      <c r="B217" s="485" t="s">
        <v>2730</v>
      </c>
      <c r="D217" s="1301" t="s">
        <v>1216</v>
      </c>
      <c r="E217" s="1301"/>
      <c r="F217" s="1301"/>
      <c r="I217" s="490"/>
    </row>
    <row r="218" spans="1:9" ht="14.45" customHeight="1">
      <c r="A218" s="484"/>
      <c r="B218" s="402"/>
      <c r="D218" s="1301"/>
      <c r="E218" s="1301"/>
      <c r="F218" s="1301"/>
      <c r="I218" s="490"/>
    </row>
    <row r="219" spans="1:9" ht="14.25">
      <c r="A219" s="484"/>
      <c r="D219" s="1301"/>
      <c r="E219" s="1301"/>
      <c r="F219" s="1301"/>
      <c r="I219" s="490"/>
    </row>
    <row r="220" spans="1:9" ht="14.25">
      <c r="A220" s="484"/>
      <c r="D220" s="1301"/>
      <c r="E220" s="1301"/>
      <c r="F220" s="1301"/>
      <c r="I220" s="490"/>
    </row>
    <row r="221" spans="1:9">
      <c r="D221" s="451"/>
      <c r="E221" s="451"/>
      <c r="F221" s="451"/>
      <c r="I221" s="490"/>
    </row>
    <row r="222" spans="1:9">
      <c r="A222" s="1308" t="s">
        <v>1046</v>
      </c>
      <c r="B222" s="1308"/>
      <c r="C222" s="1308"/>
      <c r="D222" s="1308"/>
      <c r="E222" s="1308"/>
      <c r="F222" s="1308"/>
      <c r="G222" s="1308"/>
      <c r="H222" s="1028"/>
      <c r="I222" s="1153"/>
    </row>
    <row r="223" spans="1:9" ht="12" customHeight="1">
      <c r="D223" s="446"/>
      <c r="E223" s="446"/>
      <c r="F223" s="446"/>
      <c r="I223" s="490"/>
    </row>
    <row r="224" spans="1:9">
      <c r="C224" s="486"/>
      <c r="D224" s="1309" t="s">
        <v>207</v>
      </c>
      <c r="E224" s="1309"/>
      <c r="F224" s="1309"/>
      <c r="I224" s="490"/>
    </row>
    <row r="225" spans="1:9">
      <c r="A225" s="482"/>
      <c r="B225" s="482"/>
      <c r="C225" s="482"/>
      <c r="D225" s="1299" t="s">
        <v>1120</v>
      </c>
      <c r="E225" s="1299"/>
      <c r="F225" s="1299"/>
      <c r="I225" s="490"/>
    </row>
    <row r="226" spans="1:9" ht="12" customHeight="1">
      <c r="A226" s="490"/>
      <c r="B226" s="490"/>
      <c r="C226" s="490"/>
      <c r="I226" s="490"/>
    </row>
    <row r="227" spans="1:9" ht="13.7" customHeight="1">
      <c r="A227" s="490"/>
      <c r="C227" s="490"/>
      <c r="D227" s="1309" t="s">
        <v>546</v>
      </c>
      <c r="E227" s="1309"/>
      <c r="F227" s="1309"/>
      <c r="I227" s="490"/>
    </row>
    <row r="228" spans="1:9" ht="14.25">
      <c r="A228" s="484"/>
      <c r="B228" s="485" t="s">
        <v>2751</v>
      </c>
      <c r="D228" s="1301" t="s">
        <v>1753</v>
      </c>
      <c r="E228" s="1301"/>
      <c r="F228" s="1301"/>
      <c r="I228" s="490"/>
    </row>
    <row r="229" spans="1:9" ht="14.25" customHeight="1">
      <c r="A229" s="484"/>
      <c r="B229" s="484"/>
      <c r="D229" s="1301"/>
      <c r="E229" s="1301"/>
      <c r="F229" s="1301"/>
      <c r="I229" s="490"/>
    </row>
    <row r="230" spans="1:9" ht="14.25" customHeight="1">
      <c r="A230" s="484"/>
      <c r="B230" s="484"/>
      <c r="D230" s="1301"/>
      <c r="E230" s="1301"/>
      <c r="F230" s="1301"/>
      <c r="I230" s="490"/>
    </row>
    <row r="231" spans="1:9" ht="14.25">
      <c r="A231" s="484"/>
      <c r="B231" s="484"/>
      <c r="D231" s="1301"/>
      <c r="E231" s="1301"/>
      <c r="F231" s="1301"/>
      <c r="I231" s="490"/>
    </row>
    <row r="232" spans="1:9" ht="14.25">
      <c r="A232" s="484"/>
      <c r="B232" s="484"/>
      <c r="D232" s="445"/>
      <c r="E232" s="445"/>
      <c r="F232" s="445"/>
      <c r="I232" s="490"/>
    </row>
    <row r="233" spans="1:9" ht="14.25">
      <c r="A233" s="484"/>
      <c r="B233" s="485" t="s">
        <v>2751</v>
      </c>
      <c r="D233" s="1301" t="s">
        <v>1754</v>
      </c>
      <c r="E233" s="1301"/>
      <c r="F233" s="1301"/>
      <c r="I233" s="490"/>
    </row>
    <row r="234" spans="1:9" ht="14.25">
      <c r="A234" s="484"/>
      <c r="B234" s="484"/>
      <c r="D234" s="1301"/>
      <c r="E234" s="1301"/>
      <c r="F234" s="1301"/>
      <c r="I234" s="490"/>
    </row>
    <row r="235" spans="1:9" ht="14.25">
      <c r="A235" s="484"/>
      <c r="B235" s="484"/>
      <c r="D235" s="1301"/>
      <c r="E235" s="1301"/>
      <c r="F235" s="1301"/>
      <c r="I235" s="490"/>
    </row>
    <row r="236" spans="1:9" ht="14.25">
      <c r="A236" s="484"/>
      <c r="B236" s="484"/>
      <c r="D236" s="1301"/>
      <c r="E236" s="1301"/>
      <c r="F236" s="1301"/>
      <c r="I236" s="490"/>
    </row>
    <row r="237" spans="1:9" ht="14.25" customHeight="1">
      <c r="A237" s="484"/>
      <c r="B237" s="484"/>
      <c r="D237" s="1301"/>
      <c r="E237" s="1301"/>
      <c r="F237" s="1301"/>
      <c r="I237" s="490"/>
    </row>
    <row r="238" spans="1:9" ht="14.25" customHeight="1">
      <c r="A238" s="484"/>
      <c r="B238" s="484"/>
      <c r="D238" s="445"/>
      <c r="E238" s="445"/>
      <c r="F238" s="445"/>
      <c r="I238" s="490"/>
    </row>
    <row r="239" spans="1:9" ht="14.25">
      <c r="A239" s="484"/>
      <c r="B239" s="484"/>
      <c r="D239" s="1301" t="s">
        <v>1118</v>
      </c>
      <c r="E239" s="1301"/>
      <c r="F239" s="1301"/>
      <c r="I239" s="490"/>
    </row>
    <row r="240" spans="1:9" ht="14.25">
      <c r="A240" s="484"/>
      <c r="B240" s="484"/>
      <c r="D240" s="1301"/>
      <c r="E240" s="1301"/>
      <c r="F240" s="1301"/>
      <c r="I240" s="490"/>
    </row>
    <row r="241" spans="1:9" ht="14.25">
      <c r="A241" s="484"/>
      <c r="B241" s="484"/>
      <c r="D241" s="1301"/>
      <c r="E241" s="1301"/>
      <c r="F241" s="1301"/>
      <c r="I241" s="490"/>
    </row>
    <row r="242" spans="1:9" ht="14.25">
      <c r="A242" s="484"/>
      <c r="B242" s="484"/>
      <c r="D242" s="1301"/>
      <c r="E242" s="1301"/>
      <c r="F242" s="1301"/>
      <c r="I242" s="490"/>
    </row>
    <row r="243" spans="1:9" ht="14.25">
      <c r="A243" s="484"/>
      <c r="B243" s="484"/>
      <c r="D243" s="1301"/>
      <c r="E243" s="1301"/>
      <c r="F243" s="1301"/>
      <c r="I243" s="490"/>
    </row>
    <row r="244" spans="1:9" ht="14.25">
      <c r="A244" s="484"/>
      <c r="B244" s="484"/>
      <c r="D244" s="446"/>
      <c r="E244" s="446"/>
      <c r="F244" s="446"/>
      <c r="I244" s="490"/>
    </row>
    <row r="245" spans="1:9" ht="14.25">
      <c r="A245" s="484"/>
      <c r="B245" s="485" t="s">
        <v>2751</v>
      </c>
      <c r="D245" s="1301" t="s">
        <v>2053</v>
      </c>
      <c r="E245" s="1301"/>
      <c r="F245" s="1301"/>
      <c r="I245" s="490"/>
    </row>
    <row r="246" spans="1:9" ht="14.25">
      <c r="A246" s="484"/>
      <c r="B246" s="484"/>
      <c r="D246" s="1301"/>
      <c r="E246" s="1301"/>
      <c r="F246" s="1301"/>
      <c r="I246" s="490"/>
    </row>
    <row r="247" spans="1:9" ht="14.25">
      <c r="A247" s="484"/>
      <c r="B247" s="484"/>
      <c r="D247" s="1301"/>
      <c r="E247" s="1301"/>
      <c r="F247" s="1301"/>
      <c r="I247" s="490"/>
    </row>
    <row r="248" spans="1:9" ht="14.25">
      <c r="A248" s="484"/>
      <c r="B248" s="484"/>
      <c r="E248" s="1036" t="s">
        <v>1896</v>
      </c>
      <c r="I248" s="490"/>
    </row>
    <row r="249" spans="1:9" ht="14.25">
      <c r="A249" s="484"/>
      <c r="B249" s="484"/>
      <c r="D249" s="446"/>
      <c r="E249" s="446"/>
      <c r="F249" s="446"/>
      <c r="I249" s="490"/>
    </row>
    <row r="250" spans="1:9" ht="14.45" customHeight="1">
      <c r="A250" s="484"/>
      <c r="B250" s="485" t="s">
        <v>2730</v>
      </c>
      <c r="D250" s="1301" t="s">
        <v>2054</v>
      </c>
      <c r="E250" s="1301"/>
      <c r="F250" s="1301"/>
      <c r="I250" s="490"/>
    </row>
    <row r="251" spans="1:9" ht="14.25">
      <c r="A251" s="484"/>
      <c r="B251" s="484"/>
      <c r="D251" s="1301"/>
      <c r="E251" s="1301"/>
      <c r="F251" s="1301"/>
      <c r="I251" s="490"/>
    </row>
    <row r="252" spans="1:9" ht="14.25">
      <c r="A252" s="484"/>
      <c r="B252" s="484"/>
      <c r="D252" s="1301"/>
      <c r="E252" s="1301"/>
      <c r="F252" s="1301"/>
      <c r="I252" s="490"/>
    </row>
    <row r="253" spans="1:9" ht="14.25">
      <c r="A253" s="484"/>
      <c r="B253" s="484"/>
      <c r="D253" s="1301"/>
      <c r="E253" s="1301"/>
      <c r="F253" s="1301"/>
      <c r="I253" s="490"/>
    </row>
    <row r="254" spans="1:9" ht="14.25">
      <c r="A254" s="484"/>
      <c r="B254" s="484"/>
      <c r="D254" s="1301"/>
      <c r="E254" s="1301"/>
      <c r="F254" s="1301"/>
      <c r="I254" s="490"/>
    </row>
    <row r="255" spans="1:9" ht="14.25">
      <c r="A255" s="484"/>
      <c r="B255" s="484"/>
      <c r="D255" s="445"/>
      <c r="E255" s="445"/>
      <c r="F255" s="445"/>
      <c r="I255" s="490"/>
    </row>
    <row r="256" spans="1:9" ht="14.25">
      <c r="A256" s="484"/>
      <c r="B256" s="485" t="s">
        <v>2751</v>
      </c>
      <c r="D256" s="392" t="s">
        <v>2055</v>
      </c>
      <c r="E256" s="445"/>
      <c r="F256" s="445"/>
      <c r="I256" s="490"/>
    </row>
    <row r="257" spans="1:9" ht="14.25">
      <c r="A257" s="484"/>
      <c r="B257" s="484"/>
      <c r="E257" s="1036" t="s">
        <v>1897</v>
      </c>
      <c r="I257" s="490"/>
    </row>
    <row r="258" spans="1:9">
      <c r="D258" s="446"/>
      <c r="E258" s="446"/>
      <c r="F258" s="446"/>
      <c r="I258" s="490"/>
    </row>
    <row r="259" spans="1:9" ht="14.25">
      <c r="A259" s="484"/>
      <c r="B259" s="485" t="s">
        <v>2751</v>
      </c>
      <c r="D259" s="1301" t="s">
        <v>1119</v>
      </c>
      <c r="E259" s="1301"/>
      <c r="F259" s="1301"/>
      <c r="I259" s="490"/>
    </row>
    <row r="260" spans="1:9" ht="14.25">
      <c r="A260" s="484"/>
      <c r="B260" s="484"/>
      <c r="D260" s="1301"/>
      <c r="E260" s="1301"/>
      <c r="F260" s="1301"/>
      <c r="I260" s="490"/>
    </row>
    <row r="261" spans="1:9">
      <c r="D261" s="491"/>
      <c r="I261" s="490"/>
    </row>
    <row r="262" spans="1:9">
      <c r="A262" s="1308" t="s">
        <v>1047</v>
      </c>
      <c r="B262" s="1308"/>
      <c r="C262" s="1308"/>
      <c r="D262" s="1308"/>
      <c r="E262" s="1308"/>
      <c r="F262" s="1308"/>
      <c r="G262" s="1308"/>
      <c r="H262" s="1028"/>
      <c r="I262" s="1153"/>
    </row>
    <row r="263" spans="1:9">
      <c r="D263" s="491"/>
      <c r="I263" s="490"/>
    </row>
    <row r="264" spans="1:9">
      <c r="C264" s="486"/>
      <c r="D264" s="1309" t="s">
        <v>1121</v>
      </c>
      <c r="E264" s="1309"/>
      <c r="F264" s="1309"/>
      <c r="I264" s="490"/>
    </row>
    <row r="265" spans="1:9">
      <c r="A265" s="482"/>
      <c r="B265" s="482"/>
      <c r="C265" s="482"/>
      <c r="D265" s="446"/>
      <c r="E265" s="446"/>
      <c r="F265" s="446"/>
      <c r="I265" s="490"/>
    </row>
    <row r="266" spans="1:9">
      <c r="A266" s="483"/>
      <c r="B266" s="483"/>
      <c r="C266" s="483"/>
      <c r="D266" s="1309" t="s">
        <v>268</v>
      </c>
      <c r="E266" s="1309"/>
      <c r="F266" s="1309"/>
      <c r="I266" s="490"/>
    </row>
    <row r="267" spans="1:9" ht="14.45" customHeight="1">
      <c r="A267" s="484"/>
      <c r="B267" s="485" t="s">
        <v>2751</v>
      </c>
      <c r="D267" s="1301" t="s">
        <v>1196</v>
      </c>
      <c r="E267" s="1301"/>
      <c r="F267" s="1301"/>
      <c r="I267" s="490"/>
    </row>
    <row r="268" spans="1:9">
      <c r="D268" s="1301"/>
      <c r="E268" s="1301"/>
      <c r="F268" s="1301"/>
      <c r="I268" s="490"/>
    </row>
    <row r="269" spans="1:9">
      <c r="E269" s="1036" t="s">
        <v>1898</v>
      </c>
      <c r="I269" s="490"/>
    </row>
    <row r="270" spans="1:9">
      <c r="D270" s="446"/>
      <c r="E270" s="446"/>
      <c r="F270" s="446"/>
      <c r="I270" s="490"/>
    </row>
    <row r="271" spans="1:9" ht="14.45" customHeight="1">
      <c r="A271" s="484"/>
      <c r="B271" s="485" t="s">
        <v>2730</v>
      </c>
      <c r="D271" s="1301" t="s">
        <v>2056</v>
      </c>
      <c r="E271" s="1301"/>
      <c r="F271" s="1301"/>
      <c r="I271" s="490"/>
    </row>
    <row r="272" spans="1:9">
      <c r="D272" s="1301"/>
      <c r="E272" s="1301"/>
      <c r="F272" s="1301"/>
      <c r="I272" s="490"/>
    </row>
    <row r="273" spans="1:9">
      <c r="D273" s="1301"/>
      <c r="E273" s="1301"/>
      <c r="F273" s="1301"/>
      <c r="I273" s="490"/>
    </row>
    <row r="274" spans="1:9">
      <c r="D274" s="1301"/>
      <c r="E274" s="1301"/>
      <c r="F274" s="1301"/>
      <c r="I274" s="490"/>
    </row>
    <row r="275" spans="1:9">
      <c r="D275" s="1301"/>
      <c r="E275" s="1301"/>
      <c r="F275" s="1301"/>
      <c r="I275" s="490"/>
    </row>
    <row r="276" spans="1:9">
      <c r="D276" s="1301"/>
      <c r="E276" s="1301"/>
      <c r="F276" s="1301"/>
      <c r="I276" s="490"/>
    </row>
    <row r="277" spans="1:9">
      <c r="D277" s="446"/>
      <c r="E277" s="446"/>
      <c r="F277" s="446"/>
      <c r="I277" s="490"/>
    </row>
    <row r="278" spans="1:9" ht="14.25">
      <c r="A278" s="484"/>
      <c r="B278" s="485" t="s">
        <v>2730</v>
      </c>
      <c r="D278" s="1301" t="s">
        <v>1122</v>
      </c>
      <c r="E278" s="1301"/>
      <c r="F278" s="1301"/>
      <c r="I278" s="490"/>
    </row>
    <row r="279" spans="1:9">
      <c r="D279" s="1301"/>
      <c r="E279" s="1301"/>
      <c r="F279" s="1301"/>
      <c r="I279" s="490"/>
    </row>
    <row r="280" spans="1:9">
      <c r="D280" s="1301"/>
      <c r="E280" s="1301"/>
      <c r="F280" s="1301"/>
      <c r="I280" s="490"/>
    </row>
    <row r="281" spans="1:9">
      <c r="D281" s="492"/>
      <c r="E281" s="446"/>
      <c r="F281" s="446"/>
      <c r="I281" s="490"/>
    </row>
    <row r="282" spans="1:9">
      <c r="A282" s="1308" t="s">
        <v>1048</v>
      </c>
      <c r="B282" s="1308"/>
      <c r="C282" s="1308"/>
      <c r="D282" s="1308"/>
      <c r="E282" s="1308"/>
      <c r="F282" s="1308"/>
      <c r="G282" s="1308"/>
      <c r="H282" s="1028"/>
      <c r="I282" s="1153"/>
    </row>
    <row r="283" spans="1:9">
      <c r="D283" s="492"/>
      <c r="E283" s="446"/>
      <c r="F283" s="446"/>
      <c r="I283" s="490"/>
    </row>
    <row r="284" spans="1:9">
      <c r="C284" s="482"/>
      <c r="D284" s="1317" t="s">
        <v>1123</v>
      </c>
      <c r="E284" s="1317"/>
      <c r="F284" s="1317"/>
      <c r="I284" s="490"/>
    </row>
    <row r="285" spans="1:9">
      <c r="C285" s="482"/>
      <c r="D285" s="1317"/>
      <c r="E285" s="1317"/>
      <c r="F285" s="1317"/>
      <c r="I285" s="490"/>
    </row>
    <row r="286" spans="1:9">
      <c r="A286" s="483"/>
      <c r="B286" s="483"/>
      <c r="C286" s="483"/>
      <c r="D286" s="404"/>
      <c r="I286" s="490"/>
    </row>
    <row r="287" spans="1:9">
      <c r="C287" s="483"/>
      <c r="D287" s="1309" t="s">
        <v>208</v>
      </c>
      <c r="E287" s="1309"/>
      <c r="F287" s="1309"/>
      <c r="I287" s="490"/>
    </row>
    <row r="288" spans="1:9" ht="15.75" customHeight="1">
      <c r="A288" s="484"/>
      <c r="B288" s="484"/>
      <c r="D288" s="1326" t="s">
        <v>1124</v>
      </c>
      <c r="E288" s="1326"/>
      <c r="F288" s="1326"/>
      <c r="I288" s="490"/>
    </row>
    <row r="289" spans="1:9">
      <c r="E289" s="446"/>
      <c r="F289" s="446"/>
      <c r="I289" s="490"/>
    </row>
    <row r="290" spans="1:9" ht="14.25">
      <c r="A290" s="484"/>
      <c r="B290" s="485" t="s">
        <v>2730</v>
      </c>
      <c r="D290" s="1301" t="s">
        <v>1125</v>
      </c>
      <c r="E290" s="1301"/>
      <c r="F290" s="1301"/>
      <c r="I290" s="490"/>
    </row>
    <row r="291" spans="1:9" ht="14.25">
      <c r="A291" s="484"/>
      <c r="B291" s="484"/>
      <c r="D291" s="1301"/>
      <c r="E291" s="1301"/>
      <c r="F291" s="1301"/>
      <c r="I291" s="490"/>
    </row>
    <row r="292" spans="1:9">
      <c r="D292" s="446"/>
      <c r="E292" s="446"/>
      <c r="F292" s="446"/>
      <c r="I292" s="490"/>
    </row>
    <row r="293" spans="1:9" ht="14.25">
      <c r="A293" s="484"/>
      <c r="B293" s="485" t="s">
        <v>2730</v>
      </c>
      <c r="D293" s="1301" t="s">
        <v>1126</v>
      </c>
      <c r="E293" s="1301"/>
      <c r="F293" s="1301"/>
      <c r="I293" s="490"/>
    </row>
    <row r="294" spans="1:9" ht="14.25">
      <c r="A294" s="484"/>
      <c r="B294" s="484"/>
      <c r="D294" s="1301"/>
      <c r="E294" s="1301"/>
      <c r="F294" s="1301"/>
      <c r="I294" s="490"/>
    </row>
    <row r="295" spans="1:9" ht="14.25">
      <c r="A295" s="484"/>
      <c r="B295" s="484"/>
      <c r="D295" s="1301"/>
      <c r="E295" s="1301"/>
      <c r="F295" s="1301"/>
      <c r="I295" s="490"/>
    </row>
    <row r="296" spans="1:9">
      <c r="D296" s="446"/>
      <c r="E296" s="446"/>
      <c r="F296" s="446"/>
      <c r="I296" s="490"/>
    </row>
    <row r="297" spans="1:9" ht="14.25">
      <c r="A297" s="484"/>
      <c r="B297" s="485" t="s">
        <v>2730</v>
      </c>
      <c r="D297" s="1301" t="s">
        <v>1127</v>
      </c>
      <c r="E297" s="1301"/>
      <c r="F297" s="1301"/>
      <c r="I297" s="490"/>
    </row>
    <row r="298" spans="1:9" ht="14.25">
      <c r="A298" s="484"/>
      <c r="B298" s="484"/>
      <c r="D298" s="1301"/>
      <c r="E298" s="1301"/>
      <c r="F298" s="1301"/>
      <c r="I298" s="490"/>
    </row>
    <row r="299" spans="1:9">
      <c r="A299" s="490"/>
      <c r="B299" s="490"/>
      <c r="E299" s="446"/>
      <c r="F299" s="446"/>
      <c r="I299" s="490"/>
    </row>
    <row r="300" spans="1:9">
      <c r="A300" s="1308" t="s">
        <v>1049</v>
      </c>
      <c r="B300" s="1308"/>
      <c r="C300" s="1308"/>
      <c r="D300" s="1308"/>
      <c r="E300" s="1308"/>
      <c r="F300" s="1308"/>
      <c r="G300" s="1308"/>
      <c r="H300" s="1028"/>
      <c r="I300" s="1153"/>
    </row>
    <row r="301" spans="1:9">
      <c r="A301" s="490"/>
      <c r="B301" s="490"/>
      <c r="D301" s="446"/>
      <c r="E301" s="446"/>
      <c r="F301" s="446"/>
      <c r="I301" s="490"/>
    </row>
    <row r="302" spans="1:9">
      <c r="C302" s="490"/>
      <c r="D302" s="1309" t="s">
        <v>682</v>
      </c>
      <c r="E302" s="1309"/>
      <c r="F302" s="1309"/>
      <c r="I302" s="490"/>
    </row>
    <row r="303" spans="1:9">
      <c r="C303" s="490"/>
      <c r="D303" s="1299" t="s">
        <v>1128</v>
      </c>
      <c r="E303" s="1299"/>
      <c r="F303" s="1299"/>
      <c r="I303" s="490"/>
    </row>
    <row r="304" spans="1:9">
      <c r="C304" s="490"/>
      <c r="D304" s="493"/>
      <c r="I304" s="490"/>
    </row>
    <row r="305" spans="1:9">
      <c r="B305" s="485" t="s">
        <v>2730</v>
      </c>
      <c r="D305" s="1299" t="s">
        <v>1129</v>
      </c>
      <c r="E305" s="1299"/>
      <c r="F305" s="1299"/>
      <c r="I305" s="490"/>
    </row>
    <row r="306" spans="1:9" ht="14.25">
      <c r="A306" s="484"/>
      <c r="B306" s="484"/>
      <c r="D306" s="494"/>
      <c r="E306" s="495"/>
      <c r="F306" s="495"/>
      <c r="I306" s="490"/>
    </row>
    <row r="307" spans="1:9" ht="13.7" customHeight="1">
      <c r="B307" s="485" t="s">
        <v>2730</v>
      </c>
      <c r="D307" s="1310" t="s">
        <v>1219</v>
      </c>
      <c r="E307" s="1310"/>
      <c r="F307" s="1310"/>
      <c r="I307" s="490"/>
    </row>
    <row r="308" spans="1:9" ht="14.25">
      <c r="A308" s="484"/>
      <c r="B308" s="484"/>
      <c r="D308" s="1310"/>
      <c r="E308" s="1310"/>
      <c r="F308" s="1310"/>
      <c r="I308" s="490"/>
    </row>
    <row r="309" spans="1:9" ht="14.25">
      <c r="A309" s="484"/>
      <c r="B309" s="484"/>
      <c r="D309" s="1310"/>
      <c r="E309" s="1310"/>
      <c r="F309" s="1310"/>
      <c r="I309" s="490"/>
    </row>
    <row r="310" spans="1:9" ht="14.25">
      <c r="A310" s="484"/>
      <c r="B310" s="484"/>
      <c r="D310" s="1310"/>
      <c r="E310" s="1310"/>
      <c r="F310" s="1310"/>
      <c r="I310" s="490"/>
    </row>
    <row r="311" spans="1:9" ht="14.25">
      <c r="A311" s="484"/>
      <c r="B311" s="484"/>
      <c r="D311" s="1310"/>
      <c r="E311" s="1310"/>
      <c r="F311" s="1310"/>
      <c r="I311" s="490"/>
    </row>
    <row r="312" spans="1:9" ht="14.25">
      <c r="A312" s="484"/>
      <c r="B312" s="484"/>
      <c r="D312" s="494"/>
      <c r="E312" s="495"/>
      <c r="F312" s="495"/>
      <c r="I312" s="490"/>
    </row>
    <row r="313" spans="1:9" ht="13.7" customHeight="1">
      <c r="B313" s="485" t="s">
        <v>2730</v>
      </c>
      <c r="D313" s="1310" t="s">
        <v>1130</v>
      </c>
      <c r="E313" s="1310"/>
      <c r="F313" s="1310"/>
      <c r="I313" s="490"/>
    </row>
    <row r="314" spans="1:9">
      <c r="D314" s="1310"/>
      <c r="E314" s="1310"/>
      <c r="F314" s="1310"/>
      <c r="I314" s="490"/>
    </row>
    <row r="315" spans="1:9" ht="14.25">
      <c r="A315" s="484"/>
      <c r="B315" s="484"/>
      <c r="D315" s="494"/>
      <c r="E315" s="495"/>
      <c r="F315" s="495"/>
      <c r="I315" s="490"/>
    </row>
    <row r="316" spans="1:9">
      <c r="B316" s="485" t="s">
        <v>2730</v>
      </c>
      <c r="D316" s="1299" t="s">
        <v>1131</v>
      </c>
      <c r="E316" s="1299"/>
      <c r="F316" s="1299"/>
      <c r="I316" s="490"/>
    </row>
    <row r="317" spans="1:9">
      <c r="E317" s="446"/>
      <c r="F317" s="446"/>
      <c r="I317" s="490"/>
    </row>
    <row r="318" spans="1:9" ht="14.25">
      <c r="A318" s="484"/>
      <c r="B318" s="485" t="s">
        <v>2730</v>
      </c>
      <c r="D318" s="1301" t="s">
        <v>2246</v>
      </c>
      <c r="E318" s="1301"/>
      <c r="F318" s="1301"/>
      <c r="I318" s="490"/>
    </row>
    <row r="319" spans="1:9" ht="14.25">
      <c r="A319" s="484"/>
      <c r="B319" s="484"/>
      <c r="D319" s="1301"/>
      <c r="E319" s="1301"/>
      <c r="F319" s="1301"/>
      <c r="I319" s="490"/>
    </row>
    <row r="320" spans="1:9" ht="14.25">
      <c r="A320" s="484"/>
      <c r="B320" s="484"/>
      <c r="D320" s="1301"/>
      <c r="E320" s="1301"/>
      <c r="F320" s="1301"/>
      <c r="I320" s="490"/>
    </row>
    <row r="321" spans="1:9" ht="14.25">
      <c r="A321" s="484"/>
      <c r="B321" s="484"/>
      <c r="D321" s="1301"/>
      <c r="E321" s="1301"/>
      <c r="F321" s="1301"/>
      <c r="I321" s="490"/>
    </row>
    <row r="322" spans="1:9" ht="14.25">
      <c r="A322" s="484"/>
      <c r="B322" s="484"/>
      <c r="D322" s="1301"/>
      <c r="E322" s="1301"/>
      <c r="F322" s="1301"/>
      <c r="I322" s="490"/>
    </row>
    <row r="323" spans="1:9" ht="14.25">
      <c r="A323" s="484"/>
      <c r="B323" s="484"/>
      <c r="D323" s="1301"/>
      <c r="E323" s="1301"/>
      <c r="F323" s="1301"/>
      <c r="I323" s="490"/>
    </row>
    <row r="324" spans="1:9" ht="14.25">
      <c r="A324" s="484"/>
      <c r="B324" s="484"/>
      <c r="D324" s="1301"/>
      <c r="E324" s="1301"/>
      <c r="F324" s="1301"/>
      <c r="I324" s="490"/>
    </row>
    <row r="325" spans="1:9" ht="14.25">
      <c r="A325" s="484"/>
      <c r="B325" s="484"/>
      <c r="D325" s="1301"/>
      <c r="E325" s="1301"/>
      <c r="F325" s="1301"/>
      <c r="I325" s="490"/>
    </row>
    <row r="326" spans="1:9" ht="14.25">
      <c r="A326" s="484"/>
      <c r="B326" s="484"/>
      <c r="D326" s="1301"/>
      <c r="E326" s="1301"/>
      <c r="F326" s="1301"/>
      <c r="I326" s="490"/>
    </row>
    <row r="327" spans="1:9" ht="14.25">
      <c r="A327" s="484"/>
      <c r="B327" s="484"/>
      <c r="D327" s="1301"/>
      <c r="E327" s="1301"/>
      <c r="F327" s="1301"/>
      <c r="I327" s="490"/>
    </row>
    <row r="328" spans="1:9" ht="14.25">
      <c r="A328" s="484"/>
      <c r="B328" s="484"/>
      <c r="D328" s="1301"/>
      <c r="E328" s="1301"/>
      <c r="F328" s="1301"/>
      <c r="I328" s="490"/>
    </row>
    <row r="329" spans="1:9" ht="14.25">
      <c r="A329" s="484"/>
      <c r="B329" s="484"/>
      <c r="D329" s="1301"/>
      <c r="E329" s="1301"/>
      <c r="F329" s="1301"/>
      <c r="I329" s="490"/>
    </row>
    <row r="330" spans="1:9" ht="14.25">
      <c r="A330" s="484"/>
      <c r="B330" s="484"/>
      <c r="D330" s="1301"/>
      <c r="E330" s="1301"/>
      <c r="F330" s="1301"/>
      <c r="I330" s="490"/>
    </row>
    <row r="331" spans="1:9" ht="14.25">
      <c r="A331" s="484"/>
      <c r="B331" s="484"/>
      <c r="D331" s="1301"/>
      <c r="E331" s="1301"/>
      <c r="F331" s="1301"/>
      <c r="I331" s="490"/>
    </row>
    <row r="332" spans="1:9" ht="14.25">
      <c r="A332" s="484"/>
      <c r="B332" s="484"/>
      <c r="D332" s="1301"/>
      <c r="E332" s="1301"/>
      <c r="F332" s="1301"/>
      <c r="I332" s="490"/>
    </row>
    <row r="333" spans="1:9">
      <c r="D333" s="446"/>
      <c r="E333" s="446"/>
      <c r="F333" s="446"/>
      <c r="I333" s="490"/>
    </row>
    <row r="334" spans="1:9" ht="14.25">
      <c r="A334" s="484"/>
      <c r="B334" s="485" t="s">
        <v>2730</v>
      </c>
      <c r="D334" s="1301" t="s">
        <v>1132</v>
      </c>
      <c r="E334" s="1301"/>
      <c r="F334" s="1301"/>
      <c r="I334" s="490"/>
    </row>
    <row r="335" spans="1:9">
      <c r="D335" s="1301"/>
      <c r="E335" s="1301"/>
      <c r="F335" s="1301"/>
      <c r="I335" s="490"/>
    </row>
    <row r="336" spans="1:9">
      <c r="D336" s="1301"/>
      <c r="E336" s="1301"/>
      <c r="F336" s="1301"/>
      <c r="I336" s="490"/>
    </row>
    <row r="337" spans="1:9">
      <c r="D337" s="1301"/>
      <c r="E337" s="1301"/>
      <c r="F337" s="1301"/>
      <c r="I337" s="490"/>
    </row>
    <row r="338" spans="1:9">
      <c r="D338" s="1301"/>
      <c r="E338" s="1301"/>
      <c r="F338" s="1301"/>
      <c r="I338" s="490"/>
    </row>
    <row r="339" spans="1:9">
      <c r="D339" s="1301"/>
      <c r="E339" s="1301"/>
      <c r="F339" s="1301"/>
      <c r="I339" s="490"/>
    </row>
    <row r="340" spans="1:9">
      <c r="D340" s="1301"/>
      <c r="E340" s="1301"/>
      <c r="F340" s="1301"/>
      <c r="I340" s="490"/>
    </row>
    <row r="341" spans="1:9">
      <c r="D341" s="1301"/>
      <c r="E341" s="1301"/>
      <c r="F341" s="1301"/>
      <c r="I341" s="490"/>
    </row>
    <row r="342" spans="1:9">
      <c r="D342" s="1301"/>
      <c r="E342" s="1301"/>
      <c r="F342" s="1301"/>
      <c r="I342" s="490"/>
    </row>
    <row r="343" spans="1:9">
      <c r="D343" s="446"/>
      <c r="E343" s="446"/>
      <c r="F343" s="446"/>
      <c r="I343" s="490"/>
    </row>
    <row r="344" spans="1:9" ht="14.25" customHeight="1">
      <c r="A344" s="484"/>
      <c r="B344" s="485" t="s">
        <v>2730</v>
      </c>
      <c r="D344" s="1301" t="s">
        <v>1903</v>
      </c>
      <c r="E344" s="1301"/>
      <c r="F344" s="1301"/>
      <c r="I344" s="490"/>
    </row>
    <row r="345" spans="1:9">
      <c r="D345" s="1301"/>
      <c r="E345" s="1301"/>
      <c r="F345" s="1301"/>
      <c r="I345" s="490"/>
    </row>
    <row r="346" spans="1:9">
      <c r="D346" s="1301"/>
      <c r="E346" s="1301"/>
      <c r="F346" s="1301"/>
      <c r="I346" s="490"/>
    </row>
    <row r="347" spans="1:9">
      <c r="D347" s="1301"/>
      <c r="E347" s="1301"/>
      <c r="F347" s="1301"/>
      <c r="I347" s="490"/>
    </row>
    <row r="348" spans="1:9">
      <c r="D348" s="386" t="s">
        <v>1902</v>
      </c>
      <c r="E348" s="385"/>
      <c r="F348" s="385"/>
      <c r="I348" s="490"/>
    </row>
    <row r="349" spans="1:9">
      <c r="D349" s="385"/>
      <c r="E349" s="96" t="s">
        <v>1899</v>
      </c>
      <c r="G349" s="96"/>
      <c r="I349" s="490"/>
    </row>
    <row r="350" spans="1:9">
      <c r="D350" s="445"/>
      <c r="E350" s="445"/>
      <c r="F350" s="445"/>
      <c r="I350" s="490"/>
    </row>
    <row r="351" spans="1:9" ht="13.5" thickBot="1">
      <c r="A351" s="1022"/>
      <c r="B351" s="1022"/>
      <c r="C351" s="1022"/>
      <c r="D351" s="1329" t="s">
        <v>979</v>
      </c>
      <c r="E351" s="1329"/>
      <c r="F351" s="1329"/>
      <c r="G351" s="1027"/>
      <c r="H351" s="1027"/>
      <c r="I351" s="1156"/>
    </row>
    <row r="352" spans="1:9" ht="13.5" thickTop="1">
      <c r="D352" s="1328" t="s">
        <v>2247</v>
      </c>
      <c r="E352" s="1328"/>
      <c r="F352" s="1328"/>
      <c r="I352" s="490"/>
    </row>
    <row r="353" spans="1:9">
      <c r="D353" s="446"/>
      <c r="E353" s="446"/>
      <c r="F353" s="446"/>
      <c r="I353" s="490"/>
    </row>
    <row r="354" spans="1:9">
      <c r="A354" s="476"/>
      <c r="B354" s="476"/>
      <c r="C354" s="476"/>
      <c r="D354" s="447"/>
      <c r="E354" s="447"/>
      <c r="F354" s="446"/>
      <c r="I354" s="490"/>
    </row>
    <row r="355" spans="1:9" ht="14.25">
      <c r="A355" s="484"/>
      <c r="B355" s="485" t="s">
        <v>2730</v>
      </c>
      <c r="C355" s="487"/>
      <c r="D355" s="1299" t="s">
        <v>1901</v>
      </c>
      <c r="E355" s="1299"/>
      <c r="F355" s="1299"/>
      <c r="I355" s="490"/>
    </row>
    <row r="356" spans="1:9" ht="12.75" customHeight="1">
      <c r="D356" s="1037"/>
      <c r="E356" s="96" t="s">
        <v>1900</v>
      </c>
      <c r="F356" s="1037"/>
      <c r="I356" s="490"/>
    </row>
    <row r="357" spans="1:9">
      <c r="D357" s="1301" t="s">
        <v>1239</v>
      </c>
      <c r="E357" s="1301"/>
      <c r="F357" s="1301"/>
      <c r="I357" s="490"/>
    </row>
    <row r="358" spans="1:9">
      <c r="D358" s="1301"/>
      <c r="E358" s="1301"/>
      <c r="F358" s="1301"/>
      <c r="I358" s="490"/>
    </row>
    <row r="359" spans="1:9">
      <c r="D359" s="1301"/>
      <c r="E359" s="1301"/>
      <c r="F359" s="1301"/>
      <c r="I359" s="490"/>
    </row>
    <row r="360" spans="1:9" ht="14.25">
      <c r="A360" s="484"/>
      <c r="B360" s="485" t="s">
        <v>2730</v>
      </c>
      <c r="C360" s="476"/>
      <c r="D360" s="1318" t="s">
        <v>2057</v>
      </c>
      <c r="E360" s="1318"/>
      <c r="F360" s="1318"/>
      <c r="I360" s="480"/>
    </row>
    <row r="361" spans="1:9">
      <c r="A361" s="476"/>
      <c r="B361" s="476"/>
      <c r="C361" s="476"/>
      <c r="D361" s="447"/>
      <c r="E361" s="447"/>
      <c r="F361" s="446"/>
      <c r="I361" s="490"/>
    </row>
    <row r="362" spans="1:9">
      <c r="A362" s="476"/>
      <c r="B362" s="485" t="s">
        <v>2730</v>
      </c>
      <c r="C362" s="476"/>
      <c r="D362" s="1272" t="s">
        <v>2058</v>
      </c>
      <c r="E362" s="1272"/>
      <c r="F362" s="1272"/>
      <c r="I362" s="490"/>
    </row>
    <row r="363" spans="1:9">
      <c r="A363" s="476"/>
      <c r="B363" s="476"/>
      <c r="C363" s="476"/>
      <c r="D363" s="1272"/>
      <c r="E363" s="1272"/>
      <c r="F363" s="1272"/>
      <c r="I363" s="490"/>
    </row>
    <row r="364" spans="1:9">
      <c r="A364" s="476"/>
      <c r="B364" s="476"/>
      <c r="C364" s="476"/>
      <c r="D364" s="1272"/>
      <c r="E364" s="1272"/>
      <c r="F364" s="1272"/>
      <c r="I364" s="490"/>
    </row>
    <row r="365" spans="1:9">
      <c r="A365" s="476"/>
      <c r="B365" s="476"/>
      <c r="C365" s="476"/>
      <c r="D365" s="1272"/>
      <c r="E365" s="1272"/>
      <c r="F365" s="1272"/>
      <c r="I365" s="490"/>
    </row>
    <row r="366" spans="1:9">
      <c r="A366" s="476"/>
      <c r="B366" s="476"/>
      <c r="C366" s="476"/>
      <c r="D366" s="1272"/>
      <c r="E366" s="1272"/>
      <c r="F366" s="1272"/>
      <c r="I366" s="490"/>
    </row>
    <row r="367" spans="1:9">
      <c r="A367" s="476"/>
      <c r="B367" s="476"/>
      <c r="C367" s="476"/>
      <c r="D367" s="1272"/>
      <c r="E367" s="1272"/>
      <c r="F367" s="1272"/>
      <c r="I367" s="490"/>
    </row>
    <row r="368" spans="1:9">
      <c r="A368" s="476"/>
      <c r="B368" s="476"/>
      <c r="C368" s="476"/>
      <c r="D368" s="1272"/>
      <c r="E368" s="1272"/>
      <c r="F368" s="1272"/>
      <c r="I368" s="490"/>
    </row>
    <row r="369" spans="1:9">
      <c r="A369" s="476"/>
      <c r="B369" s="476"/>
      <c r="C369" s="476"/>
      <c r="D369" s="1272"/>
      <c r="E369" s="1272"/>
      <c r="F369" s="1272"/>
      <c r="I369" s="490"/>
    </row>
    <row r="370" spans="1:9">
      <c r="A370" s="476"/>
      <c r="B370" s="476"/>
      <c r="C370" s="476"/>
      <c r="D370" s="1272"/>
      <c r="E370" s="1272"/>
      <c r="F370" s="1272"/>
      <c r="I370" s="490"/>
    </row>
    <row r="371" spans="1:9">
      <c r="A371" s="476"/>
      <c r="B371" s="476"/>
      <c r="C371" s="476"/>
      <c r="D371" s="1272"/>
      <c r="E371" s="1272"/>
      <c r="F371" s="1272"/>
      <c r="I371" s="490"/>
    </row>
    <row r="372" spans="1:9">
      <c r="A372" s="476"/>
      <c r="B372" s="476"/>
      <c r="C372" s="476"/>
      <c r="D372" s="1272"/>
      <c r="E372" s="1272"/>
      <c r="F372" s="1272"/>
      <c r="I372" s="490"/>
    </row>
    <row r="373" spans="1:9">
      <c r="A373" s="476"/>
      <c r="B373" s="476"/>
      <c r="C373" s="476"/>
      <c r="D373" s="1272"/>
      <c r="E373" s="1272"/>
      <c r="F373" s="1272"/>
      <c r="I373" s="490"/>
    </row>
    <row r="374" spans="1:9">
      <c r="A374" s="476"/>
      <c r="B374" s="476"/>
      <c r="C374" s="476"/>
      <c r="D374" s="451"/>
      <c r="E374" s="451"/>
      <c r="F374" s="451"/>
      <c r="I374" s="490"/>
    </row>
    <row r="375" spans="1:9" ht="12.4" customHeight="1">
      <c r="A375" s="476"/>
      <c r="B375" s="485" t="s">
        <v>2730</v>
      </c>
      <c r="C375" s="476"/>
      <c r="D375" s="1280" t="s">
        <v>1221</v>
      </c>
      <c r="E375" s="1280"/>
      <c r="F375" s="1280"/>
      <c r="I375" s="490"/>
    </row>
    <row r="376" spans="1:9">
      <c r="A376" s="476"/>
      <c r="B376" s="476"/>
      <c r="C376" s="476"/>
      <c r="D376" s="1280"/>
      <c r="E376" s="1280"/>
      <c r="F376" s="1280"/>
      <c r="I376" s="490"/>
    </row>
    <row r="377" spans="1:9">
      <c r="A377" s="476"/>
      <c r="B377" s="476"/>
      <c r="C377" s="476"/>
      <c r="D377" s="1280"/>
      <c r="E377" s="1280"/>
      <c r="F377" s="1280"/>
      <c r="I377" s="490"/>
    </row>
    <row r="378" spans="1:9">
      <c r="A378" s="476"/>
      <c r="B378" s="476"/>
      <c r="C378" s="476"/>
      <c r="D378" s="1280"/>
      <c r="E378" s="1280"/>
      <c r="F378" s="1280"/>
      <c r="I378" s="490"/>
    </row>
    <row r="379" spans="1:9">
      <c r="A379" s="476"/>
      <c r="B379" s="476"/>
      <c r="C379" s="476"/>
      <c r="D379" s="524"/>
      <c r="E379" s="524"/>
      <c r="F379" s="524"/>
      <c r="I379" s="490"/>
    </row>
    <row r="380" spans="1:9">
      <c r="A380" s="476"/>
      <c r="B380" s="485" t="s">
        <v>2730</v>
      </c>
      <c r="C380" s="476"/>
      <c r="D380" s="402" t="s">
        <v>1834</v>
      </c>
      <c r="E380" s="524"/>
      <c r="F380" s="524"/>
      <c r="I380" s="490"/>
    </row>
    <row r="381" spans="1:9">
      <c r="A381" s="476"/>
      <c r="B381" s="476"/>
      <c r="C381" s="476"/>
      <c r="D381" s="402" t="s">
        <v>1835</v>
      </c>
      <c r="E381" s="524"/>
      <c r="F381" s="524"/>
      <c r="I381" s="490"/>
    </row>
    <row r="382" spans="1:9">
      <c r="A382" s="476"/>
      <c r="B382" s="476"/>
      <c r="C382" s="476"/>
      <c r="D382" s="402" t="s">
        <v>1836</v>
      </c>
      <c r="E382" s="524"/>
      <c r="F382" s="524"/>
      <c r="I382" s="490"/>
    </row>
    <row r="383" spans="1:9">
      <c r="A383" s="476"/>
      <c r="B383" s="476"/>
      <c r="C383" s="476"/>
      <c r="D383" s="402" t="s">
        <v>1837</v>
      </c>
      <c r="E383" s="524"/>
      <c r="F383" s="524"/>
      <c r="I383" s="490"/>
    </row>
    <row r="384" spans="1:9">
      <c r="A384" s="476"/>
      <c r="B384" s="476"/>
      <c r="C384" s="476"/>
      <c r="D384" s="402" t="s">
        <v>1838</v>
      </c>
      <c r="E384" s="524"/>
      <c r="F384" s="524"/>
      <c r="I384" s="490"/>
    </row>
    <row r="385" spans="1:9">
      <c r="A385" s="476"/>
      <c r="B385" s="476"/>
      <c r="C385" s="476"/>
      <c r="D385" s="402" t="s">
        <v>1839</v>
      </c>
      <c r="E385" s="524"/>
      <c r="F385" s="524"/>
      <c r="I385" s="490"/>
    </row>
    <row r="386" spans="1:9">
      <c r="A386" s="476"/>
      <c r="B386" s="476"/>
      <c r="C386" s="476"/>
      <c r="E386" s="447"/>
      <c r="F386" s="446"/>
      <c r="I386" s="490"/>
    </row>
    <row r="387" spans="1:9" ht="14.25">
      <c r="A387" s="484"/>
      <c r="B387" s="485" t="s">
        <v>2730</v>
      </c>
      <c r="C387" s="476"/>
      <c r="D387" s="1272" t="s">
        <v>1133</v>
      </c>
      <c r="E387" s="1272"/>
      <c r="F387" s="1272"/>
      <c r="I387" s="490"/>
    </row>
    <row r="388" spans="1:9">
      <c r="A388" s="476"/>
      <c r="B388" s="476"/>
      <c r="C388" s="476"/>
      <c r="D388" s="1272"/>
      <c r="E388" s="1272"/>
      <c r="F388" s="1272"/>
      <c r="I388" s="490"/>
    </row>
    <row r="389" spans="1:9">
      <c r="A389" s="476"/>
      <c r="B389" s="476"/>
      <c r="C389" s="476"/>
      <c r="D389" s="1272"/>
      <c r="E389" s="1272"/>
      <c r="F389" s="1272"/>
      <c r="I389" s="490"/>
    </row>
    <row r="390" spans="1:9">
      <c r="A390" s="476"/>
      <c r="B390" s="476"/>
      <c r="C390" s="476"/>
      <c r="D390" s="1272"/>
      <c r="E390" s="1272"/>
      <c r="F390" s="1272"/>
      <c r="I390" s="490"/>
    </row>
    <row r="391" spans="1:9">
      <c r="A391" s="476"/>
      <c r="B391" s="476"/>
      <c r="C391" s="476"/>
      <c r="D391" s="447"/>
      <c r="E391" s="447"/>
      <c r="F391" s="446"/>
      <c r="I391" s="490"/>
    </row>
    <row r="392" spans="1:9">
      <c r="A392" s="476"/>
      <c r="B392" s="476"/>
      <c r="C392" s="476"/>
      <c r="D392" s="1272" t="s">
        <v>1134</v>
      </c>
      <c r="E392" s="1272"/>
      <c r="F392" s="1272"/>
      <c r="I392" s="490"/>
    </row>
    <row r="393" spans="1:9">
      <c r="A393" s="476"/>
      <c r="B393" s="476"/>
      <c r="C393" s="476"/>
      <c r="D393" s="1272"/>
      <c r="E393" s="1272"/>
      <c r="F393" s="1272"/>
      <c r="I393" s="490"/>
    </row>
    <row r="394" spans="1:9">
      <c r="A394" s="476"/>
      <c r="B394" s="476"/>
      <c r="C394" s="476"/>
      <c r="D394" s="1272"/>
      <c r="E394" s="1272"/>
      <c r="F394" s="1272"/>
      <c r="I394" s="490"/>
    </row>
    <row r="395" spans="1:9">
      <c r="A395" s="476"/>
      <c r="B395" s="476"/>
      <c r="C395" s="476"/>
      <c r="D395" s="1272"/>
      <c r="E395" s="1272"/>
      <c r="F395" s="1272"/>
      <c r="I395" s="490"/>
    </row>
    <row r="396" spans="1:9" ht="18" customHeight="1">
      <c r="A396" s="476"/>
      <c r="B396" s="476"/>
      <c r="C396" s="476"/>
      <c r="D396" s="1272"/>
      <c r="E396" s="1272"/>
      <c r="F396" s="1272"/>
      <c r="I396" s="490"/>
    </row>
    <row r="397" spans="1:9">
      <c r="A397" s="476"/>
      <c r="B397" s="476"/>
      <c r="C397" s="476"/>
      <c r="D397" s="1272"/>
      <c r="E397" s="1272"/>
      <c r="F397" s="1272"/>
      <c r="I397" s="490"/>
    </row>
    <row r="398" spans="1:9">
      <c r="A398" s="476"/>
      <c r="B398" s="476"/>
      <c r="C398" s="476"/>
      <c r="D398" s="1272"/>
      <c r="E398" s="1272"/>
      <c r="F398" s="1272"/>
      <c r="I398" s="490"/>
    </row>
    <row r="399" spans="1:9">
      <c r="A399" s="476"/>
      <c r="B399" s="476"/>
      <c r="C399" s="476"/>
      <c r="D399" s="1272"/>
      <c r="E399" s="1272"/>
      <c r="F399" s="1272"/>
      <c r="I399" s="490"/>
    </row>
    <row r="400" spans="1:9" ht="8.25" customHeight="1">
      <c r="A400" s="476"/>
      <c r="B400" s="476"/>
      <c r="C400" s="476"/>
      <c r="D400" s="1272"/>
      <c r="E400" s="1272"/>
      <c r="F400" s="1272"/>
      <c r="I400" s="490"/>
    </row>
    <row r="401" spans="1:9" ht="13.7" customHeight="1">
      <c r="A401" s="476"/>
      <c r="B401" s="476"/>
      <c r="C401" s="476"/>
      <c r="D401" s="1272" t="s">
        <v>1135</v>
      </c>
      <c r="E401" s="1272"/>
      <c r="F401" s="1272"/>
      <c r="I401" s="490"/>
    </row>
    <row r="402" spans="1:9">
      <c r="A402" s="476"/>
      <c r="B402" s="476"/>
      <c r="C402" s="476"/>
      <c r="D402" s="1272"/>
      <c r="E402" s="1272"/>
      <c r="F402" s="1272"/>
      <c r="I402" s="490"/>
    </row>
    <row r="403" spans="1:9">
      <c r="A403" s="476"/>
      <c r="B403" s="476"/>
      <c r="C403" s="476"/>
      <c r="D403" s="1272"/>
      <c r="E403" s="1272"/>
      <c r="F403" s="1272"/>
      <c r="I403" s="490"/>
    </row>
    <row r="404" spans="1:9">
      <c r="A404" s="476"/>
      <c r="B404" s="476"/>
      <c r="C404" s="476"/>
      <c r="D404" s="1272"/>
      <c r="E404" s="1272"/>
      <c r="F404" s="1272"/>
      <c r="I404" s="490"/>
    </row>
    <row r="405" spans="1:9">
      <c r="A405" s="476"/>
      <c r="B405" s="476"/>
      <c r="C405" s="476"/>
      <c r="D405" s="1272"/>
      <c r="E405" s="1272"/>
      <c r="F405" s="1272"/>
      <c r="I405" s="490"/>
    </row>
    <row r="406" spans="1:9">
      <c r="A406" s="476"/>
      <c r="B406" s="476"/>
      <c r="C406" s="476"/>
      <c r="D406" s="1272"/>
      <c r="E406" s="1272"/>
      <c r="F406" s="1272"/>
      <c r="I406" s="490"/>
    </row>
    <row r="407" spans="1:9">
      <c r="A407" s="476"/>
      <c r="B407" s="476"/>
      <c r="C407" s="476"/>
      <c r="D407" s="1272"/>
      <c r="E407" s="1272"/>
      <c r="F407" s="1272"/>
      <c r="I407" s="490"/>
    </row>
    <row r="408" spans="1:9">
      <c r="A408" s="476"/>
      <c r="B408" s="476"/>
      <c r="C408" s="476"/>
      <c r="D408" s="1272"/>
      <c r="E408" s="1272"/>
      <c r="F408" s="1272"/>
      <c r="I408" s="490"/>
    </row>
    <row r="409" spans="1:9">
      <c r="A409" s="476"/>
      <c r="B409" s="476"/>
      <c r="C409" s="476"/>
      <c r="D409" s="1272"/>
      <c r="E409" s="1272"/>
      <c r="F409" s="1272"/>
      <c r="I409" s="490"/>
    </row>
    <row r="410" spans="1:9">
      <c r="A410" s="476"/>
      <c r="B410" s="476"/>
      <c r="C410" s="476"/>
      <c r="D410" s="1272"/>
      <c r="E410" s="1272"/>
      <c r="F410" s="1272"/>
      <c r="I410" s="490"/>
    </row>
    <row r="411" spans="1:9">
      <c r="A411" s="476"/>
      <c r="B411" s="476"/>
      <c r="C411" s="476"/>
      <c r="D411" s="1272"/>
      <c r="E411" s="1272"/>
      <c r="F411" s="1272"/>
      <c r="I411" s="490"/>
    </row>
    <row r="412" spans="1:9">
      <c r="A412" s="476"/>
      <c r="B412" s="476"/>
      <c r="C412" s="476"/>
      <c r="D412" s="1272"/>
      <c r="E412" s="1272"/>
      <c r="F412" s="1272"/>
      <c r="I412" s="490"/>
    </row>
    <row r="413" spans="1:9">
      <c r="A413" s="476"/>
      <c r="B413" s="476"/>
      <c r="C413" s="496"/>
      <c r="D413" s="1272"/>
      <c r="E413" s="1272"/>
      <c r="F413" s="1272"/>
      <c r="I413" s="490"/>
    </row>
    <row r="414" spans="1:9">
      <c r="A414" s="476"/>
      <c r="B414" s="476"/>
      <c r="C414" s="496"/>
      <c r="D414" s="1272"/>
      <c r="E414" s="1272"/>
      <c r="F414" s="1272"/>
      <c r="I414" s="490"/>
    </row>
    <row r="415" spans="1:9">
      <c r="A415" s="476"/>
      <c r="B415" s="476"/>
      <c r="C415" s="476"/>
      <c r="D415" s="1272"/>
      <c r="E415" s="1272"/>
      <c r="F415" s="1272"/>
      <c r="I415" s="490"/>
    </row>
    <row r="416" spans="1:9">
      <c r="A416" s="476"/>
      <c r="B416" s="476"/>
      <c r="C416" s="496"/>
      <c r="D416" s="1272"/>
      <c r="E416" s="1272"/>
      <c r="F416" s="1272"/>
      <c r="I416" s="490"/>
    </row>
    <row r="417" spans="1:9">
      <c r="A417" s="476"/>
      <c r="B417" s="476"/>
      <c r="C417" s="496"/>
      <c r="D417" s="1272"/>
      <c r="E417" s="1272"/>
      <c r="F417" s="1272"/>
      <c r="I417" s="490"/>
    </row>
    <row r="418" spans="1:9">
      <c r="A418" s="476"/>
      <c r="B418" s="476"/>
      <c r="C418" s="496"/>
      <c r="D418" s="1272"/>
      <c r="E418" s="1272"/>
      <c r="F418" s="1272"/>
      <c r="I418" s="490"/>
    </row>
    <row r="419" spans="1:9">
      <c r="A419" s="476"/>
      <c r="B419" s="476"/>
      <c r="C419" s="476"/>
      <c r="D419" s="447"/>
      <c r="E419" s="447"/>
      <c r="F419" s="446"/>
      <c r="I419" s="490"/>
    </row>
    <row r="420" spans="1:9">
      <c r="A420" s="476"/>
      <c r="B420" s="485" t="s">
        <v>2730</v>
      </c>
      <c r="C420" s="476"/>
      <c r="D420" s="1272" t="s">
        <v>1136</v>
      </c>
      <c r="E420" s="1272"/>
      <c r="F420" s="1272"/>
      <c r="I420" s="490"/>
    </row>
    <row r="421" spans="1:9">
      <c r="A421" s="476"/>
      <c r="B421" s="476"/>
      <c r="C421" s="476"/>
      <c r="D421" s="1272"/>
      <c r="E421" s="1272"/>
      <c r="F421" s="1272"/>
      <c r="I421" s="490"/>
    </row>
    <row r="422" spans="1:9">
      <c r="A422" s="476"/>
      <c r="B422" s="476"/>
      <c r="C422" s="476"/>
      <c r="D422" s="451"/>
      <c r="E422" s="451"/>
      <c r="F422" s="451"/>
      <c r="I422" s="490"/>
    </row>
    <row r="423" spans="1:9" ht="14.45" customHeight="1">
      <c r="A423" s="484"/>
      <c r="B423" s="485" t="s">
        <v>2730</v>
      </c>
      <c r="D423" s="1272" t="s">
        <v>1882</v>
      </c>
      <c r="E423" s="1272"/>
      <c r="F423" s="1272"/>
      <c r="I423" s="490"/>
    </row>
    <row r="424" spans="1:9" ht="14.45" customHeight="1">
      <c r="A424" s="484"/>
      <c r="D424" s="1272"/>
      <c r="E424" s="1272"/>
      <c r="F424" s="1272"/>
      <c r="I424" s="490"/>
    </row>
    <row r="425" spans="1:9" ht="14.45" customHeight="1">
      <c r="A425" s="484"/>
      <c r="D425" s="1272"/>
      <c r="E425" s="1272"/>
      <c r="F425" s="1272"/>
      <c r="I425" s="490"/>
    </row>
    <row r="426" spans="1:9" ht="14.45" customHeight="1">
      <c r="A426" s="484"/>
      <c r="D426" s="1272"/>
      <c r="E426" s="1272"/>
      <c r="F426" s="1272"/>
      <c r="I426" s="490"/>
    </row>
    <row r="427" spans="1:9" ht="14.45" customHeight="1">
      <c r="A427" s="484"/>
      <c r="D427" s="1272"/>
      <c r="E427" s="1272"/>
      <c r="F427" s="1272"/>
      <c r="I427" s="490"/>
    </row>
    <row r="428" spans="1:9" ht="14.45" customHeight="1">
      <c r="A428" s="484"/>
      <c r="D428" s="385"/>
      <c r="E428" s="385"/>
      <c r="F428" s="385"/>
      <c r="I428" s="490"/>
    </row>
    <row r="429" spans="1:9" ht="13.7" customHeight="1">
      <c r="A429" s="484"/>
      <c r="B429" s="485" t="s">
        <v>2730</v>
      </c>
      <c r="C429" s="476"/>
      <c r="D429" s="1272" t="s">
        <v>1240</v>
      </c>
      <c r="E429" s="1272"/>
      <c r="F429" s="1272"/>
      <c r="I429" s="490"/>
    </row>
    <row r="430" spans="1:9" ht="14.25">
      <c r="A430" s="497"/>
      <c r="B430" s="497"/>
      <c r="C430" s="476"/>
      <c r="D430" s="1272"/>
      <c r="E430" s="1272"/>
      <c r="F430" s="1272"/>
      <c r="I430" s="490"/>
    </row>
    <row r="431" spans="1:9" ht="14.25">
      <c r="A431" s="497"/>
      <c r="B431" s="497"/>
      <c r="C431" s="476"/>
      <c r="D431" s="1272"/>
      <c r="E431" s="1272"/>
      <c r="F431" s="1272"/>
      <c r="I431" s="490"/>
    </row>
    <row r="432" spans="1:9" ht="14.25">
      <c r="A432" s="497"/>
      <c r="B432" s="497"/>
      <c r="C432" s="476"/>
      <c r="D432" s="1272"/>
      <c r="E432" s="1272"/>
      <c r="F432" s="1272"/>
      <c r="I432" s="490"/>
    </row>
    <row r="433" spans="1:9" ht="15.75" customHeight="1">
      <c r="A433" s="497"/>
      <c r="B433" s="497"/>
      <c r="C433" s="476"/>
      <c r="D433" s="1330" t="s">
        <v>2074</v>
      </c>
      <c r="E433" s="1272"/>
      <c r="F433" s="1272"/>
      <c r="I433" s="490"/>
    </row>
    <row r="434" spans="1:9">
      <c r="D434" s="446"/>
      <c r="E434" s="446"/>
      <c r="F434" s="446"/>
      <c r="I434" s="490"/>
    </row>
    <row r="435" spans="1:9" ht="14.25">
      <c r="A435" s="484"/>
      <c r="B435" s="485" t="s">
        <v>2730</v>
      </c>
      <c r="C435" s="487"/>
      <c r="D435" s="1301" t="s">
        <v>2059</v>
      </c>
      <c r="E435" s="1301"/>
      <c r="F435" s="1301"/>
      <c r="I435" s="490"/>
    </row>
    <row r="436" spans="1:9" ht="14.25">
      <c r="A436" s="484"/>
      <c r="B436" s="484"/>
      <c r="D436" s="1301"/>
      <c r="E436" s="1301"/>
      <c r="F436" s="1301"/>
      <c r="I436" s="490"/>
    </row>
    <row r="437" spans="1:9">
      <c r="D437" s="1301"/>
      <c r="E437" s="1301"/>
      <c r="F437" s="1301"/>
      <c r="I437" s="490"/>
    </row>
    <row r="438" spans="1:9">
      <c r="D438" s="1301"/>
      <c r="E438" s="1301"/>
      <c r="F438" s="1301"/>
      <c r="I438" s="490"/>
    </row>
    <row r="439" spans="1:9">
      <c r="D439" s="1301"/>
      <c r="E439" s="1301"/>
      <c r="F439" s="1301"/>
      <c r="I439" s="490"/>
    </row>
    <row r="440" spans="1:9">
      <c r="D440" s="1301"/>
      <c r="E440" s="1301"/>
      <c r="F440" s="1301"/>
      <c r="I440" s="490"/>
    </row>
    <row r="441" spans="1:9">
      <c r="D441" s="1301"/>
      <c r="E441" s="1301"/>
      <c r="F441" s="1301"/>
      <c r="I441" s="490"/>
    </row>
    <row r="442" spans="1:9">
      <c r="D442" s="1301"/>
      <c r="E442" s="1301"/>
      <c r="F442" s="1301"/>
      <c r="I442" s="490"/>
    </row>
    <row r="443" spans="1:9">
      <c r="D443" s="1301"/>
      <c r="E443" s="1301"/>
      <c r="F443" s="1301"/>
      <c r="I443" s="490"/>
    </row>
    <row r="444" spans="1:9">
      <c r="D444" s="1301"/>
      <c r="E444" s="1301"/>
      <c r="F444" s="1301"/>
      <c r="I444" s="490"/>
    </row>
    <row r="445" spans="1:9">
      <c r="D445" s="1301"/>
      <c r="E445" s="1301"/>
      <c r="F445" s="1301"/>
      <c r="I445" s="490"/>
    </row>
    <row r="446" spans="1:9">
      <c r="D446" s="1301"/>
      <c r="E446" s="1301"/>
      <c r="F446" s="1301"/>
      <c r="I446" s="490"/>
    </row>
    <row r="447" spans="1:9">
      <c r="D447" s="1301"/>
      <c r="E447" s="1301"/>
      <c r="F447" s="1301"/>
      <c r="I447" s="490"/>
    </row>
    <row r="448" spans="1:9">
      <c r="A448" s="402"/>
      <c r="B448" s="402"/>
      <c r="C448" s="402"/>
      <c r="D448" s="1301"/>
      <c r="E448" s="1301"/>
      <c r="F448" s="1301"/>
      <c r="I448" s="490"/>
    </row>
    <row r="449" spans="1:9">
      <c r="A449" s="402"/>
      <c r="B449" s="402"/>
      <c r="C449" s="402"/>
      <c r="D449" s="1301"/>
      <c r="E449" s="1301"/>
      <c r="F449" s="1301"/>
      <c r="I449" s="490"/>
    </row>
    <row r="450" spans="1:9">
      <c r="A450" s="402"/>
      <c r="B450" s="402"/>
      <c r="C450" s="402"/>
      <c r="D450" s="1301"/>
      <c r="E450" s="1301"/>
      <c r="F450" s="1301"/>
      <c r="I450" s="490"/>
    </row>
    <row r="451" spans="1:9">
      <c r="A451" s="402"/>
      <c r="B451" s="402"/>
      <c r="C451" s="402"/>
      <c r="D451" s="1301"/>
      <c r="E451" s="1301"/>
      <c r="F451" s="1301"/>
      <c r="I451" s="490"/>
    </row>
    <row r="452" spans="1:9">
      <c r="A452" s="402"/>
      <c r="B452" s="402"/>
      <c r="C452" s="402"/>
      <c r="D452" s="1301"/>
      <c r="E452" s="1301"/>
      <c r="F452" s="1301"/>
      <c r="I452" s="490"/>
    </row>
    <row r="453" spans="1:9">
      <c r="A453" s="402"/>
      <c r="B453" s="402"/>
      <c r="C453" s="402"/>
      <c r="D453" s="1301"/>
      <c r="E453" s="1301"/>
      <c r="F453" s="1301"/>
      <c r="I453" s="490"/>
    </row>
    <row r="454" spans="1:9">
      <c r="A454" s="402"/>
      <c r="B454" s="402"/>
      <c r="C454" s="402"/>
      <c r="D454" s="1301"/>
      <c r="E454" s="1301"/>
      <c r="F454" s="1301"/>
      <c r="I454" s="490"/>
    </row>
    <row r="455" spans="1:9">
      <c r="A455" s="402"/>
      <c r="B455" s="402"/>
      <c r="C455" s="402"/>
      <c r="D455" s="1301"/>
      <c r="E455" s="1301"/>
      <c r="F455" s="1301"/>
      <c r="I455" s="490"/>
    </row>
    <row r="456" spans="1:9">
      <c r="A456" s="402"/>
      <c r="B456" s="402"/>
      <c r="C456" s="402"/>
      <c r="D456" s="1301"/>
      <c r="E456" s="1301"/>
      <c r="F456" s="1301"/>
      <c r="I456" s="490"/>
    </row>
    <row r="457" spans="1:9">
      <c r="A457" s="402"/>
      <c r="B457" s="402"/>
      <c r="C457" s="402"/>
      <c r="D457" s="1301"/>
      <c r="E457" s="1301"/>
      <c r="F457" s="1301"/>
      <c r="I457" s="490"/>
    </row>
    <row r="458" spans="1:9">
      <c r="A458" s="402"/>
      <c r="B458" s="402"/>
      <c r="C458" s="402"/>
      <c r="D458" s="1301"/>
      <c r="E458" s="1301"/>
      <c r="F458" s="1301"/>
      <c r="I458" s="490"/>
    </row>
    <row r="459" spans="1:9">
      <c r="A459" s="402"/>
      <c r="B459" s="402"/>
      <c r="C459" s="402"/>
      <c r="D459" s="1301"/>
      <c r="E459" s="1301"/>
      <c r="F459" s="1301"/>
      <c r="I459" s="490"/>
    </row>
    <row r="460" spans="1:9">
      <c r="A460" s="402"/>
      <c r="B460" s="402"/>
      <c r="C460" s="402"/>
      <c r="D460" s="1301"/>
      <c r="E460" s="1301"/>
      <c r="F460" s="1301"/>
      <c r="I460" s="490"/>
    </row>
    <row r="461" spans="1:9">
      <c r="A461" s="402"/>
      <c r="B461" s="402"/>
      <c r="C461" s="402"/>
      <c r="D461" s="1301"/>
      <c r="E461" s="1301"/>
      <c r="F461" s="1301"/>
      <c r="I461" s="490"/>
    </row>
    <row r="462" spans="1:9">
      <c r="A462" s="402"/>
      <c r="B462" s="402"/>
      <c r="C462" s="402"/>
      <c r="D462" s="1301"/>
      <c r="E462" s="1301"/>
      <c r="F462" s="1301"/>
      <c r="I462" s="490"/>
    </row>
    <row r="463" spans="1:9">
      <c r="A463" s="402"/>
      <c r="B463" s="402"/>
      <c r="C463" s="402"/>
      <c r="D463" s="1301"/>
      <c r="E463" s="1301"/>
      <c r="F463" s="1301"/>
      <c r="I463" s="490"/>
    </row>
    <row r="464" spans="1:9">
      <c r="D464" s="1301"/>
      <c r="E464" s="1301"/>
      <c r="F464" s="1301"/>
      <c r="I464" s="490"/>
    </row>
    <row r="465" spans="1:9" ht="40.700000000000003" customHeight="1">
      <c r="D465" s="1301"/>
      <c r="E465" s="1301"/>
      <c r="F465" s="1301"/>
      <c r="I465" s="490"/>
    </row>
    <row r="466" spans="1:9">
      <c r="D466" s="446"/>
      <c r="E466" s="446"/>
      <c r="F466" s="446"/>
      <c r="I466" s="490"/>
    </row>
    <row r="467" spans="1:9" ht="14.25">
      <c r="A467" s="484"/>
      <c r="B467" s="485" t="s">
        <v>2730</v>
      </c>
      <c r="C467" s="487"/>
      <c r="D467" s="1301" t="s">
        <v>1137</v>
      </c>
      <c r="E467" s="1301"/>
      <c r="F467" s="1301"/>
      <c r="I467" s="490"/>
    </row>
    <row r="468" spans="1:9">
      <c r="D468" s="1301"/>
      <c r="E468" s="1301"/>
      <c r="F468" s="1301"/>
      <c r="I468" s="490"/>
    </row>
    <row r="469" spans="1:9">
      <c r="D469" s="1301"/>
      <c r="E469" s="1301"/>
      <c r="F469" s="1301"/>
      <c r="I469" s="490"/>
    </row>
    <row r="470" spans="1:9">
      <c r="D470" s="445"/>
      <c r="E470" s="445"/>
      <c r="F470" s="445"/>
      <c r="I470" s="490"/>
    </row>
    <row r="471" spans="1:9" ht="14.25">
      <c r="B471" s="485" t="s">
        <v>2730</v>
      </c>
      <c r="C471" s="484"/>
      <c r="D471" s="1301" t="s">
        <v>1197</v>
      </c>
      <c r="E471" s="1301"/>
      <c r="F471" s="1301"/>
      <c r="I471" s="490"/>
    </row>
    <row r="472" spans="1:9">
      <c r="D472" s="1301"/>
      <c r="E472" s="1301"/>
      <c r="F472" s="1301"/>
      <c r="I472" s="490"/>
    </row>
    <row r="473" spans="1:9">
      <c r="D473" s="446"/>
      <c r="E473" s="446"/>
      <c r="F473" s="446"/>
      <c r="I473" s="490"/>
    </row>
    <row r="474" spans="1:9" ht="14.25">
      <c r="B474" s="485" t="s">
        <v>2730</v>
      </c>
      <c r="C474" s="484"/>
      <c r="D474" s="1301" t="s">
        <v>1138</v>
      </c>
      <c r="E474" s="1301"/>
      <c r="F474" s="1301"/>
      <c r="I474" s="490"/>
    </row>
    <row r="475" spans="1:9">
      <c r="D475" s="1301"/>
      <c r="E475" s="1301"/>
      <c r="F475" s="1301"/>
      <c r="I475" s="490"/>
    </row>
    <row r="476" spans="1:9">
      <c r="D476" s="1301"/>
      <c r="E476" s="1301"/>
      <c r="F476" s="1301"/>
      <c r="I476" s="490"/>
    </row>
    <row r="477" spans="1:9">
      <c r="D477" s="1301"/>
      <c r="E477" s="1301"/>
      <c r="F477" s="1301"/>
      <c r="I477" s="490"/>
    </row>
    <row r="478" spans="1:9">
      <c r="B478" s="485" t="s">
        <v>2730</v>
      </c>
      <c r="D478" s="1301"/>
      <c r="E478" s="1301"/>
      <c r="F478" s="1301"/>
      <c r="I478" s="490"/>
    </row>
    <row r="479" spans="1:9">
      <c r="A479" s="402"/>
      <c r="B479" s="402"/>
      <c r="C479" s="402"/>
      <c r="D479" s="1301"/>
      <c r="E479" s="1301"/>
      <c r="F479" s="1301"/>
      <c r="I479" s="490"/>
    </row>
    <row r="480" spans="1:9">
      <c r="A480" s="402"/>
      <c r="C480" s="402"/>
      <c r="D480" s="1301"/>
      <c r="E480" s="1301"/>
      <c r="F480" s="1301"/>
      <c r="I480" s="490"/>
    </row>
    <row r="481" spans="1:9">
      <c r="A481" s="402"/>
      <c r="B481" s="485" t="s">
        <v>2730</v>
      </c>
      <c r="C481" s="402"/>
      <c r="D481" s="1301"/>
      <c r="E481" s="1301"/>
      <c r="F481" s="1301"/>
      <c r="I481" s="490"/>
    </row>
    <row r="482" spans="1:9">
      <c r="A482" s="402"/>
      <c r="B482" s="402"/>
      <c r="C482" s="402"/>
      <c r="D482" s="1301"/>
      <c r="E482" s="1301"/>
      <c r="F482" s="1301"/>
      <c r="I482" s="490"/>
    </row>
    <row r="483" spans="1:9">
      <c r="A483" s="402"/>
      <c r="C483" s="402"/>
      <c r="D483" s="1301"/>
      <c r="E483" s="1301"/>
      <c r="F483" s="1301"/>
      <c r="I483" s="490"/>
    </row>
    <row r="484" spans="1:9">
      <c r="A484" s="402"/>
      <c r="C484" s="402"/>
      <c r="D484" s="1301"/>
      <c r="E484" s="1301"/>
      <c r="F484" s="1301"/>
      <c r="I484" s="490"/>
    </row>
    <row r="485" spans="1:9">
      <c r="A485" s="402"/>
      <c r="C485" s="402"/>
      <c r="D485" s="1301"/>
      <c r="E485" s="1301"/>
      <c r="F485" s="1301"/>
      <c r="I485" s="490"/>
    </row>
    <row r="486" spans="1:9">
      <c r="A486" s="402"/>
      <c r="B486" s="485" t="s">
        <v>2730</v>
      </c>
      <c r="C486" s="402"/>
      <c r="D486" s="1301"/>
      <c r="E486" s="1301"/>
      <c r="F486" s="1301"/>
      <c r="I486" s="490"/>
    </row>
    <row r="487" spans="1:9">
      <c r="A487" s="402"/>
      <c r="C487" s="402"/>
      <c r="D487" s="1301"/>
      <c r="E487" s="1301"/>
      <c r="F487" s="1301"/>
      <c r="I487" s="490"/>
    </row>
    <row r="488" spans="1:9">
      <c r="A488" s="402"/>
      <c r="B488" s="485" t="s">
        <v>2730</v>
      </c>
      <c r="C488" s="402"/>
      <c r="D488" s="1301" t="s">
        <v>1139</v>
      </c>
      <c r="E488" s="1301"/>
      <c r="F488" s="1301"/>
      <c r="I488" s="490"/>
    </row>
    <row r="489" spans="1:9">
      <c r="A489" s="402"/>
      <c r="B489" s="402"/>
      <c r="C489" s="402"/>
      <c r="D489" s="1301"/>
      <c r="E489" s="1301"/>
      <c r="F489" s="1301"/>
      <c r="I489" s="490"/>
    </row>
    <row r="490" spans="1:9">
      <c r="A490" s="402"/>
      <c r="B490" s="402"/>
      <c r="C490" s="402"/>
      <c r="D490" s="1301"/>
      <c r="E490" s="1301"/>
      <c r="F490" s="1301"/>
      <c r="I490" s="490"/>
    </row>
    <row r="491" spans="1:9">
      <c r="A491" s="402"/>
      <c r="B491" s="402"/>
      <c r="C491" s="402"/>
      <c r="D491" s="1301"/>
      <c r="E491" s="1301"/>
      <c r="F491" s="1301"/>
      <c r="I491" s="490"/>
    </row>
    <row r="492" spans="1:9">
      <c r="D492" s="1301"/>
      <c r="E492" s="1301"/>
      <c r="F492" s="1301"/>
      <c r="I492" s="490"/>
    </row>
    <row r="493" spans="1:9">
      <c r="D493" s="446"/>
      <c r="E493" s="446"/>
      <c r="F493" s="446"/>
      <c r="I493" s="490"/>
    </row>
    <row r="494" spans="1:9">
      <c r="B494" s="485" t="s">
        <v>2730</v>
      </c>
      <c r="D494" s="1299" t="s">
        <v>1140</v>
      </c>
      <c r="E494" s="1299"/>
      <c r="F494" s="1299"/>
      <c r="I494" s="490"/>
    </row>
    <row r="495" spans="1:9">
      <c r="A495" s="446"/>
      <c r="B495" s="446"/>
      <c r="I495" s="490"/>
    </row>
    <row r="496" spans="1:9">
      <c r="A496" s="1308" t="s">
        <v>1050</v>
      </c>
      <c r="B496" s="1308"/>
      <c r="C496" s="1308"/>
      <c r="D496" s="1308"/>
      <c r="E496" s="1308"/>
      <c r="F496" s="1308"/>
      <c r="G496" s="1308"/>
      <c r="H496" s="1028"/>
      <c r="I496" s="1153"/>
    </row>
    <row r="497" spans="1:9">
      <c r="A497" s="446"/>
      <c r="B497" s="446"/>
      <c r="I497" s="490"/>
    </row>
    <row r="498" spans="1:9">
      <c r="D498" s="1327" t="s">
        <v>883</v>
      </c>
      <c r="E498" s="1327"/>
      <c r="F498" s="1327"/>
      <c r="I498" s="490"/>
    </row>
    <row r="499" spans="1:9" ht="14.25">
      <c r="A499" s="484"/>
      <c r="B499" s="484"/>
      <c r="D499" s="1318" t="s">
        <v>1141</v>
      </c>
      <c r="E499" s="1318"/>
      <c r="F499" s="1318"/>
      <c r="I499" s="490"/>
    </row>
    <row r="500" spans="1:9" ht="14.25">
      <c r="A500" s="484"/>
      <c r="B500" s="484"/>
      <c r="D500" s="447"/>
      <c r="I500" s="490"/>
    </row>
    <row r="501" spans="1:9" ht="14.25">
      <c r="A501" s="484"/>
      <c r="B501" s="485" t="s">
        <v>306</v>
      </c>
      <c r="D501" s="1272" t="s">
        <v>1142</v>
      </c>
      <c r="E501" s="1272"/>
      <c r="F501" s="1272"/>
      <c r="I501" s="490"/>
    </row>
    <row r="502" spans="1:9" ht="14.25">
      <c r="A502" s="484"/>
      <c r="B502" s="484"/>
      <c r="D502" s="1272"/>
      <c r="E502" s="1272"/>
      <c r="F502" s="1272"/>
      <c r="I502" s="490"/>
    </row>
    <row r="503" spans="1:9" ht="14.25">
      <c r="A503" s="484"/>
      <c r="B503" s="484"/>
      <c r="D503" s="446"/>
      <c r="I503" s="490"/>
    </row>
    <row r="504" spans="1:9" ht="12.75" customHeight="1">
      <c r="B504" s="485" t="s">
        <v>2730</v>
      </c>
      <c r="D504" s="1313" t="s">
        <v>1273</v>
      </c>
      <c r="E504" s="1313"/>
      <c r="F504" s="1313"/>
      <c r="I504" s="490"/>
    </row>
    <row r="505" spans="1:9" ht="14.25">
      <c r="A505" s="484"/>
      <c r="D505" s="1313"/>
      <c r="E505" s="1313"/>
      <c r="F505" s="1313"/>
      <c r="I505" s="490"/>
    </row>
    <row r="506" spans="1:9" ht="14.25">
      <c r="A506" s="484"/>
      <c r="B506" s="484"/>
      <c r="D506" s="1313"/>
      <c r="E506" s="1313"/>
      <c r="F506" s="1313"/>
      <c r="I506" s="490"/>
    </row>
    <row r="507" spans="1:9" ht="14.25">
      <c r="A507" s="484"/>
      <c r="B507" s="484"/>
      <c r="D507" s="1313"/>
      <c r="E507" s="1313"/>
      <c r="F507" s="1313"/>
      <c r="I507" s="490"/>
    </row>
    <row r="508" spans="1:9" ht="14.25">
      <c r="A508" s="484"/>
      <c r="D508" s="520"/>
      <c r="E508" s="520"/>
      <c r="F508" s="520"/>
      <c r="I508" s="490"/>
    </row>
    <row r="509" spans="1:9" ht="14.25">
      <c r="A509" s="484"/>
      <c r="B509" s="485" t="s">
        <v>2730</v>
      </c>
      <c r="D509" s="1299" t="s">
        <v>1143</v>
      </c>
      <c r="E509" s="1299"/>
      <c r="F509" s="1299"/>
      <c r="I509" s="490"/>
    </row>
    <row r="510" spans="1:9" ht="14.25">
      <c r="A510" s="484"/>
      <c r="B510" s="484"/>
      <c r="D510" s="446"/>
      <c r="I510" s="490"/>
    </row>
    <row r="511" spans="1:9" ht="14.25">
      <c r="A511" s="484"/>
      <c r="B511" s="485" t="s">
        <v>2730</v>
      </c>
      <c r="D511" s="1301" t="s">
        <v>1144</v>
      </c>
      <c r="E511" s="1301"/>
      <c r="F511" s="1301"/>
      <c r="I511" s="490"/>
    </row>
    <row r="512" spans="1:9" ht="14.25">
      <c r="A512" s="484"/>
      <c r="D512" s="1301"/>
      <c r="E512" s="1301"/>
      <c r="F512" s="1301"/>
      <c r="I512" s="490"/>
    </row>
    <row r="513" spans="1:9">
      <c r="A513" s="490"/>
      <c r="B513" s="490"/>
      <c r="D513" s="447"/>
      <c r="I513" s="490"/>
    </row>
    <row r="514" spans="1:9">
      <c r="A514" s="490"/>
      <c r="B514" s="485" t="s">
        <v>2730</v>
      </c>
      <c r="D514" s="1299" t="s">
        <v>1145</v>
      </c>
      <c r="E514" s="1299"/>
      <c r="F514" s="1299"/>
      <c r="I514" s="490"/>
    </row>
    <row r="515" spans="1:9">
      <c r="D515" s="446"/>
      <c r="E515" s="446"/>
      <c r="F515" s="446"/>
      <c r="I515" s="490"/>
    </row>
    <row r="516" spans="1:9">
      <c r="B516" s="485" t="s">
        <v>2730</v>
      </c>
      <c r="D516" s="1301" t="s">
        <v>2281</v>
      </c>
      <c r="E516" s="1301"/>
      <c r="F516" s="1301"/>
      <c r="I516" s="490"/>
    </row>
    <row r="517" spans="1:9">
      <c r="D517" s="1301"/>
      <c r="E517" s="1301"/>
      <c r="F517" s="1301"/>
      <c r="I517" s="490"/>
    </row>
    <row r="518" spans="1:9">
      <c r="D518" s="1301"/>
      <c r="E518" s="1301"/>
      <c r="F518" s="1301"/>
      <c r="I518" s="490"/>
    </row>
    <row r="519" spans="1:9">
      <c r="D519" s="446"/>
      <c r="E519" s="446"/>
      <c r="F519" s="446"/>
      <c r="I519" s="490"/>
    </row>
    <row r="520" spans="1:9" ht="14.25">
      <c r="A520" s="484"/>
      <c r="B520" s="484"/>
      <c r="D520" s="446"/>
      <c r="I520" s="490"/>
    </row>
    <row r="521" spans="1:9">
      <c r="A521" s="1308" t="s">
        <v>1051</v>
      </c>
      <c r="B521" s="1308"/>
      <c r="C521" s="1308"/>
      <c r="D521" s="1308"/>
      <c r="E521" s="1308"/>
      <c r="F521" s="1308"/>
      <c r="G521" s="1308"/>
      <c r="H521" s="1028"/>
      <c r="I521" s="1153"/>
    </row>
    <row r="522" spans="1:9" ht="12" customHeight="1">
      <c r="A522" s="484"/>
      <c r="B522" s="484"/>
      <c r="D522" s="446"/>
      <c r="I522" s="490"/>
    </row>
    <row r="523" spans="1:9">
      <c r="C523" s="482"/>
      <c r="D523" s="1309" t="s">
        <v>793</v>
      </c>
      <c r="E523" s="1309"/>
      <c r="F523" s="1309"/>
      <c r="I523" s="490"/>
    </row>
    <row r="524" spans="1:9">
      <c r="C524" s="482"/>
      <c r="D524" s="506" t="s">
        <v>1199</v>
      </c>
      <c r="E524" s="506"/>
      <c r="F524" s="506"/>
      <c r="I524" s="490"/>
    </row>
    <row r="525" spans="1:9">
      <c r="C525" s="482"/>
      <c r="D525" s="506" t="s">
        <v>1200</v>
      </c>
      <c r="E525" s="506"/>
      <c r="F525" s="506"/>
      <c r="I525" s="490"/>
    </row>
    <row r="526" spans="1:9">
      <c r="C526" s="482"/>
      <c r="D526" s="481"/>
      <c r="E526" s="481"/>
      <c r="F526" s="481"/>
      <c r="I526" s="490"/>
    </row>
    <row r="527" spans="1:9" ht="13.7" customHeight="1">
      <c r="A527" s="483"/>
      <c r="B527" s="485" t="s">
        <v>2751</v>
      </c>
      <c r="C527" s="483"/>
      <c r="D527" s="1272" t="s">
        <v>2060</v>
      </c>
      <c r="E527" s="1272"/>
      <c r="F527" s="1272"/>
      <c r="I527" s="490"/>
    </row>
    <row r="528" spans="1:9">
      <c r="A528" s="483"/>
      <c r="B528" s="483"/>
      <c r="C528" s="483"/>
      <c r="D528" s="1272"/>
      <c r="E528" s="1272"/>
      <c r="F528" s="1272"/>
      <c r="I528" s="490"/>
    </row>
    <row r="529" spans="1:9">
      <c r="A529" s="483"/>
      <c r="B529" s="483"/>
      <c r="C529" s="483"/>
      <c r="D529" s="451"/>
      <c r="E529" s="451"/>
      <c r="F529" s="451"/>
      <c r="I529" s="480"/>
    </row>
    <row r="530" spans="1:9" ht="12.75" customHeight="1">
      <c r="A530" s="483"/>
      <c r="B530" s="485" t="s">
        <v>2751</v>
      </c>
      <c r="D530" s="386" t="s">
        <v>1904</v>
      </c>
      <c r="E530" s="385"/>
      <c r="F530" s="385"/>
      <c r="I530" s="490"/>
    </row>
    <row r="531" spans="1:9">
      <c r="A531" s="483"/>
      <c r="B531" s="483"/>
      <c r="C531" s="483"/>
      <c r="D531" s="385"/>
      <c r="E531" s="96" t="s">
        <v>1905</v>
      </c>
      <c r="I531" s="490"/>
    </row>
    <row r="532" spans="1:9">
      <c r="A532" s="483"/>
      <c r="B532" s="483"/>
      <c r="D532" s="1280" t="s">
        <v>2061</v>
      </c>
      <c r="E532" s="1280"/>
      <c r="F532" s="1280"/>
      <c r="I532" s="490"/>
    </row>
    <row r="533" spans="1:9">
      <c r="A533" s="483"/>
      <c r="B533" s="483"/>
      <c r="D533" s="1280"/>
      <c r="E533" s="1280"/>
      <c r="F533" s="1280"/>
      <c r="I533" s="490"/>
    </row>
    <row r="534" spans="1:9">
      <c r="A534" s="483"/>
      <c r="B534" s="483"/>
      <c r="C534" s="483"/>
      <c r="D534" s="1280"/>
      <c r="E534" s="1280"/>
      <c r="F534" s="1280"/>
      <c r="I534" s="490"/>
    </row>
    <row r="535" spans="1:9">
      <c r="A535" s="483"/>
      <c r="B535" s="483"/>
      <c r="C535" s="483"/>
      <c r="D535" s="498"/>
      <c r="F535" s="446"/>
      <c r="I535" s="490"/>
    </row>
    <row r="536" spans="1:9" ht="13.15" customHeight="1">
      <c r="A536" s="483"/>
      <c r="B536" s="485" t="s">
        <v>2730</v>
      </c>
      <c r="C536" s="483"/>
      <c r="D536" s="1301" t="s">
        <v>2062</v>
      </c>
      <c r="E536" s="1301"/>
      <c r="F536" s="1301"/>
      <c r="I536" s="490"/>
    </row>
    <row r="537" spans="1:9">
      <c r="A537" s="483"/>
      <c r="B537" s="483"/>
      <c r="C537" s="483"/>
      <c r="D537" s="1301"/>
      <c r="E537" s="1301"/>
      <c r="F537" s="1301"/>
      <c r="I537" s="490"/>
    </row>
    <row r="538" spans="1:9" ht="12" customHeight="1">
      <c r="A538" s="446"/>
      <c r="B538" s="446"/>
      <c r="C538" s="487"/>
      <c r="D538" s="446"/>
      <c r="F538" s="448"/>
      <c r="I538" s="490"/>
    </row>
    <row r="539" spans="1:9">
      <c r="A539" s="1308" t="s">
        <v>1052</v>
      </c>
      <c r="B539" s="1308"/>
      <c r="C539" s="1308"/>
      <c r="D539" s="1308"/>
      <c r="E539" s="1308"/>
      <c r="F539" s="1308"/>
      <c r="G539" s="1308"/>
      <c r="H539" s="1028"/>
      <c r="I539" s="1153"/>
    </row>
    <row r="540" spans="1:9">
      <c r="A540" s="446"/>
      <c r="B540" s="446"/>
      <c r="C540" s="487"/>
      <c r="F540" s="448"/>
      <c r="I540" s="490"/>
    </row>
    <row r="541" spans="1:9">
      <c r="B541" s="1303" t="s">
        <v>446</v>
      </c>
      <c r="C541" s="1303"/>
      <c r="D541" s="1303"/>
      <c r="E541" s="1303"/>
      <c r="F541" s="1303"/>
      <c r="I541" s="490"/>
    </row>
    <row r="542" spans="1:9">
      <c r="A542" s="446"/>
      <c r="B542" s="446"/>
      <c r="C542" s="487"/>
      <c r="D542" s="446"/>
      <c r="F542" s="446"/>
      <c r="I542" s="490"/>
    </row>
    <row r="543" spans="1:9">
      <c r="A543" s="1300" t="s">
        <v>1053</v>
      </c>
      <c r="B543" s="1300"/>
      <c r="C543" s="1300"/>
      <c r="D543" s="1300"/>
      <c r="E543" s="1300"/>
      <c r="F543" s="1300"/>
      <c r="G543" s="1300"/>
      <c r="H543" s="1028"/>
      <c r="I543" s="1153"/>
    </row>
    <row r="544" spans="1:9">
      <c r="A544" s="446"/>
      <c r="B544" s="446"/>
      <c r="C544" s="487"/>
      <c r="D544" s="446"/>
      <c r="F544" s="446"/>
      <c r="I544" s="490"/>
    </row>
    <row r="545" spans="1:9">
      <c r="C545" s="487"/>
      <c r="D545" s="1309" t="s">
        <v>683</v>
      </c>
      <c r="E545" s="1309"/>
      <c r="F545" s="1309"/>
      <c r="I545" s="490"/>
    </row>
    <row r="546" spans="1:9">
      <c r="C546" s="487"/>
      <c r="D546" s="1299" t="s">
        <v>1081</v>
      </c>
      <c r="E546" s="1299"/>
      <c r="F546" s="1299"/>
      <c r="I546" s="490"/>
    </row>
    <row r="547" spans="1:9">
      <c r="C547" s="487"/>
      <c r="D547" s="446"/>
      <c r="E547" s="446"/>
      <c r="F547" s="446"/>
      <c r="I547" s="490"/>
    </row>
    <row r="548" spans="1:9" ht="13.7" customHeight="1">
      <c r="A548" s="484"/>
      <c r="B548" s="485" t="s">
        <v>2751</v>
      </c>
      <c r="C548" s="487"/>
      <c r="D548" s="1299" t="s">
        <v>884</v>
      </c>
      <c r="E548" s="1299"/>
      <c r="F548" s="1299"/>
      <c r="I548" s="490"/>
    </row>
    <row r="549" spans="1:9" ht="13.7" customHeight="1">
      <c r="A549" s="487"/>
      <c r="B549" s="487"/>
      <c r="C549" s="487"/>
      <c r="D549" s="446"/>
      <c r="I549" s="490"/>
    </row>
    <row r="550" spans="1:9" ht="14.25">
      <c r="A550" s="484"/>
      <c r="B550" s="485" t="s">
        <v>2751</v>
      </c>
      <c r="C550" s="487"/>
      <c r="D550" s="1301" t="s">
        <v>1082</v>
      </c>
      <c r="E550" s="1301"/>
      <c r="F550" s="1301"/>
      <c r="I550" s="490"/>
    </row>
    <row r="551" spans="1:9">
      <c r="A551" s="487"/>
      <c r="B551" s="487"/>
      <c r="C551" s="487"/>
      <c r="D551" s="1301"/>
      <c r="E551" s="1301"/>
      <c r="F551" s="1301"/>
      <c r="I551" s="490"/>
    </row>
    <row r="552" spans="1:9">
      <c r="A552" s="487"/>
      <c r="B552" s="487"/>
      <c r="C552" s="487"/>
      <c r="D552" s="446"/>
      <c r="E552" s="446"/>
      <c r="F552" s="446"/>
      <c r="I552" s="490"/>
    </row>
    <row r="553" spans="1:9" ht="14.25">
      <c r="A553" s="484"/>
      <c r="B553" s="485" t="s">
        <v>2751</v>
      </c>
      <c r="C553" s="487"/>
      <c r="D553" s="1301" t="s">
        <v>1083</v>
      </c>
      <c r="E553" s="1301"/>
      <c r="F553" s="1301"/>
      <c r="I553" s="490"/>
    </row>
    <row r="554" spans="1:9">
      <c r="A554" s="487"/>
      <c r="B554" s="487"/>
      <c r="C554" s="487"/>
      <c r="D554" s="1301"/>
      <c r="E554" s="1301"/>
      <c r="F554" s="1301"/>
      <c r="I554" s="490"/>
    </row>
    <row r="555" spans="1:9">
      <c r="A555" s="487"/>
      <c r="B555" s="487"/>
      <c r="C555" s="487"/>
      <c r="D555" s="446"/>
      <c r="E555" s="446"/>
      <c r="F555" s="446"/>
      <c r="I555" s="490"/>
    </row>
    <row r="556" spans="1:9" ht="14.25">
      <c r="A556" s="484"/>
      <c r="B556" s="485" t="s">
        <v>2751</v>
      </c>
      <c r="C556" s="487"/>
      <c r="D556" s="1301" t="s">
        <v>1084</v>
      </c>
      <c r="E556" s="1301"/>
      <c r="F556" s="1301"/>
      <c r="I556" s="490"/>
    </row>
    <row r="557" spans="1:9">
      <c r="A557" s="487"/>
      <c r="B557" s="487"/>
      <c r="C557" s="487"/>
      <c r="D557" s="1301"/>
      <c r="E557" s="1301"/>
      <c r="F557" s="1301"/>
      <c r="I557" s="490"/>
    </row>
    <row r="558" spans="1:9">
      <c r="A558" s="487"/>
      <c r="B558" s="487"/>
      <c r="C558" s="487"/>
      <c r="D558" s="446"/>
      <c r="E558" s="446"/>
      <c r="F558" s="446"/>
      <c r="I558" s="490"/>
    </row>
    <row r="559" spans="1:9" ht="14.25">
      <c r="A559" s="484"/>
      <c r="B559" s="485" t="s">
        <v>2751</v>
      </c>
      <c r="C559" s="487"/>
      <c r="D559" s="1301" t="s">
        <v>1085</v>
      </c>
      <c r="E559" s="1301"/>
      <c r="F559" s="1301"/>
      <c r="I559" s="490"/>
    </row>
    <row r="560" spans="1:9">
      <c r="A560" s="487"/>
      <c r="B560" s="487"/>
      <c r="C560" s="487"/>
      <c r="D560" s="1301"/>
      <c r="E560" s="1301"/>
      <c r="F560" s="1301"/>
      <c r="I560" s="490"/>
    </row>
    <row r="561" spans="1:9">
      <c r="A561" s="487"/>
      <c r="B561" s="487"/>
      <c r="C561" s="487"/>
      <c r="D561" s="1301"/>
      <c r="E561" s="1301"/>
      <c r="F561" s="1301"/>
      <c r="I561" s="490"/>
    </row>
    <row r="562" spans="1:9">
      <c r="A562" s="487"/>
      <c r="B562" s="487"/>
      <c r="C562" s="487"/>
      <c r="D562" s="446"/>
      <c r="E562" s="446"/>
      <c r="F562" s="446"/>
      <c r="I562" s="490"/>
    </row>
    <row r="563" spans="1:9" ht="14.25">
      <c r="A563" s="484"/>
      <c r="B563" s="485" t="s">
        <v>2730</v>
      </c>
      <c r="C563" s="487"/>
      <c r="D563" s="1301" t="s">
        <v>2248</v>
      </c>
      <c r="E563" s="1301"/>
      <c r="F563" s="1301"/>
      <c r="I563" s="490"/>
    </row>
    <row r="564" spans="1:9">
      <c r="A564" s="487"/>
      <c r="B564" s="487"/>
      <c r="C564" s="487"/>
      <c r="D564" s="1301"/>
      <c r="E564" s="1301"/>
      <c r="F564" s="1301"/>
      <c r="I564" s="490"/>
    </row>
    <row r="565" spans="1:9">
      <c r="A565" s="487"/>
      <c r="B565" s="487"/>
      <c r="C565" s="487"/>
      <c r="D565" s="446"/>
      <c r="E565" s="446"/>
      <c r="F565" s="446"/>
      <c r="I565" s="490"/>
    </row>
    <row r="566" spans="1:9" ht="14.25">
      <c r="A566" s="484"/>
      <c r="B566" s="485" t="s">
        <v>2751</v>
      </c>
      <c r="C566" s="487"/>
      <c r="D566" s="1301" t="s">
        <v>1086</v>
      </c>
      <c r="E566" s="1301"/>
      <c r="F566" s="1301"/>
      <c r="I566" s="490"/>
    </row>
    <row r="567" spans="1:9">
      <c r="A567" s="487"/>
      <c r="B567" s="487"/>
      <c r="C567" s="487"/>
      <c r="D567" s="1301"/>
      <c r="E567" s="1301"/>
      <c r="F567" s="1301"/>
      <c r="I567" s="490"/>
    </row>
    <row r="568" spans="1:9">
      <c r="A568" s="487"/>
      <c r="B568" s="487"/>
      <c r="C568" s="487"/>
      <c r="D568" s="446"/>
      <c r="E568" s="446"/>
      <c r="F568" s="446"/>
      <c r="I568" s="490"/>
    </row>
    <row r="569" spans="1:9" ht="14.25">
      <c r="A569" s="484"/>
      <c r="B569" s="485" t="s">
        <v>2751</v>
      </c>
      <c r="C569" s="487"/>
      <c r="D569" s="1299" t="s">
        <v>1087</v>
      </c>
      <c r="E569" s="1299"/>
      <c r="F569" s="1299"/>
      <c r="I569" s="490"/>
    </row>
    <row r="570" spans="1:9">
      <c r="A570" s="490"/>
      <c r="B570" s="490"/>
      <c r="C570" s="487"/>
      <c r="D570" s="1299" t="s">
        <v>1907</v>
      </c>
      <c r="E570" s="1299"/>
      <c r="F570" s="1299"/>
      <c r="I570" s="490"/>
    </row>
    <row r="571" spans="1:9">
      <c r="A571" s="490"/>
      <c r="B571" s="490"/>
      <c r="C571" s="487"/>
      <c r="E571" s="96" t="s">
        <v>1906</v>
      </c>
      <c r="F571" s="404"/>
      <c r="I571" s="490"/>
    </row>
    <row r="572" spans="1:9" ht="14.25">
      <c r="A572" s="484"/>
      <c r="B572" s="484"/>
      <c r="C572" s="487"/>
      <c r="E572" s="446"/>
      <c r="F572" s="446"/>
      <c r="I572" s="490"/>
    </row>
    <row r="573" spans="1:9" ht="14.25">
      <c r="A573" s="484"/>
      <c r="B573" s="485" t="s">
        <v>2751</v>
      </c>
      <c r="C573" s="487"/>
      <c r="D573" s="1299" t="s">
        <v>1088</v>
      </c>
      <c r="E573" s="1299"/>
      <c r="F573" s="1299"/>
      <c r="I573" s="490"/>
    </row>
    <row r="574" spans="1:9">
      <c r="C574" s="487"/>
      <c r="D574" s="1301" t="s">
        <v>1089</v>
      </c>
      <c r="E574" s="1301"/>
      <c r="F574" s="1301"/>
      <c r="I574" s="490"/>
    </row>
    <row r="575" spans="1:9">
      <c r="A575" s="487"/>
      <c r="B575" s="487"/>
      <c r="C575" s="487"/>
      <c r="D575" s="1301"/>
      <c r="E575" s="1301"/>
      <c r="F575" s="1301"/>
      <c r="I575" s="490"/>
    </row>
    <row r="576" spans="1:9">
      <c r="A576" s="487"/>
      <c r="B576" s="487"/>
      <c r="C576" s="487"/>
      <c r="D576" s="1301"/>
      <c r="E576" s="1301"/>
      <c r="F576" s="1301"/>
      <c r="I576" s="490"/>
    </row>
    <row r="577" spans="1:9">
      <c r="A577" s="487"/>
      <c r="B577" s="487"/>
      <c r="C577" s="487"/>
      <c r="D577" s="446"/>
      <c r="E577" s="446"/>
      <c r="F577" s="446"/>
      <c r="I577" s="490"/>
    </row>
    <row r="578" spans="1:9" ht="14.25">
      <c r="A578" s="484"/>
      <c r="B578" s="485" t="s">
        <v>2751</v>
      </c>
      <c r="C578" s="487"/>
      <c r="D578" s="1301" t="s">
        <v>2063</v>
      </c>
      <c r="E578" s="1301"/>
      <c r="F578" s="1301"/>
      <c r="I578" s="490"/>
    </row>
    <row r="579" spans="1:9" ht="14.25">
      <c r="A579" s="484"/>
      <c r="B579" s="484"/>
      <c r="C579" s="487"/>
      <c r="D579" s="1301"/>
      <c r="E579" s="1301"/>
      <c r="F579" s="1301"/>
      <c r="I579" s="490"/>
    </row>
    <row r="580" spans="1:9" ht="14.25">
      <c r="A580" s="484"/>
      <c r="B580" s="484"/>
      <c r="C580" s="487"/>
      <c r="D580" s="1301"/>
      <c r="E580" s="1301"/>
      <c r="F580" s="1301"/>
      <c r="I580" s="490"/>
    </row>
    <row r="581" spans="1:9" ht="14.25">
      <c r="A581" s="484"/>
      <c r="B581" s="484"/>
      <c r="C581" s="487"/>
      <c r="D581" s="1301"/>
      <c r="E581" s="1301"/>
      <c r="F581" s="1301"/>
      <c r="I581" s="490"/>
    </row>
    <row r="582" spans="1:9" ht="14.25">
      <c r="A582" s="484"/>
      <c r="B582" s="484"/>
      <c r="C582" s="487"/>
      <c r="D582" s="446"/>
      <c r="E582" s="446"/>
      <c r="F582" s="446"/>
      <c r="I582" s="490"/>
    </row>
    <row r="583" spans="1:9">
      <c r="A583" s="1308" t="s">
        <v>1054</v>
      </c>
      <c r="B583" s="1308"/>
      <c r="C583" s="1308"/>
      <c r="D583" s="1308"/>
      <c r="E583" s="1308"/>
      <c r="F583" s="1308"/>
      <c r="G583" s="1308"/>
      <c r="H583" s="1028"/>
      <c r="I583" s="1153"/>
    </row>
    <row r="584" spans="1:9">
      <c r="A584" s="487"/>
      <c r="B584" s="487"/>
      <c r="C584" s="487"/>
      <c r="E584" s="446"/>
      <c r="F584" s="446"/>
      <c r="I584" s="490"/>
    </row>
    <row r="585" spans="1:9" ht="12.75" customHeight="1">
      <c r="C585" s="482"/>
      <c r="D585" s="1317" t="s">
        <v>209</v>
      </c>
      <c r="E585" s="1317"/>
      <c r="F585" s="1317"/>
      <c r="I585" s="490"/>
    </row>
    <row r="586" spans="1:9">
      <c r="A586" s="483"/>
      <c r="B586" s="483"/>
      <c r="C586" s="483"/>
      <c r="D586" s="1313" t="s">
        <v>1067</v>
      </c>
      <c r="E586" s="1313"/>
      <c r="F586" s="1313"/>
      <c r="I586" s="490"/>
    </row>
    <row r="587" spans="1:9">
      <c r="A587" s="402"/>
      <c r="B587" s="402"/>
      <c r="C587" s="483"/>
      <c r="D587" s="499"/>
      <c r="I587" s="490"/>
    </row>
    <row r="588" spans="1:9">
      <c r="A588" s="483"/>
      <c r="B588" s="485" t="s">
        <v>2751</v>
      </c>
      <c r="D588" s="1313" t="s">
        <v>888</v>
      </c>
      <c r="E588" s="1313"/>
      <c r="F588" s="1313"/>
      <c r="I588" s="490"/>
    </row>
    <row r="589" spans="1:9">
      <c r="A589" s="490"/>
      <c r="B589" s="490"/>
      <c r="D589" s="476"/>
      <c r="I589" s="490"/>
    </row>
    <row r="590" spans="1:9">
      <c r="A590" s="490"/>
      <c r="B590" s="485" t="s">
        <v>2751</v>
      </c>
      <c r="D590" s="1313" t="s">
        <v>2064</v>
      </c>
      <c r="E590" s="1313"/>
      <c r="F590" s="1313"/>
      <c r="I590" s="490"/>
    </row>
    <row r="591" spans="1:9">
      <c r="A591" s="490"/>
      <c r="B591" s="490"/>
      <c r="D591" s="1313"/>
      <c r="E591" s="1313"/>
      <c r="F591" s="1313"/>
      <c r="I591" s="490"/>
    </row>
    <row r="592" spans="1:9">
      <c r="A592" s="490"/>
      <c r="B592" s="490"/>
      <c r="D592" s="1313"/>
      <c r="E592" s="1313"/>
      <c r="F592" s="1313"/>
      <c r="I592" s="490"/>
    </row>
    <row r="593" spans="1:9">
      <c r="A593" s="490"/>
      <c r="B593" s="490"/>
      <c r="D593" s="1313"/>
      <c r="E593" s="1313"/>
      <c r="F593" s="1313"/>
      <c r="I593" s="490"/>
    </row>
    <row r="594" spans="1:9">
      <c r="A594" s="490"/>
      <c r="B594" s="485" t="s">
        <v>2730</v>
      </c>
      <c r="D594" s="1313" t="s">
        <v>1068</v>
      </c>
      <c r="E594" s="1313"/>
      <c r="F594" s="1313"/>
      <c r="I594" s="490"/>
    </row>
    <row r="595" spans="1:9">
      <c r="A595" s="490"/>
      <c r="B595" s="490"/>
      <c r="D595" s="1313"/>
      <c r="E595" s="1313"/>
      <c r="F595" s="1313"/>
      <c r="I595" s="490"/>
    </row>
    <row r="596" spans="1:9">
      <c r="A596" s="490"/>
      <c r="B596" s="490"/>
      <c r="D596" s="1313"/>
      <c r="E596" s="1313"/>
      <c r="F596" s="1313"/>
      <c r="I596" s="490"/>
    </row>
    <row r="597" spans="1:9">
      <c r="A597" s="490"/>
      <c r="B597" s="490"/>
      <c r="D597" s="1313"/>
      <c r="E597" s="1313"/>
      <c r="F597" s="1313"/>
      <c r="I597" s="490"/>
    </row>
    <row r="598" spans="1:9">
      <c r="A598" s="490"/>
      <c r="B598" s="490"/>
      <c r="D598" s="440"/>
      <c r="E598" s="440"/>
      <c r="F598" s="440"/>
      <c r="I598" s="490"/>
    </row>
    <row r="599" spans="1:9">
      <c r="A599" s="490"/>
      <c r="B599" s="485" t="s">
        <v>2751</v>
      </c>
      <c r="D599" s="1313" t="s">
        <v>2065</v>
      </c>
      <c r="E599" s="1313"/>
      <c r="F599" s="1313"/>
      <c r="I599" s="490"/>
    </row>
    <row r="600" spans="1:9">
      <c r="A600" s="490"/>
      <c r="B600" s="490"/>
      <c r="D600" s="1313"/>
      <c r="E600" s="1313"/>
      <c r="F600" s="1313"/>
      <c r="I600" s="490"/>
    </row>
    <row r="601" spans="1:9">
      <c r="A601" s="490"/>
      <c r="B601" s="490"/>
      <c r="D601" s="499"/>
      <c r="I601" s="490"/>
    </row>
    <row r="602" spans="1:9">
      <c r="A602" s="490"/>
      <c r="B602" s="485" t="s">
        <v>2730</v>
      </c>
      <c r="D602" s="1313" t="s">
        <v>1069</v>
      </c>
      <c r="E602" s="1313"/>
      <c r="F602" s="1313"/>
      <c r="I602" s="490"/>
    </row>
    <row r="603" spans="1:9">
      <c r="A603" s="490"/>
      <c r="B603" s="490"/>
      <c r="D603" s="1313"/>
      <c r="E603" s="1313"/>
      <c r="F603" s="1313"/>
      <c r="I603" s="490"/>
    </row>
    <row r="604" spans="1:9" ht="14.25">
      <c r="A604" s="484"/>
      <c r="B604" s="484"/>
      <c r="D604" s="499"/>
      <c r="I604" s="490"/>
    </row>
    <row r="605" spans="1:9">
      <c r="A605" s="1308" t="s">
        <v>1055</v>
      </c>
      <c r="B605" s="1308"/>
      <c r="C605" s="1308"/>
      <c r="D605" s="1308"/>
      <c r="E605" s="1308"/>
      <c r="F605" s="1308"/>
      <c r="G605" s="1308"/>
      <c r="H605" s="1028"/>
      <c r="I605" s="1153"/>
    </row>
    <row r="606" spans="1:9">
      <c r="I606" s="490"/>
    </row>
    <row r="607" spans="1:9">
      <c r="D607" s="1309" t="s">
        <v>1107</v>
      </c>
      <c r="E607" s="1309"/>
      <c r="F607" s="1309"/>
      <c r="I607" s="490"/>
    </row>
    <row r="608" spans="1:9">
      <c r="D608" s="1281" t="s">
        <v>1108</v>
      </c>
      <c r="E608" s="1281"/>
      <c r="F608" s="1281"/>
      <c r="I608" s="490"/>
    </row>
    <row r="609" spans="1:9">
      <c r="D609" s="444"/>
      <c r="I609" s="490"/>
    </row>
    <row r="610" spans="1:9" ht="14.25" customHeight="1">
      <c r="A610" s="484"/>
      <c r="B610" s="485" t="s">
        <v>2751</v>
      </c>
      <c r="D610" s="1314" t="s">
        <v>1908</v>
      </c>
      <c r="E610" s="1314"/>
      <c r="F610" s="1314"/>
      <c r="I610" s="490"/>
    </row>
    <row r="611" spans="1:9">
      <c r="D611" s="1314"/>
      <c r="E611" s="1314"/>
      <c r="F611" s="1314"/>
      <c r="I611" s="490"/>
    </row>
    <row r="612" spans="1:9">
      <c r="D612" s="385"/>
      <c r="E612" s="1036" t="s">
        <v>1909</v>
      </c>
      <c r="F612" s="385"/>
      <c r="I612" s="490"/>
    </row>
    <row r="613" spans="1:9">
      <c r="I613" s="490"/>
    </row>
    <row r="614" spans="1:9">
      <c r="A614" s="1308" t="s">
        <v>1056</v>
      </c>
      <c r="B614" s="1308"/>
      <c r="C614" s="1308"/>
      <c r="D614" s="1308"/>
      <c r="E614" s="1308"/>
      <c r="F614" s="1308"/>
      <c r="G614" s="1308"/>
      <c r="H614" s="1028"/>
      <c r="I614" s="1153"/>
    </row>
    <row r="615" spans="1:9">
      <c r="A615" s="446"/>
      <c r="B615" s="446"/>
      <c r="I615" s="490"/>
    </row>
    <row r="616" spans="1:9">
      <c r="A616" s="482"/>
      <c r="B616" s="482"/>
      <c r="C616" s="482"/>
      <c r="D616" s="1298" t="s">
        <v>1109</v>
      </c>
      <c r="E616" s="1298"/>
      <c r="F616" s="1298"/>
      <c r="I616" s="490"/>
    </row>
    <row r="617" spans="1:9">
      <c r="A617" s="482"/>
      <c r="B617" s="482"/>
      <c r="C617" s="482"/>
      <c r="D617" s="1298"/>
      <c r="E617" s="1298"/>
      <c r="F617" s="1298"/>
      <c r="I617" s="490"/>
    </row>
    <row r="618" spans="1:9">
      <c r="C618" s="483"/>
      <c r="D618" s="1281" t="s">
        <v>1110</v>
      </c>
      <c r="E618" s="1281"/>
      <c r="F618" s="1281"/>
      <c r="I618" s="490"/>
    </row>
    <row r="619" spans="1:9">
      <c r="C619" s="483"/>
      <c r="D619" s="444"/>
      <c r="E619" s="444"/>
      <c r="F619" s="444"/>
      <c r="I619" s="490"/>
    </row>
    <row r="620" spans="1:9" ht="12.75" customHeight="1">
      <c r="A620" s="490"/>
      <c r="B620" s="485" t="s">
        <v>2751</v>
      </c>
      <c r="D620" s="1307" t="s">
        <v>1111</v>
      </c>
      <c r="E620" s="1307"/>
      <c r="F620" s="1307"/>
      <c r="I620" s="490"/>
    </row>
    <row r="621" spans="1:9">
      <c r="D621" s="1307"/>
      <c r="E621" s="1307"/>
      <c r="F621" s="1307"/>
      <c r="I621" s="490"/>
    </row>
    <row r="622" spans="1:9">
      <c r="I622" s="490"/>
    </row>
    <row r="623" spans="1:9">
      <c r="B623" s="485" t="s">
        <v>2751</v>
      </c>
      <c r="D623" s="1307" t="s">
        <v>1112</v>
      </c>
      <c r="E623" s="1307"/>
      <c r="F623" s="1307"/>
      <c r="I623" s="490"/>
    </row>
    <row r="624" spans="1:9">
      <c r="C624" s="500"/>
      <c r="D624" s="1307"/>
      <c r="E624" s="1307"/>
      <c r="F624" s="1307"/>
      <c r="I624" s="490"/>
    </row>
    <row r="625" spans="1:9">
      <c r="C625" s="500"/>
      <c r="I625" s="490"/>
    </row>
    <row r="626" spans="1:9">
      <c r="B626" s="485" t="s">
        <v>2730</v>
      </c>
      <c r="C626" s="500"/>
      <c r="D626" s="1307" t="s">
        <v>1113</v>
      </c>
      <c r="E626" s="1307"/>
      <c r="F626" s="1307"/>
      <c r="I626" s="490"/>
    </row>
    <row r="627" spans="1:9">
      <c r="C627" s="500"/>
      <c r="D627" s="1307"/>
      <c r="E627" s="1307"/>
      <c r="F627" s="1307"/>
      <c r="I627" s="500"/>
    </row>
    <row r="628" spans="1:9">
      <c r="C628" s="500"/>
      <c r="I628" s="490"/>
    </row>
    <row r="629" spans="1:9">
      <c r="A629" s="1308" t="s">
        <v>1057</v>
      </c>
      <c r="B629" s="1308"/>
      <c r="C629" s="1308"/>
      <c r="D629" s="1308"/>
      <c r="E629" s="1308"/>
      <c r="F629" s="1308"/>
      <c r="G629" s="1308"/>
      <c r="H629" s="1028"/>
      <c r="I629" s="1153"/>
    </row>
    <row r="630" spans="1:9">
      <c r="A630" s="482"/>
      <c r="B630" s="482"/>
      <c r="C630" s="482"/>
      <c r="I630" s="490"/>
    </row>
    <row r="631" spans="1:9">
      <c r="C631" s="490"/>
      <c r="D631" s="1309" t="s">
        <v>1114</v>
      </c>
      <c r="E631" s="1309"/>
      <c r="F631" s="1309"/>
      <c r="I631" s="490"/>
    </row>
    <row r="632" spans="1:9">
      <c r="A632" s="490"/>
      <c r="B632" s="490"/>
      <c r="D632" s="404"/>
      <c r="I632" s="490"/>
    </row>
    <row r="633" spans="1:9" ht="14.25" customHeight="1">
      <c r="A633" s="484"/>
      <c r="B633" s="485" t="s">
        <v>2751</v>
      </c>
      <c r="D633" s="1314" t="s">
        <v>2066</v>
      </c>
      <c r="E633" s="1314"/>
      <c r="F633" s="1314"/>
      <c r="I633" s="490"/>
    </row>
    <row r="634" spans="1:9">
      <c r="D634" s="1314"/>
      <c r="E634" s="1314"/>
      <c r="F634" s="1314"/>
      <c r="I634" s="490"/>
    </row>
    <row r="635" spans="1:9">
      <c r="D635" s="385"/>
      <c r="E635" s="1036" t="s">
        <v>1911</v>
      </c>
      <c r="F635" s="385"/>
      <c r="I635" s="490"/>
    </row>
    <row r="636" spans="1:9">
      <c r="D636" s="1301" t="s">
        <v>1910</v>
      </c>
      <c r="E636" s="1301"/>
      <c r="F636" s="1301"/>
      <c r="I636" s="490"/>
    </row>
    <row r="637" spans="1:9">
      <c r="D637" s="1301"/>
      <c r="E637" s="1301"/>
      <c r="F637" s="1301"/>
      <c r="I637" s="490"/>
    </row>
    <row r="638" spans="1:9">
      <c r="D638" s="1301"/>
      <c r="E638" s="1301"/>
      <c r="F638" s="1301"/>
      <c r="I638" s="490"/>
    </row>
    <row r="639" spans="1:9">
      <c r="D639" s="445"/>
      <c r="E639" s="445"/>
      <c r="F639" s="445"/>
      <c r="I639" s="490"/>
    </row>
    <row r="640" spans="1:9" ht="14.25">
      <c r="A640" s="484"/>
      <c r="B640" s="485" t="s">
        <v>2730</v>
      </c>
      <c r="D640" s="1301" t="s">
        <v>1115</v>
      </c>
      <c r="E640" s="1301"/>
      <c r="F640" s="1301"/>
      <c r="I640" s="490"/>
    </row>
    <row r="641" spans="1:9">
      <c r="A641" s="487"/>
      <c r="B641" s="487"/>
      <c r="C641" s="487"/>
      <c r="D641" s="1301"/>
      <c r="E641" s="1301"/>
      <c r="F641" s="1301"/>
      <c r="I641" s="490"/>
    </row>
    <row r="642" spans="1:9">
      <c r="A642" s="487"/>
      <c r="B642" s="487"/>
      <c r="C642" s="487"/>
      <c r="D642" s="446"/>
      <c r="E642" s="446"/>
      <c r="F642" s="446"/>
      <c r="I642" s="490"/>
    </row>
    <row r="643" spans="1:9" ht="14.25">
      <c r="A643" s="484"/>
      <c r="B643" s="485" t="s">
        <v>2730</v>
      </c>
      <c r="C643" s="487"/>
      <c r="D643" s="1301" t="s">
        <v>1225</v>
      </c>
      <c r="E643" s="1301"/>
      <c r="F643" s="1301"/>
      <c r="I643" s="490"/>
    </row>
    <row r="644" spans="1:9" ht="14.25">
      <c r="A644" s="484"/>
      <c r="B644" s="484"/>
      <c r="C644" s="487"/>
      <c r="D644" s="1301"/>
      <c r="E644" s="1301"/>
      <c r="F644" s="1301"/>
      <c r="I644" s="490"/>
    </row>
    <row r="645" spans="1:9" ht="14.25">
      <c r="A645" s="484"/>
      <c r="B645" s="484"/>
      <c r="C645" s="487"/>
      <c r="D645" s="1301"/>
      <c r="E645" s="1301"/>
      <c r="F645" s="1301"/>
      <c r="I645" s="490"/>
    </row>
    <row r="646" spans="1:9">
      <c r="A646" s="487"/>
      <c r="B646" s="485" t="s">
        <v>2730</v>
      </c>
      <c r="C646" s="487"/>
      <c r="D646" s="1299" t="s">
        <v>1116</v>
      </c>
      <c r="E646" s="1299"/>
      <c r="F646" s="1299"/>
      <c r="I646" s="490"/>
    </row>
    <row r="647" spans="1:9">
      <c r="A647" s="487"/>
      <c r="B647" s="487"/>
      <c r="C647" s="487"/>
      <c r="D647" s="446"/>
      <c r="E647" s="446"/>
      <c r="F647" s="446"/>
      <c r="I647" s="490"/>
    </row>
    <row r="648" spans="1:9">
      <c r="A648" s="1308" t="s">
        <v>1058</v>
      </c>
      <c r="B648" s="1308"/>
      <c r="C648" s="1308"/>
      <c r="D648" s="1308"/>
      <c r="E648" s="1308"/>
      <c r="F648" s="1308"/>
      <c r="G648" s="1308"/>
      <c r="H648" s="1028"/>
      <c r="I648" s="1153"/>
    </row>
    <row r="649" spans="1:9">
      <c r="A649" s="446"/>
      <c r="B649" s="446"/>
      <c r="C649" s="487"/>
      <c r="D649" s="446"/>
      <c r="E649" s="446"/>
      <c r="F649" s="446"/>
      <c r="I649" s="490"/>
    </row>
    <row r="650" spans="1:9">
      <c r="C650" s="482"/>
      <c r="D650" s="1309" t="s">
        <v>1146</v>
      </c>
      <c r="E650" s="1309"/>
      <c r="F650" s="1309"/>
      <c r="I650" s="490"/>
    </row>
    <row r="651" spans="1:9">
      <c r="A651" s="483"/>
      <c r="B651" s="483"/>
      <c r="C651" s="483"/>
      <c r="D651" s="1299" t="s">
        <v>1147</v>
      </c>
      <c r="E651" s="1299"/>
      <c r="F651" s="1299"/>
      <c r="I651" s="490"/>
    </row>
    <row r="652" spans="1:9">
      <c r="A652" s="483"/>
      <c r="B652" s="483"/>
      <c r="C652" s="483"/>
      <c r="D652" s="446"/>
      <c r="E652" s="446"/>
      <c r="F652" s="446"/>
      <c r="I652" s="490"/>
    </row>
    <row r="653" spans="1:9" ht="12.75" customHeight="1">
      <c r="B653" s="485" t="s">
        <v>2730</v>
      </c>
      <c r="C653" s="487"/>
      <c r="D653" s="1301" t="s">
        <v>1281</v>
      </c>
      <c r="E653" s="1301"/>
      <c r="F653" s="1301"/>
      <c r="I653" s="490"/>
    </row>
    <row r="654" spans="1:9">
      <c r="D654" s="1301"/>
      <c r="E654" s="1301"/>
      <c r="F654" s="1301"/>
      <c r="I654" s="490"/>
    </row>
    <row r="655" spans="1:9">
      <c r="D655" s="1301"/>
      <c r="E655" s="1301"/>
      <c r="F655" s="1301"/>
      <c r="I655" s="490"/>
    </row>
    <row r="656" spans="1:9">
      <c r="D656" s="1301"/>
      <c r="E656" s="1301"/>
      <c r="F656" s="1301"/>
      <c r="I656" s="490"/>
    </row>
    <row r="657" spans="1:9" ht="14.45" customHeight="1">
      <c r="A657" s="484"/>
      <c r="B657" s="484"/>
      <c r="C657" s="487"/>
      <c r="D657" s="385"/>
      <c r="E657" s="385"/>
      <c r="F657" s="385"/>
      <c r="I657" s="490"/>
    </row>
    <row r="658" spans="1:9" ht="12.75" customHeight="1">
      <c r="A658" s="483"/>
      <c r="B658" s="485" t="s">
        <v>2730</v>
      </c>
      <c r="C658" s="487"/>
      <c r="D658" s="1301" t="s">
        <v>1283</v>
      </c>
      <c r="E658" s="1301"/>
      <c r="F658" s="1301"/>
      <c r="I658" s="490"/>
    </row>
    <row r="659" spans="1:9" ht="14.25">
      <c r="A659" s="483"/>
      <c r="B659" s="484"/>
      <c r="C659" s="487"/>
      <c r="D659" s="1301"/>
      <c r="E659" s="1301"/>
      <c r="F659" s="1301"/>
      <c r="I659" s="490"/>
    </row>
    <row r="660" spans="1:9" ht="14.25">
      <c r="A660" s="483"/>
      <c r="B660" s="484"/>
      <c r="C660" s="487"/>
      <c r="D660" s="1301"/>
      <c r="E660" s="1301"/>
      <c r="F660" s="1301"/>
      <c r="I660" s="490"/>
    </row>
    <row r="661" spans="1:9" ht="14.25">
      <c r="A661" s="483"/>
      <c r="B661" s="484"/>
      <c r="C661" s="487"/>
      <c r="D661" s="1301"/>
      <c r="E661" s="1301"/>
      <c r="F661" s="1301"/>
      <c r="I661" s="490"/>
    </row>
    <row r="662" spans="1:9" ht="14.25">
      <c r="A662" s="483"/>
      <c r="B662" s="484"/>
      <c r="C662" s="487"/>
      <c r="D662" s="1301"/>
      <c r="E662" s="1301"/>
      <c r="F662" s="1301"/>
      <c r="I662" s="490"/>
    </row>
    <row r="663" spans="1:9" ht="14.25" customHeight="1">
      <c r="A663" s="483"/>
      <c r="B663" s="484"/>
      <c r="C663" s="487"/>
      <c r="F663" s="386"/>
      <c r="I663" s="490"/>
    </row>
    <row r="664" spans="1:9" ht="12.75" customHeight="1">
      <c r="A664" s="483"/>
      <c r="B664" s="485" t="s">
        <v>2730</v>
      </c>
      <c r="C664" s="487"/>
      <c r="D664" s="1301" t="s">
        <v>1282</v>
      </c>
      <c r="E664" s="1301"/>
      <c r="F664" s="1301"/>
      <c r="I664" s="490"/>
    </row>
    <row r="665" spans="1:9" ht="14.25">
      <c r="A665" s="483"/>
      <c r="B665" s="484"/>
      <c r="C665" s="487"/>
      <c r="D665" s="1301"/>
      <c r="E665" s="1301"/>
      <c r="F665" s="1301"/>
      <c r="I665" s="490"/>
    </row>
    <row r="666" spans="1:9" ht="14.25">
      <c r="A666" s="484"/>
      <c r="B666" s="484"/>
      <c r="C666" s="487"/>
      <c r="D666" s="1301"/>
      <c r="E666" s="1301"/>
      <c r="F666" s="1301"/>
      <c r="I666" s="490"/>
    </row>
    <row r="667" spans="1:9" ht="14.25">
      <c r="A667" s="484"/>
      <c r="B667" s="484"/>
      <c r="C667" s="487"/>
      <c r="D667" s="1301"/>
      <c r="E667" s="1301"/>
      <c r="F667" s="1301"/>
      <c r="I667" s="490"/>
    </row>
    <row r="668" spans="1:9" ht="14.25">
      <c r="A668" s="484"/>
      <c r="B668" s="484"/>
      <c r="C668" s="487"/>
      <c r="D668" s="445"/>
      <c r="E668" s="445"/>
      <c r="F668" s="445"/>
      <c r="I668" s="490"/>
    </row>
    <row r="669" spans="1:9" ht="12.75" customHeight="1">
      <c r="A669" s="483"/>
      <c r="B669" s="485" t="s">
        <v>2730</v>
      </c>
      <c r="C669" s="487"/>
      <c r="D669" s="1301" t="s">
        <v>2067</v>
      </c>
      <c r="E669" s="1301"/>
      <c r="F669" s="1301"/>
      <c r="I669" s="490"/>
    </row>
    <row r="670" spans="1:9" ht="12.75" customHeight="1">
      <c r="A670" s="483"/>
      <c r="B670" s="484"/>
      <c r="C670" s="487"/>
      <c r="D670" s="1301"/>
      <c r="E670" s="1301"/>
      <c r="F670" s="1301"/>
      <c r="I670" s="490"/>
    </row>
    <row r="671" spans="1:9" ht="12.75" customHeight="1">
      <c r="A671" s="483"/>
      <c r="B671" s="484"/>
      <c r="C671" s="487"/>
      <c r="D671" s="1301"/>
      <c r="E671" s="1301"/>
      <c r="F671" s="1301"/>
      <c r="I671" s="490"/>
    </row>
    <row r="672" spans="1:9" ht="12.75" customHeight="1">
      <c r="A672" s="483"/>
      <c r="B672" s="484"/>
      <c r="C672" s="487"/>
      <c r="D672" s="1301"/>
      <c r="E672" s="1301"/>
      <c r="F672" s="1301"/>
      <c r="I672" s="490"/>
    </row>
    <row r="673" spans="1:11" ht="12.75" customHeight="1">
      <c r="A673" s="483"/>
      <c r="B673" s="484"/>
      <c r="C673" s="487"/>
      <c r="D673" s="1301"/>
      <c r="E673" s="1301"/>
      <c r="F673" s="1301"/>
      <c r="I673" s="490"/>
    </row>
    <row r="674" spans="1:11" ht="12.75" customHeight="1">
      <c r="A674" s="483"/>
      <c r="B674" s="484"/>
      <c r="C674" s="487"/>
      <c r="D674" s="1301"/>
      <c r="E674" s="1301"/>
      <c r="F674" s="1301"/>
      <c r="I674" s="490"/>
    </row>
    <row r="675" spans="1:11" ht="12.75" customHeight="1">
      <c r="A675" s="483"/>
      <c r="B675" s="484"/>
      <c r="C675" s="487"/>
      <c r="D675" s="1301"/>
      <c r="E675" s="1301"/>
      <c r="F675" s="1301"/>
      <c r="I675" s="490"/>
    </row>
    <row r="676" spans="1:11" ht="12.75" customHeight="1">
      <c r="A676" s="483"/>
      <c r="B676" s="484"/>
      <c r="C676" s="487"/>
      <c r="D676" s="1301"/>
      <c r="E676" s="1301"/>
      <c r="F676" s="1301"/>
      <c r="I676" s="490"/>
    </row>
    <row r="677" spans="1:11" ht="12.75" customHeight="1">
      <c r="A677" s="483"/>
      <c r="B677" s="484"/>
      <c r="C677" s="487"/>
      <c r="D677" s="1301"/>
      <c r="E677" s="1301"/>
      <c r="F677" s="1301"/>
      <c r="I677" s="490"/>
    </row>
    <row r="678" spans="1:11">
      <c r="A678" s="487"/>
      <c r="B678" s="487"/>
      <c r="C678" s="487"/>
      <c r="D678" s="446"/>
      <c r="E678" s="446"/>
      <c r="F678" s="446"/>
      <c r="I678" s="490"/>
    </row>
    <row r="679" spans="1:11">
      <c r="A679" s="1308" t="s">
        <v>1059</v>
      </c>
      <c r="B679" s="1308"/>
      <c r="C679" s="1308"/>
      <c r="D679" s="1308"/>
      <c r="E679" s="1308"/>
      <c r="F679" s="1308"/>
      <c r="G679" s="1308"/>
      <c r="H679" s="1030"/>
      <c r="I679" s="1157"/>
      <c r="J679" s="501"/>
      <c r="K679" s="501"/>
    </row>
    <row r="680" spans="1:11">
      <c r="A680" s="448"/>
      <c r="B680" s="448"/>
      <c r="C680" s="448"/>
      <c r="D680" s="448"/>
      <c r="E680" s="448"/>
      <c r="F680" s="448"/>
      <c r="G680" s="448"/>
      <c r="H680" s="501"/>
      <c r="I680" s="483"/>
      <c r="J680" s="501"/>
      <c r="K680" s="501"/>
    </row>
    <row r="681" spans="1:11">
      <c r="C681" s="482"/>
      <c r="D681" s="1309" t="s">
        <v>99</v>
      </c>
      <c r="E681" s="1309"/>
      <c r="F681" s="1309"/>
      <c r="H681" s="501"/>
      <c r="I681" s="483"/>
      <c r="J681" s="501"/>
      <c r="K681" s="501"/>
    </row>
    <row r="682" spans="1:11">
      <c r="A682" s="482"/>
      <c r="B682" s="482"/>
      <c r="C682" s="482"/>
      <c r="D682" s="1309" t="s">
        <v>123</v>
      </c>
      <c r="E682" s="1309"/>
      <c r="F682" s="1309"/>
      <c r="H682" s="501"/>
      <c r="I682" s="483"/>
      <c r="J682" s="501"/>
      <c r="K682" s="501"/>
    </row>
    <row r="683" spans="1:11">
      <c r="A683" s="483"/>
      <c r="B683" s="483"/>
      <c r="C683" s="483"/>
      <c r="D683" s="1299" t="s">
        <v>1076</v>
      </c>
      <c r="E683" s="1299"/>
      <c r="F683" s="1299"/>
      <c r="H683" s="501"/>
      <c r="I683" s="483"/>
      <c r="J683" s="501"/>
      <c r="K683" s="501"/>
    </row>
    <row r="684" spans="1:11">
      <c r="A684" s="483"/>
      <c r="B684" s="483"/>
      <c r="C684" s="483"/>
      <c r="H684" s="501"/>
      <c r="I684" s="483"/>
      <c r="J684" s="501"/>
      <c r="K684" s="501"/>
    </row>
    <row r="685" spans="1:11" ht="14.25">
      <c r="A685" s="484"/>
      <c r="B685" s="485" t="s">
        <v>2730</v>
      </c>
      <c r="C685" s="483"/>
      <c r="D685" s="1299" t="s">
        <v>885</v>
      </c>
      <c r="E685" s="1299"/>
      <c r="F685" s="1299"/>
      <c r="H685" s="501"/>
      <c r="I685" s="483"/>
      <c r="J685" s="501"/>
      <c r="K685" s="501"/>
    </row>
    <row r="686" spans="1:11">
      <c r="A686" s="483"/>
      <c r="B686" s="483"/>
      <c r="C686" s="483"/>
      <c r="D686" s="1299" t="s">
        <v>894</v>
      </c>
      <c r="E686" s="1299"/>
      <c r="F686" s="1299"/>
      <c r="H686" s="501"/>
      <c r="I686" s="483"/>
      <c r="J686" s="501"/>
      <c r="K686" s="501"/>
    </row>
    <row r="687" spans="1:11" ht="12.75" customHeight="1">
      <c r="A687" s="483"/>
      <c r="B687" s="483"/>
      <c r="C687" s="483"/>
      <c r="E687" s="1036" t="s">
        <v>1913</v>
      </c>
      <c r="F687" s="420"/>
      <c r="H687" s="501"/>
      <c r="I687" s="483"/>
      <c r="J687" s="501"/>
      <c r="K687" s="501"/>
    </row>
    <row r="688" spans="1:11">
      <c r="A688" s="483"/>
      <c r="B688" s="483"/>
      <c r="C688" s="483"/>
      <c r="E688" s="501" t="s">
        <v>1912</v>
      </c>
      <c r="F688" s="420"/>
      <c r="I688" s="483"/>
      <c r="J688" s="501"/>
      <c r="K688" s="501"/>
    </row>
    <row r="689" spans="1:11">
      <c r="A689" s="483"/>
      <c r="B689" s="483"/>
      <c r="C689" s="483"/>
      <c r="D689" s="502"/>
      <c r="E689" s="446"/>
      <c r="H689" s="501"/>
      <c r="I689" s="483"/>
      <c r="J689" s="501"/>
      <c r="K689" s="501"/>
    </row>
    <row r="690" spans="1:11" ht="14.25">
      <c r="A690" s="484"/>
      <c r="B690" s="485" t="s">
        <v>2730</v>
      </c>
      <c r="C690" s="483"/>
      <c r="D690" s="1301" t="s">
        <v>2068</v>
      </c>
      <c r="E690" s="1301"/>
      <c r="F690" s="1301"/>
      <c r="H690" s="501"/>
      <c r="I690" s="483"/>
      <c r="J690" s="501"/>
      <c r="K690" s="501"/>
    </row>
    <row r="691" spans="1:11">
      <c r="A691" s="490"/>
      <c r="B691" s="490"/>
      <c r="C691" s="483"/>
      <c r="D691" s="1301"/>
      <c r="E691" s="1301"/>
      <c r="F691" s="1301"/>
      <c r="H691" s="501"/>
      <c r="I691" s="483"/>
      <c r="J691" s="501"/>
      <c r="K691" s="501"/>
    </row>
    <row r="692" spans="1:11">
      <c r="A692" s="483"/>
      <c r="B692" s="483"/>
      <c r="C692" s="483"/>
      <c r="D692" s="1301"/>
      <c r="E692" s="1301"/>
      <c r="F692" s="1301"/>
      <c r="H692" s="501"/>
      <c r="I692" s="483"/>
      <c r="J692" s="501"/>
      <c r="K692" s="501"/>
    </row>
    <row r="693" spans="1:11">
      <c r="A693" s="483"/>
      <c r="B693" s="483"/>
      <c r="C693" s="483"/>
      <c r="H693" s="501"/>
      <c r="J693" s="501"/>
      <c r="K693" s="501"/>
    </row>
    <row r="694" spans="1:11" ht="14.25">
      <c r="A694" s="484"/>
      <c r="B694" s="485" t="s">
        <v>2751</v>
      </c>
      <c r="C694" s="483"/>
      <c r="D694" s="1299" t="s">
        <v>917</v>
      </c>
      <c r="E694" s="1299"/>
      <c r="F694" s="1299"/>
      <c r="H694" s="501"/>
      <c r="I694" s="483"/>
      <c r="J694" s="501"/>
      <c r="K694" s="501"/>
    </row>
    <row r="695" spans="1:11" ht="14.25">
      <c r="A695" s="484"/>
      <c r="B695" s="484"/>
      <c r="C695" s="483"/>
      <c r="D695" s="1299" t="s">
        <v>894</v>
      </c>
      <c r="E695" s="1299"/>
      <c r="F695" s="1299"/>
      <c r="H695" s="501"/>
      <c r="I695" s="483"/>
      <c r="J695" s="501"/>
      <c r="K695" s="501"/>
    </row>
    <row r="696" spans="1:11">
      <c r="A696" s="483"/>
      <c r="B696" s="483"/>
      <c r="C696" s="483"/>
      <c r="E696" s="1036" t="s">
        <v>1914</v>
      </c>
      <c r="F696" s="404"/>
      <c r="H696" s="501"/>
      <c r="I696" s="483"/>
      <c r="J696" s="501"/>
      <c r="K696" s="501"/>
    </row>
    <row r="697" spans="1:11">
      <c r="A697" s="483"/>
      <c r="B697" s="483"/>
      <c r="C697" s="483"/>
      <c r="D697" s="404"/>
      <c r="H697" s="501"/>
      <c r="I697" s="483"/>
      <c r="J697" s="501"/>
      <c r="K697" s="501"/>
    </row>
    <row r="698" spans="1:11" ht="14.25">
      <c r="A698" s="484"/>
      <c r="B698" s="485" t="s">
        <v>2730</v>
      </c>
      <c r="C698" s="483"/>
      <c r="D698" s="1299" t="s">
        <v>2466</v>
      </c>
      <c r="E698" s="1299"/>
      <c r="F698" s="1299"/>
      <c r="H698" s="501"/>
      <c r="I698" s="483"/>
      <c r="J698" s="501"/>
      <c r="K698" s="501"/>
    </row>
    <row r="699" spans="1:11" ht="14.25">
      <c r="A699" s="484"/>
      <c r="B699" s="484"/>
      <c r="C699" s="483"/>
      <c r="D699" s="1299" t="s">
        <v>894</v>
      </c>
      <c r="E699" s="1299"/>
      <c r="F699" s="1299"/>
      <c r="H699" s="501"/>
      <c r="I699" s="483"/>
      <c r="J699" s="501"/>
      <c r="K699" s="501"/>
    </row>
    <row r="700" spans="1:11">
      <c r="A700" s="483"/>
      <c r="B700" s="483"/>
      <c r="C700" s="483"/>
      <c r="E700" s="1036" t="s">
        <v>2467</v>
      </c>
      <c r="F700" s="404"/>
      <c r="H700" s="501"/>
      <c r="I700" s="483"/>
      <c r="J700" s="501"/>
      <c r="K700" s="501"/>
    </row>
    <row r="701" spans="1:11">
      <c r="A701" s="483"/>
      <c r="B701" s="483"/>
      <c r="C701" s="483"/>
      <c r="D701" s="404"/>
      <c r="H701" s="501"/>
      <c r="I701" s="483"/>
      <c r="J701" s="501"/>
      <c r="K701" s="501"/>
    </row>
    <row r="702" spans="1:11" ht="14.25">
      <c r="A702" s="484"/>
      <c r="B702" s="485" t="s">
        <v>2730</v>
      </c>
      <c r="C702" s="483"/>
      <c r="D702" s="1301" t="s">
        <v>2245</v>
      </c>
      <c r="E702" s="1301"/>
      <c r="F702" s="1301"/>
      <c r="H702" s="501"/>
      <c r="I702" s="483"/>
      <c r="J702" s="501"/>
      <c r="K702" s="501"/>
    </row>
    <row r="703" spans="1:11">
      <c r="A703" s="483"/>
      <c r="B703" s="483"/>
      <c r="C703" s="483"/>
      <c r="D703" s="1301"/>
      <c r="E703" s="1301"/>
      <c r="F703" s="1301"/>
      <c r="H703" s="501"/>
      <c r="I703" s="483"/>
      <c r="J703" s="501"/>
      <c r="K703" s="501"/>
    </row>
    <row r="704" spans="1:11">
      <c r="A704" s="483"/>
      <c r="B704" s="483"/>
      <c r="C704" s="483"/>
      <c r="D704" s="1301"/>
      <c r="E704" s="1301"/>
      <c r="F704" s="1301"/>
      <c r="H704" s="501"/>
      <c r="I704" s="483"/>
      <c r="J704" s="501"/>
      <c r="K704" s="501"/>
    </row>
    <row r="705" spans="1:11">
      <c r="A705" s="483"/>
      <c r="B705" s="483"/>
      <c r="C705" s="483"/>
      <c r="D705" s="1301"/>
      <c r="E705" s="1301"/>
      <c r="F705" s="1301"/>
      <c r="H705" s="501"/>
      <c r="I705" s="483"/>
      <c r="J705" s="501"/>
      <c r="K705" s="501"/>
    </row>
    <row r="706" spans="1:11">
      <c r="A706" s="483"/>
      <c r="B706" s="483"/>
      <c r="C706" s="483"/>
      <c r="D706" s="1301"/>
      <c r="E706" s="1301"/>
      <c r="F706" s="1301"/>
      <c r="H706" s="501"/>
      <c r="I706" s="483"/>
      <c r="J706" s="501"/>
      <c r="K706" s="501"/>
    </row>
    <row r="707" spans="1:11">
      <c r="A707" s="483"/>
      <c r="B707" s="483"/>
      <c r="C707" s="483"/>
      <c r="D707" s="1301"/>
      <c r="E707" s="1301"/>
      <c r="F707" s="1301"/>
      <c r="H707" s="501"/>
      <c r="I707" s="483"/>
      <c r="J707" s="501"/>
      <c r="K707" s="501"/>
    </row>
    <row r="708" spans="1:11">
      <c r="A708" s="483"/>
      <c r="B708" s="483"/>
      <c r="C708" s="483"/>
      <c r="D708" s="445"/>
      <c r="E708" s="445"/>
      <c r="F708" s="445"/>
      <c r="H708" s="501"/>
      <c r="I708" s="483"/>
      <c r="J708" s="501"/>
      <c r="K708" s="501"/>
    </row>
    <row r="709" spans="1:11">
      <c r="A709" s="483"/>
      <c r="B709" s="485" t="s">
        <v>2730</v>
      </c>
      <c r="C709" s="483"/>
      <c r="D709" s="1301" t="s">
        <v>1201</v>
      </c>
      <c r="E709" s="1301"/>
      <c r="F709" s="1301"/>
      <c r="H709" s="501"/>
      <c r="I709" s="483"/>
      <c r="J709" s="501"/>
      <c r="K709" s="501"/>
    </row>
    <row r="710" spans="1:11">
      <c r="A710" s="483"/>
      <c r="B710" s="483"/>
      <c r="C710" s="483"/>
      <c r="D710" s="1301"/>
      <c r="E710" s="1301"/>
      <c r="F710" s="1301"/>
      <c r="H710" s="501"/>
      <c r="I710" s="483"/>
      <c r="J710" s="501"/>
      <c r="K710" s="501"/>
    </row>
    <row r="711" spans="1:11">
      <c r="A711" s="483"/>
      <c r="B711" s="483"/>
      <c r="C711" s="483"/>
      <c r="D711" s="445"/>
      <c r="E711" s="445"/>
      <c r="F711" s="445"/>
      <c r="H711" s="501"/>
      <c r="I711" s="483"/>
      <c r="J711" s="501"/>
      <c r="K711" s="501"/>
    </row>
    <row r="712" spans="1:11" ht="14.25">
      <c r="A712" s="484"/>
      <c r="B712" s="485" t="s">
        <v>2730</v>
      </c>
      <c r="C712" s="483"/>
      <c r="D712" s="1301" t="s">
        <v>1077</v>
      </c>
      <c r="E712" s="1301"/>
      <c r="F712" s="1301"/>
      <c r="H712" s="501"/>
      <c r="I712" s="483"/>
      <c r="J712" s="501"/>
      <c r="K712" s="501"/>
    </row>
    <row r="713" spans="1:11">
      <c r="A713" s="483"/>
      <c r="B713" s="483"/>
      <c r="C713" s="483"/>
      <c r="D713" s="1301"/>
      <c r="E713" s="1301"/>
      <c r="F713" s="1301"/>
      <c r="H713" s="501"/>
      <c r="I713" s="483"/>
      <c r="J713" s="501"/>
      <c r="K713" s="501"/>
    </row>
    <row r="714" spans="1:11">
      <c r="A714" s="483"/>
      <c r="B714" s="483"/>
      <c r="C714" s="483"/>
      <c r="D714" s="1301"/>
      <c r="E714" s="1301"/>
      <c r="F714" s="1301"/>
      <c r="H714" s="501"/>
      <c r="I714" s="483"/>
      <c r="J714" s="501"/>
      <c r="K714" s="501"/>
    </row>
    <row r="715" spans="1:11" ht="15" customHeight="1">
      <c r="A715" s="483"/>
      <c r="B715" s="483"/>
      <c r="C715" s="483"/>
      <c r="D715" s="1301"/>
      <c r="E715" s="1301"/>
      <c r="F715" s="1301"/>
      <c r="H715" s="501"/>
      <c r="I715" s="483"/>
      <c r="J715" s="501"/>
      <c r="K715" s="501"/>
    </row>
    <row r="716" spans="1:11" ht="15" customHeight="1">
      <c r="A716" s="483"/>
      <c r="B716" s="483"/>
      <c r="C716" s="483"/>
      <c r="D716" s="1301"/>
      <c r="E716" s="1301"/>
      <c r="F716" s="1301"/>
      <c r="H716" s="501"/>
      <c r="I716" s="483"/>
      <c r="J716" s="501"/>
      <c r="K716" s="501"/>
    </row>
    <row r="717" spans="1:11">
      <c r="A717" s="483"/>
      <c r="B717" s="483"/>
      <c r="C717" s="483"/>
      <c r="D717" s="1301"/>
      <c r="E717" s="1301"/>
      <c r="F717" s="1301"/>
      <c r="H717" s="501"/>
      <c r="I717" s="483"/>
      <c r="J717" s="501"/>
      <c r="K717" s="501"/>
    </row>
    <row r="718" spans="1:11">
      <c r="A718" s="483"/>
      <c r="B718" s="483"/>
      <c r="C718" s="483"/>
      <c r="D718" s="1301"/>
      <c r="E718" s="1301"/>
      <c r="F718" s="1301"/>
      <c r="H718" s="501"/>
      <c r="I718" s="483"/>
      <c r="J718" s="501"/>
      <c r="K718" s="501"/>
    </row>
    <row r="719" spans="1:11">
      <c r="A719" s="483"/>
      <c r="B719" s="483"/>
      <c r="C719" s="483"/>
      <c r="D719" s="1301"/>
      <c r="E719" s="1301"/>
      <c r="F719" s="1301"/>
      <c r="H719" s="501"/>
      <c r="I719" s="483"/>
      <c r="J719" s="501"/>
      <c r="K719" s="501"/>
    </row>
    <row r="720" spans="1:11" ht="15" customHeight="1">
      <c r="A720" s="483"/>
      <c r="B720" s="483"/>
      <c r="C720" s="483"/>
      <c r="D720" s="1301"/>
      <c r="E720" s="1301"/>
      <c r="F720" s="1301"/>
      <c r="H720" s="501"/>
      <c r="I720" s="483"/>
      <c r="J720" s="501"/>
      <c r="K720" s="501"/>
    </row>
    <row r="721" spans="1:11">
      <c r="A721" s="483"/>
      <c r="B721" s="483"/>
      <c r="C721" s="483"/>
      <c r="D721" s="1301"/>
      <c r="E721" s="1301"/>
      <c r="F721" s="1301"/>
      <c r="H721" s="501"/>
      <c r="I721" s="483"/>
      <c r="J721" s="501"/>
      <c r="K721" s="501"/>
    </row>
    <row r="722" spans="1:11">
      <c r="A722" s="483"/>
      <c r="B722" s="483"/>
      <c r="C722" s="483"/>
      <c r="D722" s="1301"/>
      <c r="E722" s="1301"/>
      <c r="F722" s="1301"/>
      <c r="H722" s="501"/>
      <c r="I722" s="483"/>
      <c r="J722" s="501"/>
      <c r="K722" s="501"/>
    </row>
    <row r="723" spans="1:11">
      <c r="A723" s="483"/>
      <c r="B723" s="483"/>
      <c r="C723" s="483"/>
      <c r="D723" s="1301"/>
      <c r="E723" s="1301"/>
      <c r="F723" s="1301"/>
      <c r="H723" s="501"/>
      <c r="I723" s="483"/>
      <c r="J723" s="501"/>
      <c r="K723" s="501"/>
    </row>
    <row r="724" spans="1:11">
      <c r="A724" s="483"/>
      <c r="B724" s="483"/>
      <c r="C724" s="483"/>
      <c r="D724" s="1301"/>
      <c r="E724" s="1301"/>
      <c r="F724" s="1301"/>
      <c r="H724" s="501"/>
      <c r="I724" s="483"/>
      <c r="J724" s="501"/>
      <c r="K724" s="501"/>
    </row>
    <row r="725" spans="1:11">
      <c r="A725" s="483"/>
      <c r="B725" s="485" t="s">
        <v>2730</v>
      </c>
      <c r="C725" s="483"/>
      <c r="D725" s="1301" t="s">
        <v>2459</v>
      </c>
      <c r="E725" s="1301"/>
      <c r="F725" s="1301"/>
      <c r="H725" s="501"/>
      <c r="I725" s="483"/>
      <c r="J725" s="501"/>
      <c r="K725" s="501"/>
    </row>
    <row r="726" spans="1:11">
      <c r="A726" s="483"/>
      <c r="B726" s="483"/>
      <c r="C726" s="483"/>
      <c r="D726" s="1301"/>
      <c r="E726" s="1301"/>
      <c r="F726" s="1301"/>
      <c r="H726" s="501"/>
      <c r="I726" s="483"/>
      <c r="J726" s="501"/>
      <c r="K726" s="501"/>
    </row>
    <row r="727" spans="1:11">
      <c r="A727" s="483"/>
      <c r="B727" s="483"/>
      <c r="C727" s="483"/>
      <c r="D727" s="1301"/>
      <c r="E727" s="1301"/>
      <c r="F727" s="1301"/>
      <c r="H727" s="501"/>
      <c r="I727" s="483"/>
      <c r="J727" s="501"/>
      <c r="K727" s="501"/>
    </row>
    <row r="728" spans="1:11">
      <c r="A728" s="483"/>
      <c r="B728" s="483"/>
      <c r="C728" s="483"/>
      <c r="D728" s="445"/>
      <c r="E728" s="445"/>
      <c r="F728" s="445"/>
      <c r="H728" s="501"/>
      <c r="I728" s="483"/>
      <c r="J728" s="501"/>
      <c r="K728" s="501"/>
    </row>
    <row r="729" spans="1:11">
      <c r="A729" s="483"/>
      <c r="B729" s="485" t="s">
        <v>2730</v>
      </c>
      <c r="C729" s="483"/>
      <c r="D729" s="1301" t="s">
        <v>2458</v>
      </c>
      <c r="E729" s="1301"/>
      <c r="F729" s="1301"/>
      <c r="H729" s="501"/>
      <c r="I729" s="483"/>
      <c r="J729" s="501"/>
      <c r="K729" s="501"/>
    </row>
    <row r="730" spans="1:11">
      <c r="A730" s="483"/>
      <c r="B730" s="483"/>
      <c r="C730" s="483"/>
      <c r="D730" s="1301"/>
      <c r="E730" s="1301"/>
      <c r="F730" s="1301"/>
      <c r="H730" s="501"/>
      <c r="I730" s="483"/>
      <c r="J730" s="501"/>
      <c r="K730" s="501"/>
    </row>
    <row r="731" spans="1:11">
      <c r="A731" s="483"/>
      <c r="B731" s="483"/>
      <c r="C731" s="483"/>
      <c r="D731" s="1301"/>
      <c r="E731" s="1301"/>
      <c r="F731" s="1301"/>
      <c r="H731" s="501"/>
      <c r="I731" s="483"/>
      <c r="J731" s="501"/>
      <c r="K731" s="501"/>
    </row>
    <row r="732" spans="1:11">
      <c r="A732" s="483"/>
      <c r="B732" s="483"/>
      <c r="C732" s="483"/>
      <c r="H732" s="501"/>
      <c r="I732" s="483"/>
      <c r="J732" s="501"/>
      <c r="K732" s="501"/>
    </row>
    <row r="733" spans="1:11">
      <c r="A733" s="483"/>
      <c r="B733" s="485" t="s">
        <v>2730</v>
      </c>
      <c r="C733" s="483"/>
      <c r="D733" s="1301" t="s">
        <v>2457</v>
      </c>
      <c r="E733" s="1301"/>
      <c r="F733" s="1301"/>
      <c r="H733" s="501"/>
      <c r="I733" s="483"/>
      <c r="J733" s="501"/>
      <c r="K733" s="501"/>
    </row>
    <row r="734" spans="1:11">
      <c r="A734" s="483"/>
      <c r="B734" s="483"/>
      <c r="C734" s="483"/>
      <c r="D734" s="1301"/>
      <c r="E734" s="1301"/>
      <c r="F734" s="1301"/>
      <c r="H734" s="501"/>
      <c r="I734" s="483"/>
      <c r="J734" s="501"/>
      <c r="K734" s="501"/>
    </row>
    <row r="735" spans="1:11">
      <c r="A735" s="483"/>
      <c r="B735" s="483"/>
      <c r="C735" s="483"/>
      <c r="D735" s="1301"/>
      <c r="E735" s="1301"/>
      <c r="F735" s="1301"/>
      <c r="H735" s="501"/>
      <c r="I735" s="483"/>
      <c r="J735" s="501"/>
      <c r="K735" s="501"/>
    </row>
    <row r="736" spans="1:11">
      <c r="A736" s="483"/>
      <c r="B736" s="483"/>
      <c r="C736" s="483"/>
      <c r="D736" s="1301"/>
      <c r="E736" s="1301"/>
      <c r="F736" s="1301"/>
      <c r="H736" s="501"/>
      <c r="I736" s="483"/>
      <c r="J736" s="501"/>
      <c r="K736" s="501"/>
    </row>
    <row r="737" spans="1:11">
      <c r="A737" s="483"/>
      <c r="B737" s="483"/>
      <c r="C737" s="483"/>
      <c r="H737" s="501"/>
      <c r="I737" s="483"/>
      <c r="J737" s="501"/>
      <c r="K737" s="501"/>
    </row>
    <row r="738" spans="1:11" ht="14.25">
      <c r="A738" s="484"/>
      <c r="B738" s="485" t="s">
        <v>2730</v>
      </c>
      <c r="C738" s="483"/>
      <c r="D738" s="1301" t="s">
        <v>1078</v>
      </c>
      <c r="E738" s="1301"/>
      <c r="F738" s="1301"/>
      <c r="H738" s="501"/>
      <c r="I738" s="483"/>
      <c r="J738" s="501"/>
      <c r="K738" s="501"/>
    </row>
    <row r="739" spans="1:11">
      <c r="A739" s="483"/>
      <c r="B739" s="483"/>
      <c r="C739" s="483"/>
      <c r="D739" s="1301"/>
      <c r="E739" s="1301"/>
      <c r="F739" s="1301"/>
      <c r="H739" s="501"/>
      <c r="I739" s="483"/>
      <c r="J739" s="501"/>
      <c r="K739" s="501"/>
    </row>
    <row r="740" spans="1:11">
      <c r="A740" s="483"/>
      <c r="B740" s="483"/>
      <c r="C740" s="483"/>
      <c r="D740" s="1301"/>
      <c r="E740" s="1301"/>
      <c r="F740" s="1301"/>
      <c r="H740" s="501"/>
      <c r="I740" s="483"/>
      <c r="J740" s="501"/>
      <c r="K740" s="501"/>
    </row>
    <row r="741" spans="1:11">
      <c r="A741" s="483"/>
      <c r="B741" s="483"/>
      <c r="C741" s="483"/>
      <c r="D741" s="1301"/>
      <c r="E741" s="1301"/>
      <c r="F741" s="1301"/>
      <c r="H741" s="501"/>
      <c r="I741" s="483"/>
      <c r="J741" s="501"/>
      <c r="K741" s="501"/>
    </row>
    <row r="742" spans="1:11">
      <c r="A742" s="483"/>
      <c r="B742" s="483"/>
      <c r="C742" s="483"/>
      <c r="D742" s="1301"/>
      <c r="E742" s="1301"/>
      <c r="F742" s="1301"/>
      <c r="H742" s="501"/>
      <c r="I742" s="483"/>
      <c r="J742" s="501"/>
      <c r="K742" s="501"/>
    </row>
    <row r="743" spans="1:11">
      <c r="A743" s="483"/>
      <c r="B743" s="483"/>
      <c r="C743" s="483"/>
      <c r="D743" s="492"/>
      <c r="H743" s="501"/>
      <c r="I743" s="483"/>
      <c r="J743" s="501"/>
      <c r="K743" s="501"/>
    </row>
    <row r="744" spans="1:11" ht="14.25">
      <c r="A744" s="484"/>
      <c r="B744" s="485" t="s">
        <v>2730</v>
      </c>
      <c r="C744" s="483"/>
      <c r="D744" s="1301" t="s">
        <v>2146</v>
      </c>
      <c r="E744" s="1301"/>
      <c r="F744" s="1301"/>
      <c r="H744" s="501"/>
      <c r="I744" s="483"/>
      <c r="J744" s="501"/>
      <c r="K744" s="501"/>
    </row>
    <row r="745" spans="1:11">
      <c r="A745" s="483"/>
      <c r="B745" s="483"/>
      <c r="C745" s="483"/>
      <c r="D745" s="1301"/>
      <c r="E745" s="1301"/>
      <c r="F745" s="1301"/>
      <c r="H745" s="501"/>
      <c r="I745" s="483"/>
      <c r="J745" s="501"/>
      <c r="K745" s="501"/>
    </row>
    <row r="746" spans="1:11">
      <c r="A746" s="483"/>
      <c r="B746" s="483"/>
      <c r="C746" s="483"/>
      <c r="D746" s="1301"/>
      <c r="E746" s="1301"/>
      <c r="F746" s="1301"/>
      <c r="H746" s="501"/>
      <c r="I746" s="483"/>
      <c r="J746" s="501"/>
      <c r="K746" s="501"/>
    </row>
    <row r="747" spans="1:11">
      <c r="A747" s="483"/>
      <c r="B747" s="483"/>
      <c r="C747" s="483"/>
      <c r="D747" s="1301"/>
      <c r="E747" s="1301"/>
      <c r="F747" s="1301"/>
      <c r="H747" s="501"/>
      <c r="I747" s="483"/>
      <c r="J747" s="501"/>
      <c r="K747" s="501"/>
    </row>
    <row r="748" spans="1:11">
      <c r="A748" s="483"/>
      <c r="B748" s="483"/>
      <c r="C748" s="483"/>
      <c r="D748" s="1301"/>
      <c r="E748" s="1301"/>
      <c r="F748" s="1301"/>
      <c r="H748" s="501"/>
      <c r="I748" s="483"/>
      <c r="J748" s="501"/>
      <c r="K748" s="501"/>
    </row>
    <row r="749" spans="1:11">
      <c r="A749" s="483"/>
      <c r="B749" s="483"/>
      <c r="C749" s="483"/>
      <c r="D749" s="1301"/>
      <c r="E749" s="1301"/>
      <c r="F749" s="1301"/>
      <c r="H749" s="501"/>
      <c r="I749" s="483"/>
      <c r="J749" s="501"/>
      <c r="K749" s="501"/>
    </row>
    <row r="750" spans="1:11">
      <c r="A750" s="483"/>
      <c r="B750" s="483"/>
      <c r="C750" s="483"/>
      <c r="D750" s="1301"/>
      <c r="E750" s="1301"/>
      <c r="F750" s="1301"/>
      <c r="H750" s="501"/>
      <c r="I750" s="483"/>
      <c r="J750" s="501"/>
      <c r="K750" s="501"/>
    </row>
    <row r="751" spans="1:11">
      <c r="A751" s="483"/>
      <c r="B751" s="483"/>
      <c r="C751" s="483"/>
      <c r="D751" s="1302" t="s">
        <v>2075</v>
      </c>
      <c r="E751" s="1302"/>
      <c r="F751" s="1302"/>
      <c r="H751" s="501"/>
      <c r="I751" s="483"/>
      <c r="J751" s="501"/>
      <c r="K751" s="501"/>
    </row>
    <row r="752" spans="1:11">
      <c r="A752" s="483"/>
      <c r="B752" s="483"/>
      <c r="C752" s="483"/>
      <c r="D752" s="341"/>
      <c r="H752" s="501"/>
      <c r="I752" s="483"/>
      <c r="J752" s="501"/>
      <c r="K752" s="501"/>
    </row>
    <row r="753" spans="1:11">
      <c r="A753" s="1300" t="s">
        <v>1060</v>
      </c>
      <c r="B753" s="1300"/>
      <c r="C753" s="1300"/>
      <c r="D753" s="1300"/>
      <c r="E753" s="1300"/>
      <c r="F753" s="1300"/>
      <c r="G753" s="1300"/>
      <c r="H753" s="1030"/>
      <c r="I753" s="1157"/>
      <c r="J753" s="501"/>
      <c r="K753" s="501"/>
    </row>
    <row r="754" spans="1:11">
      <c r="A754" s="483"/>
      <c r="B754" s="483"/>
      <c r="C754" s="483"/>
      <c r="D754" s="492"/>
      <c r="G754" s="501"/>
      <c r="H754" s="501"/>
      <c r="I754" s="483"/>
      <c r="J754" s="501"/>
      <c r="K754" s="501"/>
    </row>
    <row r="755" spans="1:11" ht="13.7" customHeight="1">
      <c r="C755" s="483"/>
      <c r="D755" s="1317" t="s">
        <v>1070</v>
      </c>
      <c r="E755" s="1317"/>
      <c r="F755" s="1317"/>
      <c r="G755" s="501"/>
      <c r="H755" s="501"/>
      <c r="I755" s="483"/>
      <c r="J755" s="501"/>
      <c r="K755" s="501"/>
    </row>
    <row r="756" spans="1:11">
      <c r="A756" s="483"/>
      <c r="B756" s="483"/>
      <c r="C756" s="483"/>
      <c r="D756" s="1303" t="s">
        <v>1071</v>
      </c>
      <c r="E756" s="1303"/>
      <c r="F756" s="1303"/>
      <c r="G756" s="501"/>
      <c r="H756" s="501"/>
      <c r="I756" s="483"/>
      <c r="J756" s="501"/>
      <c r="K756" s="501"/>
    </row>
    <row r="757" spans="1:11">
      <c r="A757" s="483"/>
      <c r="B757" s="483"/>
      <c r="C757" s="483"/>
      <c r="G757" s="501"/>
      <c r="H757" s="501"/>
      <c r="I757" s="483"/>
      <c r="J757" s="501"/>
      <c r="K757" s="501"/>
    </row>
    <row r="758" spans="1:11" ht="14.25">
      <c r="A758" s="484"/>
      <c r="B758" s="485" t="s">
        <v>2751</v>
      </c>
      <c r="D758" s="1301" t="s">
        <v>1072</v>
      </c>
      <c r="E758" s="1301"/>
      <c r="F758" s="1301"/>
      <c r="G758" s="501"/>
      <c r="H758" s="501"/>
      <c r="I758" s="483"/>
      <c r="J758" s="501"/>
      <c r="K758" s="501"/>
    </row>
    <row r="759" spans="1:11" ht="10.5" customHeight="1">
      <c r="D759" s="1301"/>
      <c r="E759" s="1301"/>
      <c r="F759" s="1301"/>
      <c r="G759" s="501"/>
      <c r="H759" s="501"/>
      <c r="I759" s="483"/>
      <c r="J759" s="501"/>
      <c r="K759" s="501"/>
    </row>
    <row r="760" spans="1:11">
      <c r="D760" s="1301"/>
      <c r="E760" s="1301"/>
      <c r="F760" s="1301"/>
      <c r="G760" s="501"/>
      <c r="H760" s="501"/>
      <c r="I760" s="483"/>
      <c r="J760" s="501"/>
      <c r="K760" s="501"/>
    </row>
    <row r="761" spans="1:11">
      <c r="D761" s="1301"/>
      <c r="E761" s="1301"/>
      <c r="F761" s="1301"/>
      <c r="G761" s="501"/>
      <c r="H761" s="501"/>
      <c r="I761" s="483"/>
      <c r="J761" s="501"/>
      <c r="K761" s="501"/>
    </row>
    <row r="762" spans="1:11">
      <c r="D762" s="1301"/>
      <c r="E762" s="1301"/>
      <c r="F762" s="1301"/>
      <c r="G762" s="501"/>
      <c r="H762" s="501"/>
      <c r="I762" s="483"/>
      <c r="J762" s="501"/>
      <c r="K762" s="501"/>
    </row>
    <row r="763" spans="1:11" ht="15.6" customHeight="1">
      <c r="D763" s="1301"/>
      <c r="E763" s="1301"/>
      <c r="F763" s="1301"/>
      <c r="G763" s="501"/>
      <c r="H763" s="501"/>
      <c r="I763" s="483"/>
      <c r="J763" s="501"/>
      <c r="K763" s="501"/>
    </row>
    <row r="764" spans="1:11">
      <c r="D764" s="499"/>
      <c r="E764" s="446"/>
      <c r="F764" s="446"/>
      <c r="G764" s="501"/>
      <c r="H764" s="501"/>
      <c r="I764" s="483"/>
      <c r="J764" s="501"/>
      <c r="K764" s="501"/>
    </row>
    <row r="765" spans="1:11" s="505" customFormat="1" ht="14.25">
      <c r="A765" s="503"/>
      <c r="B765" s="485" t="s">
        <v>2751</v>
      </c>
      <c r="C765" s="504"/>
      <c r="D765" s="1301" t="s">
        <v>1241</v>
      </c>
      <c r="E765" s="1301"/>
      <c r="F765" s="1301"/>
      <c r="I765" s="1158"/>
    </row>
    <row r="766" spans="1:11" s="505" customFormat="1">
      <c r="A766" s="504"/>
      <c r="B766" s="504"/>
      <c r="C766" s="504"/>
      <c r="D766" s="1301"/>
      <c r="E766" s="1301"/>
      <c r="F766" s="1301"/>
      <c r="I766" s="1158"/>
    </row>
    <row r="767" spans="1:11" s="505" customFormat="1">
      <c r="A767" s="504"/>
      <c r="B767" s="504"/>
      <c r="C767" s="504"/>
      <c r="D767" s="1301"/>
      <c r="E767" s="1301"/>
      <c r="F767" s="1301"/>
      <c r="I767" s="1158"/>
    </row>
    <row r="768" spans="1:11" s="505" customFormat="1">
      <c r="A768" s="504"/>
      <c r="B768" s="504"/>
      <c r="C768" s="504"/>
      <c r="D768" s="1301"/>
      <c r="E768" s="1301"/>
      <c r="F768" s="1301"/>
      <c r="I768" s="1158"/>
    </row>
    <row r="769" spans="1:11" s="505" customFormat="1">
      <c r="A769" s="504"/>
      <c r="B769" s="504"/>
      <c r="C769" s="504"/>
      <c r="D769" s="499"/>
      <c r="I769" s="1158"/>
    </row>
    <row r="770" spans="1:11" s="505" customFormat="1" ht="14.25">
      <c r="A770" s="484"/>
      <c r="B770" s="485" t="s">
        <v>2751</v>
      </c>
      <c r="C770" s="504"/>
      <c r="D770" s="1307" t="s">
        <v>1242</v>
      </c>
      <c r="E770" s="1307"/>
      <c r="F770" s="1307"/>
      <c r="I770" s="1158"/>
    </row>
    <row r="771" spans="1:11" s="505" customFormat="1">
      <c r="A771" s="504"/>
      <c r="B771" s="504"/>
      <c r="C771" s="504"/>
      <c r="D771" s="1307"/>
      <c r="E771" s="1307"/>
      <c r="F771" s="1307"/>
      <c r="I771" s="1158"/>
    </row>
    <row r="772" spans="1:11" s="505" customFormat="1">
      <c r="A772" s="504"/>
      <c r="B772" s="504"/>
      <c r="C772" s="504"/>
      <c r="D772" s="1307"/>
      <c r="E772" s="1307"/>
      <c r="F772" s="1307"/>
      <c r="I772" s="1158"/>
    </row>
    <row r="773" spans="1:11">
      <c r="D773" s="499"/>
      <c r="E773" s="446"/>
      <c r="F773" s="446"/>
      <c r="G773" s="501"/>
      <c r="H773" s="501"/>
      <c r="I773" s="483"/>
      <c r="J773" s="501"/>
      <c r="K773" s="501"/>
    </row>
    <row r="774" spans="1:11" ht="14.25">
      <c r="A774" s="484"/>
      <c r="B774" s="485" t="s">
        <v>2730</v>
      </c>
      <c r="D774" s="1301" t="s">
        <v>1198</v>
      </c>
      <c r="E774" s="1301"/>
      <c r="F774" s="1301"/>
      <c r="G774" s="501"/>
      <c r="H774" s="501"/>
      <c r="I774" s="483"/>
      <c r="J774" s="501"/>
      <c r="K774" s="501"/>
    </row>
    <row r="775" spans="1:11">
      <c r="D775" s="1301"/>
      <c r="E775" s="1301"/>
      <c r="F775" s="1301"/>
      <c r="G775" s="501"/>
      <c r="H775" s="501"/>
      <c r="I775" s="483"/>
      <c r="J775" s="501"/>
      <c r="K775" s="501"/>
    </row>
    <row r="776" spans="1:11">
      <c r="D776" s="445"/>
      <c r="E776" s="445"/>
      <c r="F776" s="445"/>
      <c r="G776" s="501"/>
      <c r="H776" s="501"/>
      <c r="I776" s="483"/>
      <c r="J776" s="501"/>
      <c r="K776" s="501"/>
    </row>
    <row r="777" spans="1:11">
      <c r="B777" s="485" t="s">
        <v>2730</v>
      </c>
      <c r="D777" s="1301" t="s">
        <v>1215</v>
      </c>
      <c r="E777" s="1301"/>
      <c r="F777" s="1301"/>
      <c r="G777" s="501"/>
      <c r="H777" s="501"/>
      <c r="I777" s="483"/>
      <c r="J777" s="501"/>
      <c r="K777" s="501"/>
    </row>
    <row r="778" spans="1:11">
      <c r="D778" s="1301"/>
      <c r="E778" s="1301"/>
      <c r="F778" s="1301"/>
      <c r="G778" s="501"/>
      <c r="H778" s="501"/>
      <c r="I778" s="483"/>
      <c r="J778" s="501"/>
      <c r="K778" s="501"/>
    </row>
    <row r="779" spans="1:11">
      <c r="D779" s="1301"/>
      <c r="E779" s="1301"/>
      <c r="F779" s="1301"/>
      <c r="G779" s="501"/>
      <c r="H779" s="501"/>
      <c r="I779" s="483"/>
      <c r="J779" s="501"/>
      <c r="K779" s="501"/>
    </row>
    <row r="780" spans="1:11">
      <c r="D780" s="445"/>
      <c r="E780" s="445"/>
      <c r="F780" s="445"/>
      <c r="G780" s="501"/>
      <c r="H780" s="501"/>
      <c r="I780" s="483"/>
      <c r="J780" s="501"/>
      <c r="K780" s="501"/>
    </row>
    <row r="781" spans="1:11">
      <c r="A781" s="1316" t="s">
        <v>1801</v>
      </c>
      <c r="B781" s="1316"/>
      <c r="C781" s="1316"/>
      <c r="D781" s="1316"/>
      <c r="E781" s="1316"/>
      <c r="F781" s="1316"/>
      <c r="G781" s="1316"/>
      <c r="H781" s="1028"/>
      <c r="I781" s="1153"/>
    </row>
    <row r="782" spans="1:11">
      <c r="A782" s="57"/>
      <c r="B782" s="57"/>
      <c r="C782" s="354"/>
      <c r="D782" s="3"/>
      <c r="E782" s="3"/>
      <c r="F782" s="3"/>
      <c r="G782" s="3"/>
      <c r="I782" s="490"/>
    </row>
    <row r="783" spans="1:11">
      <c r="A783" s="57"/>
      <c r="B783" s="57"/>
      <c r="C783" s="354"/>
      <c r="D783" s="1315" t="s">
        <v>1855</v>
      </c>
      <c r="E783" s="1315"/>
      <c r="F783" s="1315"/>
      <c r="G783" s="3"/>
      <c r="I783" s="490"/>
    </row>
    <row r="784" spans="1:11">
      <c r="A784" s="57"/>
      <c r="B784" s="57"/>
      <c r="C784" s="354"/>
      <c r="D784" s="1318" t="s">
        <v>1755</v>
      </c>
      <c r="E784" s="1318"/>
      <c r="F784" s="1318"/>
      <c r="G784" s="3"/>
      <c r="I784" s="490"/>
    </row>
    <row r="785" spans="1:9">
      <c r="A785" s="57"/>
      <c r="B785" s="57"/>
      <c r="C785" s="354"/>
      <c r="D785" s="447"/>
      <c r="E785" s="447"/>
      <c r="F785" s="447"/>
      <c r="G785" s="3"/>
      <c r="I785" s="490"/>
    </row>
    <row r="786" spans="1:9">
      <c r="A786" s="57"/>
      <c r="B786" s="485" t="s">
        <v>2751</v>
      </c>
      <c r="C786" s="354"/>
      <c r="D786" s="1294" t="s">
        <v>1756</v>
      </c>
      <c r="E786" s="1294"/>
      <c r="F786" s="1294"/>
      <c r="G786" s="3"/>
      <c r="I786" s="483"/>
    </row>
    <row r="787" spans="1:9">
      <c r="A787" s="57"/>
      <c r="B787" s="57"/>
      <c r="C787" s="354"/>
      <c r="D787" s="1294"/>
      <c r="E787" s="1294"/>
      <c r="F787" s="1294"/>
      <c r="G787" s="3"/>
      <c r="I787" s="490"/>
    </row>
    <row r="788" spans="1:9">
      <c r="A788" s="174"/>
      <c r="B788" s="174"/>
      <c r="C788" s="174"/>
      <c r="D788" s="1294"/>
      <c r="E788" s="1294"/>
      <c r="F788" s="1294"/>
      <c r="G788" s="118"/>
      <c r="I788" s="490"/>
    </row>
    <row r="789" spans="1:9">
      <c r="A789" s="354"/>
      <c r="B789" s="354"/>
      <c r="C789" s="354"/>
      <c r="D789" s="173"/>
      <c r="E789" s="3"/>
      <c r="F789" s="3"/>
      <c r="G789" s="3"/>
      <c r="I789" s="490"/>
    </row>
    <row r="790" spans="1:9">
      <c r="A790" s="172"/>
      <c r="B790" s="485" t="s">
        <v>2751</v>
      </c>
      <c r="C790" s="172"/>
      <c r="D790" s="1294" t="s">
        <v>1757</v>
      </c>
      <c r="E790" s="1294"/>
      <c r="F790" s="1294"/>
      <c r="G790" s="3"/>
      <c r="I790" s="483"/>
    </row>
    <row r="791" spans="1:9">
      <c r="A791" s="172"/>
      <c r="B791" s="172"/>
      <c r="C791" s="172"/>
      <c r="D791" s="1294"/>
      <c r="E791" s="1294"/>
      <c r="F791" s="1294"/>
      <c r="G791" s="3"/>
      <c r="I791" s="490"/>
    </row>
    <row r="792" spans="1:9">
      <c r="A792" s="172"/>
      <c r="B792" s="172"/>
      <c r="C792" s="172"/>
      <c r="D792" s="1294"/>
      <c r="E792" s="1294"/>
      <c r="F792" s="1294"/>
      <c r="G792" s="3"/>
      <c r="I792" s="490"/>
    </row>
    <row r="793" spans="1:9">
      <c r="A793" s="174"/>
      <c r="B793" s="174"/>
      <c r="C793" s="174"/>
      <c r="D793" s="3"/>
      <c r="E793" s="988"/>
      <c r="F793" s="988"/>
      <c r="G793" s="988"/>
      <c r="I793" s="490"/>
    </row>
    <row r="794" spans="1:9" ht="14.25">
      <c r="A794" s="175"/>
      <c r="B794" s="485" t="s">
        <v>2730</v>
      </c>
      <c r="C794" s="989"/>
      <c r="D794" s="1294" t="s">
        <v>1758</v>
      </c>
      <c r="E794" s="1294"/>
      <c r="F794" s="1294"/>
      <c r="G794" s="988"/>
      <c r="I794" s="483"/>
    </row>
    <row r="795" spans="1:9" ht="14.25">
      <c r="A795" s="175"/>
      <c r="B795" s="175"/>
      <c r="C795" s="989"/>
      <c r="D795" s="1294"/>
      <c r="E795" s="1294"/>
      <c r="F795" s="1294"/>
      <c r="G795" s="988"/>
      <c r="I795" s="490"/>
    </row>
    <row r="796" spans="1:9" ht="14.25">
      <c r="A796" s="175"/>
      <c r="B796" s="175"/>
      <c r="C796" s="989"/>
      <c r="D796" s="1294"/>
      <c r="E796" s="1294"/>
      <c r="F796" s="1294"/>
      <c r="G796" s="988"/>
      <c r="I796" s="490"/>
    </row>
    <row r="797" spans="1:9" ht="14.25">
      <c r="A797" s="175"/>
      <c r="B797" s="175"/>
      <c r="C797" s="989"/>
      <c r="D797" s="118"/>
      <c r="E797" s="3"/>
      <c r="F797" s="3"/>
      <c r="G797" s="988"/>
      <c r="I797" s="490"/>
    </row>
    <row r="798" spans="1:9" ht="14.25">
      <c r="A798" s="175"/>
      <c r="B798" s="485" t="s">
        <v>2730</v>
      </c>
      <c r="C798" s="989"/>
      <c r="D798" s="1294" t="s">
        <v>1759</v>
      </c>
      <c r="E798" s="1294"/>
      <c r="F798" s="1294"/>
      <c r="G798" s="988"/>
      <c r="I798" s="483"/>
    </row>
    <row r="799" spans="1:9" ht="14.25">
      <c r="A799" s="175"/>
      <c r="B799" s="175"/>
      <c r="C799" s="989"/>
      <c r="D799" s="1294"/>
      <c r="E799" s="1294"/>
      <c r="F799" s="1294"/>
      <c r="G799" s="988"/>
      <c r="I799" s="490"/>
    </row>
    <row r="800" spans="1:9" ht="14.25">
      <c r="A800" s="175"/>
      <c r="B800" s="175"/>
      <c r="C800" s="989"/>
      <c r="D800" s="1294"/>
      <c r="E800" s="1294"/>
      <c r="F800" s="1294"/>
      <c r="G800" s="988"/>
      <c r="I800" s="490"/>
    </row>
    <row r="801" spans="1:9" ht="14.25">
      <c r="A801" s="175"/>
      <c r="B801" s="175"/>
      <c r="C801" s="989"/>
      <c r="D801" s="1294"/>
      <c r="E801" s="1294"/>
      <c r="F801" s="1294"/>
      <c r="G801" s="988"/>
      <c r="I801" s="490"/>
    </row>
    <row r="802" spans="1:9" ht="14.25">
      <c r="A802" s="175"/>
      <c r="B802" s="175"/>
      <c r="C802" s="989"/>
      <c r="D802" s="1294"/>
      <c r="E802" s="1294"/>
      <c r="F802" s="1294"/>
      <c r="G802" s="988"/>
      <c r="I802" s="490"/>
    </row>
    <row r="803" spans="1:9" ht="14.25">
      <c r="A803" s="175"/>
      <c r="B803" s="175"/>
      <c r="C803" s="989"/>
      <c r="D803" s="1294"/>
      <c r="E803" s="1294"/>
      <c r="F803" s="1294"/>
      <c r="G803" s="988"/>
      <c r="I803" s="490"/>
    </row>
    <row r="804" spans="1:9" ht="14.25">
      <c r="A804" s="175"/>
      <c r="B804" s="175"/>
      <c r="C804" s="989"/>
      <c r="D804" s="1294" t="s">
        <v>1802</v>
      </c>
      <c r="E804" s="1294"/>
      <c r="F804" s="1294"/>
      <c r="G804" s="988"/>
      <c r="I804" s="490"/>
    </row>
    <row r="805" spans="1:9" ht="14.25">
      <c r="A805" s="175"/>
      <c r="B805" s="175"/>
      <c r="C805" s="989"/>
      <c r="D805" s="1294"/>
      <c r="E805" s="1294"/>
      <c r="F805" s="1294"/>
      <c r="G805" s="988"/>
      <c r="I805" s="490"/>
    </row>
    <row r="806" spans="1:9" ht="14.25">
      <c r="A806" s="175"/>
      <c r="B806" s="175"/>
      <c r="C806" s="989"/>
      <c r="D806" s="1294"/>
      <c r="E806" s="1294"/>
      <c r="F806" s="1294"/>
      <c r="G806" s="988"/>
      <c r="I806" s="490"/>
    </row>
    <row r="807" spans="1:9" ht="14.25">
      <c r="A807" s="175"/>
      <c r="B807" s="354"/>
      <c r="C807" s="989"/>
      <c r="D807" s="990"/>
      <c r="E807" s="990"/>
      <c r="F807" s="990"/>
      <c r="G807" s="988"/>
      <c r="I807" s="490"/>
    </row>
    <row r="808" spans="1:9" ht="14.25">
      <c r="A808" s="175"/>
      <c r="B808" s="485" t="s">
        <v>2730</v>
      </c>
      <c r="C808" s="989"/>
      <c r="D808" s="1294" t="s">
        <v>1760</v>
      </c>
      <c r="E808" s="1294"/>
      <c r="F808" s="1294"/>
      <c r="G808" s="988"/>
      <c r="I808" s="483"/>
    </row>
    <row r="809" spans="1:9" ht="14.25">
      <c r="A809" s="175"/>
      <c r="B809" s="175"/>
      <c r="C809" s="989"/>
      <c r="D809" s="1294"/>
      <c r="E809" s="1294"/>
      <c r="F809" s="1294"/>
      <c r="G809" s="988"/>
      <c r="I809" s="490"/>
    </row>
    <row r="810" spans="1:9" ht="14.25">
      <c r="A810" s="175"/>
      <c r="B810" s="175"/>
      <c r="C810" s="989"/>
      <c r="D810" s="1294"/>
      <c r="E810" s="1294"/>
      <c r="F810" s="1294"/>
      <c r="G810" s="988"/>
      <c r="I810" s="490"/>
    </row>
    <row r="811" spans="1:9" ht="14.25">
      <c r="A811" s="175"/>
      <c r="B811" s="175"/>
      <c r="C811" s="989"/>
      <c r="D811" s="1294"/>
      <c r="E811" s="1294"/>
      <c r="F811" s="1294"/>
      <c r="G811" s="988"/>
      <c r="I811" s="490"/>
    </row>
    <row r="812" spans="1:9" ht="14.25">
      <c r="A812" s="175"/>
      <c r="B812" s="175"/>
      <c r="C812" s="989"/>
      <c r="D812" s="1294"/>
      <c r="E812" s="1294"/>
      <c r="F812" s="1294"/>
      <c r="G812" s="988"/>
      <c r="I812" s="490"/>
    </row>
    <row r="813" spans="1:9" ht="14.25">
      <c r="A813" s="175"/>
      <c r="B813" s="175"/>
      <c r="C813" s="989"/>
      <c r="D813" s="1294"/>
      <c r="E813" s="1294"/>
      <c r="F813" s="1294"/>
      <c r="G813" s="988"/>
      <c r="I813" s="490"/>
    </row>
    <row r="814" spans="1:9" ht="14.25">
      <c r="A814" s="175"/>
      <c r="B814" s="175"/>
      <c r="C814" s="989"/>
      <c r="D814" s="982"/>
      <c r="E814" s="982"/>
      <c r="F814" s="982"/>
      <c r="G814" s="988"/>
      <c r="I814" s="490"/>
    </row>
    <row r="815" spans="1:9" ht="14.25">
      <c r="A815" s="175"/>
      <c r="B815" s="485" t="s">
        <v>2730</v>
      </c>
      <c r="C815" s="989"/>
      <c r="D815" s="1294" t="s">
        <v>1761</v>
      </c>
      <c r="E815" s="1294"/>
      <c r="F815" s="1294"/>
      <c r="G815" s="988"/>
      <c r="I815" s="483"/>
    </row>
    <row r="816" spans="1:9" ht="14.25">
      <c r="A816" s="175"/>
      <c r="B816" s="175"/>
      <c r="C816" s="989"/>
      <c r="D816" s="1294"/>
      <c r="E816" s="1294"/>
      <c r="F816" s="1294"/>
      <c r="G816" s="988"/>
      <c r="I816" s="490"/>
    </row>
    <row r="817" spans="1:9" ht="14.25">
      <c r="A817" s="175"/>
      <c r="B817" s="175"/>
      <c r="C817" s="989"/>
      <c r="D817" s="1294"/>
      <c r="E817" s="1294"/>
      <c r="F817" s="1294"/>
      <c r="G817" s="988"/>
      <c r="I817" s="490"/>
    </row>
    <row r="818" spans="1:9" ht="14.25">
      <c r="A818" s="175"/>
      <c r="B818" s="175"/>
      <c r="C818" s="989"/>
      <c r="D818" s="1294"/>
      <c r="E818" s="1294"/>
      <c r="F818" s="1294"/>
      <c r="G818" s="988"/>
      <c r="I818" s="490"/>
    </row>
    <row r="819" spans="1:9" ht="14.25">
      <c r="A819" s="175"/>
      <c r="B819" s="175"/>
      <c r="C819" s="989"/>
      <c r="D819" s="1294"/>
      <c r="E819" s="1294"/>
      <c r="F819" s="1294"/>
      <c r="G819" s="988"/>
      <c r="I819" s="490"/>
    </row>
    <row r="820" spans="1:9" ht="14.25">
      <c r="A820" s="175"/>
      <c r="B820" s="175"/>
      <c r="C820" s="989"/>
      <c r="D820" s="1294"/>
      <c r="E820" s="1294"/>
      <c r="F820" s="1294"/>
      <c r="G820" s="988"/>
      <c r="I820" s="490"/>
    </row>
    <row r="821" spans="1:9" ht="14.25">
      <c r="A821" s="175"/>
      <c r="B821" s="175"/>
      <c r="C821" s="989"/>
      <c r="D821" s="982"/>
      <c r="E821" s="982"/>
      <c r="F821" s="982"/>
      <c r="G821" s="988"/>
      <c r="I821" s="490"/>
    </row>
    <row r="822" spans="1:9" ht="14.25">
      <c r="A822" s="175"/>
      <c r="B822" s="485" t="s">
        <v>2730</v>
      </c>
      <c r="C822" s="989"/>
      <c r="D822" s="1289" t="s">
        <v>1762</v>
      </c>
      <c r="E822" s="1289"/>
      <c r="F822" s="1289"/>
      <c r="G822" s="988"/>
      <c r="I822" s="483"/>
    </row>
    <row r="823" spans="1:9" ht="14.25">
      <c r="A823" s="175"/>
      <c r="B823" s="175"/>
      <c r="C823" s="989"/>
      <c r="D823" s="1289"/>
      <c r="E823" s="1289"/>
      <c r="F823" s="1289"/>
      <c r="G823" s="988"/>
      <c r="I823" s="490"/>
    </row>
    <row r="824" spans="1:9">
      <c r="A824" s="13"/>
      <c r="B824" s="13"/>
      <c r="C824" s="989"/>
      <c r="D824" s="1289"/>
      <c r="E824" s="1289"/>
      <c r="F824" s="1289"/>
      <c r="G824" s="988"/>
      <c r="I824" s="490"/>
    </row>
    <row r="825" spans="1:9" ht="14.25">
      <c r="A825" s="175"/>
      <c r="B825" s="13"/>
      <c r="C825" s="989"/>
      <c r="D825" s="1289"/>
      <c r="E825" s="1289"/>
      <c r="F825" s="1289"/>
      <c r="G825" s="988"/>
      <c r="I825" s="490"/>
    </row>
    <row r="826" spans="1:9" ht="12.75" customHeight="1">
      <c r="A826" s="175"/>
      <c r="B826" s="13"/>
      <c r="C826" s="989"/>
      <c r="D826" s="1289"/>
      <c r="E826" s="1289"/>
      <c r="F826" s="1289"/>
      <c r="G826" s="988"/>
      <c r="I826" s="490"/>
    </row>
    <row r="827" spans="1:9" ht="12.75" customHeight="1">
      <c r="A827" s="175"/>
      <c r="B827" s="13"/>
      <c r="C827" s="989"/>
      <c r="D827" s="1289"/>
      <c r="E827" s="1289"/>
      <c r="F827" s="1289"/>
      <c r="G827" s="988"/>
      <c r="I827" s="490"/>
    </row>
    <row r="828" spans="1:9" ht="12.75" customHeight="1">
      <c r="A828" s="13"/>
      <c r="B828" s="13"/>
      <c r="C828" s="989"/>
      <c r="D828" s="988"/>
      <c r="E828" s="3"/>
      <c r="F828" s="3"/>
      <c r="G828" s="988"/>
      <c r="I828" s="490"/>
    </row>
    <row r="829" spans="1:9" ht="12.75" customHeight="1">
      <c r="A829" s="1285" t="s">
        <v>1763</v>
      </c>
      <c r="B829" s="1285"/>
      <c r="C829" s="1285"/>
      <c r="D829" s="1285"/>
      <c r="E829" s="1285"/>
      <c r="F829" s="1285"/>
      <c r="G829" s="1285"/>
      <c r="H829" s="1028"/>
      <c r="I829" s="1153"/>
    </row>
    <row r="830" spans="1:9" ht="12.75" customHeight="1">
      <c r="A830" s="172"/>
      <c r="B830" s="172"/>
      <c r="C830" s="989"/>
      <c r="D830" s="988"/>
      <c r="E830" s="988"/>
      <c r="F830" s="988"/>
      <c r="G830" s="988"/>
      <c r="I830" s="490"/>
    </row>
    <row r="831" spans="1:9" ht="12.75" customHeight="1">
      <c r="A831" s="175"/>
      <c r="B831" s="175"/>
      <c r="C831" s="354"/>
      <c r="D831" s="1305" t="s">
        <v>1803</v>
      </c>
      <c r="E831" s="1305"/>
      <c r="F831" s="1305"/>
      <c r="G831" s="3"/>
      <c r="I831" s="490"/>
    </row>
    <row r="832" spans="1:9" ht="14.25" customHeight="1">
      <c r="A832" s="175"/>
      <c r="B832" s="175"/>
      <c r="C832" s="354"/>
      <c r="D832" s="1262" t="s">
        <v>1764</v>
      </c>
      <c r="E832" s="1262"/>
      <c r="F832" s="1262"/>
      <c r="G832" s="3"/>
      <c r="I832" s="490"/>
    </row>
    <row r="833" spans="1:9" ht="12.75" customHeight="1">
      <c r="A833" s="175"/>
      <c r="B833" s="175"/>
      <c r="C833" s="354"/>
      <c r="D833" s="441"/>
      <c r="E833" s="441"/>
      <c r="F833" s="441"/>
      <c r="G833" s="3"/>
      <c r="I833" s="490"/>
    </row>
    <row r="834" spans="1:9" ht="12.75" customHeight="1">
      <c r="A834" s="354"/>
      <c r="B834" s="485" t="s">
        <v>2751</v>
      </c>
      <c r="C834" s="989"/>
      <c r="D834" s="1262" t="s">
        <v>1765</v>
      </c>
      <c r="E834" s="1262"/>
      <c r="F834" s="1262"/>
      <c r="G834" s="3"/>
      <c r="I834" s="490" t="s">
        <v>1880</v>
      </c>
    </row>
    <row r="835" spans="1:9" ht="14.25" customHeight="1">
      <c r="A835" s="13"/>
      <c r="B835" s="13"/>
      <c r="C835" s="989"/>
      <c r="E835" s="1036" t="s">
        <v>1896</v>
      </c>
      <c r="F835" s="1038"/>
      <c r="G835" s="3"/>
      <c r="I835" s="490"/>
    </row>
    <row r="836" spans="1:9" ht="12.75" customHeight="1">
      <c r="A836" s="13"/>
      <c r="B836" s="13"/>
      <c r="C836" s="989"/>
      <c r="D836" s="991"/>
      <c r="E836" s="3"/>
      <c r="F836" s="3"/>
      <c r="G836" s="3"/>
      <c r="I836" s="490"/>
    </row>
    <row r="837" spans="1:9" ht="14.25" hidden="1" customHeight="1">
      <c r="A837" s="13"/>
      <c r="B837" s="485" t="s">
        <v>306</v>
      </c>
      <c r="C837" s="989"/>
      <c r="D837" s="1306" t="s">
        <v>2076</v>
      </c>
      <c r="E837" s="1306"/>
      <c r="F837" s="1306"/>
      <c r="G837" s="3"/>
      <c r="I837" s="490"/>
    </row>
    <row r="838" spans="1:9" ht="12.75" hidden="1" customHeight="1">
      <c r="A838" s="13"/>
      <c r="B838" s="13"/>
      <c r="C838" s="989"/>
      <c r="D838" s="1306"/>
      <c r="E838" s="1306"/>
      <c r="F838" s="1306"/>
      <c r="G838" s="3"/>
      <c r="I838" s="490"/>
    </row>
    <row r="839" spans="1:9" ht="12.75" hidden="1" customHeight="1">
      <c r="A839" s="13"/>
      <c r="B839" s="13"/>
      <c r="C839" s="989"/>
      <c r="D839" s="1306"/>
      <c r="E839" s="1306"/>
      <c r="F839" s="1306"/>
      <c r="G839" s="3"/>
      <c r="I839" s="490"/>
    </row>
    <row r="840" spans="1:9" ht="12.75" hidden="1" customHeight="1">
      <c r="A840" s="13"/>
      <c r="B840" s="13"/>
      <c r="C840" s="989"/>
      <c r="D840" s="1306"/>
      <c r="E840" s="1306"/>
      <c r="F840" s="1306"/>
      <c r="G840" s="3"/>
      <c r="I840" s="490"/>
    </row>
    <row r="841" spans="1:9" ht="12.75" hidden="1" customHeight="1">
      <c r="A841" s="13"/>
      <c r="B841" s="13"/>
      <c r="C841" s="989"/>
      <c r="D841" s="1306"/>
      <c r="E841" s="1306"/>
      <c r="F841" s="1306"/>
      <c r="G841" s="3"/>
      <c r="I841" s="490"/>
    </row>
    <row r="842" spans="1:9" ht="12.75" hidden="1" customHeight="1">
      <c r="A842" s="13"/>
      <c r="B842" s="13"/>
      <c r="C842" s="989"/>
      <c r="D842" s="1306"/>
      <c r="E842" s="1306"/>
      <c r="F842" s="1306"/>
      <c r="G842" s="3"/>
      <c r="I842" s="490"/>
    </row>
    <row r="843" spans="1:9" ht="12.75" hidden="1" customHeight="1">
      <c r="A843" s="13"/>
      <c r="B843" s="13"/>
      <c r="C843" s="989"/>
      <c r="D843" s="1306"/>
      <c r="E843" s="1306"/>
      <c r="F843" s="1306"/>
      <c r="G843" s="3"/>
      <c r="I843" s="490"/>
    </row>
    <row r="844" spans="1:9" ht="12.75" hidden="1" customHeight="1">
      <c r="A844" s="13"/>
      <c r="B844" s="13"/>
      <c r="C844" s="989"/>
      <c r="D844" s="1306"/>
      <c r="E844" s="1306"/>
      <c r="F844" s="1306"/>
      <c r="G844" s="3"/>
      <c r="I844" s="490"/>
    </row>
    <row r="845" spans="1:9" ht="12.75" hidden="1" customHeight="1">
      <c r="A845" s="13"/>
      <c r="B845" s="13"/>
      <c r="C845" s="989"/>
      <c r="D845" s="1306"/>
      <c r="E845" s="1306"/>
      <c r="F845" s="1306"/>
      <c r="G845" s="3"/>
      <c r="I845" s="490"/>
    </row>
    <row r="846" spans="1:9" ht="12.75" hidden="1" customHeight="1">
      <c r="A846" s="13"/>
      <c r="B846" s="13"/>
      <c r="C846" s="989"/>
      <c r="D846" s="1306"/>
      <c r="E846" s="1306"/>
      <c r="F846" s="1306"/>
      <c r="G846" s="3"/>
      <c r="I846" s="490"/>
    </row>
    <row r="847" spans="1:9" ht="12.75" hidden="1" customHeight="1">
      <c r="A847" s="13"/>
      <c r="B847" s="13"/>
      <c r="C847" s="989"/>
      <c r="D847" s="991"/>
      <c r="E847" s="3"/>
      <c r="F847" s="3"/>
      <c r="G847" s="3"/>
      <c r="I847" s="490"/>
    </row>
    <row r="848" spans="1:9" ht="12.75" customHeight="1">
      <c r="A848" s="175"/>
      <c r="B848" s="485" t="s">
        <v>2751</v>
      </c>
      <c r="C848" s="989"/>
      <c r="D848" s="1262" t="s">
        <v>1766</v>
      </c>
      <c r="E848" s="1262"/>
      <c r="F848" s="1262"/>
      <c r="G848" s="3"/>
      <c r="I848" s="490" t="s">
        <v>1883</v>
      </c>
    </row>
    <row r="849" spans="1:9" ht="12.75" customHeight="1">
      <c r="A849" s="175"/>
      <c r="B849" s="175"/>
      <c r="C849" s="989"/>
      <c r="D849" s="1262"/>
      <c r="E849" s="1262"/>
      <c r="F849" s="1262"/>
      <c r="G849" s="3"/>
      <c r="I849" s="490"/>
    </row>
    <row r="850" spans="1:9" ht="12.75" customHeight="1">
      <c r="A850" s="175"/>
      <c r="B850" s="175"/>
      <c r="C850" s="989"/>
      <c r="D850" s="1262"/>
      <c r="E850" s="1262"/>
      <c r="F850" s="1262"/>
      <c r="G850" s="3"/>
      <c r="I850" s="490"/>
    </row>
    <row r="851" spans="1:9" ht="12.75" customHeight="1">
      <c r="A851" s="175"/>
      <c r="B851" s="175"/>
      <c r="C851" s="989"/>
      <c r="D851" s="118"/>
      <c r="E851" s="3"/>
      <c r="F851" s="3"/>
      <c r="G851" s="3"/>
      <c r="I851" s="490"/>
    </row>
    <row r="852" spans="1:9" ht="12.75" customHeight="1">
      <c r="A852" s="992"/>
      <c r="B852" s="485" t="s">
        <v>2730</v>
      </c>
      <c r="C852" s="989"/>
      <c r="D852" s="1305" t="s">
        <v>1767</v>
      </c>
      <c r="E852" s="1305"/>
      <c r="F852" s="1305"/>
      <c r="G852" s="3"/>
      <c r="I852" s="490"/>
    </row>
    <row r="853" spans="1:9" ht="12.75" customHeight="1">
      <c r="A853" s="354"/>
      <c r="B853" s="992"/>
      <c r="C853" s="989"/>
      <c r="D853" s="1305"/>
      <c r="E853" s="1305"/>
      <c r="F853" s="1305"/>
      <c r="G853" s="3"/>
      <c r="I853" s="490"/>
    </row>
    <row r="854" spans="1:9" ht="12.75" customHeight="1">
      <c r="A854" s="175"/>
      <c r="B854" s="354"/>
      <c r="C854" s="989"/>
      <c r="D854" s="1262" t="s">
        <v>2069</v>
      </c>
      <c r="E854" s="1262"/>
      <c r="F854" s="1262"/>
      <c r="G854" s="3"/>
      <c r="I854" s="490"/>
    </row>
    <row r="855" spans="1:9" ht="12.75" customHeight="1">
      <c r="A855" s="175"/>
      <c r="B855" s="175"/>
      <c r="C855" s="989"/>
      <c r="D855" s="1262"/>
      <c r="E855" s="1262"/>
      <c r="F855" s="1262"/>
      <c r="G855" s="3"/>
      <c r="I855" s="490"/>
    </row>
    <row r="856" spans="1:9" ht="12.75" customHeight="1">
      <c r="A856" s="175"/>
      <c r="B856" s="175"/>
      <c r="C856" s="989"/>
      <c r="D856" s="1262"/>
      <c r="E856" s="1262"/>
      <c r="F856" s="1262"/>
      <c r="G856" s="3"/>
      <c r="I856" s="490"/>
    </row>
    <row r="857" spans="1:9" ht="12.75" customHeight="1">
      <c r="A857" s="175"/>
      <c r="B857" s="175"/>
      <c r="C857" s="989"/>
      <c r="D857" s="1262"/>
      <c r="E857" s="1262"/>
      <c r="F857" s="1262"/>
      <c r="G857" s="3"/>
      <c r="I857" s="490"/>
    </row>
    <row r="858" spans="1:9" ht="12.75" customHeight="1">
      <c r="A858" s="175"/>
      <c r="B858" s="175"/>
      <c r="C858" s="989"/>
      <c r="D858" s="1262"/>
      <c r="E858" s="1262"/>
      <c r="F858" s="1262"/>
      <c r="G858" s="3"/>
      <c r="I858" s="490"/>
    </row>
    <row r="859" spans="1:9" ht="12.75" customHeight="1">
      <c r="A859" s="175"/>
      <c r="B859" s="175"/>
      <c r="C859" s="989"/>
      <c r="D859" s="1262"/>
      <c r="E859" s="1262"/>
      <c r="F859" s="1262"/>
      <c r="G859" s="3"/>
      <c r="I859" s="490"/>
    </row>
    <row r="860" spans="1:9" ht="12.75" customHeight="1">
      <c r="A860" s="175"/>
      <c r="B860" s="175"/>
      <c r="C860" s="989"/>
      <c r="D860" s="118"/>
      <c r="E860" s="3"/>
      <c r="F860" s="3"/>
      <c r="G860" s="3"/>
      <c r="I860" s="490"/>
    </row>
    <row r="861" spans="1:9" ht="12.75" customHeight="1">
      <c r="A861" s="175"/>
      <c r="B861" s="485" t="s">
        <v>2730</v>
      </c>
      <c r="C861" s="989"/>
      <c r="D861" s="1262" t="s">
        <v>1768</v>
      </c>
      <c r="E861" s="1262"/>
      <c r="F861" s="1262"/>
      <c r="G861" s="3"/>
      <c r="I861" s="490" t="s">
        <v>1881</v>
      </c>
    </row>
    <row r="862" spans="1:9" ht="12.75" customHeight="1">
      <c r="A862" s="175"/>
      <c r="B862" s="175"/>
      <c r="C862" s="989"/>
      <c r="D862" s="1262" t="s">
        <v>1769</v>
      </c>
      <c r="E862" s="1262"/>
      <c r="F862" s="1262"/>
      <c r="G862" s="3"/>
      <c r="I862" s="490"/>
    </row>
    <row r="863" spans="1:9" ht="12.75" customHeight="1">
      <c r="A863" s="175"/>
      <c r="B863" s="175"/>
      <c r="C863" s="989"/>
      <c r="E863" s="1036" t="s">
        <v>1898</v>
      </c>
      <c r="F863" s="1038"/>
      <c r="G863" s="3"/>
      <c r="I863" s="490"/>
    </row>
    <row r="864" spans="1:9" ht="12.75" customHeight="1">
      <c r="A864" s="175"/>
      <c r="B864" s="175"/>
      <c r="C864" s="989"/>
      <c r="D864" s="118"/>
      <c r="E864" s="3"/>
      <c r="F864" s="3"/>
      <c r="G864" s="3"/>
      <c r="I864" s="490"/>
    </row>
    <row r="865" spans="1:9" ht="12.75" customHeight="1">
      <c r="A865" s="175"/>
      <c r="B865" s="485" t="s">
        <v>2730</v>
      </c>
      <c r="C865" s="989"/>
      <c r="D865" s="1262" t="s">
        <v>1770</v>
      </c>
      <c r="E865" s="1262"/>
      <c r="F865" s="1262"/>
      <c r="G865" s="3"/>
      <c r="I865" s="490" t="s">
        <v>1884</v>
      </c>
    </row>
    <row r="866" spans="1:9" ht="12.75" customHeight="1">
      <c r="A866" s="175"/>
      <c r="B866" s="175"/>
      <c r="C866" s="989"/>
      <c r="D866" s="1262"/>
      <c r="E866" s="1262"/>
      <c r="F866" s="1262"/>
      <c r="G866" s="3"/>
      <c r="I866" s="490"/>
    </row>
    <row r="867" spans="1:9" ht="12.75" customHeight="1">
      <c r="A867" s="175"/>
      <c r="B867" s="175"/>
      <c r="C867" s="989"/>
      <c r="D867" s="1262"/>
      <c r="E867" s="1262"/>
      <c r="F867" s="1262"/>
      <c r="G867" s="3"/>
      <c r="I867" s="490"/>
    </row>
    <row r="868" spans="1:9" ht="12.75" customHeight="1">
      <c r="A868" s="175"/>
      <c r="B868" s="175"/>
      <c r="C868" s="989"/>
      <c r="D868" s="1262"/>
      <c r="E868" s="1262"/>
      <c r="F868" s="1262"/>
      <c r="G868" s="3"/>
      <c r="I868" s="490"/>
    </row>
    <row r="869" spans="1:9" ht="12.75" customHeight="1">
      <c r="A869" s="172"/>
      <c r="B869" s="172"/>
      <c r="C869" s="172"/>
      <c r="D869" s="118"/>
      <c r="E869" s="3"/>
      <c r="F869" s="3"/>
      <c r="G869" s="3"/>
      <c r="I869" s="490"/>
    </row>
    <row r="870" spans="1:9" ht="12.75" customHeight="1">
      <c r="A870" s="983" t="s">
        <v>1771</v>
      </c>
      <c r="B870" s="983"/>
      <c r="C870" s="993"/>
      <c r="D870" s="993"/>
      <c r="E870" s="993"/>
      <c r="F870" s="993"/>
      <c r="G870" s="993"/>
      <c r="H870" s="1028"/>
      <c r="I870" s="1153"/>
    </row>
    <row r="871" spans="1:9" ht="12.75" customHeight="1">
      <c r="A871" s="172"/>
      <c r="B871" s="172"/>
      <c r="C871" s="172"/>
      <c r="D871" s="994"/>
      <c r="E871" s="3"/>
      <c r="F871" s="3"/>
      <c r="G871" s="3"/>
      <c r="I871" s="490"/>
    </row>
    <row r="872" spans="1:9" ht="12.75" customHeight="1">
      <c r="A872" s="354"/>
      <c r="B872" s="354"/>
      <c r="C872" s="174"/>
      <c r="D872" s="1295" t="s">
        <v>1804</v>
      </c>
      <c r="E872" s="1295"/>
      <c r="F872" s="1295"/>
      <c r="G872" s="988"/>
      <c r="I872" s="490"/>
    </row>
    <row r="873" spans="1:9" ht="12.75" customHeight="1">
      <c r="A873" s="354"/>
      <c r="B873" s="354"/>
      <c r="C873" s="174"/>
      <c r="D873" s="1304" t="s">
        <v>1772</v>
      </c>
      <c r="E873" s="1304"/>
      <c r="F873" s="1304"/>
      <c r="G873" s="988"/>
      <c r="I873" s="490"/>
    </row>
    <row r="874" spans="1:9" ht="12.75" customHeight="1">
      <c r="A874" s="354"/>
      <c r="B874" s="354"/>
      <c r="C874" s="174"/>
      <c r="D874" s="995"/>
      <c r="E874" s="995"/>
      <c r="F874" s="995"/>
      <c r="G874" s="988"/>
      <c r="I874" s="490"/>
    </row>
    <row r="875" spans="1:9" ht="12.75" customHeight="1">
      <c r="A875" s="175"/>
      <c r="B875" s="485" t="s">
        <v>2751</v>
      </c>
      <c r="C875" s="354"/>
      <c r="D875" s="1288" t="s">
        <v>1773</v>
      </c>
      <c r="E875" s="1288"/>
      <c r="F875" s="1288"/>
      <c r="G875" s="988"/>
      <c r="I875" s="490" t="s">
        <v>1881</v>
      </c>
    </row>
    <row r="876" spans="1:9" ht="12.75" customHeight="1">
      <c r="A876" s="354"/>
      <c r="B876" s="354"/>
      <c r="C876" s="354"/>
      <c r="D876" s="2" t="s">
        <v>1748</v>
      </c>
      <c r="E876" s="1036" t="s">
        <v>1898</v>
      </c>
      <c r="F876" s="1039"/>
      <c r="G876" s="988"/>
      <c r="I876" s="490"/>
    </row>
    <row r="877" spans="1:9" ht="12.75" customHeight="1">
      <c r="A877" s="354"/>
      <c r="B877" s="354"/>
      <c r="C877" s="354"/>
      <c r="D877" s="118"/>
      <c r="E877" s="988"/>
      <c r="F877" s="988"/>
      <c r="G877" s="988"/>
      <c r="I877" s="490"/>
    </row>
    <row r="878" spans="1:9" ht="12.75" customHeight="1">
      <c r="A878" s="175"/>
      <c r="B878" s="485" t="s">
        <v>2751</v>
      </c>
      <c r="C878" s="354"/>
      <c r="D878" s="1262" t="s">
        <v>1774</v>
      </c>
      <c r="E878" s="1311"/>
      <c r="F878" s="1311"/>
      <c r="G878" s="3"/>
      <c r="I878" s="490" t="s">
        <v>1884</v>
      </c>
    </row>
    <row r="879" spans="1:9" ht="12.75" customHeight="1">
      <c r="A879" s="354"/>
      <c r="B879" s="354"/>
      <c r="C879" s="354"/>
      <c r="D879" s="1311"/>
      <c r="E879" s="1311"/>
      <c r="F879" s="1311"/>
      <c r="G879" s="3"/>
      <c r="I879" s="490"/>
    </row>
    <row r="880" spans="1:9" ht="12.75" customHeight="1">
      <c r="A880" s="354"/>
      <c r="B880" s="354"/>
      <c r="C880" s="354"/>
      <c r="D880" s="118"/>
      <c r="E880" s="3"/>
      <c r="F880" s="3"/>
      <c r="G880" s="3"/>
      <c r="I880" s="490"/>
    </row>
    <row r="881" spans="1:9" ht="12.75" customHeight="1">
      <c r="A881" s="354"/>
      <c r="B881" s="485" t="s">
        <v>2730</v>
      </c>
      <c r="C881" s="354"/>
      <c r="D881" s="1312" t="s">
        <v>1775</v>
      </c>
      <c r="E881" s="1312"/>
      <c r="F881" s="1312"/>
      <c r="G881" s="988"/>
      <c r="I881" s="490"/>
    </row>
    <row r="882" spans="1:9" ht="12.75" customHeight="1">
      <c r="A882" s="354"/>
      <c r="B882" s="996"/>
      <c r="C882" s="354"/>
      <c r="D882" s="1312"/>
      <c r="E882" s="1312"/>
      <c r="F882" s="1312"/>
      <c r="G882" s="988"/>
      <c r="I882" s="490"/>
    </row>
    <row r="883" spans="1:9" ht="12.75" customHeight="1">
      <c r="A883" s="175"/>
      <c r="B883"/>
      <c r="C883" s="354"/>
      <c r="D883" s="1262" t="s">
        <v>2069</v>
      </c>
      <c r="E883" s="1262"/>
      <c r="F883" s="1262"/>
      <c r="G883" s="988"/>
      <c r="I883" s="490"/>
    </row>
    <row r="884" spans="1:9" ht="12.75" customHeight="1">
      <c r="A884" s="175"/>
      <c r="B884" s="175"/>
      <c r="C884" s="354"/>
      <c r="D884" s="1262"/>
      <c r="E884" s="1262"/>
      <c r="F884" s="1262"/>
      <c r="G884" s="988"/>
      <c r="I884" s="490"/>
    </row>
    <row r="885" spans="1:9" ht="12.75" customHeight="1">
      <c r="A885" s="175"/>
      <c r="B885" s="175"/>
      <c r="C885" s="354"/>
      <c r="D885" s="1262"/>
      <c r="E885" s="1262"/>
      <c r="F885" s="1262"/>
      <c r="G885" s="988"/>
      <c r="I885" s="490"/>
    </row>
    <row r="886" spans="1:9" ht="12.75" customHeight="1">
      <c r="A886" s="175"/>
      <c r="B886" s="175"/>
      <c r="C886" s="354"/>
      <c r="D886" s="1262"/>
      <c r="E886" s="1262"/>
      <c r="F886" s="1262"/>
      <c r="G886" s="988"/>
      <c r="I886" s="490"/>
    </row>
    <row r="887" spans="1:9" ht="12.75" customHeight="1">
      <c r="A887" s="175"/>
      <c r="B887" s="175"/>
      <c r="C887" s="354"/>
      <c r="D887" s="1262"/>
      <c r="E887" s="1262"/>
      <c r="F887" s="1262"/>
      <c r="G887" s="988"/>
      <c r="I887" s="490"/>
    </row>
    <row r="888" spans="1:9" ht="12.75" customHeight="1">
      <c r="A888" s="175"/>
      <c r="B888" s="175"/>
      <c r="C888" s="354"/>
      <c r="D888" s="1262"/>
      <c r="E888" s="1262"/>
      <c r="F888" s="1262"/>
      <c r="G888" s="988"/>
      <c r="I888" s="490"/>
    </row>
    <row r="889" spans="1:9" ht="12.75" customHeight="1">
      <c r="A889" s="175"/>
      <c r="B889" s="175"/>
      <c r="C889" s="354"/>
      <c r="D889" s="118"/>
      <c r="E889" s="988"/>
      <c r="F889" s="988"/>
      <c r="G889" s="988"/>
      <c r="I889" s="490"/>
    </row>
    <row r="890" spans="1:9" ht="12.75" customHeight="1">
      <c r="A890" s="175"/>
      <c r="B890" s="485" t="s">
        <v>2730</v>
      </c>
      <c r="C890" s="354"/>
      <c r="D890" s="1287" t="s">
        <v>1768</v>
      </c>
      <c r="E890" s="1287"/>
      <c r="F890" s="1287"/>
      <c r="G890" s="988"/>
      <c r="I890" s="490"/>
    </row>
    <row r="891" spans="1:9" ht="12.75" customHeight="1">
      <c r="A891" s="175"/>
      <c r="B891" s="175"/>
      <c r="C891" s="354"/>
      <c r="D891" s="1287" t="s">
        <v>1769</v>
      </c>
      <c r="E891" s="1287"/>
      <c r="F891" s="1287"/>
      <c r="G891" s="988"/>
      <c r="I891" s="490"/>
    </row>
    <row r="892" spans="1:9" ht="12.75" customHeight="1">
      <c r="A892" s="175"/>
      <c r="B892" s="175"/>
      <c r="C892" s="354"/>
      <c r="D892" s="2" t="s">
        <v>1270</v>
      </c>
      <c r="E892" s="1036" t="s">
        <v>1898</v>
      </c>
      <c r="F892" s="1040"/>
      <c r="G892" s="988"/>
      <c r="I892" s="490"/>
    </row>
    <row r="893" spans="1:9" ht="12.75" customHeight="1">
      <c r="A893" s="175"/>
      <c r="B893" s="175"/>
      <c r="C893" s="354"/>
      <c r="D893" s="118"/>
      <c r="E893" s="988"/>
      <c r="F893" s="988"/>
      <c r="G893" s="988"/>
      <c r="I893" s="490"/>
    </row>
    <row r="894" spans="1:9" ht="12.75" customHeight="1">
      <c r="A894" s="175"/>
      <c r="B894" s="485" t="s">
        <v>2730</v>
      </c>
      <c r="C894" s="354"/>
      <c r="D894" s="1262" t="s">
        <v>1770</v>
      </c>
      <c r="E894" s="1262"/>
      <c r="F894" s="1262"/>
      <c r="G894" s="988"/>
      <c r="I894" s="490"/>
    </row>
    <row r="895" spans="1:9" ht="12.75" customHeight="1">
      <c r="A895" s="175"/>
      <c r="B895" s="175"/>
      <c r="C895" s="354"/>
      <c r="D895" s="1262"/>
      <c r="E895" s="1262"/>
      <c r="F895" s="1262"/>
      <c r="G895" s="988"/>
      <c r="I895" s="490"/>
    </row>
    <row r="896" spans="1:9" ht="12.75" customHeight="1">
      <c r="A896" s="175"/>
      <c r="B896" s="175"/>
      <c r="C896" s="354"/>
      <c r="D896" s="1262"/>
      <c r="E896" s="1262"/>
      <c r="F896" s="1262"/>
      <c r="G896" s="988"/>
      <c r="I896" s="490"/>
    </row>
    <row r="897" spans="1:9" ht="12.75" customHeight="1">
      <c r="A897" s="175"/>
      <c r="B897" s="175"/>
      <c r="C897" s="354"/>
      <c r="D897" s="1262"/>
      <c r="E897" s="1262"/>
      <c r="F897" s="1262"/>
      <c r="G897" s="988"/>
      <c r="I897" s="490"/>
    </row>
    <row r="898" spans="1:9" ht="12.75" customHeight="1">
      <c r="A898" s="118"/>
      <c r="B898" s="118"/>
      <c r="C898" s="989"/>
      <c r="D898" s="988"/>
      <c r="E898" s="988"/>
      <c r="F898" s="988"/>
      <c r="G898" s="988"/>
      <c r="I898" s="490"/>
    </row>
    <row r="899" spans="1:9" ht="12.75" customHeight="1">
      <c r="A899" s="1285" t="s">
        <v>1805</v>
      </c>
      <c r="B899" s="1285"/>
      <c r="C899" s="1285"/>
      <c r="D899" s="1285"/>
      <c r="E899" s="1285"/>
      <c r="F899" s="1285"/>
      <c r="G899" s="1285"/>
      <c r="H899" s="1028"/>
      <c r="I899" s="1153"/>
    </row>
    <row r="900" spans="1:9" ht="12.75" customHeight="1">
      <c r="A900" s="57"/>
      <c r="B900" s="57"/>
      <c r="C900" s="57"/>
      <c r="D900" s="57"/>
      <c r="E900" s="57"/>
      <c r="F900" s="57"/>
      <c r="G900" s="57"/>
      <c r="I900" s="490"/>
    </row>
    <row r="901" spans="1:9" ht="12.75" customHeight="1">
      <c r="A901" s="57"/>
      <c r="B901" s="57"/>
      <c r="C901" s="57"/>
      <c r="D901" s="1283" t="s">
        <v>1811</v>
      </c>
      <c r="E901" s="1283"/>
      <c r="F901" s="1283"/>
      <c r="G901" s="57"/>
      <c r="I901" s="490"/>
    </row>
    <row r="902" spans="1:9" ht="12.75" customHeight="1">
      <c r="A902" s="57"/>
      <c r="B902" s="57"/>
      <c r="C902" s="57"/>
      <c r="D902" s="981"/>
      <c r="E902" s="981"/>
      <c r="F902" s="981"/>
      <c r="G902" s="57"/>
      <c r="I902" s="490"/>
    </row>
    <row r="903" spans="1:9" ht="12.75" customHeight="1">
      <c r="A903" s="57"/>
      <c r="B903" s="485" t="s">
        <v>2751</v>
      </c>
      <c r="C903" s="57"/>
      <c r="D903" s="984" t="s">
        <v>1812</v>
      </c>
      <c r="E903" s="981"/>
      <c r="F903" s="981"/>
      <c r="G903" s="57"/>
      <c r="I903" s="490"/>
    </row>
    <row r="904" spans="1:9" ht="12.75" customHeight="1">
      <c r="A904" s="57"/>
      <c r="B904" s="57"/>
      <c r="C904" s="57"/>
      <c r="D904" s="981"/>
      <c r="E904" s="981"/>
      <c r="F904" s="981"/>
      <c r="G904" s="57"/>
      <c r="I904" s="490"/>
    </row>
    <row r="905" spans="1:9" ht="12.75" customHeight="1">
      <c r="A905" s="354"/>
      <c r="B905" s="354"/>
      <c r="C905" s="989"/>
      <c r="D905" s="1283" t="s">
        <v>1806</v>
      </c>
      <c r="E905" s="1283"/>
      <c r="F905" s="1283"/>
      <c r="G905" s="988"/>
      <c r="I905" s="490"/>
    </row>
    <row r="906" spans="1:9" ht="12.75" customHeight="1">
      <c r="A906" s="172"/>
      <c r="B906" s="172"/>
      <c r="C906" s="172"/>
      <c r="D906" s="1288" t="s">
        <v>1776</v>
      </c>
      <c r="E906" s="1288"/>
      <c r="F906" s="1288"/>
      <c r="G906" s="988"/>
      <c r="I906" s="490"/>
    </row>
    <row r="907" spans="1:9" ht="12.75" customHeight="1">
      <c r="A907" s="989"/>
      <c r="B907" s="989"/>
      <c r="C907" s="989"/>
      <c r="D907" s="2"/>
      <c r="E907" s="988"/>
      <c r="F907" s="988"/>
      <c r="G907" s="988"/>
      <c r="I907" s="490"/>
    </row>
    <row r="908" spans="1:9" ht="12.75" customHeight="1">
      <c r="A908" s="175"/>
      <c r="B908" s="485" t="s">
        <v>2751</v>
      </c>
      <c r="C908" s="354"/>
      <c r="D908" s="1262" t="s">
        <v>1780</v>
      </c>
      <c r="E908" s="1262"/>
      <c r="F908" s="1262"/>
      <c r="G908" s="3"/>
      <c r="I908" s="490"/>
    </row>
    <row r="909" spans="1:9" ht="12.75" customHeight="1">
      <c r="A909" s="354"/>
      <c r="B909" s="354"/>
      <c r="C909" s="354"/>
      <c r="D909" s="1262"/>
      <c r="E909" s="1262"/>
      <c r="F909" s="1262"/>
      <c r="G909" s="3"/>
      <c r="I909" s="490"/>
    </row>
    <row r="910" spans="1:9" ht="12.75" customHeight="1">
      <c r="A910" s="172"/>
      <c r="B910" s="172"/>
      <c r="C910" s="172"/>
      <c r="D910" s="1262" t="s">
        <v>1779</v>
      </c>
      <c r="E910" s="1262"/>
      <c r="F910" s="1262"/>
      <c r="G910" s="988"/>
      <c r="I910" s="490"/>
    </row>
    <row r="911" spans="1:9" ht="12.75" customHeight="1">
      <c r="A911" s="172"/>
      <c r="B911" s="172"/>
      <c r="C911" s="172"/>
      <c r="D911" s="1262"/>
      <c r="E911" s="1262"/>
      <c r="F911" s="1262"/>
      <c r="G911" s="988"/>
      <c r="I911" s="490"/>
    </row>
    <row r="912" spans="1:9" ht="12.75" customHeight="1">
      <c r="A912" s="172"/>
      <c r="B912" s="172"/>
      <c r="C912" s="172"/>
      <c r="D912" s="3"/>
      <c r="E912" s="3"/>
      <c r="F912" s="988"/>
      <c r="G912" s="988"/>
      <c r="I912" s="490"/>
    </row>
    <row r="913" spans="1:9" ht="12.75" customHeight="1">
      <c r="A913" s="175"/>
      <c r="B913" s="485" t="s">
        <v>2751</v>
      </c>
      <c r="C913" s="174"/>
      <c r="D913" s="1273" t="s">
        <v>1777</v>
      </c>
      <c r="E913" s="1273"/>
      <c r="F913" s="1273"/>
      <c r="G913" s="988"/>
      <c r="I913" s="490"/>
    </row>
    <row r="914" spans="1:9" ht="12.75" customHeight="1">
      <c r="A914" s="175"/>
      <c r="B914" s="175"/>
      <c r="C914" s="174"/>
      <c r="D914" s="1273"/>
      <c r="E914" s="1273"/>
      <c r="F914" s="1273"/>
      <c r="G914" s="988"/>
      <c r="I914" s="490"/>
    </row>
    <row r="915" spans="1:9" ht="12.75" customHeight="1">
      <c r="A915" s="175"/>
      <c r="B915" s="175"/>
      <c r="C915" s="174"/>
      <c r="D915" s="1273"/>
      <c r="E915" s="1273"/>
      <c r="F915" s="1273"/>
      <c r="G915" s="988"/>
      <c r="I915" s="490"/>
    </row>
    <row r="916" spans="1:9" ht="12.75" customHeight="1">
      <c r="A916" s="175"/>
      <c r="B916" s="175"/>
      <c r="C916" s="174"/>
      <c r="D916" s="1273"/>
      <c r="E916" s="1273"/>
      <c r="F916" s="1273"/>
      <c r="G916" s="988"/>
      <c r="I916" s="490"/>
    </row>
    <row r="917" spans="1:9" ht="12.75" customHeight="1">
      <c r="A917" s="175"/>
      <c r="B917" s="175"/>
      <c r="C917" s="174"/>
      <c r="D917" s="1273"/>
      <c r="E917" s="1273"/>
      <c r="F917" s="1273"/>
      <c r="G917" s="988"/>
      <c r="I917" s="490"/>
    </row>
    <row r="918" spans="1:9" ht="12.75" customHeight="1">
      <c r="A918" s="174"/>
      <c r="B918" s="174"/>
      <c r="C918" s="174"/>
      <c r="D918" s="1273"/>
      <c r="E918" s="1273"/>
      <c r="F918" s="1273"/>
      <c r="G918" s="988"/>
      <c r="I918" s="490"/>
    </row>
    <row r="919" spans="1:9" ht="12.75" customHeight="1">
      <c r="A919" s="174"/>
      <c r="B919" s="174"/>
      <c r="C919" s="174"/>
      <c r="D919" s="1273"/>
      <c r="E919" s="1273"/>
      <c r="F919" s="1273"/>
      <c r="G919" s="988"/>
      <c r="I919" s="490"/>
    </row>
    <row r="920" spans="1:9" ht="12.75" customHeight="1">
      <c r="A920" s="174"/>
      <c r="B920" s="174"/>
      <c r="C920" s="174"/>
      <c r="D920" s="1273"/>
      <c r="E920" s="1273"/>
      <c r="F920" s="1273"/>
      <c r="G920" s="988"/>
      <c r="I920" s="490"/>
    </row>
    <row r="921" spans="1:9" ht="12.75" customHeight="1">
      <c r="A921" s="174"/>
      <c r="B921" s="174"/>
      <c r="C921" s="174"/>
      <c r="D921" s="335"/>
      <c r="E921" s="335"/>
      <c r="F921" s="335"/>
      <c r="G921" s="988"/>
      <c r="I921" s="490"/>
    </row>
    <row r="922" spans="1:9" ht="12.75" customHeight="1">
      <c r="A922" s="989"/>
      <c r="B922" s="485" t="s">
        <v>2730</v>
      </c>
      <c r="C922" s="989"/>
      <c r="D922" s="1262" t="s">
        <v>1781</v>
      </c>
      <c r="E922" s="1262"/>
      <c r="F922" s="1262"/>
      <c r="G922" s="988"/>
      <c r="I922" s="490"/>
    </row>
    <row r="923" spans="1:9" ht="12.75" customHeight="1">
      <c r="A923" s="989"/>
      <c r="B923" s="989"/>
      <c r="C923" s="989"/>
      <c r="D923" s="1262"/>
      <c r="E923" s="1262"/>
      <c r="F923" s="1262"/>
      <c r="G923" s="988"/>
      <c r="I923" s="490"/>
    </row>
    <row r="924" spans="1:9" ht="12.75" customHeight="1">
      <c r="A924" s="989"/>
      <c r="B924" s="989"/>
      <c r="C924" s="989"/>
      <c r="D924" s="988"/>
      <c r="E924" s="988"/>
      <c r="F924" s="988"/>
      <c r="G924" s="988"/>
      <c r="I924" s="490"/>
    </row>
    <row r="925" spans="1:9" ht="12.75" customHeight="1">
      <c r="A925" s="989"/>
      <c r="B925" s="485" t="s">
        <v>2730</v>
      </c>
      <c r="C925" s="989"/>
      <c r="D925" s="1289" t="s">
        <v>1782</v>
      </c>
      <c r="E925" s="1289"/>
      <c r="F925" s="1289"/>
      <c r="G925" s="988"/>
      <c r="I925" s="490"/>
    </row>
    <row r="926" spans="1:9" ht="12.75" customHeight="1">
      <c r="A926" s="989"/>
      <c r="B926" s="989"/>
      <c r="C926" s="989"/>
      <c r="D926" s="1289"/>
      <c r="E926" s="1289"/>
      <c r="F926" s="1289"/>
      <c r="G926" s="988"/>
      <c r="I926" s="490"/>
    </row>
    <row r="927" spans="1:9" ht="12.75" customHeight="1">
      <c r="A927" s="989"/>
      <c r="B927" s="989"/>
      <c r="C927" s="989"/>
      <c r="D927" s="1289"/>
      <c r="E927" s="1289"/>
      <c r="F927" s="1289"/>
      <c r="G927" s="988"/>
      <c r="I927" s="490"/>
    </row>
    <row r="928" spans="1:9" ht="12.75" customHeight="1">
      <c r="A928" s="989"/>
      <c r="B928" s="989"/>
      <c r="C928" s="989"/>
      <c r="D928" s="1289"/>
      <c r="E928" s="1289"/>
      <c r="F928" s="1289"/>
      <c r="G928" s="988"/>
      <c r="I928" s="490"/>
    </row>
    <row r="929" spans="1:9" ht="12.75" customHeight="1">
      <c r="A929" s="989"/>
      <c r="B929" s="989"/>
      <c r="C929" s="989"/>
      <c r="D929" s="118"/>
      <c r="E929" s="988"/>
      <c r="F929" s="988"/>
      <c r="G929" s="988"/>
      <c r="I929" s="490"/>
    </row>
    <row r="930" spans="1:9" ht="12.75" customHeight="1">
      <c r="A930" s="989"/>
      <c r="B930" s="485" t="s">
        <v>2730</v>
      </c>
      <c r="C930" s="989"/>
      <c r="D930" s="1288" t="s">
        <v>2070</v>
      </c>
      <c r="E930" s="1288"/>
      <c r="F930" s="1288"/>
      <c r="G930" s="988"/>
      <c r="I930" s="490"/>
    </row>
    <row r="931" spans="1:9" ht="12.75" customHeight="1">
      <c r="A931" s="989"/>
      <c r="B931" s="989"/>
      <c r="C931" s="989"/>
      <c r="D931" s="118"/>
      <c r="E931" s="988"/>
      <c r="F931" s="988"/>
      <c r="G931" s="988"/>
      <c r="I931" s="490"/>
    </row>
    <row r="932" spans="1:9" ht="12.75" customHeight="1">
      <c r="A932" s="989"/>
      <c r="B932" s="485" t="s">
        <v>2730</v>
      </c>
      <c r="C932" s="989"/>
      <c r="D932" s="1288" t="s">
        <v>2071</v>
      </c>
      <c r="E932" s="1288"/>
      <c r="F932" s="1288"/>
      <c r="G932" s="988"/>
      <c r="I932" s="490"/>
    </row>
    <row r="933" spans="1:9" ht="12.75" customHeight="1">
      <c r="A933" s="174"/>
      <c r="B933" s="174"/>
      <c r="C933" s="174"/>
      <c r="D933" s="2"/>
      <c r="E933" s="3"/>
      <c r="F933" s="988"/>
      <c r="G933" s="988"/>
      <c r="I933" s="490"/>
    </row>
    <row r="934" spans="1:9" ht="12.75" customHeight="1">
      <c r="A934" s="997"/>
      <c r="B934" s="485" t="s">
        <v>306</v>
      </c>
      <c r="C934" s="998"/>
      <c r="D934" s="1273" t="s">
        <v>1778</v>
      </c>
      <c r="E934" s="1273"/>
      <c r="F934" s="1273"/>
      <c r="G934" s="999"/>
      <c r="I934" s="490"/>
    </row>
    <row r="935" spans="1:9" ht="12.75" customHeight="1">
      <c r="A935" s="997"/>
      <c r="B935" s="997"/>
      <c r="C935" s="998"/>
      <c r="D935" s="1273"/>
      <c r="E935" s="1273"/>
      <c r="F935" s="1273"/>
      <c r="G935" s="999"/>
      <c r="I935" s="490"/>
    </row>
    <row r="936" spans="1:9" ht="12.75" customHeight="1">
      <c r="A936" s="997"/>
      <c r="B936" s="997"/>
      <c r="C936" s="998"/>
      <c r="D936" s="1273"/>
      <c r="E936" s="1273"/>
      <c r="F936" s="1273"/>
      <c r="G936" s="999"/>
      <c r="I936" s="490"/>
    </row>
    <row r="937" spans="1:9" ht="12.75" customHeight="1">
      <c r="A937" s="997"/>
      <c r="B937" s="997"/>
      <c r="C937" s="998"/>
      <c r="D937" s="1273"/>
      <c r="E937" s="1273"/>
      <c r="F937" s="1273"/>
      <c r="G937" s="999"/>
      <c r="I937" s="490"/>
    </row>
    <row r="938" spans="1:9" ht="12.75" customHeight="1">
      <c r="A938" s="997"/>
      <c r="B938" s="997"/>
      <c r="C938" s="998"/>
      <c r="D938" s="1273"/>
      <c r="E938" s="1273"/>
      <c r="F938" s="1273"/>
      <c r="G938" s="999"/>
      <c r="I938" s="490"/>
    </row>
    <row r="939" spans="1:9" ht="12.75" customHeight="1">
      <c r="A939" s="997"/>
      <c r="B939" s="997"/>
      <c r="C939" s="998"/>
      <c r="D939" s="1273"/>
      <c r="E939" s="1273"/>
      <c r="F939" s="1273"/>
      <c r="G939" s="999"/>
      <c r="I939" s="490"/>
    </row>
    <row r="940" spans="1:9" ht="12.75" customHeight="1">
      <c r="A940" s="997"/>
      <c r="B940" s="997"/>
      <c r="C940" s="998"/>
      <c r="D940" s="1273"/>
      <c r="E940" s="1273"/>
      <c r="F940" s="1273"/>
      <c r="G940" s="999"/>
      <c r="I940" s="490"/>
    </row>
    <row r="941" spans="1:9" ht="12.75" customHeight="1">
      <c r="A941" s="997"/>
      <c r="B941" s="997"/>
      <c r="C941" s="998"/>
      <c r="D941" s="1273"/>
      <c r="E941" s="1273"/>
      <c r="F941" s="1273"/>
      <c r="G941" s="999"/>
      <c r="I941" s="490"/>
    </row>
    <row r="942" spans="1:9" ht="12.75" customHeight="1">
      <c r="A942" s="997"/>
      <c r="B942" s="997"/>
      <c r="C942" s="998"/>
      <c r="D942" s="1273"/>
      <c r="E942" s="1273"/>
      <c r="F942" s="1273"/>
      <c r="G942" s="999"/>
      <c r="I942" s="490"/>
    </row>
    <row r="943" spans="1:9" ht="12.75" customHeight="1">
      <c r="A943" s="174"/>
      <c r="B943" s="174"/>
      <c r="C943" s="174"/>
      <c r="D943" s="2"/>
      <c r="E943" s="3"/>
      <c r="F943" s="988"/>
      <c r="G943" s="988"/>
      <c r="I943" s="490"/>
    </row>
    <row r="944" spans="1:9" ht="12.75" customHeight="1">
      <c r="A944" s="175"/>
      <c r="B944" s="485" t="s">
        <v>2751</v>
      </c>
      <c r="C944" s="174"/>
      <c r="D944" s="1297" t="s">
        <v>1887</v>
      </c>
      <c r="E944" s="1297"/>
      <c r="F944" s="1297"/>
      <c r="G944" s="988"/>
      <c r="I944" s="490"/>
    </row>
    <row r="945" spans="1:9" ht="12.75" customHeight="1">
      <c r="A945" s="175"/>
      <c r="B945" s="175"/>
      <c r="C945" s="174"/>
      <c r="D945" s="1297"/>
      <c r="E945" s="1297"/>
      <c r="F945" s="1297"/>
      <c r="G945" s="988"/>
      <c r="I945" s="490"/>
    </row>
    <row r="946" spans="1:9" ht="12.75" customHeight="1">
      <c r="A946" s="175"/>
      <c r="B946" s="175"/>
      <c r="C946" s="174"/>
      <c r="D946" s="1297"/>
      <c r="E946" s="1297"/>
      <c r="F946" s="1297"/>
      <c r="G946" s="988"/>
      <c r="I946" s="490"/>
    </row>
    <row r="947" spans="1:9" ht="12.75" customHeight="1">
      <c r="A947" s="175"/>
      <c r="B947" s="175"/>
      <c r="C947" s="174"/>
      <c r="D947" s="1297"/>
      <c r="E947" s="1297"/>
      <c r="F947" s="1297"/>
      <c r="G947" s="988"/>
      <c r="I947" s="490"/>
    </row>
    <row r="948" spans="1:9" ht="12.75" customHeight="1">
      <c r="A948" s="175"/>
      <c r="B948" s="175"/>
      <c r="C948" s="174"/>
      <c r="D948" s="1297"/>
      <c r="E948" s="1297"/>
      <c r="F948" s="1297"/>
      <c r="G948" s="988"/>
      <c r="I948" s="490"/>
    </row>
    <row r="949" spans="1:9" ht="12.75" customHeight="1">
      <c r="A949" s="175"/>
      <c r="B949" s="175"/>
      <c r="C949" s="174"/>
      <c r="D949" s="1297"/>
      <c r="E949" s="1297"/>
      <c r="F949" s="1297"/>
      <c r="G949" s="988"/>
      <c r="I949" s="490"/>
    </row>
    <row r="950" spans="1:9" ht="12.75" customHeight="1">
      <c r="A950" s="175"/>
      <c r="B950" s="175"/>
      <c r="C950" s="174"/>
      <c r="D950" s="1297"/>
      <c r="E950" s="1297"/>
      <c r="F950" s="1297"/>
      <c r="G950" s="988"/>
      <c r="I950" s="490"/>
    </row>
    <row r="951" spans="1:9" ht="12.75" customHeight="1">
      <c r="A951" s="175"/>
      <c r="B951" s="175"/>
      <c r="C951" s="174"/>
      <c r="D951" s="1026"/>
      <c r="E951" s="1026"/>
      <c r="F951" s="1026"/>
      <c r="G951" s="988"/>
      <c r="I951" s="490"/>
    </row>
    <row r="952" spans="1:9" ht="12.75" customHeight="1">
      <c r="A952" s="175"/>
      <c r="B952" s="485" t="s">
        <v>2751</v>
      </c>
      <c r="C952" s="174"/>
      <c r="D952" s="1272" t="s">
        <v>2138</v>
      </c>
      <c r="E952" s="1272"/>
      <c r="F952" s="1272"/>
      <c r="G952" s="988"/>
      <c r="I952" s="490"/>
    </row>
    <row r="953" spans="1:9" ht="12.75" customHeight="1">
      <c r="A953" s="175"/>
      <c r="B953" s="175"/>
      <c r="C953" s="174"/>
      <c r="D953" s="1272"/>
      <c r="E953" s="1272"/>
      <c r="F953" s="1272"/>
      <c r="G953" s="988"/>
      <c r="I953" s="490"/>
    </row>
    <row r="954" spans="1:9" ht="12.75" customHeight="1">
      <c r="A954" s="175"/>
      <c r="B954" s="175"/>
      <c r="C954" s="174"/>
      <c r="D954" s="1272"/>
      <c r="E954" s="1272"/>
      <c r="F954" s="1272"/>
      <c r="G954" s="988"/>
      <c r="I954" s="490"/>
    </row>
    <row r="955" spans="1:9" ht="12.75" customHeight="1">
      <c r="A955" s="175"/>
      <c r="B955" s="175"/>
      <c r="C955" s="174"/>
      <c r="D955" s="1272"/>
      <c r="E955" s="1272"/>
      <c r="F955" s="1272"/>
      <c r="G955" s="988"/>
      <c r="I955" s="490"/>
    </row>
    <row r="956" spans="1:9" ht="12.75" customHeight="1">
      <c r="A956" s="175"/>
      <c r="B956" s="175"/>
      <c r="C956" s="174"/>
      <c r="D956" s="1272"/>
      <c r="E956" s="1272"/>
      <c r="F956" s="1272"/>
      <c r="G956" s="988"/>
      <c r="I956" s="490"/>
    </row>
    <row r="957" spans="1:9" ht="12.75" customHeight="1">
      <c r="A957" s="175"/>
      <c r="B957" s="175"/>
      <c r="C957" s="174"/>
      <c r="D957" s="1272"/>
      <c r="E957" s="1272"/>
      <c r="F957" s="1272"/>
      <c r="G957" s="988"/>
      <c r="I957" s="490"/>
    </row>
    <row r="958" spans="1:9" ht="12.75" customHeight="1">
      <c r="A958" s="175"/>
      <c r="B958" s="175"/>
      <c r="C958" s="174"/>
      <c r="D958" s="1026"/>
      <c r="E958" s="1026"/>
      <c r="F958" s="1026"/>
      <c r="G958" s="988"/>
      <c r="I958" s="490"/>
    </row>
    <row r="959" spans="1:9" ht="12.75" customHeight="1">
      <c r="A959" s="989"/>
      <c r="B959" s="485" t="s">
        <v>2730</v>
      </c>
      <c r="C959" s="989"/>
      <c r="D959" s="1289" t="s">
        <v>1783</v>
      </c>
      <c r="E959" s="1289"/>
      <c r="F959" s="1289"/>
      <c r="G959" s="988"/>
      <c r="I959" s="490"/>
    </row>
    <row r="960" spans="1:9" ht="12.75" customHeight="1">
      <c r="A960" s="989"/>
      <c r="B960" s="989"/>
      <c r="C960" s="989"/>
      <c r="D960" s="1289"/>
      <c r="E960" s="1289"/>
      <c r="F960" s="1289"/>
      <c r="G960" s="988"/>
      <c r="I960" s="490"/>
    </row>
    <row r="961" spans="1:9" ht="12.75" customHeight="1">
      <c r="A961" s="989"/>
      <c r="B961" s="989"/>
      <c r="C961" s="989"/>
      <c r="D961" s="1289"/>
      <c r="E961" s="1289"/>
      <c r="F961" s="1289"/>
      <c r="G961" s="988"/>
      <c r="I961" s="490"/>
    </row>
    <row r="962" spans="1:9" ht="12.75" customHeight="1">
      <c r="A962" s="175"/>
      <c r="B962" s="175"/>
      <c r="C962" s="174"/>
      <c r="D962" s="1026"/>
      <c r="E962" s="1026"/>
      <c r="F962" s="1026"/>
      <c r="G962" s="988"/>
      <c r="I962" s="490"/>
    </row>
    <row r="963" spans="1:9" ht="12.75" customHeight="1">
      <c r="A963" s="175"/>
      <c r="B963" s="175"/>
      <c r="C963" s="174"/>
      <c r="D963" s="844"/>
      <c r="E963" s="3"/>
      <c r="F963" s="988"/>
      <c r="G963" s="988"/>
      <c r="I963" s="490"/>
    </row>
    <row r="964" spans="1:9" ht="12.75" customHeight="1">
      <c r="A964" s="175"/>
      <c r="B964" s="485" t="s">
        <v>2730</v>
      </c>
      <c r="C964" s="174"/>
      <c r="D964" s="1273" t="s">
        <v>1886</v>
      </c>
      <c r="E964" s="1273"/>
      <c r="F964" s="1273"/>
      <c r="G964" s="988"/>
      <c r="I964" s="490"/>
    </row>
    <row r="965" spans="1:9" ht="12.75" customHeight="1">
      <c r="A965" s="175"/>
      <c r="B965" s="175"/>
      <c r="C965" s="174"/>
      <c r="D965" s="1273"/>
      <c r="E965" s="1273"/>
      <c r="F965" s="1273"/>
      <c r="G965" s="988"/>
      <c r="I965" s="490"/>
    </row>
    <row r="966" spans="1:9" ht="12.75" customHeight="1">
      <c r="A966" s="175"/>
      <c r="B966" s="175"/>
      <c r="C966" s="174"/>
      <c r="D966" s="1273"/>
      <c r="E966" s="1273"/>
      <c r="F966" s="1273"/>
      <c r="G966" s="988"/>
      <c r="I966" s="490"/>
    </row>
    <row r="967" spans="1:9" ht="12.75" customHeight="1">
      <c r="A967" s="175"/>
      <c r="B967" s="175"/>
      <c r="C967" s="174"/>
      <c r="D967" s="1273"/>
      <c r="E967" s="1273"/>
      <c r="F967" s="1273"/>
      <c r="G967" s="988"/>
      <c r="I967" s="490"/>
    </row>
    <row r="968" spans="1:9" ht="12.75" customHeight="1">
      <c r="A968" s="989"/>
      <c r="B968" s="989"/>
      <c r="C968" s="989"/>
      <c r="D968" s="980"/>
      <c r="E968" s="980"/>
      <c r="F968" s="980"/>
      <c r="G968" s="980"/>
      <c r="I968" s="490"/>
    </row>
    <row r="969" spans="1:9" ht="12.75" customHeight="1">
      <c r="A969" s="354"/>
      <c r="B969" s="354"/>
      <c r="C969" s="354"/>
      <c r="D969" s="1295" t="s">
        <v>1784</v>
      </c>
      <c r="E969" s="1295"/>
      <c r="F969" s="1295"/>
      <c r="G969" s="3"/>
      <c r="I969" s="490"/>
    </row>
    <row r="970" spans="1:9" ht="12.75" customHeight="1">
      <c r="A970" s="175"/>
      <c r="B970" s="485" t="s">
        <v>2730</v>
      </c>
      <c r="C970" s="354"/>
      <c r="D970" s="1288" t="s">
        <v>1807</v>
      </c>
      <c r="E970" s="1288"/>
      <c r="F970" s="1288"/>
      <c r="G970" s="3"/>
      <c r="I970" s="490"/>
    </row>
    <row r="971" spans="1:9" ht="12.75" customHeight="1">
      <c r="A971" s="354"/>
      <c r="B971" s="354"/>
      <c r="C971" s="354"/>
      <c r="D971" s="3"/>
      <c r="E971" s="3"/>
      <c r="F971" s="3"/>
      <c r="G971" s="3"/>
      <c r="I971" s="490"/>
    </row>
    <row r="972" spans="1:9" ht="12.75" customHeight="1">
      <c r="A972" s="354"/>
      <c r="B972" s="354"/>
      <c r="C972" s="354"/>
      <c r="D972" s="1295" t="s">
        <v>1785</v>
      </c>
      <c r="E972" s="1295"/>
      <c r="F972" s="1295"/>
      <c r="G972"/>
      <c r="I972" s="490"/>
    </row>
    <row r="973" spans="1:9" ht="12.75" customHeight="1">
      <c r="A973" s="175"/>
      <c r="B973" s="485" t="s">
        <v>2730</v>
      </c>
      <c r="C973" s="354"/>
      <c r="D973" s="1262" t="s">
        <v>2072</v>
      </c>
      <c r="E973" s="1262"/>
      <c r="F973" s="1262"/>
      <c r="G973"/>
      <c r="I973" s="490"/>
    </row>
    <row r="974" spans="1:9" ht="12.75" customHeight="1">
      <c r="A974" s="175"/>
      <c r="B974" s="175"/>
      <c r="C974" s="354"/>
      <c r="D974" s="1262"/>
      <c r="E974" s="1262"/>
      <c r="F974" s="1262"/>
      <c r="G974"/>
      <c r="I974" s="490"/>
    </row>
    <row r="975" spans="1:9" ht="12.75" customHeight="1">
      <c r="A975" s="175"/>
      <c r="B975" s="175"/>
      <c r="C975" s="354"/>
      <c r="D975" s="1262"/>
      <c r="E975" s="1262"/>
      <c r="F975" s="1262"/>
      <c r="G975"/>
      <c r="I975" s="490"/>
    </row>
    <row r="976" spans="1:9" ht="12.75" customHeight="1">
      <c r="A976" s="175"/>
      <c r="B976" s="175"/>
      <c r="C976" s="354"/>
      <c r="D976" s="1262"/>
      <c r="E976" s="1262"/>
      <c r="F976" s="1262"/>
      <c r="G976"/>
      <c r="I976" s="490"/>
    </row>
    <row r="977" spans="1:9" ht="12.75" customHeight="1">
      <c r="A977" s="175"/>
      <c r="B977" s="175"/>
      <c r="C977" s="354"/>
      <c r="D977" s="1262"/>
      <c r="E977" s="1262"/>
      <c r="F977" s="1262"/>
      <c r="G977"/>
      <c r="I977" s="490"/>
    </row>
    <row r="978" spans="1:9" ht="12.75" customHeight="1">
      <c r="A978" s="175"/>
      <c r="B978" s="175"/>
      <c r="C978" s="354"/>
      <c r="D978" s="1262"/>
      <c r="E978" s="1262"/>
      <c r="F978" s="1262"/>
      <c r="G978"/>
      <c r="I978" s="490"/>
    </row>
    <row r="979" spans="1:9" ht="12.75" customHeight="1">
      <c r="A979" s="175"/>
      <c r="B979" s="175"/>
      <c r="C979" s="354"/>
      <c r="D979" s="1262"/>
      <c r="E979" s="1262"/>
      <c r="F979" s="1262"/>
      <c r="G979"/>
      <c r="I979" s="490"/>
    </row>
    <row r="980" spans="1:9" ht="12.75" customHeight="1">
      <c r="A980" s="175"/>
      <c r="B980" s="175"/>
      <c r="C980" s="354"/>
      <c r="D980" s="1262"/>
      <c r="E980" s="1262"/>
      <c r="F980" s="1262"/>
      <c r="G980"/>
      <c r="I980" s="490"/>
    </row>
    <row r="981" spans="1:9" ht="12.75" customHeight="1">
      <c r="A981" s="175"/>
      <c r="B981" s="175"/>
      <c r="C981" s="354"/>
      <c r="D981" s="1262"/>
      <c r="E981" s="1262"/>
      <c r="F981" s="1262"/>
      <c r="G981"/>
      <c r="I981" s="490"/>
    </row>
    <row r="982" spans="1:9" ht="12.75" customHeight="1">
      <c r="A982" s="175"/>
      <c r="B982" s="175"/>
      <c r="C982" s="354"/>
      <c r="D982" s="1262"/>
      <c r="E982" s="1262"/>
      <c r="F982" s="1262"/>
      <c r="G982"/>
      <c r="I982" s="490"/>
    </row>
    <row r="983" spans="1:9" ht="12.75" customHeight="1">
      <c r="A983" s="175"/>
      <c r="B983" s="175"/>
      <c r="C983" s="354"/>
      <c r="D983" s="1262"/>
      <c r="E983" s="1262"/>
      <c r="F983" s="1262"/>
      <c r="G983"/>
      <c r="I983" s="490"/>
    </row>
    <row r="984" spans="1:9" ht="12.75" customHeight="1">
      <c r="A984" s="175"/>
      <c r="B984" s="175"/>
      <c r="C984" s="354"/>
      <c r="D984" s="1262"/>
      <c r="E984" s="1262"/>
      <c r="F984" s="1262"/>
      <c r="G984"/>
      <c r="I984" s="490"/>
    </row>
    <row r="985" spans="1:9" ht="12.75" customHeight="1">
      <c r="A985" s="175"/>
      <c r="B985" s="175"/>
      <c r="C985" s="354"/>
      <c r="D985" s="1262"/>
      <c r="E985" s="1262"/>
      <c r="F985" s="1262"/>
      <c r="G985"/>
      <c r="I985" s="490"/>
    </row>
    <row r="986" spans="1:9" ht="12.75" customHeight="1">
      <c r="A986" s="175"/>
      <c r="B986" s="175"/>
      <c r="C986" s="354"/>
      <c r="D986" s="1262"/>
      <c r="E986" s="1262"/>
      <c r="F986" s="1262"/>
      <c r="G986"/>
      <c r="I986" s="490"/>
    </row>
    <row r="987" spans="1:9" ht="12.75" customHeight="1">
      <c r="A987" s="175"/>
      <c r="B987" s="175"/>
      <c r="C987" s="354"/>
      <c r="D987" s="1262"/>
      <c r="E987" s="1262"/>
      <c r="F987" s="1262"/>
      <c r="G987" s="3"/>
      <c r="I987" s="490"/>
    </row>
    <row r="988" spans="1:9" ht="12.75" customHeight="1">
      <c r="A988" s="354"/>
      <c r="B988" s="354"/>
      <c r="C988" s="354"/>
      <c r="D988" s="3"/>
      <c r="E988" s="3"/>
      <c r="F988" s="3"/>
      <c r="G988" s="3"/>
      <c r="I988" s="490"/>
    </row>
    <row r="989" spans="1:9" ht="12.75" customHeight="1">
      <c r="A989" s="1285" t="s">
        <v>1786</v>
      </c>
      <c r="B989" s="1285"/>
      <c r="C989" s="1285"/>
      <c r="D989" s="1285"/>
      <c r="E989" s="1285"/>
      <c r="F989" s="1285"/>
      <c r="G989" s="1285"/>
      <c r="H989" s="1028"/>
      <c r="I989" s="1153"/>
    </row>
    <row r="990" spans="1:9" ht="12.75" customHeight="1">
      <c r="A990" s="118"/>
      <c r="B990" s="118"/>
      <c r="C990" s="354"/>
      <c r="D990" s="3"/>
      <c r="E990" s="3"/>
      <c r="F990" s="3"/>
      <c r="G990" s="3"/>
      <c r="I990" s="490"/>
    </row>
    <row r="991" spans="1:9" ht="12.75" customHeight="1">
      <c r="A991" s="354"/>
      <c r="B991" s="354"/>
      <c r="C991" s="989"/>
      <c r="D991" s="1295" t="s">
        <v>1808</v>
      </c>
      <c r="E991" s="1295"/>
      <c r="F991" s="1295"/>
      <c r="G991" s="3"/>
      <c r="I991" s="490"/>
    </row>
    <row r="992" spans="1:9" ht="12.75" customHeight="1">
      <c r="A992" s="172"/>
      <c r="B992" s="172"/>
      <c r="C992" s="172"/>
      <c r="D992" s="1288" t="s">
        <v>1787</v>
      </c>
      <c r="E992" s="1288"/>
      <c r="F992" s="1288"/>
      <c r="G992" s="3"/>
      <c r="I992" s="490"/>
    </row>
    <row r="993" spans="1:9" ht="12.75" customHeight="1">
      <c r="A993" s="172"/>
      <c r="B993" s="172"/>
      <c r="C993" s="172"/>
      <c r="D993" s="3"/>
      <c r="E993" s="3"/>
      <c r="F993" s="988"/>
      <c r="G993"/>
      <c r="I993" s="490"/>
    </row>
    <row r="994" spans="1:9" ht="12.75" customHeight="1">
      <c r="A994" s="354"/>
      <c r="B994" s="485" t="s">
        <v>2751</v>
      </c>
      <c r="C994" s="354"/>
      <c r="D994" s="1296" t="s">
        <v>1916</v>
      </c>
      <c r="E994" s="1296"/>
      <c r="F994" s="1296"/>
      <c r="G994"/>
      <c r="I994" s="490"/>
    </row>
    <row r="995" spans="1:9" ht="12.75" customHeight="1">
      <c r="A995" s="354"/>
      <c r="B995" s="354"/>
      <c r="C995" s="354"/>
      <c r="D995" s="1296"/>
      <c r="E995" s="1296"/>
      <c r="F995" s="1296"/>
      <c r="G995"/>
      <c r="I995" s="490"/>
    </row>
    <row r="996" spans="1:9" ht="12.75" customHeight="1">
      <c r="A996" s="354"/>
      <c r="B996" s="354"/>
      <c r="C996" s="354"/>
      <c r="D996" s="1038"/>
      <c r="E996" s="1036" t="s">
        <v>1917</v>
      </c>
      <c r="F996" s="1038"/>
      <c r="G996"/>
      <c r="I996" s="490"/>
    </row>
    <row r="997" spans="1:9" ht="12.75" customHeight="1">
      <c r="A997" s="354"/>
      <c r="B997" s="354"/>
      <c r="C997" s="354"/>
      <c r="D997" s="1267" t="s">
        <v>1915</v>
      </c>
      <c r="E997" s="1267"/>
      <c r="F997" s="1267"/>
      <c r="G997"/>
      <c r="I997" s="490"/>
    </row>
    <row r="998" spans="1:9" ht="12.75" customHeight="1">
      <c r="A998" s="354"/>
      <c r="B998" s="354"/>
      <c r="C998" s="354"/>
      <c r="D998" s="1267"/>
      <c r="E998" s="1267"/>
      <c r="F998" s="1267"/>
      <c r="G998"/>
      <c r="I998" s="490"/>
    </row>
    <row r="999" spans="1:9" ht="12.75" customHeight="1">
      <c r="A999" s="174"/>
      <c r="B999" s="174"/>
      <c r="C999" s="174"/>
      <c r="D999" s="1267"/>
      <c r="E999" s="1267"/>
      <c r="F999" s="1267"/>
      <c r="G999"/>
      <c r="I999" s="490"/>
    </row>
    <row r="1000" spans="1:9" ht="12.75" customHeight="1">
      <c r="A1000" s="174"/>
      <c r="B1000" s="174"/>
      <c r="C1000" s="174"/>
      <c r="D1000" s="1267"/>
      <c r="E1000" s="1267"/>
      <c r="F1000" s="1267"/>
      <c r="G1000"/>
      <c r="I1000" s="490"/>
    </row>
    <row r="1001" spans="1:9" ht="12.75" customHeight="1">
      <c r="A1001" s="174"/>
      <c r="B1001" s="174"/>
      <c r="C1001" s="174"/>
      <c r="D1001" s="335"/>
      <c r="E1001" s="335"/>
      <c r="F1001" s="335"/>
      <c r="G1001"/>
      <c r="I1001" s="490"/>
    </row>
    <row r="1002" spans="1:9" ht="12.75" customHeight="1">
      <c r="A1002" s="174"/>
      <c r="B1002" s="485" t="s">
        <v>2730</v>
      </c>
      <c r="C1002" s="174"/>
      <c r="D1002" s="1262" t="s">
        <v>1788</v>
      </c>
      <c r="E1002" s="1262"/>
      <c r="F1002" s="1262"/>
      <c r="G1002"/>
      <c r="I1002" s="490"/>
    </row>
    <row r="1003" spans="1:9" ht="12.75" customHeight="1">
      <c r="A1003" s="174"/>
      <c r="B1003" s="174"/>
      <c r="C1003" s="174"/>
      <c r="D1003" s="1262"/>
      <c r="E1003" s="1262"/>
      <c r="F1003" s="1262"/>
      <c r="G1003"/>
      <c r="I1003" s="490"/>
    </row>
    <row r="1004" spans="1:9" ht="12.75" customHeight="1">
      <c r="A1004" s="174"/>
      <c r="B1004" s="174"/>
      <c r="C1004" s="174"/>
      <c r="D1004" s="1262"/>
      <c r="E1004" s="1262"/>
      <c r="F1004" s="1262"/>
      <c r="G1004"/>
      <c r="I1004" s="490"/>
    </row>
    <row r="1005" spans="1:9" ht="12.75" customHeight="1">
      <c r="A1005" s="174"/>
      <c r="B1005" s="174"/>
      <c r="C1005" s="174"/>
      <c r="D1005" s="1262"/>
      <c r="E1005" s="1262"/>
      <c r="F1005" s="1262"/>
      <c r="G1005"/>
      <c r="I1005" s="490"/>
    </row>
    <row r="1006" spans="1:9" ht="12.75" customHeight="1">
      <c r="A1006" s="174"/>
      <c r="B1006" s="174"/>
      <c r="C1006" s="174"/>
      <c r="D1006" s="441"/>
      <c r="E1006" s="441"/>
      <c r="F1006" s="441"/>
      <c r="G1006"/>
      <c r="I1006" s="490"/>
    </row>
    <row r="1007" spans="1:9" ht="12.75" customHeight="1">
      <c r="A1007" s="174"/>
      <c r="B1007" s="485" t="s">
        <v>2730</v>
      </c>
      <c r="C1007" s="174"/>
      <c r="D1007" s="1262" t="s">
        <v>2231</v>
      </c>
      <c r="E1007" s="1262"/>
      <c r="F1007" s="1262"/>
      <c r="G1007"/>
      <c r="I1007" s="490"/>
    </row>
    <row r="1008" spans="1:9" ht="12.75" customHeight="1">
      <c r="A1008" s="174"/>
      <c r="B1008" s="174"/>
      <c r="C1008" s="174"/>
      <c r="D1008" s="1262"/>
      <c r="E1008" s="1262"/>
      <c r="F1008" s="1262"/>
      <c r="G1008"/>
      <c r="I1008" s="490"/>
    </row>
    <row r="1009" spans="1:9" ht="12.75" customHeight="1">
      <c r="A1009" s="174"/>
      <c r="B1009" s="174"/>
      <c r="C1009" s="174"/>
      <c r="D1009" s="441"/>
      <c r="E1009" s="441"/>
      <c r="F1009" s="441"/>
      <c r="G1009"/>
      <c r="I1009" s="490"/>
    </row>
    <row r="1010" spans="1:9" ht="12.75" customHeight="1">
      <c r="A1010" s="175"/>
      <c r="B1010" s="485" t="s">
        <v>2730</v>
      </c>
      <c r="C1010" s="354"/>
      <c r="D1010" s="1288" t="s">
        <v>1789</v>
      </c>
      <c r="E1010" s="1288"/>
      <c r="F1010" s="1288"/>
      <c r="G1010"/>
      <c r="I1010" s="490"/>
    </row>
    <row r="1011" spans="1:9" ht="12.75" customHeight="1">
      <c r="A1011" s="354"/>
      <c r="B1011" s="354"/>
      <c r="C1011" s="354"/>
      <c r="D1011" s="3"/>
      <c r="E1011" s="3"/>
      <c r="F1011" s="3"/>
      <c r="G1011"/>
      <c r="I1011" s="490"/>
    </row>
    <row r="1012" spans="1:9" ht="12.75" customHeight="1">
      <c r="A1012" s="175"/>
      <c r="B1012" s="485" t="s">
        <v>2730</v>
      </c>
      <c r="C1012" s="354"/>
      <c r="D1012" s="1288" t="s">
        <v>1790</v>
      </c>
      <c r="E1012" s="1288"/>
      <c r="F1012" s="1288"/>
      <c r="G1012"/>
      <c r="I1012" s="490"/>
    </row>
    <row r="1013" spans="1:9" ht="12.75" customHeight="1">
      <c r="A1013" s="354"/>
      <c r="B1013" s="354"/>
      <c r="C1013" s="354"/>
      <c r="D1013" s="118"/>
      <c r="E1013" s="3"/>
      <c r="F1013" s="3"/>
      <c r="G1013"/>
      <c r="I1013" s="490"/>
    </row>
    <row r="1014" spans="1:9" ht="12.75" customHeight="1">
      <c r="A1014" s="175"/>
      <c r="B1014" s="485" t="s">
        <v>2751</v>
      </c>
      <c r="C1014" s="354"/>
      <c r="D1014" s="1288" t="s">
        <v>1791</v>
      </c>
      <c r="E1014" s="1288"/>
      <c r="F1014" s="1288"/>
      <c r="G1014"/>
      <c r="I1014" s="490"/>
    </row>
    <row r="1015" spans="1:9" ht="12.75" customHeight="1">
      <c r="A1015" s="354"/>
      <c r="B1015" s="354"/>
      <c r="C1015" s="354"/>
      <c r="D1015" s="118"/>
      <c r="E1015" s="3"/>
      <c r="F1015" s="3"/>
      <c r="G1015"/>
      <c r="I1015" s="490"/>
    </row>
    <row r="1016" spans="1:9" ht="12.75" customHeight="1">
      <c r="A1016" s="175"/>
      <c r="B1016" s="485" t="s">
        <v>2751</v>
      </c>
      <c r="C1016" s="354"/>
      <c r="D1016" s="1262" t="s">
        <v>1792</v>
      </c>
      <c r="E1016" s="1262"/>
      <c r="F1016" s="1262"/>
      <c r="G1016"/>
      <c r="I1016" s="490"/>
    </row>
    <row r="1017" spans="1:9" ht="12.75" customHeight="1">
      <c r="A1017" s="175"/>
      <c r="B1017" s="175"/>
      <c r="C1017" s="354"/>
      <c r="D1017" s="1262"/>
      <c r="E1017" s="1262"/>
      <c r="F1017" s="1262"/>
      <c r="G1017"/>
      <c r="I1017" s="490"/>
    </row>
    <row r="1018" spans="1:9" ht="12.75" customHeight="1">
      <c r="A1018" s="175"/>
      <c r="B1018" s="175"/>
      <c r="C1018" s="354"/>
      <c r="D1018" s="118"/>
      <c r="E1018" s="3"/>
      <c r="F1018" s="3"/>
      <c r="G1018" s="3"/>
      <c r="I1018" s="490"/>
    </row>
    <row r="1019" spans="1:9" ht="12.75" customHeight="1">
      <c r="A1019" s="254"/>
      <c r="B1019" s="485" t="s">
        <v>2730</v>
      </c>
      <c r="C1019" s="1000"/>
      <c r="D1019" s="1294" t="s">
        <v>1793</v>
      </c>
      <c r="E1019" s="1294"/>
      <c r="F1019" s="1294"/>
      <c r="G1019" s="1001"/>
      <c r="I1019" s="490"/>
    </row>
    <row r="1020" spans="1:9" ht="12.75" customHeight="1">
      <c r="A1020" s="1000"/>
      <c r="B1020" s="1000"/>
      <c r="C1020" s="1000"/>
      <c r="D1020" s="1294"/>
      <c r="E1020" s="1294"/>
      <c r="F1020" s="1294"/>
      <c r="G1020" s="1001"/>
      <c r="I1020" s="490"/>
    </row>
    <row r="1021" spans="1:9" ht="12.75" customHeight="1">
      <c r="A1021" s="1000"/>
      <c r="B1021" s="1000"/>
      <c r="C1021" s="1000"/>
      <c r="D1021" s="984"/>
      <c r="E1021" s="1001"/>
      <c r="F1021" s="1001"/>
      <c r="G1021" s="1001"/>
      <c r="I1021" s="490"/>
    </row>
    <row r="1022" spans="1:9" ht="12.75" customHeight="1">
      <c r="A1022" s="254"/>
      <c r="B1022" s="485" t="s">
        <v>2730</v>
      </c>
      <c r="C1022" s="1000"/>
      <c r="D1022" s="1284" t="s">
        <v>1794</v>
      </c>
      <c r="E1022" s="1284"/>
      <c r="F1022" s="1284"/>
      <c r="G1022" s="1001"/>
      <c r="I1022" s="490"/>
    </row>
    <row r="1023" spans="1:9" ht="12.75" customHeight="1">
      <c r="A1023" s="1000"/>
      <c r="B1023" s="1000"/>
      <c r="C1023" s="1000"/>
      <c r="D1023" s="984"/>
      <c r="E1023" s="1001"/>
      <c r="F1023" s="1001"/>
      <c r="G1023" s="1001"/>
      <c r="I1023" s="490"/>
    </row>
    <row r="1024" spans="1:9" ht="12.75" customHeight="1">
      <c r="A1024" s="175"/>
      <c r="B1024" s="485" t="s">
        <v>2730</v>
      </c>
      <c r="C1024" s="354"/>
      <c r="D1024" s="1288" t="s">
        <v>1795</v>
      </c>
      <c r="E1024" s="1288"/>
      <c r="F1024" s="1288"/>
      <c r="G1024" s="3"/>
      <c r="I1024" s="490"/>
    </row>
    <row r="1025" spans="1:9" ht="12.75" customHeight="1">
      <c r="A1025" s="175"/>
      <c r="B1025" s="175"/>
      <c r="C1025" s="354"/>
      <c r="D1025" s="118"/>
      <c r="E1025" s="3"/>
      <c r="F1025" s="3"/>
      <c r="G1025" s="3"/>
      <c r="I1025" s="490"/>
    </row>
    <row r="1026" spans="1:9" ht="12.75" customHeight="1">
      <c r="A1026" s="175"/>
      <c r="B1026" s="485" t="s">
        <v>2730</v>
      </c>
      <c r="C1026" s="354"/>
      <c r="D1026" s="1262" t="s">
        <v>1796</v>
      </c>
      <c r="E1026" s="1262"/>
      <c r="F1026" s="1262"/>
      <c r="G1026" s="3"/>
      <c r="I1026" s="490"/>
    </row>
    <row r="1027" spans="1:9" ht="12.75" customHeight="1">
      <c r="A1027" s="175"/>
      <c r="B1027" s="175"/>
      <c r="C1027" s="354"/>
      <c r="D1027" s="1262"/>
      <c r="E1027" s="1262"/>
      <c r="F1027" s="1262"/>
      <c r="G1027" s="3"/>
      <c r="I1027" s="490"/>
    </row>
    <row r="1028" spans="1:9" ht="12.75" customHeight="1">
      <c r="A1028" s="354"/>
      <c r="B1028" s="354"/>
      <c r="C1028" s="354"/>
      <c r="D1028" s="3"/>
      <c r="E1028" s="3"/>
      <c r="F1028" s="3"/>
      <c r="G1028" s="3"/>
      <c r="I1028" s="490"/>
    </row>
    <row r="1029" spans="1:9" ht="12.75" customHeight="1">
      <c r="A1029" s="1285" t="s">
        <v>1797</v>
      </c>
      <c r="B1029" s="1285"/>
      <c r="C1029" s="1285"/>
      <c r="D1029" s="1285"/>
      <c r="E1029" s="1285"/>
      <c r="F1029" s="1285"/>
      <c r="G1029" s="1285"/>
      <c r="H1029" s="1028"/>
      <c r="I1029" s="1153"/>
    </row>
    <row r="1030" spans="1:9" ht="12.75" customHeight="1">
      <c r="A1030" s="354"/>
      <c r="B1030" s="354"/>
      <c r="C1030" s="354"/>
      <c r="D1030" s="3"/>
      <c r="E1030" s="3"/>
      <c r="F1030" s="3"/>
      <c r="G1030" s="3"/>
      <c r="I1030" s="490"/>
    </row>
    <row r="1031" spans="1:9" ht="12.75" customHeight="1">
      <c r="A1031" s="354"/>
      <c r="B1031" s="354"/>
      <c r="C1031" s="354"/>
      <c r="D1031" s="1283" t="s">
        <v>1798</v>
      </c>
      <c r="E1031" s="1283"/>
      <c r="F1031" s="1283"/>
      <c r="G1031" s="3"/>
      <c r="I1031" s="490"/>
    </row>
    <row r="1032" spans="1:9" ht="12.75" customHeight="1">
      <c r="A1032" s="354"/>
      <c r="B1032" s="354"/>
      <c r="C1032" s="354"/>
      <c r="D1032" s="1284" t="s">
        <v>1799</v>
      </c>
      <c r="E1032" s="1284"/>
      <c r="F1032" s="1284"/>
      <c r="G1032" s="3"/>
      <c r="I1032" s="490"/>
    </row>
    <row r="1033" spans="1:9" ht="12.75" customHeight="1">
      <c r="A1033" s="172"/>
      <c r="B1033" s="172"/>
      <c r="C1033" s="172"/>
      <c r="D1033" s="3"/>
      <c r="E1033" s="3"/>
      <c r="F1033" s="3"/>
      <c r="G1033" s="3"/>
      <c r="I1033" s="490"/>
    </row>
    <row r="1034" spans="1:9" ht="12.75" customHeight="1">
      <c r="A1034" s="175"/>
      <c r="B1034" s="175"/>
      <c r="C1034" s="174"/>
      <c r="D1034" s="1283" t="s">
        <v>1813</v>
      </c>
      <c r="E1034" s="1283"/>
      <c r="F1034" s="1283"/>
      <c r="G1034" s="3"/>
      <c r="I1034" s="490"/>
    </row>
    <row r="1035" spans="1:9" ht="12.75" customHeight="1">
      <c r="A1035" s="354"/>
      <c r="B1035" s="485" t="s">
        <v>2751</v>
      </c>
      <c r="C1035" s="354"/>
      <c r="D1035" s="1284" t="s">
        <v>1271</v>
      </c>
      <c r="E1035" s="1284"/>
      <c r="F1035" s="1284"/>
      <c r="G1035" s="3"/>
      <c r="I1035" s="490"/>
    </row>
    <row r="1036" spans="1:9" ht="12.75" customHeight="1">
      <c r="A1036" s="354"/>
      <c r="B1036" s="175"/>
      <c r="C1036" s="354"/>
      <c r="D1036" s="1284" t="s">
        <v>1800</v>
      </c>
      <c r="E1036" s="1284"/>
      <c r="F1036" s="1284"/>
      <c r="G1036" s="3"/>
      <c r="I1036" s="490"/>
    </row>
    <row r="1037" spans="1:9" ht="12.75" customHeight="1">
      <c r="A1037" s="354"/>
      <c r="B1037" s="354"/>
      <c r="C1037" s="354"/>
      <c r="D1037" s="1284"/>
      <c r="E1037" s="1284"/>
      <c r="F1037" s="1284"/>
      <c r="G1037" s="3"/>
      <c r="I1037" s="490"/>
    </row>
    <row r="1038" spans="1:9" ht="12.75" customHeight="1">
      <c r="A1038" s="1285" t="s">
        <v>1809</v>
      </c>
      <c r="B1038" s="1285"/>
      <c r="C1038" s="1285"/>
      <c r="D1038" s="1285"/>
      <c r="E1038" s="1285"/>
      <c r="F1038" s="1285"/>
      <c r="G1038" s="1285"/>
      <c r="H1038" s="1028"/>
      <c r="I1038" s="1153"/>
    </row>
    <row r="1039" spans="1:9" ht="12.75" customHeight="1">
      <c r="A1039" s="118"/>
      <c r="B1039" s="118"/>
      <c r="C1039" s="354"/>
      <c r="D1039" s="3"/>
      <c r="E1039" s="3"/>
      <c r="F1039" s="3"/>
      <c r="G1039" s="3"/>
      <c r="I1039" s="490"/>
    </row>
    <row r="1040" spans="1:9" ht="12.75" hidden="1" customHeight="1">
      <c r="A1040" s="118"/>
      <c r="B1040" s="402"/>
      <c r="D1040" s="1282" t="s">
        <v>1272</v>
      </c>
      <c r="E1040" s="1282"/>
      <c r="F1040" s="1282"/>
      <c r="G1040" s="3"/>
      <c r="I1040" s="490"/>
    </row>
    <row r="1041" spans="1:9" ht="12.75" hidden="1" customHeight="1">
      <c r="A1041" s="118"/>
      <c r="B1041" s="485" t="s">
        <v>306</v>
      </c>
      <c r="D1041" s="1281" t="s">
        <v>1271</v>
      </c>
      <c r="E1041" s="1281"/>
      <c r="F1041" s="1281"/>
      <c r="G1041" s="3"/>
      <c r="I1041" s="490"/>
    </row>
    <row r="1042" spans="1:9" ht="12.75" hidden="1" customHeight="1">
      <c r="A1042" s="118"/>
      <c r="B1042" s="402"/>
      <c r="D1042" s="1281" t="s">
        <v>1810</v>
      </c>
      <c r="E1042" s="1281"/>
      <c r="F1042" s="1281"/>
      <c r="G1042" s="3"/>
      <c r="I1042" s="490"/>
    </row>
    <row r="1043" spans="1:9" ht="12.75" hidden="1" customHeight="1">
      <c r="A1043" s="118"/>
      <c r="B1043" s="402"/>
      <c r="D1043" s="444"/>
      <c r="E1043" s="444"/>
      <c r="F1043" s="444"/>
      <c r="G1043" s="3"/>
      <c r="I1043" s="490"/>
    </row>
    <row r="1044" spans="1:9" ht="12.75" customHeight="1">
      <c r="A1044" s="118"/>
      <c r="B1044" s="118"/>
      <c r="C1044" s="354"/>
      <c r="D1044" s="1286" t="s">
        <v>1066</v>
      </c>
      <c r="E1044" s="1286"/>
      <c r="F1044" s="1286"/>
      <c r="G1044" s="3"/>
      <c r="I1044" s="490"/>
    </row>
    <row r="1045" spans="1:9" ht="12.75" customHeight="1">
      <c r="A1045" s="319"/>
      <c r="B1045" s="319"/>
      <c r="C1045" s="319"/>
      <c r="D1045" s="1287" t="s">
        <v>2249</v>
      </c>
      <c r="E1045" s="1287"/>
      <c r="F1045" s="1287"/>
      <c r="G1045" s="98"/>
      <c r="I1045" s="490"/>
    </row>
    <row r="1046" spans="1:9" ht="12.75" customHeight="1">
      <c r="A1046" s="175"/>
      <c r="B1046" s="485" t="s">
        <v>2730</v>
      </c>
      <c r="C1046" s="354"/>
      <c r="D1046" s="1287" t="s">
        <v>985</v>
      </c>
      <c r="E1046" s="1287"/>
      <c r="F1046" s="1287"/>
      <c r="G1046" s="3"/>
      <c r="I1046" s="490"/>
    </row>
    <row r="1047" spans="1:9" ht="12.75" customHeight="1">
      <c r="A1047" s="354"/>
      <c r="B1047" s="354"/>
      <c r="C1047" s="354"/>
      <c r="D1047" s="1036" t="s">
        <v>1918</v>
      </c>
      <c r="E1047" s="96"/>
      <c r="F1047" s="96"/>
      <c r="G1047" s="3"/>
      <c r="I1047" s="490"/>
    </row>
    <row r="1048" spans="1:9">
      <c r="A1048" s="402"/>
      <c r="B1048" s="402"/>
      <c r="C1048" s="402"/>
      <c r="I1048" s="490"/>
    </row>
    <row r="1049" spans="1:9">
      <c r="A1049" s="1285" t="s">
        <v>1830</v>
      </c>
      <c r="B1049" s="1285"/>
      <c r="C1049" s="1285"/>
      <c r="D1049" s="1285"/>
      <c r="E1049" s="1285"/>
      <c r="F1049" s="1285"/>
      <c r="G1049" s="1285"/>
      <c r="H1049" s="1028"/>
      <c r="I1049" s="1153"/>
    </row>
    <row r="1050" spans="1:9">
      <c r="A1050" s="402"/>
      <c r="B1050" s="402"/>
      <c r="C1050" s="402"/>
      <c r="I1050" s="490"/>
    </row>
    <row r="1051" spans="1:9">
      <c r="A1051" s="402"/>
      <c r="B1051" s="402"/>
      <c r="C1051" s="402"/>
      <c r="D1051" s="404" t="s">
        <v>1816</v>
      </c>
      <c r="I1051" s="490"/>
    </row>
    <row r="1052" spans="1:9">
      <c r="A1052" s="402"/>
      <c r="B1052" s="402"/>
      <c r="C1052" s="402"/>
      <c r="D1052" s="402" t="s">
        <v>1815</v>
      </c>
      <c r="I1052" s="490"/>
    </row>
    <row r="1053" spans="1:9">
      <c r="A1053" s="402"/>
      <c r="B1053" s="402"/>
      <c r="C1053" s="402"/>
      <c r="D1053" s="404"/>
      <c r="I1053" s="490"/>
    </row>
    <row r="1054" spans="1:9">
      <c r="A1054" s="402"/>
      <c r="B1054" s="485" t="s">
        <v>2730</v>
      </c>
      <c r="C1054" s="402"/>
      <c r="D1054" s="1291" t="s">
        <v>1814</v>
      </c>
      <c r="E1054" s="1291"/>
      <c r="F1054" s="1291"/>
      <c r="I1054" s="490"/>
    </row>
    <row r="1055" spans="1:9">
      <c r="A1055" s="402"/>
      <c r="B1055" s="402"/>
      <c r="C1055" s="402"/>
      <c r="D1055" s="1291"/>
      <c r="E1055" s="1291"/>
      <c r="F1055" s="1291"/>
      <c r="I1055" s="490"/>
    </row>
    <row r="1056" spans="1:9">
      <c r="A1056" s="402"/>
      <c r="B1056" s="402"/>
      <c r="C1056" s="402"/>
      <c r="D1056" s="1291"/>
      <c r="E1056" s="1291"/>
      <c r="F1056" s="1291"/>
      <c r="I1056" s="490"/>
    </row>
    <row r="1057" spans="1:9">
      <c r="A1057" s="402"/>
      <c r="B1057" s="402"/>
      <c r="C1057" s="402"/>
      <c r="D1057" s="1291"/>
      <c r="E1057" s="1291"/>
      <c r="F1057" s="1291"/>
      <c r="I1057" s="490"/>
    </row>
    <row r="1058" spans="1:9">
      <c r="A1058" s="402"/>
      <c r="B1058" s="402"/>
      <c r="C1058" s="402"/>
      <c r="I1058" s="490"/>
    </row>
    <row r="1059" spans="1:9">
      <c r="A1059" s="402"/>
      <c r="B1059" s="402"/>
      <c r="C1059" s="402"/>
      <c r="D1059" s="404" t="s">
        <v>1313</v>
      </c>
      <c r="I1059" s="490"/>
    </row>
    <row r="1060" spans="1:9">
      <c r="A1060" s="402"/>
      <c r="B1060" s="402"/>
      <c r="C1060" s="402"/>
      <c r="D1060" s="402" t="s">
        <v>1817</v>
      </c>
      <c r="I1060" s="490"/>
    </row>
    <row r="1061" spans="1:9">
      <c r="A1061" s="402"/>
      <c r="B1061" s="402"/>
      <c r="C1061" s="402"/>
      <c r="I1061" s="490"/>
    </row>
    <row r="1062" spans="1:9">
      <c r="A1062" s="402"/>
      <c r="B1062" s="485" t="s">
        <v>2751</v>
      </c>
      <c r="C1062" s="402"/>
      <c r="D1062" s="402" t="s">
        <v>1812</v>
      </c>
      <c r="I1062" s="490"/>
    </row>
    <row r="1063" spans="1:9">
      <c r="A1063" s="402"/>
      <c r="B1063" s="402"/>
      <c r="C1063" s="402"/>
      <c r="I1063" s="490"/>
    </row>
    <row r="1064" spans="1:9">
      <c r="A1064" s="402"/>
      <c r="B1064" s="485" t="s">
        <v>2751</v>
      </c>
      <c r="C1064" s="402"/>
      <c r="D1064" s="1291" t="s">
        <v>1818</v>
      </c>
      <c r="E1064" s="1291"/>
      <c r="F1064" s="1291"/>
      <c r="I1064" s="490"/>
    </row>
    <row r="1065" spans="1:9">
      <c r="A1065" s="402"/>
      <c r="B1065" s="402"/>
      <c r="C1065" s="402"/>
      <c r="D1065" s="1291"/>
      <c r="E1065" s="1291"/>
      <c r="F1065" s="1291"/>
      <c r="I1065" s="490"/>
    </row>
    <row r="1066" spans="1:9">
      <c r="A1066" s="402"/>
      <c r="B1066" s="402"/>
      <c r="C1066" s="402"/>
      <c r="D1066" s="1291"/>
      <c r="E1066" s="1291"/>
      <c r="F1066" s="1291"/>
      <c r="I1066" s="490"/>
    </row>
    <row r="1067" spans="1:9">
      <c r="A1067" s="402"/>
      <c r="B1067" s="402"/>
      <c r="C1067" s="402"/>
      <c r="D1067" s="1291"/>
      <c r="E1067" s="1291"/>
      <c r="F1067" s="1291"/>
      <c r="I1067" s="490"/>
    </row>
    <row r="1068" spans="1:9">
      <c r="A1068" s="402"/>
      <c r="B1068" s="402"/>
      <c r="C1068" s="402"/>
      <c r="D1068" s="1291"/>
      <c r="E1068" s="1291"/>
      <c r="F1068" s="1291"/>
      <c r="I1068" s="490"/>
    </row>
    <row r="1069" spans="1:9">
      <c r="A1069" s="402"/>
      <c r="B1069" s="402"/>
      <c r="C1069" s="402"/>
      <c r="I1069" s="490"/>
    </row>
    <row r="1070" spans="1:9">
      <c r="A1070" s="1285" t="s">
        <v>1819</v>
      </c>
      <c r="B1070" s="1285"/>
      <c r="C1070" s="1285"/>
      <c r="D1070" s="1285"/>
      <c r="E1070" s="1285"/>
      <c r="F1070" s="1285"/>
      <c r="G1070" s="1285"/>
      <c r="H1070" s="1028"/>
      <c r="I1070" s="1153"/>
    </row>
    <row r="1071" spans="1:9">
      <c r="A1071" s="402"/>
      <c r="B1071" s="402"/>
      <c r="C1071" s="402"/>
      <c r="I1071" s="490"/>
    </row>
    <row r="1072" spans="1:9">
      <c r="A1072" s="402"/>
      <c r="B1072" s="402"/>
      <c r="C1072" s="402"/>
      <c r="I1072" s="490"/>
    </row>
    <row r="1073" spans="1:9">
      <c r="A1073" s="402"/>
      <c r="B1073" s="485" t="s">
        <v>2751</v>
      </c>
      <c r="C1073" s="402"/>
      <c r="D1073" s="527" t="s">
        <v>1822</v>
      </c>
      <c r="I1073" s="490"/>
    </row>
    <row r="1074" spans="1:9">
      <c r="A1074" s="402"/>
      <c r="B1074" s="402"/>
      <c r="C1074" s="402"/>
      <c r="D1074" s="527" t="s">
        <v>1824</v>
      </c>
      <c r="I1074" s="490"/>
    </row>
    <row r="1075" spans="1:9">
      <c r="A1075" s="402"/>
      <c r="B1075" s="402"/>
      <c r="C1075" s="402"/>
      <c r="D1075" s="527"/>
      <c r="I1075" s="490"/>
    </row>
    <row r="1076" spans="1:9">
      <c r="A1076" s="402"/>
      <c r="B1076" s="485" t="s">
        <v>2730</v>
      </c>
      <c r="C1076" s="402"/>
      <c r="D1076" s="527" t="s">
        <v>1825</v>
      </c>
      <c r="I1076" s="490"/>
    </row>
    <row r="1077" spans="1:9">
      <c r="A1077" s="402"/>
      <c r="B1077" s="402"/>
      <c r="C1077" s="402"/>
      <c r="D1077" s="527" t="s">
        <v>1823</v>
      </c>
      <c r="I1077" s="490"/>
    </row>
    <row r="1078" spans="1:9">
      <c r="A1078" s="402"/>
      <c r="B1078" s="402"/>
      <c r="C1078" s="402"/>
      <c r="D1078" s="527"/>
      <c r="I1078" s="490"/>
    </row>
    <row r="1079" spans="1:9">
      <c r="A1079" s="402"/>
      <c r="B1079" s="485" t="s">
        <v>2730</v>
      </c>
      <c r="C1079" s="402"/>
      <c r="D1079" s="119" t="s">
        <v>1828</v>
      </c>
      <c r="I1079" s="490"/>
    </row>
    <row r="1080" spans="1:9">
      <c r="A1080" s="402"/>
      <c r="B1080" s="402"/>
      <c r="C1080" s="402"/>
      <c r="D1080" s="1262" t="s">
        <v>1829</v>
      </c>
      <c r="E1080" s="1262"/>
      <c r="F1080" s="1262"/>
      <c r="I1080" s="490"/>
    </row>
    <row r="1081" spans="1:9">
      <c r="A1081" s="402"/>
      <c r="B1081" s="402"/>
      <c r="C1081" s="402"/>
      <c r="D1081" s="1262"/>
      <c r="E1081" s="1262"/>
      <c r="F1081" s="1262"/>
      <c r="I1081" s="490"/>
    </row>
    <row r="1082" spans="1:9">
      <c r="A1082" s="402"/>
      <c r="B1082" s="402"/>
      <c r="C1082" s="402"/>
      <c r="D1082" s="1262"/>
      <c r="E1082" s="1262"/>
      <c r="F1082" s="1262"/>
      <c r="I1082" s="490"/>
    </row>
    <row r="1083" spans="1:9">
      <c r="A1083" s="402"/>
      <c r="B1083" s="402"/>
      <c r="C1083" s="402"/>
      <c r="D1083" s="1262"/>
      <c r="E1083" s="1262"/>
      <c r="F1083" s="1262"/>
      <c r="I1083" s="490"/>
    </row>
    <row r="1084" spans="1:9">
      <c r="A1084" s="402"/>
      <c r="B1084" s="402"/>
      <c r="C1084" s="402"/>
      <c r="D1084" s="119" t="s">
        <v>1827</v>
      </c>
      <c r="I1084" s="490"/>
    </row>
    <row r="1085" spans="1:9">
      <c r="A1085" s="402"/>
      <c r="B1085" s="402"/>
      <c r="C1085" s="402"/>
      <c r="D1085" s="119"/>
      <c r="I1085" s="490"/>
    </row>
    <row r="1086" spans="1:9">
      <c r="A1086" s="402"/>
      <c r="B1086" s="402"/>
      <c r="C1086" s="402"/>
      <c r="D1086" s="527" t="s">
        <v>1820</v>
      </c>
      <c r="I1086" s="490"/>
    </row>
    <row r="1087" spans="1:9">
      <c r="A1087" s="402"/>
      <c r="B1087" s="485" t="s">
        <v>2730</v>
      </c>
      <c r="C1087" s="402"/>
      <c r="D1087" s="1290" t="s">
        <v>1821</v>
      </c>
      <c r="E1087" s="1290"/>
      <c r="F1087" s="1290"/>
      <c r="I1087" s="490"/>
    </row>
    <row r="1088" spans="1:9">
      <c r="A1088" s="402"/>
      <c r="B1088" s="402"/>
      <c r="C1088" s="402"/>
      <c r="D1088" s="1290"/>
      <c r="E1088" s="1290"/>
      <c r="F1088" s="1290"/>
      <c r="I1088" s="490"/>
    </row>
    <row r="1089" spans="1:9">
      <c r="A1089" s="402"/>
      <c r="B1089" s="402"/>
      <c r="C1089" s="402"/>
      <c r="D1089" s="1290"/>
      <c r="E1089" s="1290"/>
      <c r="F1089" s="1290"/>
      <c r="I1089" s="490"/>
    </row>
    <row r="1090" spans="1:9">
      <c r="A1090" s="402"/>
      <c r="B1090" s="402"/>
      <c r="C1090" s="402"/>
      <c r="D1090" s="1290"/>
      <c r="E1090" s="1290"/>
      <c r="F1090" s="1290"/>
      <c r="I1090" s="490"/>
    </row>
    <row r="1091" spans="1:9">
      <c r="A1091" s="402"/>
      <c r="B1091" s="402"/>
      <c r="C1091" s="402"/>
      <c r="D1091" s="1290"/>
      <c r="E1091" s="1290"/>
      <c r="F1091" s="1290"/>
      <c r="I1091" s="490"/>
    </row>
    <row r="1092" spans="1:9">
      <c r="A1092" s="402"/>
      <c r="B1092" s="402"/>
      <c r="C1092" s="402"/>
      <c r="D1092" s="527" t="s">
        <v>1826</v>
      </c>
      <c r="I1092" s="490"/>
    </row>
    <row r="1093" spans="1:9">
      <c r="A1093" s="402"/>
      <c r="B1093" s="402"/>
      <c r="C1093" s="402"/>
      <c r="I1093" s="490"/>
    </row>
    <row r="1094" spans="1:9">
      <c r="A1094" s="402"/>
      <c r="B1094" s="485" t="s">
        <v>2730</v>
      </c>
      <c r="C1094" s="402"/>
      <c r="D1094" s="1276" t="s">
        <v>2282</v>
      </c>
      <c r="E1094" s="1276"/>
      <c r="F1094" s="1276"/>
      <c r="I1094" s="490"/>
    </row>
    <row r="1095" spans="1:9">
      <c r="A1095" s="402"/>
      <c r="B1095" s="402"/>
      <c r="C1095" s="402"/>
      <c r="D1095" s="1276"/>
      <c r="E1095" s="1276"/>
      <c r="F1095" s="1276"/>
      <c r="I1095" s="490"/>
    </row>
    <row r="1096" spans="1:9">
      <c r="A1096" s="402"/>
      <c r="B1096" s="402"/>
      <c r="C1096" s="402"/>
      <c r="D1096" s="1276"/>
      <c r="E1096" s="1276"/>
      <c r="F1096" s="1276"/>
      <c r="I1096" s="490"/>
    </row>
    <row r="1097" spans="1:9">
      <c r="A1097" s="402"/>
      <c r="B1097" s="402"/>
      <c r="C1097" s="402"/>
      <c r="I1097" s="490"/>
    </row>
    <row r="1098" spans="1:9">
      <c r="A1098" s="1285" t="s">
        <v>1831</v>
      </c>
      <c r="B1098" s="1285"/>
      <c r="C1098" s="1285"/>
      <c r="D1098" s="1285"/>
      <c r="E1098" s="1285"/>
      <c r="F1098" s="1285"/>
      <c r="G1098" s="1285"/>
      <c r="H1098" s="1028"/>
      <c r="I1098" s="1153"/>
    </row>
    <row r="1099" spans="1:9">
      <c r="A1099" s="402"/>
      <c r="B1099" s="402"/>
      <c r="C1099" s="402"/>
      <c r="I1099" s="490"/>
    </row>
    <row r="1100" spans="1:9">
      <c r="A1100" s="402"/>
      <c r="B1100" s="402"/>
      <c r="C1100" s="402"/>
      <c r="I1100" s="490"/>
    </row>
    <row r="1101" spans="1:9" ht="12.75" customHeight="1">
      <c r="A1101" s="402"/>
      <c r="B1101" s="485" t="s">
        <v>2730</v>
      </c>
      <c r="C1101" s="402"/>
      <c r="D1101" s="1292" t="s">
        <v>1930</v>
      </c>
      <c r="E1101" s="1292"/>
      <c r="F1101" s="1292"/>
      <c r="I1101" s="490"/>
    </row>
    <row r="1102" spans="1:9">
      <c r="A1102" s="402"/>
      <c r="B1102" s="402"/>
      <c r="C1102" s="402"/>
      <c r="D1102" s="1292"/>
      <c r="E1102" s="1292"/>
      <c r="F1102" s="1292"/>
      <c r="I1102" s="490"/>
    </row>
    <row r="1103" spans="1:9">
      <c r="A1103" s="402"/>
      <c r="B1103" s="402"/>
      <c r="C1103" s="402"/>
      <c r="D1103" s="1293" t="s">
        <v>2144</v>
      </c>
      <c r="E1103" s="1262"/>
      <c r="F1103" s="1262"/>
      <c r="I1103" s="490"/>
    </row>
    <row r="1104" spans="1:9">
      <c r="A1104" s="402"/>
      <c r="B1104" s="402"/>
      <c r="C1104" s="402"/>
      <c r="D1104" s="527"/>
      <c r="I1104" s="490"/>
    </row>
    <row r="1105" spans="1:9">
      <c r="A1105" s="402"/>
      <c r="B1105" s="485" t="s">
        <v>2730</v>
      </c>
      <c r="C1105" s="402"/>
      <c r="D1105" s="1290" t="s">
        <v>1832</v>
      </c>
      <c r="E1105" s="1290"/>
      <c r="F1105" s="1290"/>
      <c r="I1105" s="490"/>
    </row>
    <row r="1106" spans="1:9">
      <c r="A1106" s="402"/>
      <c r="B1106" s="402"/>
      <c r="C1106" s="402"/>
      <c r="D1106" s="1290"/>
      <c r="E1106" s="1290"/>
      <c r="F1106" s="1290"/>
      <c r="I1106" s="490"/>
    </row>
    <row r="1107" spans="1:9">
      <c r="A1107" s="402"/>
      <c r="B1107" s="402"/>
      <c r="C1107" s="402"/>
      <c r="D1107" s="527"/>
      <c r="I1107" s="490"/>
    </row>
    <row r="1108" spans="1:9">
      <c r="A1108" s="402"/>
      <c r="B1108" s="485" t="s">
        <v>2730</v>
      </c>
      <c r="C1108" s="402"/>
      <c r="D1108" s="1290" t="s">
        <v>1888</v>
      </c>
      <c r="E1108" s="1290"/>
      <c r="F1108" s="1290"/>
      <c r="I1108" s="490"/>
    </row>
    <row r="1109" spans="1:9">
      <c r="A1109" s="402"/>
      <c r="B1109" s="402"/>
      <c r="C1109" s="402"/>
      <c r="D1109" s="1290"/>
      <c r="E1109" s="1290"/>
      <c r="F1109" s="1290"/>
      <c r="I1109" s="490"/>
    </row>
    <row r="1110" spans="1:9">
      <c r="A1110" s="402"/>
      <c r="B1110" s="402"/>
      <c r="C1110" s="402"/>
      <c r="D1110" s="1290"/>
      <c r="E1110" s="1290"/>
      <c r="F1110" s="1290"/>
      <c r="I1110" s="490"/>
    </row>
    <row r="1111" spans="1:9">
      <c r="A1111" s="402"/>
      <c r="B1111" s="402"/>
      <c r="C1111" s="402"/>
      <c r="D1111" s="1290"/>
      <c r="E1111" s="1290"/>
      <c r="F1111" s="1290"/>
      <c r="I1111" s="490"/>
    </row>
    <row r="1112" spans="1:9">
      <c r="A1112" s="402"/>
      <c r="B1112" s="402"/>
      <c r="C1112" s="402"/>
      <c r="D1112" s="1290"/>
      <c r="E1112" s="1290"/>
      <c r="F1112" s="1290"/>
      <c r="I1112" s="490"/>
    </row>
    <row r="1113" spans="1:9">
      <c r="A1113" s="402"/>
      <c r="B1113" s="402"/>
      <c r="C1113" s="402"/>
      <c r="D1113" s="1290"/>
      <c r="E1113" s="1290"/>
      <c r="F1113" s="1290"/>
      <c r="I1113" s="490"/>
    </row>
    <row r="1114" spans="1:9">
      <c r="A1114" s="402"/>
      <c r="B1114" s="402"/>
      <c r="C1114" s="402"/>
      <c r="D1114" s="527"/>
      <c r="I1114" s="480"/>
    </row>
    <row r="1115" spans="1:9">
      <c r="A1115" s="402"/>
      <c r="B1115" s="485" t="s">
        <v>2730</v>
      </c>
      <c r="C1115" s="402"/>
      <c r="D1115" s="1290" t="s">
        <v>1833</v>
      </c>
      <c r="E1115" s="1290"/>
      <c r="F1115" s="1290"/>
      <c r="I1115" s="490"/>
    </row>
    <row r="1116" spans="1:9">
      <c r="A1116" s="402"/>
      <c r="B1116" s="402"/>
      <c r="C1116" s="402"/>
      <c r="D1116" s="1290"/>
      <c r="E1116" s="1290"/>
      <c r="F1116" s="1290"/>
      <c r="I1116" s="490"/>
    </row>
    <row r="1117" spans="1:9">
      <c r="A1117" s="402"/>
      <c r="B1117" s="402"/>
      <c r="C1117" s="402"/>
      <c r="D1117" s="1290"/>
      <c r="E1117" s="1290"/>
      <c r="F1117" s="1290"/>
      <c r="I1117" s="490"/>
    </row>
    <row r="1118" spans="1:9">
      <c r="A1118" s="402"/>
      <c r="B1118" s="402"/>
      <c r="C1118" s="402"/>
      <c r="D1118" s="527"/>
      <c r="I1118" s="490"/>
    </row>
    <row r="1119" spans="1:9">
      <c r="A1119" s="402"/>
      <c r="B1119" s="485" t="s">
        <v>2751</v>
      </c>
      <c r="C1119" s="402"/>
      <c r="D1119" s="1267" t="s">
        <v>1889</v>
      </c>
      <c r="E1119" s="1267"/>
      <c r="F1119" s="1267"/>
      <c r="I1119" s="490"/>
    </row>
    <row r="1120" spans="1:9">
      <c r="A1120" s="402"/>
      <c r="B1120" s="402"/>
      <c r="C1120" s="402"/>
      <c r="D1120" s="1267"/>
      <c r="E1120" s="1267"/>
      <c r="F1120" s="1267"/>
      <c r="I1120" s="490"/>
    </row>
    <row r="1121" spans="1:9">
      <c r="A1121" s="402"/>
      <c r="B1121" s="402"/>
      <c r="C1121" s="402"/>
      <c r="D1121" s="1267"/>
      <c r="E1121" s="1267"/>
      <c r="F1121" s="1267"/>
      <c r="I1121" s="490"/>
    </row>
    <row r="1122" spans="1:9">
      <c r="A1122" s="402"/>
      <c r="B1122" s="402"/>
      <c r="C1122" s="402"/>
      <c r="D1122" s="980"/>
      <c r="E1122" s="980"/>
      <c r="F1122" s="980"/>
      <c r="I1122" s="490"/>
    </row>
    <row r="1123" spans="1:9" ht="15.75" customHeight="1">
      <c r="A1123" s="402"/>
      <c r="B1123" s="485" t="s">
        <v>2730</v>
      </c>
      <c r="C1123" s="402"/>
      <c r="D1123" s="1262" t="s">
        <v>1890</v>
      </c>
      <c r="E1123" s="1262"/>
      <c r="F1123" s="1262"/>
      <c r="I1123" s="490"/>
    </row>
    <row r="1124" spans="1:9">
      <c r="A1124" s="402"/>
      <c r="B1124" s="402"/>
      <c r="C1124" s="402"/>
      <c r="D1124" s="1262"/>
      <c r="E1124" s="1262"/>
      <c r="F1124" s="1262"/>
      <c r="I1124" s="490"/>
    </row>
    <row r="1125" spans="1:9">
      <c r="A1125" s="402"/>
      <c r="B1125" s="402"/>
      <c r="C1125" s="402"/>
      <c r="D1125" s="1262"/>
      <c r="E1125" s="1262"/>
      <c r="F1125" s="1262"/>
      <c r="I1125" s="490"/>
    </row>
    <row r="1126" spans="1:9">
      <c r="A1126" s="402"/>
      <c r="B1126" s="402"/>
      <c r="C1126" s="402"/>
      <c r="D1126" s="1262"/>
      <c r="E1126" s="1262"/>
      <c r="F1126" s="1262"/>
      <c r="I1126" s="490"/>
    </row>
    <row r="1127" spans="1:9">
      <c r="A1127" s="402"/>
      <c r="B1127" s="402"/>
      <c r="C1127" s="402"/>
      <c r="D1127" s="980"/>
      <c r="E1127" s="980"/>
      <c r="F1127" s="980"/>
      <c r="I1127" s="490"/>
    </row>
    <row r="1128" spans="1:9">
      <c r="A1128" s="402"/>
      <c r="B1128" s="402"/>
      <c r="C1128" s="402"/>
      <c r="I1128" s="1159"/>
    </row>
    <row r="1129" spans="1:9">
      <c r="A1129" s="402"/>
      <c r="B1129" s="402"/>
      <c r="C1129" s="402"/>
      <c r="I1129" s="490"/>
    </row>
    <row r="1130" spans="1:9">
      <c r="A1130" s="402"/>
      <c r="B1130" s="402"/>
      <c r="C1130" s="402"/>
      <c r="I1130" s="490"/>
    </row>
    <row r="1131" spans="1:9">
      <c r="A1131" s="402"/>
      <c r="B1131" s="402"/>
      <c r="C1131" s="402"/>
    </row>
    <row r="1132" spans="1:9">
      <c r="A1132" s="402"/>
      <c r="B1132" s="402"/>
      <c r="C1132" s="402"/>
    </row>
    <row r="1133" spans="1:9">
      <c r="A1133" s="402"/>
      <c r="B1133" s="402"/>
      <c r="C1133" s="402"/>
    </row>
    <row r="1134" spans="1:9">
      <c r="A1134" s="402"/>
      <c r="B1134" s="402"/>
      <c r="C1134" s="402"/>
    </row>
    <row r="1135" spans="1:9">
      <c r="A1135" s="402"/>
      <c r="B1135" s="402"/>
      <c r="C1135" s="402"/>
    </row>
    <row r="1136" spans="1:9">
      <c r="A1136" s="402"/>
      <c r="B1136" s="402"/>
      <c r="C1136" s="402"/>
    </row>
    <row r="1137" spans="1:3">
      <c r="A1137" s="402"/>
      <c r="B1137" s="402"/>
      <c r="C1137" s="402"/>
    </row>
    <row r="1138" spans="1:3">
      <c r="A1138" s="402"/>
      <c r="B1138" s="402"/>
      <c r="C1138" s="402"/>
    </row>
    <row r="1139" spans="1:3">
      <c r="A1139" s="402"/>
      <c r="B1139" s="402"/>
      <c r="C1139" s="402"/>
    </row>
    <row r="1140" spans="1:3">
      <c r="A1140" s="402"/>
      <c r="B1140" s="402"/>
      <c r="C1140" s="402"/>
    </row>
    <row r="1141" spans="1:3">
      <c r="A1141" s="402"/>
      <c r="B1141" s="402"/>
      <c r="C1141" s="402"/>
    </row>
    <row r="1142" spans="1:3">
      <c r="A1142" s="402"/>
      <c r="B1142" s="402"/>
      <c r="C1142" s="402"/>
    </row>
    <row r="1143" spans="1:3">
      <c r="A1143" s="402"/>
      <c r="B1143" s="402"/>
      <c r="C1143" s="402"/>
    </row>
    <row r="1144" spans="1:3">
      <c r="A1144" s="402"/>
      <c r="B1144" s="402"/>
      <c r="C1144" s="402"/>
    </row>
    <row r="1145" spans="1:3">
      <c r="A1145" s="402"/>
      <c r="B1145" s="402"/>
      <c r="C1145" s="402"/>
    </row>
    <row r="1146" spans="1:3"/>
    <row r="1147" spans="1:3"/>
    <row r="1148" spans="1:3"/>
    <row r="1149" spans="1:3"/>
    <row r="1150" spans="1:3"/>
    <row r="1151" spans="1:3"/>
    <row r="1152" spans="1:3"/>
    <row r="1153" spans="1:3">
      <c r="A1153" s="402"/>
      <c r="B1153" s="402"/>
      <c r="C1153" s="402"/>
    </row>
    <row r="1154" spans="1:3">
      <c r="A1154" s="402"/>
      <c r="B1154" s="402"/>
      <c r="C1154" s="402"/>
    </row>
    <row r="1155" spans="1:3">
      <c r="A1155" s="402"/>
      <c r="B1155" s="402"/>
      <c r="C1155" s="402"/>
    </row>
    <row r="1156" spans="1:3">
      <c r="A1156" s="402"/>
      <c r="B1156" s="402"/>
      <c r="C1156" s="402"/>
    </row>
    <row r="1157" spans="1:3">
      <c r="A1157" s="402"/>
      <c r="B1157" s="402"/>
      <c r="C1157" s="402"/>
    </row>
    <row r="1158" spans="1:3">
      <c r="A1158" s="402"/>
      <c r="B1158" s="402"/>
      <c r="C1158" s="402"/>
    </row>
    <row r="1159" spans="1:3">
      <c r="A1159" s="402"/>
      <c r="B1159" s="402"/>
      <c r="C1159" s="402"/>
    </row>
    <row r="1160" spans="1:3">
      <c r="A1160" s="402"/>
      <c r="B1160" s="402"/>
      <c r="C1160" s="402"/>
    </row>
    <row r="1161" spans="1:3">
      <c r="A1161" s="402"/>
      <c r="B1161" s="402"/>
      <c r="C1161" s="402"/>
    </row>
    <row r="1162" spans="1:3">
      <c r="A1162" s="402"/>
      <c r="B1162" s="402"/>
      <c r="C1162" s="402"/>
    </row>
    <row r="1163" spans="1:3">
      <c r="A1163" s="402"/>
      <c r="B1163" s="402"/>
      <c r="C1163" s="402"/>
    </row>
    <row r="1164" spans="1:3">
      <c r="A1164" s="402"/>
      <c r="B1164" s="402"/>
      <c r="C1164" s="402"/>
    </row>
    <row r="1165" spans="1:3">
      <c r="A1165" s="402"/>
      <c r="B1165" s="402"/>
      <c r="C1165" s="402"/>
    </row>
    <row r="1166" spans="1:3">
      <c r="A1166" s="402"/>
      <c r="B1166" s="402"/>
      <c r="C1166" s="402"/>
    </row>
    <row r="1167" spans="1:3">
      <c r="A1167" s="402"/>
      <c r="B1167" s="402"/>
      <c r="C1167" s="402"/>
    </row>
    <row r="1168" spans="1:3">
      <c r="A1168" s="402"/>
      <c r="B1168" s="402"/>
      <c r="C1168" s="402"/>
    </row>
    <row r="1169" spans="1:3">
      <c r="A1169" s="402"/>
      <c r="B1169" s="402"/>
      <c r="C1169" s="402"/>
    </row>
    <row r="1170" spans="1:3">
      <c r="A1170" s="402"/>
      <c r="B1170" s="402"/>
      <c r="C1170" s="402"/>
    </row>
    <row r="1171" spans="1:3">
      <c r="A1171" s="402"/>
      <c r="B1171" s="402"/>
      <c r="C1171" s="402"/>
    </row>
    <row r="1172" spans="1:3">
      <c r="A1172" s="402"/>
      <c r="B1172" s="402"/>
      <c r="C1172" s="402"/>
    </row>
    <row r="1173" spans="1:3">
      <c r="A1173" s="402"/>
      <c r="B1173" s="402"/>
      <c r="C1173" s="402"/>
    </row>
    <row r="1174" spans="1:3">
      <c r="A1174" s="402"/>
      <c r="B1174" s="402"/>
      <c r="C1174" s="402"/>
    </row>
    <row r="1175" spans="1:3">
      <c r="A1175" s="402"/>
      <c r="B1175" s="402"/>
      <c r="C1175" s="402"/>
    </row>
    <row r="1176" spans="1:3">
      <c r="A1176" s="402"/>
      <c r="B1176" s="402"/>
      <c r="C1176" s="402"/>
    </row>
    <row r="1177" spans="1:3">
      <c r="A1177" s="402"/>
      <c r="B1177" s="402"/>
      <c r="C1177" s="402"/>
    </row>
    <row r="1178" spans="1:3">
      <c r="A1178" s="402"/>
      <c r="B1178" s="402"/>
      <c r="C1178" s="402"/>
    </row>
    <row r="1179" spans="1:3">
      <c r="A1179" s="402"/>
      <c r="B1179" s="402"/>
      <c r="C1179" s="402"/>
    </row>
    <row r="1180" spans="1:3">
      <c r="A1180" s="402"/>
      <c r="B1180" s="402"/>
      <c r="C1180" s="402"/>
    </row>
    <row r="1181" spans="1:3">
      <c r="A1181" s="402"/>
      <c r="B1181" s="402"/>
      <c r="C1181" s="402"/>
    </row>
    <row r="1182" spans="1:3">
      <c r="A1182" s="402"/>
      <c r="B1182" s="402"/>
      <c r="C1182" s="402"/>
    </row>
    <row r="1183" spans="1:3">
      <c r="A1183" s="402"/>
      <c r="B1183" s="402"/>
      <c r="C1183" s="402"/>
    </row>
    <row r="1184" spans="1:3">
      <c r="A1184" s="402"/>
      <c r="B1184" s="402"/>
      <c r="C1184" s="402"/>
    </row>
    <row r="1185" spans="1:3">
      <c r="A1185" s="402"/>
      <c r="B1185" s="402"/>
      <c r="C1185" s="402"/>
    </row>
    <row r="1186" spans="1:3">
      <c r="A1186" s="402"/>
      <c r="B1186" s="402"/>
      <c r="C1186" s="402"/>
    </row>
    <row r="1187" spans="1:3">
      <c r="A1187" s="402"/>
      <c r="B1187" s="402"/>
      <c r="C1187" s="402"/>
    </row>
    <row r="1188" spans="1:3">
      <c r="A1188" s="402"/>
      <c r="B1188" s="402"/>
      <c r="C1188" s="402"/>
    </row>
    <row r="1189" spans="1:3">
      <c r="A1189" s="402"/>
      <c r="B1189" s="402"/>
      <c r="C1189" s="402"/>
    </row>
    <row r="1190" spans="1:3">
      <c r="A1190" s="402"/>
      <c r="B1190" s="402"/>
      <c r="C1190" s="402"/>
    </row>
    <row r="1191" spans="1:3">
      <c r="A1191" s="402"/>
      <c r="B1191" s="402"/>
      <c r="C1191" s="402"/>
    </row>
    <row r="1192" spans="1:3">
      <c r="A1192" s="402"/>
      <c r="B1192" s="402"/>
      <c r="C1192" s="402"/>
    </row>
    <row r="1193" spans="1:3">
      <c r="A1193" s="402"/>
      <c r="B1193" s="402"/>
      <c r="C1193" s="402"/>
    </row>
    <row r="1194" spans="1:3">
      <c r="A1194" s="402"/>
      <c r="B1194" s="402"/>
      <c r="C1194" s="402"/>
    </row>
    <row r="1195" spans="1:3">
      <c r="A1195" s="402"/>
      <c r="B1195" s="402"/>
      <c r="C1195" s="402"/>
    </row>
    <row r="1196" spans="1:3">
      <c r="A1196" s="402"/>
      <c r="B1196" s="402"/>
      <c r="C1196" s="402"/>
    </row>
    <row r="1197" spans="1:3">
      <c r="A1197" s="402"/>
      <c r="B1197" s="402"/>
      <c r="C1197" s="402"/>
    </row>
    <row r="1198" spans="1:3">
      <c r="A1198" s="402"/>
      <c r="B1198" s="402"/>
      <c r="C1198" s="402"/>
    </row>
    <row r="1199" spans="1:3">
      <c r="A1199" s="402"/>
      <c r="B1199" s="402"/>
      <c r="C1199" s="402"/>
    </row>
    <row r="1200" spans="1:3">
      <c r="A1200" s="402"/>
      <c r="B1200" s="402"/>
      <c r="C1200" s="402"/>
    </row>
    <row r="1201" spans="1:3">
      <c r="A1201" s="402"/>
      <c r="B1201" s="402"/>
      <c r="C1201" s="402"/>
    </row>
    <row r="1202" spans="1:3">
      <c r="A1202" s="402"/>
      <c r="B1202" s="402"/>
      <c r="C1202" s="402"/>
    </row>
    <row r="1203" spans="1:3">
      <c r="A1203" s="402"/>
      <c r="B1203" s="402"/>
      <c r="C1203" s="402"/>
    </row>
    <row r="1204" spans="1:3">
      <c r="A1204" s="402"/>
      <c r="B1204" s="402"/>
      <c r="C1204" s="402"/>
    </row>
    <row r="1205" spans="1:3">
      <c r="A1205" s="402"/>
      <c r="B1205" s="402"/>
      <c r="C1205" s="402"/>
    </row>
    <row r="1206" spans="1:3">
      <c r="A1206" s="402"/>
      <c r="B1206" s="402"/>
      <c r="C1206" s="402"/>
    </row>
    <row r="1207" spans="1:3">
      <c r="A1207" s="402"/>
      <c r="B1207" s="402"/>
      <c r="C1207" s="402"/>
    </row>
    <row r="1208" spans="1:3">
      <c r="A1208" s="402"/>
      <c r="B1208" s="402"/>
      <c r="C1208" s="402"/>
    </row>
    <row r="1209" spans="1:3">
      <c r="A1209" s="402"/>
      <c r="B1209" s="402"/>
      <c r="C1209" s="402"/>
    </row>
    <row r="1210" spans="1:3">
      <c r="A1210" s="402"/>
      <c r="B1210" s="402"/>
      <c r="C1210" s="402"/>
    </row>
    <row r="1211" spans="1:3">
      <c r="A1211" s="402"/>
      <c r="B1211" s="402"/>
      <c r="C1211" s="402"/>
    </row>
    <row r="1212" spans="1:3">
      <c r="A1212" s="402"/>
      <c r="B1212" s="402"/>
      <c r="C1212" s="402"/>
    </row>
    <row r="1213" spans="1:3">
      <c r="A1213" s="402"/>
      <c r="B1213" s="402"/>
      <c r="C1213" s="402"/>
    </row>
    <row r="1214" spans="1:3">
      <c r="A1214" s="402"/>
      <c r="B1214" s="402"/>
      <c r="C1214" s="402"/>
    </row>
    <row r="1215" spans="1:3">
      <c r="A1215" s="402"/>
      <c r="B1215" s="402"/>
      <c r="C1215" s="402"/>
    </row>
    <row r="1216" spans="1:3">
      <c r="A1216" s="402"/>
      <c r="B1216" s="402"/>
      <c r="C1216" s="402"/>
    </row>
    <row r="1217" spans="1:3">
      <c r="A1217" s="402"/>
      <c r="B1217" s="402"/>
      <c r="C1217" s="402"/>
    </row>
    <row r="1218" spans="1:3">
      <c r="A1218" s="402"/>
      <c r="B1218" s="402"/>
      <c r="C1218" s="402"/>
    </row>
    <row r="1219" spans="1:3">
      <c r="A1219" s="402"/>
      <c r="B1219" s="402"/>
      <c r="C1219" s="402"/>
    </row>
    <row r="1220" spans="1:3">
      <c r="A1220" s="402"/>
      <c r="B1220" s="402"/>
      <c r="C1220" s="402"/>
    </row>
    <row r="1221" spans="1:3">
      <c r="A1221" s="402"/>
      <c r="B1221" s="402"/>
      <c r="C1221" s="402"/>
    </row>
    <row r="1222" spans="1:3">
      <c r="A1222" s="402"/>
      <c r="B1222" s="402"/>
      <c r="C1222" s="402"/>
    </row>
    <row r="1223" spans="1:3">
      <c r="A1223" s="402"/>
      <c r="B1223" s="402"/>
      <c r="C1223" s="402"/>
    </row>
    <row r="1224" spans="1:3">
      <c r="A1224" s="402"/>
      <c r="B1224" s="402"/>
      <c r="C1224" s="402"/>
    </row>
    <row r="1225" spans="1:3">
      <c r="A1225" s="402"/>
      <c r="B1225" s="402"/>
      <c r="C1225" s="402"/>
    </row>
    <row r="1226" spans="1:3">
      <c r="A1226" s="402"/>
      <c r="B1226" s="402"/>
      <c r="C1226" s="402"/>
    </row>
    <row r="1227" spans="1:3">
      <c r="A1227" s="402"/>
      <c r="B1227" s="402"/>
      <c r="C1227" s="402"/>
    </row>
    <row r="1228" spans="1:3">
      <c r="A1228" s="402"/>
      <c r="B1228" s="402"/>
      <c r="C1228" s="402"/>
    </row>
    <row r="1229" spans="1:3">
      <c r="A1229" s="402"/>
      <c r="B1229" s="402"/>
      <c r="C1229" s="402"/>
    </row>
    <row r="1230" spans="1:3">
      <c r="A1230" s="402"/>
      <c r="B1230" s="402"/>
      <c r="C1230" s="402"/>
    </row>
    <row r="1231" spans="1:3">
      <c r="A1231" s="402"/>
      <c r="B1231" s="402"/>
      <c r="C1231" s="402"/>
    </row>
    <row r="1232" spans="1:3">
      <c r="A1232" s="402"/>
      <c r="B1232" s="402"/>
      <c r="C1232" s="402"/>
    </row>
    <row r="1233" spans="1:3">
      <c r="A1233" s="402"/>
      <c r="B1233" s="402"/>
      <c r="C1233" s="402"/>
    </row>
    <row r="1234" spans="1:3">
      <c r="A1234" s="402"/>
      <c r="B1234" s="402"/>
      <c r="C1234" s="402"/>
    </row>
    <row r="1235" spans="1:3">
      <c r="A1235" s="402"/>
      <c r="B1235" s="402"/>
      <c r="C1235" s="402"/>
    </row>
    <row r="1236" spans="1:3">
      <c r="A1236" s="402"/>
      <c r="B1236" s="402"/>
      <c r="C1236" s="402"/>
    </row>
    <row r="1237" spans="1:3">
      <c r="A1237" s="402"/>
      <c r="B1237" s="402"/>
      <c r="C1237" s="402"/>
    </row>
    <row r="1238" spans="1:3">
      <c r="A1238" s="402"/>
      <c r="B1238" s="402"/>
      <c r="C1238" s="402"/>
    </row>
    <row r="1239" spans="1:3">
      <c r="A1239" s="402"/>
      <c r="B1239" s="402"/>
      <c r="C1239" s="402"/>
    </row>
    <row r="1240" spans="1:3">
      <c r="A1240" s="402"/>
      <c r="B1240" s="402"/>
      <c r="C1240" s="402"/>
    </row>
    <row r="1241" spans="1:3">
      <c r="A1241" s="402"/>
      <c r="B1241" s="402"/>
      <c r="C1241" s="402"/>
    </row>
    <row r="1242" spans="1:3">
      <c r="A1242" s="402"/>
      <c r="B1242" s="402"/>
      <c r="C1242" s="402"/>
    </row>
    <row r="1243" spans="1:3">
      <c r="A1243" s="402"/>
      <c r="B1243" s="402"/>
      <c r="C1243" s="402"/>
    </row>
    <row r="1244" spans="1:3">
      <c r="A1244" s="402"/>
      <c r="B1244" s="402"/>
      <c r="C1244" s="402"/>
    </row>
    <row r="1245" spans="1:3">
      <c r="A1245" s="402"/>
      <c r="B1245" s="402"/>
      <c r="C1245" s="402"/>
    </row>
    <row r="1246" spans="1:3">
      <c r="A1246" s="402"/>
      <c r="B1246" s="402"/>
      <c r="C1246" s="402"/>
    </row>
    <row r="1247" spans="1:3">
      <c r="A1247" s="402"/>
      <c r="B1247" s="402"/>
      <c r="C1247" s="402"/>
    </row>
    <row r="1248" spans="1:3">
      <c r="A1248" s="402"/>
      <c r="B1248" s="402"/>
      <c r="C1248" s="402"/>
    </row>
    <row r="1249" spans="1:3">
      <c r="A1249" s="402"/>
      <c r="B1249" s="402"/>
      <c r="C1249" s="402"/>
    </row>
    <row r="1250" spans="1:3">
      <c r="A1250" s="402"/>
      <c r="B1250" s="402"/>
      <c r="C1250" s="402"/>
    </row>
    <row r="1251" spans="1:3">
      <c r="A1251" s="402"/>
      <c r="B1251" s="402"/>
      <c r="C1251" s="402"/>
    </row>
    <row r="1252" spans="1:3">
      <c r="A1252" s="402"/>
      <c r="B1252" s="402"/>
      <c r="C1252" s="402"/>
    </row>
    <row r="1253" spans="1:3">
      <c r="A1253" s="402"/>
      <c r="B1253" s="402"/>
      <c r="C1253" s="402"/>
    </row>
    <row r="1254" spans="1:3">
      <c r="A1254" s="402"/>
      <c r="B1254" s="402"/>
      <c r="C1254" s="402"/>
    </row>
    <row r="1255" spans="1:3">
      <c r="A1255" s="402"/>
      <c r="B1255" s="402"/>
      <c r="C1255" s="402"/>
    </row>
    <row r="1256" spans="1:3">
      <c r="A1256" s="402"/>
      <c r="B1256" s="402"/>
      <c r="C1256" s="402"/>
    </row>
    <row r="1257" spans="1:3">
      <c r="A1257" s="402"/>
      <c r="B1257" s="402"/>
      <c r="C1257" s="402"/>
    </row>
    <row r="1258" spans="1:3">
      <c r="A1258" s="402"/>
      <c r="B1258" s="402"/>
      <c r="C1258" s="402"/>
    </row>
    <row r="1259" spans="1:3">
      <c r="A1259" s="402"/>
      <c r="B1259" s="402"/>
      <c r="C1259" s="402"/>
    </row>
    <row r="1260" spans="1:3">
      <c r="A1260" s="402"/>
      <c r="B1260" s="402"/>
      <c r="C1260" s="402"/>
    </row>
    <row r="1261" spans="1:3">
      <c r="A1261" s="402"/>
      <c r="B1261" s="402"/>
      <c r="C1261" s="402"/>
    </row>
    <row r="1262" spans="1:3">
      <c r="A1262" s="402"/>
      <c r="B1262" s="402"/>
      <c r="C1262" s="402"/>
    </row>
    <row r="1263" spans="1:3">
      <c r="A1263" s="402"/>
      <c r="B1263" s="402"/>
      <c r="C1263" s="402"/>
    </row>
    <row r="1264" spans="1:3">
      <c r="A1264" s="402"/>
      <c r="B1264" s="402"/>
      <c r="C1264" s="402"/>
    </row>
    <row r="1265" spans="1:3">
      <c r="A1265" s="402"/>
      <c r="B1265" s="402"/>
      <c r="C1265" s="402"/>
    </row>
    <row r="1266" spans="1:3">
      <c r="A1266" s="402"/>
      <c r="B1266" s="402"/>
      <c r="C1266" s="402"/>
    </row>
    <row r="1267" spans="1:3">
      <c r="A1267" s="402"/>
      <c r="B1267" s="402"/>
      <c r="C1267" s="402"/>
    </row>
    <row r="1268" spans="1:3">
      <c r="A1268" s="402"/>
      <c r="B1268" s="402"/>
      <c r="C1268" s="402"/>
    </row>
    <row r="1269" spans="1:3">
      <c r="A1269" s="402"/>
      <c r="B1269" s="402"/>
      <c r="C1269" s="402"/>
    </row>
    <row r="1270" spans="1:3">
      <c r="A1270" s="402"/>
      <c r="B1270" s="402"/>
      <c r="C1270" s="402"/>
    </row>
    <row r="1271" spans="1:3">
      <c r="A1271" s="402"/>
      <c r="B1271" s="402"/>
      <c r="C1271" s="402"/>
    </row>
    <row r="1272" spans="1:3">
      <c r="A1272" s="402"/>
      <c r="B1272" s="402"/>
      <c r="C1272" s="402"/>
    </row>
    <row r="1273" spans="1:3">
      <c r="A1273" s="402"/>
      <c r="B1273" s="402"/>
      <c r="C1273" s="402"/>
    </row>
    <row r="1274" spans="1:3">
      <c r="A1274" s="402"/>
      <c r="B1274" s="402"/>
      <c r="C1274" s="402"/>
    </row>
    <row r="1275" spans="1:3">
      <c r="A1275" s="402"/>
      <c r="B1275" s="402"/>
      <c r="C1275" s="402"/>
    </row>
    <row r="1276" spans="1:3">
      <c r="A1276" s="402"/>
      <c r="B1276" s="402"/>
      <c r="C1276" s="402"/>
    </row>
    <row r="1277" spans="1:3">
      <c r="A1277" s="402"/>
      <c r="B1277" s="402"/>
      <c r="C1277" s="402"/>
    </row>
    <row r="1278" spans="1:3">
      <c r="A1278" s="402"/>
      <c r="B1278" s="402"/>
      <c r="C1278" s="402"/>
    </row>
    <row r="1279" spans="1:3">
      <c r="A1279" s="402"/>
      <c r="B1279" s="402"/>
      <c r="C1279" s="402"/>
    </row>
    <row r="1280" spans="1:3">
      <c r="A1280" s="402"/>
      <c r="B1280" s="402"/>
      <c r="C1280" s="402"/>
    </row>
    <row r="1281" spans="1:3">
      <c r="A1281" s="402"/>
      <c r="B1281" s="402"/>
      <c r="C1281" s="402"/>
    </row>
    <row r="1282" spans="1:3">
      <c r="A1282" s="402"/>
      <c r="B1282" s="402"/>
      <c r="C1282" s="402"/>
    </row>
    <row r="1283" spans="1:3">
      <c r="A1283" s="402"/>
      <c r="B1283" s="402"/>
      <c r="C1283" s="402"/>
    </row>
    <row r="1284" spans="1:3">
      <c r="A1284" s="402"/>
      <c r="B1284" s="402"/>
      <c r="C1284" s="402"/>
    </row>
    <row r="1285" spans="1:3">
      <c r="A1285" s="402"/>
      <c r="B1285" s="402"/>
      <c r="C1285" s="402"/>
    </row>
    <row r="1286" spans="1:3">
      <c r="A1286" s="402"/>
      <c r="B1286" s="402"/>
      <c r="C1286" s="402"/>
    </row>
    <row r="1287" spans="1:3">
      <c r="A1287" s="402"/>
      <c r="B1287" s="402"/>
      <c r="C1287" s="402"/>
    </row>
    <row r="1288" spans="1:3">
      <c r="A1288" s="402"/>
      <c r="B1288" s="402"/>
      <c r="C1288" s="402"/>
    </row>
    <row r="1289" spans="1:3">
      <c r="A1289" s="402"/>
      <c r="B1289" s="402"/>
      <c r="C1289" s="402"/>
    </row>
    <row r="1290" spans="1:3">
      <c r="A1290" s="402"/>
      <c r="B1290" s="402"/>
      <c r="C1290" s="402"/>
    </row>
    <row r="1291" spans="1:3">
      <c r="A1291" s="402"/>
      <c r="B1291" s="402"/>
      <c r="C1291" s="402"/>
    </row>
    <row r="1292" spans="1:3">
      <c r="A1292" s="402"/>
      <c r="B1292" s="402"/>
      <c r="C1292" s="402"/>
    </row>
    <row r="1293" spans="1:3">
      <c r="A1293" s="402"/>
      <c r="B1293" s="402"/>
      <c r="C1293" s="402"/>
    </row>
    <row r="1294" spans="1:3">
      <c r="A1294" s="402"/>
      <c r="B1294" s="402"/>
      <c r="C1294" s="402"/>
    </row>
    <row r="1295" spans="1:3">
      <c r="A1295" s="402"/>
      <c r="B1295" s="402"/>
      <c r="C1295" s="402"/>
    </row>
    <row r="1296" spans="1:3">
      <c r="A1296" s="402"/>
      <c r="B1296" s="402"/>
      <c r="C1296" s="402"/>
    </row>
    <row r="1297" spans="1:3">
      <c r="A1297" s="402"/>
      <c r="B1297" s="402"/>
      <c r="C1297" s="402"/>
    </row>
    <row r="1298" spans="1:3">
      <c r="A1298" s="402"/>
      <c r="B1298" s="402"/>
      <c r="C1298" s="402"/>
    </row>
    <row r="1299" spans="1:3">
      <c r="A1299" s="402"/>
      <c r="B1299" s="402"/>
      <c r="C1299" s="402"/>
    </row>
    <row r="1300" spans="1:3">
      <c r="A1300" s="402"/>
      <c r="B1300" s="402"/>
      <c r="C1300" s="402"/>
    </row>
    <row r="1301" spans="1:3">
      <c r="A1301" s="402"/>
      <c r="B1301" s="402"/>
      <c r="C1301" s="402"/>
    </row>
    <row r="1302" spans="1:3">
      <c r="A1302" s="402"/>
      <c r="B1302" s="402"/>
      <c r="C1302" s="402"/>
    </row>
    <row r="1303" spans="1:3">
      <c r="A1303" s="402"/>
      <c r="B1303" s="402"/>
      <c r="C1303" s="402"/>
    </row>
    <row r="1304" spans="1:3">
      <c r="A1304" s="402"/>
      <c r="B1304" s="402"/>
      <c r="C1304" s="402"/>
    </row>
    <row r="1305" spans="1:3">
      <c r="A1305" s="402"/>
      <c r="B1305" s="402"/>
      <c r="C1305" s="402"/>
    </row>
    <row r="1306" spans="1:3">
      <c r="A1306" s="402"/>
      <c r="B1306" s="402"/>
      <c r="C1306" s="402"/>
    </row>
    <row r="1307" spans="1:3">
      <c r="A1307" s="402"/>
      <c r="B1307" s="402"/>
      <c r="C1307" s="402"/>
    </row>
    <row r="1308" spans="1:3">
      <c r="A1308" s="402"/>
      <c r="B1308" s="402"/>
      <c r="C1308" s="402"/>
    </row>
    <row r="1309" spans="1:3">
      <c r="A1309" s="402"/>
      <c r="B1309" s="402"/>
      <c r="C1309" s="402"/>
    </row>
    <row r="1310" spans="1:3">
      <c r="A1310" s="402"/>
      <c r="B1310" s="402"/>
      <c r="C1310" s="402"/>
    </row>
    <row r="1311" spans="1:3">
      <c r="A1311" s="402"/>
      <c r="B1311" s="402"/>
      <c r="C1311" s="402"/>
    </row>
    <row r="1312" spans="1:3">
      <c r="A1312" s="402"/>
      <c r="B1312" s="402"/>
      <c r="C1312" s="402"/>
    </row>
    <row r="1313" spans="1:3">
      <c r="A1313" s="402"/>
      <c r="B1313" s="402"/>
      <c r="C1313" s="402"/>
    </row>
    <row r="1314" spans="1:3">
      <c r="A1314" s="402"/>
      <c r="B1314" s="402"/>
      <c r="C1314" s="402"/>
    </row>
    <row r="1315" spans="1:3">
      <c r="A1315" s="402"/>
      <c r="B1315" s="402"/>
      <c r="C1315" s="402"/>
    </row>
    <row r="1316" spans="1:3">
      <c r="A1316" s="402"/>
      <c r="B1316" s="402"/>
      <c r="C1316" s="402"/>
    </row>
    <row r="1317" spans="1:3">
      <c r="A1317" s="402"/>
      <c r="B1317" s="402"/>
      <c r="C1317" s="402"/>
    </row>
    <row r="1318" spans="1:3">
      <c r="A1318" s="402"/>
      <c r="B1318" s="402"/>
      <c r="C1318" s="402"/>
    </row>
    <row r="1319" spans="1:3">
      <c r="A1319" s="402"/>
      <c r="B1319" s="402"/>
      <c r="C1319" s="402"/>
    </row>
    <row r="1320" spans="1:3">
      <c r="A1320" s="402"/>
      <c r="B1320" s="402"/>
      <c r="C1320" s="402"/>
    </row>
    <row r="1321" spans="1:3">
      <c r="A1321" s="402"/>
      <c r="B1321" s="402"/>
      <c r="C1321" s="402"/>
    </row>
    <row r="1322" spans="1:3">
      <c r="A1322" s="402"/>
      <c r="B1322" s="402"/>
      <c r="C1322" s="402"/>
    </row>
    <row r="1323" spans="1:3">
      <c r="A1323" s="402"/>
      <c r="B1323" s="402"/>
      <c r="C1323" s="402"/>
    </row>
    <row r="1324" spans="1:3">
      <c r="A1324" s="402"/>
      <c r="B1324" s="402"/>
      <c r="C1324" s="402"/>
    </row>
    <row r="1325" spans="1:3">
      <c r="A1325" s="402"/>
      <c r="B1325" s="402"/>
      <c r="C1325" s="402"/>
    </row>
    <row r="1326" spans="1:3">
      <c r="A1326" s="402"/>
      <c r="B1326" s="402"/>
      <c r="C1326" s="402"/>
    </row>
    <row r="1327" spans="1:3">
      <c r="A1327" s="402"/>
      <c r="B1327" s="402"/>
      <c r="C1327" s="402"/>
    </row>
    <row r="1328" spans="1:3">
      <c r="A1328" s="402"/>
      <c r="B1328" s="402"/>
      <c r="C1328" s="402"/>
    </row>
    <row r="1329" spans="1:3">
      <c r="A1329" s="402"/>
      <c r="B1329" s="402"/>
      <c r="C1329" s="402"/>
    </row>
    <row r="1330" spans="1:3">
      <c r="A1330" s="402"/>
      <c r="B1330" s="402"/>
      <c r="C1330" s="402"/>
    </row>
    <row r="1331" spans="1:3">
      <c r="A1331" s="402"/>
      <c r="B1331" s="402"/>
      <c r="C1331" s="402"/>
    </row>
    <row r="1332" spans="1:3">
      <c r="A1332" s="402"/>
      <c r="B1332" s="402"/>
      <c r="C1332" s="402"/>
    </row>
    <row r="1333" spans="1:3">
      <c r="A1333" s="402"/>
      <c r="B1333" s="402"/>
      <c r="C1333" s="402"/>
    </row>
    <row r="1334" spans="1:3">
      <c r="A1334" s="402"/>
      <c r="B1334" s="402"/>
      <c r="C1334" s="402"/>
    </row>
    <row r="1335" spans="1:3">
      <c r="A1335" s="402"/>
      <c r="B1335" s="402"/>
      <c r="C1335" s="402"/>
    </row>
    <row r="1336" spans="1:3">
      <c r="A1336" s="402"/>
      <c r="B1336" s="402"/>
      <c r="C1336" s="402"/>
    </row>
    <row r="1337" spans="1:3">
      <c r="A1337" s="402"/>
      <c r="B1337" s="402"/>
      <c r="C1337" s="402"/>
    </row>
    <row r="1338" spans="1:3">
      <c r="A1338" s="402"/>
      <c r="B1338" s="402"/>
      <c r="C1338" s="402"/>
    </row>
    <row r="1339" spans="1:3">
      <c r="A1339" s="402"/>
      <c r="B1339" s="402"/>
      <c r="C1339" s="402"/>
    </row>
    <row r="1340" spans="1:3">
      <c r="A1340" s="402"/>
      <c r="B1340" s="402"/>
      <c r="C1340" s="402"/>
    </row>
    <row r="1341" spans="1:3">
      <c r="A1341" s="402"/>
      <c r="B1341" s="402"/>
      <c r="C1341" s="402"/>
    </row>
    <row r="1342" spans="1:3">
      <c r="A1342" s="402"/>
      <c r="B1342" s="402"/>
      <c r="C1342" s="402"/>
    </row>
    <row r="1343" spans="1:3">
      <c r="A1343" s="402"/>
      <c r="B1343" s="402"/>
      <c r="C1343" s="402"/>
    </row>
    <row r="1344" spans="1:3">
      <c r="A1344" s="402"/>
      <c r="B1344" s="402"/>
      <c r="C1344" s="402"/>
    </row>
    <row r="1345" spans="1:3">
      <c r="A1345" s="402"/>
      <c r="B1345" s="402"/>
      <c r="C1345" s="402"/>
    </row>
    <row r="1346" spans="1:3">
      <c r="A1346" s="402"/>
      <c r="B1346" s="402"/>
      <c r="C1346" s="402"/>
    </row>
    <row r="1347" spans="1:3">
      <c r="A1347" s="402"/>
      <c r="B1347" s="402"/>
      <c r="C1347" s="402"/>
    </row>
    <row r="1348" spans="1:3">
      <c r="A1348" s="402"/>
      <c r="B1348" s="402"/>
      <c r="C1348" s="402"/>
    </row>
    <row r="1349" spans="1:3">
      <c r="A1349" s="402"/>
      <c r="B1349" s="402"/>
      <c r="C1349" s="402"/>
    </row>
    <row r="1350" spans="1:3">
      <c r="A1350" s="402"/>
      <c r="B1350" s="402"/>
      <c r="C1350" s="402"/>
    </row>
    <row r="1351" spans="1:3">
      <c r="A1351" s="402"/>
      <c r="B1351" s="402"/>
      <c r="C1351" s="402"/>
    </row>
    <row r="1352" spans="1:3">
      <c r="A1352" s="402"/>
      <c r="B1352" s="402"/>
      <c r="C1352" s="402"/>
    </row>
    <row r="1353" spans="1:3">
      <c r="A1353" s="402"/>
      <c r="B1353" s="402"/>
      <c r="C1353" s="402"/>
    </row>
    <row r="1354" spans="1:3">
      <c r="A1354" s="402"/>
      <c r="B1354" s="402"/>
      <c r="C1354" s="402"/>
    </row>
    <row r="1355" spans="1:3">
      <c r="A1355" s="402"/>
      <c r="B1355" s="402"/>
      <c r="C1355" s="402"/>
    </row>
    <row r="1356" spans="1:3">
      <c r="A1356" s="402"/>
      <c r="B1356" s="402"/>
      <c r="C1356" s="402"/>
    </row>
    <row r="1357" spans="1:3">
      <c r="A1357" s="402"/>
      <c r="B1357" s="402"/>
      <c r="C1357" s="402"/>
    </row>
    <row r="1358" spans="1:3">
      <c r="A1358" s="402"/>
      <c r="B1358" s="402"/>
      <c r="C1358" s="402"/>
    </row>
    <row r="1359" spans="1:3">
      <c r="A1359" s="402"/>
      <c r="B1359" s="402"/>
      <c r="C1359" s="402"/>
    </row>
    <row r="1360" spans="1:3">
      <c r="A1360" s="402"/>
      <c r="B1360" s="402"/>
      <c r="C1360" s="402"/>
    </row>
    <row r="1361" spans="1:3">
      <c r="A1361" s="402"/>
      <c r="B1361" s="402"/>
      <c r="C1361" s="402"/>
    </row>
    <row r="1362" spans="1:3">
      <c r="A1362" s="402"/>
      <c r="B1362" s="402"/>
      <c r="C1362" s="402"/>
    </row>
    <row r="1363" spans="1:3">
      <c r="A1363" s="402"/>
      <c r="B1363" s="402"/>
      <c r="C1363" s="402"/>
    </row>
    <row r="1364" spans="1:3">
      <c r="A1364" s="402"/>
      <c r="B1364" s="402"/>
      <c r="C1364" s="402"/>
    </row>
    <row r="1365" spans="1:3">
      <c r="A1365" s="402"/>
      <c r="B1365" s="402"/>
      <c r="C1365" s="402"/>
    </row>
    <row r="1366" spans="1:3">
      <c r="A1366" s="402"/>
      <c r="B1366" s="402"/>
      <c r="C1366" s="402"/>
    </row>
    <row r="1367" spans="1:3">
      <c r="A1367" s="402"/>
      <c r="B1367" s="402"/>
      <c r="C1367" s="402"/>
    </row>
    <row r="1368" spans="1:3">
      <c r="A1368" s="402"/>
      <c r="B1368" s="402"/>
      <c r="C1368" s="402"/>
    </row>
    <row r="1369" spans="1:3">
      <c r="A1369" s="402"/>
      <c r="B1369" s="402"/>
      <c r="C1369" s="402"/>
    </row>
    <row r="1370" spans="1:3">
      <c r="A1370" s="402"/>
      <c r="B1370" s="402"/>
      <c r="C1370" s="402"/>
    </row>
    <row r="1371" spans="1:3">
      <c r="A1371" s="402"/>
      <c r="B1371" s="402"/>
      <c r="C1371" s="402"/>
    </row>
    <row r="1372" spans="1:3">
      <c r="A1372" s="402"/>
      <c r="B1372" s="402"/>
      <c r="C1372" s="402"/>
    </row>
    <row r="1373" spans="1:3">
      <c r="A1373" s="402"/>
      <c r="B1373" s="402"/>
      <c r="C1373" s="402"/>
    </row>
    <row r="1374" spans="1:3">
      <c r="A1374" s="402"/>
      <c r="B1374" s="402"/>
      <c r="C1374" s="402"/>
    </row>
    <row r="1375" spans="1:3">
      <c r="A1375" s="402"/>
      <c r="B1375" s="402"/>
      <c r="C1375" s="402"/>
    </row>
    <row r="1376" spans="1:3">
      <c r="A1376" s="402"/>
      <c r="B1376" s="402"/>
      <c r="C1376" s="402"/>
    </row>
    <row r="1377" spans="1:3">
      <c r="A1377" s="402"/>
      <c r="B1377" s="402"/>
      <c r="C1377" s="402"/>
    </row>
    <row r="1378" spans="1:3">
      <c r="A1378" s="402"/>
      <c r="B1378" s="402"/>
      <c r="C1378" s="402"/>
    </row>
    <row r="1379" spans="1:3">
      <c r="A1379" s="402"/>
      <c r="B1379" s="402"/>
      <c r="C1379" s="402"/>
    </row>
    <row r="1380" spans="1:3">
      <c r="A1380" s="402"/>
      <c r="B1380" s="402"/>
      <c r="C1380" s="402"/>
    </row>
    <row r="1381" spans="1:3">
      <c r="A1381" s="402"/>
      <c r="B1381" s="402"/>
      <c r="C1381" s="402"/>
    </row>
    <row r="1382" spans="1:3">
      <c r="A1382" s="402"/>
      <c r="B1382" s="402"/>
      <c r="C1382" s="402"/>
    </row>
    <row r="1383" spans="1:3">
      <c r="A1383" s="402"/>
      <c r="B1383" s="402"/>
      <c r="C1383" s="402"/>
    </row>
    <row r="1384" spans="1:3">
      <c r="A1384" s="402"/>
      <c r="B1384" s="402"/>
      <c r="C1384" s="402"/>
    </row>
    <row r="1385" spans="1:3">
      <c r="A1385" s="402"/>
      <c r="B1385" s="402"/>
      <c r="C1385" s="402"/>
    </row>
    <row r="1386" spans="1:3">
      <c r="A1386" s="402"/>
      <c r="B1386" s="402"/>
      <c r="C1386" s="402"/>
    </row>
    <row r="1387" spans="1:3">
      <c r="A1387" s="402"/>
      <c r="B1387" s="402"/>
      <c r="C1387" s="402"/>
    </row>
    <row r="1388" spans="1:3">
      <c r="A1388" s="402"/>
      <c r="B1388" s="402"/>
      <c r="C1388" s="402"/>
    </row>
    <row r="1389" spans="1:3">
      <c r="A1389" s="402"/>
      <c r="B1389" s="402"/>
      <c r="C1389" s="402"/>
    </row>
    <row r="1390" spans="1:3">
      <c r="A1390" s="402"/>
      <c r="B1390" s="402"/>
      <c r="C1390" s="402"/>
    </row>
    <row r="1391" spans="1:3">
      <c r="A1391" s="402"/>
      <c r="B1391" s="402"/>
      <c r="C1391" s="402"/>
    </row>
    <row r="1392" spans="1:3">
      <c r="A1392" s="402"/>
      <c r="B1392" s="402"/>
      <c r="C1392" s="402"/>
    </row>
    <row r="1393" spans="1:3"/>
    <row r="1394" spans="1:3"/>
    <row r="1395" spans="1:3">
      <c r="A1395" s="402"/>
      <c r="B1395" s="402"/>
      <c r="C1395" s="402"/>
    </row>
    <row r="1396" spans="1:3">
      <c r="A1396" s="402"/>
      <c r="B1396" s="402"/>
      <c r="C1396" s="402"/>
    </row>
    <row r="1397" spans="1:3">
      <c r="A1397" s="402"/>
      <c r="B1397" s="402"/>
      <c r="C1397" s="402"/>
    </row>
    <row r="1398" spans="1:3">
      <c r="A1398" s="402"/>
      <c r="B1398" s="402"/>
      <c r="C1398" s="402"/>
    </row>
    <row r="1399" spans="1:3">
      <c r="A1399" s="402"/>
      <c r="B1399" s="402"/>
      <c r="C1399" s="402"/>
    </row>
    <row r="1400" spans="1:3">
      <c r="A1400" s="402"/>
      <c r="B1400" s="402"/>
      <c r="C1400" s="402"/>
    </row>
    <row r="1401" spans="1:3">
      <c r="A1401" s="402"/>
      <c r="B1401" s="402"/>
      <c r="C1401" s="402"/>
    </row>
    <row r="1402" spans="1:3">
      <c r="A1402" s="402"/>
      <c r="B1402" s="402"/>
      <c r="C1402" s="402"/>
    </row>
    <row r="1403" spans="1:3">
      <c r="A1403" s="402"/>
      <c r="B1403" s="402"/>
      <c r="C1403" s="402"/>
    </row>
    <row r="1404" spans="1:3">
      <c r="A1404" s="402"/>
      <c r="B1404" s="402"/>
      <c r="C1404" s="402"/>
    </row>
    <row r="1405" spans="1:3">
      <c r="A1405" s="402"/>
      <c r="B1405" s="402"/>
      <c r="C1405" s="402"/>
    </row>
    <row r="1406" spans="1:3">
      <c r="A1406" s="402"/>
      <c r="B1406" s="402"/>
      <c r="C1406" s="402"/>
    </row>
    <row r="1407" spans="1:3">
      <c r="A1407" s="402"/>
      <c r="B1407" s="402"/>
      <c r="C1407" s="402"/>
    </row>
    <row r="1408" spans="1:3">
      <c r="A1408" s="402"/>
      <c r="B1408" s="402"/>
      <c r="C1408" s="402"/>
    </row>
    <row r="1409" spans="1:3">
      <c r="A1409" s="402"/>
      <c r="B1409" s="402"/>
      <c r="C1409" s="402"/>
    </row>
    <row r="1410" spans="1:3">
      <c r="A1410" s="402"/>
      <c r="B1410" s="402"/>
      <c r="C1410" s="402"/>
    </row>
    <row r="1411" spans="1:3">
      <c r="A1411" s="402"/>
      <c r="B1411" s="402"/>
      <c r="C1411" s="402"/>
    </row>
    <row r="1412" spans="1:3">
      <c r="A1412" s="402"/>
      <c r="B1412" s="402"/>
      <c r="C1412" s="402"/>
    </row>
    <row r="1413" spans="1:3">
      <c r="A1413" s="402"/>
      <c r="B1413" s="402"/>
      <c r="C1413" s="402"/>
    </row>
    <row r="1414" spans="1:3">
      <c r="A1414" s="402"/>
      <c r="B1414" s="402"/>
      <c r="C1414" s="402"/>
    </row>
    <row r="1415" spans="1:3">
      <c r="A1415" s="402"/>
      <c r="B1415" s="402"/>
      <c r="C1415" s="402"/>
    </row>
    <row r="1416" spans="1:3">
      <c r="A1416" s="402"/>
      <c r="B1416" s="402"/>
      <c r="C1416" s="402"/>
    </row>
    <row r="1417" spans="1:3">
      <c r="A1417" s="402"/>
      <c r="B1417" s="402"/>
      <c r="C1417" s="402"/>
    </row>
    <row r="1418" spans="1:3">
      <c r="A1418" s="402"/>
      <c r="B1418" s="402"/>
      <c r="C1418" s="402"/>
    </row>
    <row r="1419" spans="1:3">
      <c r="A1419" s="402"/>
      <c r="B1419" s="402"/>
      <c r="C1419" s="402"/>
    </row>
    <row r="1420" spans="1:3">
      <c r="A1420" s="402"/>
      <c r="B1420" s="402"/>
      <c r="C1420" s="402"/>
    </row>
    <row r="1421" spans="1:3">
      <c r="A1421" s="402"/>
      <c r="B1421" s="402"/>
      <c r="C1421" s="402"/>
    </row>
    <row r="1422" spans="1:3">
      <c r="A1422" s="402"/>
      <c r="B1422" s="402"/>
      <c r="C1422" s="402"/>
    </row>
    <row r="1423" spans="1:3">
      <c r="A1423" s="402"/>
      <c r="B1423" s="402"/>
      <c r="C1423" s="402"/>
    </row>
    <row r="1424" spans="1:3">
      <c r="A1424" s="402"/>
      <c r="B1424" s="402"/>
      <c r="C1424" s="402"/>
    </row>
    <row r="1425" spans="1:3">
      <c r="A1425" s="402"/>
      <c r="B1425" s="402"/>
      <c r="C1425" s="402"/>
    </row>
    <row r="1426" spans="1:3">
      <c r="A1426" s="402"/>
      <c r="B1426" s="402"/>
      <c r="C1426" s="402"/>
    </row>
    <row r="1427" spans="1:3">
      <c r="A1427" s="402"/>
      <c r="B1427" s="402"/>
      <c r="C1427" s="402"/>
    </row>
    <row r="1428" spans="1:3">
      <c r="A1428" s="402"/>
      <c r="B1428" s="402"/>
      <c r="C1428" s="402"/>
    </row>
    <row r="1429" spans="1:3">
      <c r="A1429" s="402"/>
      <c r="B1429" s="402"/>
      <c r="C1429" s="402"/>
    </row>
    <row r="1430" spans="1:3">
      <c r="A1430" s="402"/>
      <c r="B1430" s="402"/>
      <c r="C1430" s="402"/>
    </row>
    <row r="1431" spans="1:3">
      <c r="A1431" s="402"/>
      <c r="B1431" s="402"/>
      <c r="C1431" s="402"/>
    </row>
    <row r="1432" spans="1:3">
      <c r="A1432" s="402"/>
      <c r="B1432" s="402"/>
      <c r="C1432" s="402"/>
    </row>
    <row r="1433" spans="1:3">
      <c r="A1433" s="402"/>
      <c r="B1433" s="402"/>
      <c r="C1433" s="402"/>
    </row>
    <row r="1434" spans="1:3">
      <c r="A1434" s="402"/>
      <c r="B1434" s="402"/>
      <c r="C1434" s="402"/>
    </row>
    <row r="1435" spans="1:3">
      <c r="A1435" s="402"/>
      <c r="B1435" s="402"/>
      <c r="C1435" s="402"/>
    </row>
    <row r="1436" spans="1:3">
      <c r="A1436" s="402"/>
      <c r="B1436" s="402"/>
      <c r="C1436" s="402"/>
    </row>
    <row r="1437" spans="1:3">
      <c r="A1437" s="402"/>
      <c r="B1437" s="402"/>
      <c r="C1437" s="402"/>
    </row>
    <row r="1438" spans="1:3">
      <c r="A1438" s="402"/>
      <c r="B1438" s="402"/>
      <c r="C1438" s="402"/>
    </row>
    <row r="1439" spans="1:3">
      <c r="A1439" s="402"/>
      <c r="B1439" s="402"/>
      <c r="C1439" s="402"/>
    </row>
    <row r="1440" spans="1:3">
      <c r="A1440" s="402"/>
      <c r="B1440" s="402"/>
      <c r="C1440" s="402"/>
    </row>
    <row r="1441" spans="1:3">
      <c r="A1441" s="402"/>
      <c r="B1441" s="402"/>
      <c r="C1441" s="402"/>
    </row>
    <row r="1442" spans="1:3">
      <c r="A1442" s="402"/>
      <c r="B1442" s="402"/>
      <c r="C1442" s="402"/>
    </row>
    <row r="1443" spans="1:3">
      <c r="A1443" s="402"/>
      <c r="B1443" s="402"/>
      <c r="C1443" s="402"/>
    </row>
    <row r="1444" spans="1:3">
      <c r="A1444" s="402"/>
      <c r="B1444" s="402"/>
      <c r="C1444" s="402"/>
    </row>
    <row r="1445" spans="1:3">
      <c r="A1445" s="402"/>
      <c r="B1445" s="402"/>
      <c r="C1445" s="402"/>
    </row>
    <row r="1446" spans="1:3">
      <c r="A1446" s="402"/>
      <c r="B1446" s="402"/>
      <c r="C1446" s="402"/>
    </row>
    <row r="1447" spans="1:3">
      <c r="A1447" s="402"/>
      <c r="B1447" s="402"/>
      <c r="C1447" s="402"/>
    </row>
    <row r="1448" spans="1:3">
      <c r="A1448" s="402"/>
      <c r="B1448" s="402"/>
      <c r="C1448" s="402"/>
    </row>
    <row r="1449" spans="1:3">
      <c r="A1449" s="402"/>
      <c r="B1449" s="402"/>
      <c r="C1449" s="402"/>
    </row>
    <row r="1450" spans="1:3">
      <c r="A1450" s="402"/>
      <c r="B1450" s="402"/>
      <c r="C1450" s="402"/>
    </row>
    <row r="1451" spans="1:3">
      <c r="A1451" s="402"/>
      <c r="B1451" s="402"/>
      <c r="C1451" s="402"/>
    </row>
    <row r="1452" spans="1:3">
      <c r="A1452" s="402"/>
      <c r="B1452" s="402"/>
      <c r="C1452" s="402"/>
    </row>
    <row r="1453" spans="1:3">
      <c r="A1453" s="402"/>
      <c r="B1453" s="402"/>
      <c r="C1453" s="402"/>
    </row>
    <row r="1454" spans="1:3">
      <c r="A1454" s="402"/>
      <c r="B1454" s="402"/>
      <c r="C1454" s="402"/>
    </row>
    <row r="1455" spans="1:3">
      <c r="A1455" s="402"/>
      <c r="B1455" s="402"/>
      <c r="C1455" s="402"/>
    </row>
    <row r="1456" spans="1:3">
      <c r="A1456" s="402"/>
      <c r="B1456" s="402"/>
      <c r="C1456" s="402"/>
    </row>
    <row r="1457" spans="1:3">
      <c r="A1457" s="402"/>
      <c r="B1457" s="402"/>
      <c r="C1457" s="402"/>
    </row>
    <row r="1458" spans="1:3">
      <c r="A1458" s="402"/>
      <c r="B1458" s="402"/>
      <c r="C1458" s="402"/>
    </row>
    <row r="1459" spans="1:3">
      <c r="A1459" s="402"/>
      <c r="B1459" s="402"/>
      <c r="C1459" s="402"/>
    </row>
    <row r="1460" spans="1:3">
      <c r="A1460" s="402"/>
      <c r="B1460" s="402"/>
      <c r="C1460" s="402"/>
    </row>
    <row r="1461" spans="1:3">
      <c r="A1461" s="402"/>
      <c r="B1461" s="402"/>
      <c r="C1461" s="402"/>
    </row>
    <row r="1462" spans="1:3">
      <c r="A1462" s="402"/>
      <c r="B1462" s="402"/>
      <c r="C1462" s="402"/>
    </row>
    <row r="1463" spans="1:3">
      <c r="A1463" s="402"/>
      <c r="B1463" s="402"/>
      <c r="C1463" s="402"/>
    </row>
    <row r="1464" spans="1:3">
      <c r="A1464" s="402"/>
      <c r="B1464" s="402"/>
      <c r="C1464" s="402"/>
    </row>
    <row r="1465" spans="1:3">
      <c r="A1465" s="402"/>
      <c r="B1465" s="402"/>
      <c r="C1465" s="402"/>
    </row>
    <row r="1466" spans="1:3">
      <c r="A1466" s="402"/>
      <c r="B1466" s="402"/>
      <c r="C1466" s="402"/>
    </row>
    <row r="1467" spans="1:3">
      <c r="A1467" s="402"/>
      <c r="B1467" s="402"/>
      <c r="C1467" s="402"/>
    </row>
    <row r="1468" spans="1:3">
      <c r="A1468" s="402"/>
      <c r="B1468" s="402"/>
      <c r="C1468" s="402"/>
    </row>
    <row r="1469" spans="1:3">
      <c r="A1469" s="402"/>
      <c r="B1469" s="402"/>
      <c r="C1469" s="402"/>
    </row>
    <row r="1470" spans="1:3">
      <c r="A1470" s="402"/>
      <c r="B1470" s="402"/>
      <c r="C1470" s="402"/>
    </row>
    <row r="1471" spans="1:3">
      <c r="A1471" s="402"/>
      <c r="B1471" s="402"/>
      <c r="C1471" s="402"/>
    </row>
    <row r="1472" spans="1:3">
      <c r="A1472" s="402"/>
      <c r="B1472" s="402"/>
      <c r="C1472" s="402"/>
    </row>
    <row r="1473" spans="1:3">
      <c r="A1473" s="402"/>
      <c r="B1473" s="402"/>
      <c r="C1473" s="402"/>
    </row>
    <row r="1474" spans="1:3">
      <c r="A1474" s="402"/>
      <c r="B1474" s="402"/>
      <c r="C1474" s="402"/>
    </row>
    <row r="1475" spans="1:3">
      <c r="A1475" s="402"/>
      <c r="B1475" s="402"/>
      <c r="C1475" s="402"/>
    </row>
    <row r="1476" spans="1:3">
      <c r="A1476" s="402"/>
      <c r="B1476" s="402"/>
      <c r="C1476" s="402"/>
    </row>
    <row r="1477" spans="1:3">
      <c r="A1477" s="402"/>
      <c r="B1477" s="402"/>
      <c r="C1477" s="402"/>
    </row>
    <row r="1478" spans="1:3">
      <c r="A1478" s="402"/>
      <c r="B1478" s="402"/>
      <c r="C1478" s="402"/>
    </row>
    <row r="1479" spans="1:3">
      <c r="A1479" s="402"/>
      <c r="B1479" s="402"/>
      <c r="C1479" s="402"/>
    </row>
    <row r="1480" spans="1:3">
      <c r="A1480" s="402"/>
      <c r="B1480" s="402"/>
      <c r="C1480" s="402"/>
    </row>
    <row r="1481" spans="1:3">
      <c r="A1481" s="402"/>
      <c r="B1481" s="402"/>
      <c r="C1481" s="402"/>
    </row>
    <row r="1482" spans="1:3">
      <c r="A1482" s="402"/>
      <c r="B1482" s="402"/>
      <c r="C1482" s="402"/>
    </row>
    <row r="1483" spans="1:3">
      <c r="A1483" s="402"/>
      <c r="B1483" s="402"/>
      <c r="C1483" s="402"/>
    </row>
    <row r="1484" spans="1:3">
      <c r="A1484" s="402"/>
      <c r="B1484" s="402"/>
      <c r="C1484" s="402"/>
    </row>
    <row r="1485" spans="1:3">
      <c r="A1485" s="402"/>
      <c r="B1485" s="402"/>
      <c r="C1485" s="402"/>
    </row>
    <row r="1486" spans="1:3">
      <c r="A1486" s="402"/>
      <c r="B1486" s="402"/>
      <c r="C1486" s="402"/>
    </row>
    <row r="1487" spans="1:3">
      <c r="A1487" s="402"/>
      <c r="B1487" s="402"/>
      <c r="C1487" s="402"/>
    </row>
    <row r="1488" spans="1:3">
      <c r="A1488" s="402"/>
      <c r="B1488" s="402"/>
      <c r="C1488" s="402"/>
    </row>
    <row r="1489" spans="1:3">
      <c r="A1489" s="402"/>
      <c r="B1489" s="402"/>
      <c r="C1489" s="402"/>
    </row>
    <row r="1490" spans="1:3">
      <c r="A1490" s="402"/>
      <c r="B1490" s="402"/>
      <c r="C1490" s="402"/>
    </row>
    <row r="1491" spans="1:3">
      <c r="A1491" s="402"/>
      <c r="B1491" s="402"/>
      <c r="C1491" s="402"/>
    </row>
    <row r="1492" spans="1:3">
      <c r="A1492" s="402"/>
      <c r="B1492" s="402"/>
      <c r="C1492" s="402"/>
    </row>
    <row r="1493" spans="1:3">
      <c r="A1493" s="402"/>
      <c r="B1493" s="402"/>
      <c r="C1493" s="402"/>
    </row>
    <row r="1494" spans="1:3">
      <c r="A1494" s="402"/>
      <c r="B1494" s="402"/>
      <c r="C1494" s="402"/>
    </row>
    <row r="1495" spans="1:3">
      <c r="A1495" s="402"/>
      <c r="B1495" s="402"/>
      <c r="C1495" s="402"/>
    </row>
    <row r="1496" spans="1:3">
      <c r="A1496" s="402"/>
      <c r="B1496" s="402"/>
      <c r="C1496" s="402"/>
    </row>
    <row r="1497" spans="1:3">
      <c r="A1497" s="402"/>
      <c r="B1497" s="402"/>
      <c r="C1497" s="402"/>
    </row>
    <row r="1498" spans="1:3">
      <c r="A1498" s="402"/>
      <c r="B1498" s="402"/>
      <c r="C1498" s="402"/>
    </row>
    <row r="1499" spans="1:3">
      <c r="A1499" s="402"/>
      <c r="B1499" s="402"/>
      <c r="C1499" s="402"/>
    </row>
    <row r="1500" spans="1:3">
      <c r="A1500" s="402"/>
      <c r="B1500" s="402"/>
      <c r="C1500" s="402"/>
    </row>
    <row r="1501" spans="1:3">
      <c r="A1501" s="402"/>
      <c r="B1501" s="402"/>
      <c r="C1501" s="402"/>
    </row>
    <row r="1502" spans="1:3">
      <c r="A1502" s="402"/>
      <c r="B1502" s="402"/>
      <c r="C1502" s="402"/>
    </row>
    <row r="1503" spans="1:3">
      <c r="A1503" s="402"/>
      <c r="B1503" s="402"/>
      <c r="C1503" s="402"/>
    </row>
    <row r="1504" spans="1:3">
      <c r="A1504" s="402"/>
      <c r="B1504" s="402"/>
      <c r="C1504" s="402"/>
    </row>
    <row r="1505" spans="1:3">
      <c r="A1505" s="402"/>
      <c r="B1505" s="402"/>
      <c r="C1505" s="402"/>
    </row>
    <row r="1506" spans="1:3">
      <c r="A1506" s="402"/>
      <c r="B1506" s="402"/>
      <c r="C1506" s="402"/>
    </row>
    <row r="1507" spans="1:3">
      <c r="A1507" s="402"/>
      <c r="B1507" s="402"/>
      <c r="C1507" s="402"/>
    </row>
    <row r="1508" spans="1:3">
      <c r="A1508" s="402"/>
      <c r="B1508" s="402"/>
      <c r="C1508" s="402"/>
    </row>
    <row r="1509" spans="1:3">
      <c r="A1509" s="402"/>
      <c r="B1509" s="402"/>
      <c r="C1509" s="402"/>
    </row>
    <row r="1510" spans="1:3">
      <c r="A1510" s="402"/>
      <c r="B1510" s="402"/>
      <c r="C1510" s="402"/>
    </row>
    <row r="1511" spans="1:3">
      <c r="A1511" s="402"/>
      <c r="B1511" s="402"/>
      <c r="C1511" s="402"/>
    </row>
    <row r="1512" spans="1:3">
      <c r="A1512" s="402"/>
      <c r="B1512" s="402"/>
      <c r="C1512" s="402"/>
    </row>
    <row r="1513" spans="1:3">
      <c r="A1513" s="402"/>
      <c r="B1513" s="402"/>
      <c r="C1513" s="402"/>
    </row>
    <row r="1514" spans="1:3">
      <c r="A1514" s="402"/>
      <c r="B1514" s="402"/>
      <c r="C1514" s="402"/>
    </row>
    <row r="1515" spans="1:3">
      <c r="A1515" s="402"/>
      <c r="B1515" s="402"/>
      <c r="C1515" s="402"/>
    </row>
    <row r="1516" spans="1:3">
      <c r="A1516" s="402"/>
      <c r="B1516" s="402"/>
      <c r="C1516" s="402"/>
    </row>
    <row r="1517" spans="1:3">
      <c r="A1517" s="402"/>
      <c r="B1517" s="402"/>
      <c r="C1517" s="402"/>
    </row>
    <row r="1518" spans="1:3">
      <c r="A1518" s="402"/>
      <c r="B1518" s="402"/>
      <c r="C1518" s="402"/>
    </row>
    <row r="1519" spans="1:3">
      <c r="A1519" s="402"/>
      <c r="B1519" s="402"/>
      <c r="C1519" s="402"/>
    </row>
    <row r="1520" spans="1:3">
      <c r="A1520" s="402"/>
      <c r="B1520" s="402"/>
      <c r="C1520" s="402"/>
    </row>
    <row r="1521" spans="1:3">
      <c r="A1521" s="402"/>
      <c r="B1521" s="402"/>
      <c r="C1521" s="402"/>
    </row>
    <row r="1522" spans="1:3">
      <c r="A1522" s="402"/>
      <c r="B1522" s="402"/>
      <c r="C1522" s="402"/>
    </row>
    <row r="1523" spans="1:3">
      <c r="A1523" s="402"/>
      <c r="B1523" s="402"/>
      <c r="C1523" s="402"/>
    </row>
    <row r="1524" spans="1:3">
      <c r="A1524" s="402"/>
      <c r="B1524" s="402"/>
      <c r="C1524" s="402"/>
    </row>
    <row r="1525" spans="1:3">
      <c r="A1525" s="402"/>
      <c r="B1525" s="402"/>
      <c r="C1525" s="402"/>
    </row>
    <row r="1526" spans="1:3">
      <c r="A1526" s="402"/>
      <c r="B1526" s="402"/>
      <c r="C1526" s="402"/>
    </row>
    <row r="1527" spans="1:3">
      <c r="A1527" s="402"/>
      <c r="B1527" s="402"/>
      <c r="C1527" s="402"/>
    </row>
    <row r="1528" spans="1:3">
      <c r="A1528" s="402"/>
      <c r="B1528" s="402"/>
      <c r="C1528" s="402"/>
    </row>
    <row r="1529" spans="1:3">
      <c r="A1529" s="402"/>
      <c r="B1529" s="402"/>
      <c r="C1529" s="402"/>
    </row>
    <row r="1530" spans="1:3">
      <c r="A1530" s="402"/>
      <c r="B1530" s="402"/>
      <c r="C1530" s="402"/>
    </row>
    <row r="1531" spans="1:3">
      <c r="A1531" s="402"/>
      <c r="B1531" s="402"/>
      <c r="C1531" s="402"/>
    </row>
    <row r="1532" spans="1:3">
      <c r="A1532" s="402"/>
      <c r="B1532" s="402"/>
      <c r="C1532" s="402"/>
    </row>
    <row r="1533" spans="1:3">
      <c r="A1533" s="402"/>
      <c r="B1533" s="402"/>
      <c r="C1533" s="402"/>
    </row>
    <row r="1534" spans="1:3">
      <c r="A1534" s="402"/>
      <c r="B1534" s="402"/>
      <c r="C1534" s="402"/>
    </row>
    <row r="1535" spans="1:3">
      <c r="A1535" s="402"/>
      <c r="B1535" s="402"/>
      <c r="C1535" s="402"/>
    </row>
    <row r="1536" spans="1:3">
      <c r="A1536" s="402"/>
      <c r="B1536" s="402"/>
      <c r="C1536" s="402"/>
    </row>
    <row r="1537" spans="1:9">
      <c r="A1537" s="402"/>
      <c r="B1537" s="402"/>
      <c r="C1537" s="402"/>
    </row>
    <row r="1538" spans="1:9"/>
    <row r="1539" spans="1:9"/>
    <row r="1540" spans="1:9"/>
    <row r="1541" spans="1:9">
      <c r="G1541" s="1309"/>
      <c r="H1541" s="1309"/>
      <c r="I1541" s="1309"/>
    </row>
    <row r="1542" spans="1:9"/>
    <row r="1543" spans="1:9"/>
    <row r="1544" spans="1:9"/>
    <row r="1545" spans="1:9"/>
    <row r="1546" spans="1:9"/>
    <row r="1547" spans="1:9"/>
    <row r="1548" spans="1:9"/>
    <row r="1549" spans="1:9"/>
    <row r="1550" spans="1:9"/>
    <row r="1551" spans="1:9"/>
    <row r="1552" spans="1:9"/>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row r="2003"/>
    <row r="2004"/>
    <row r="2005"/>
    <row r="2006"/>
    <row r="2007"/>
    <row r="2008"/>
    <row r="2009"/>
    <row r="2010"/>
    <row r="2011"/>
    <row r="2012"/>
    <row r="2013"/>
    <row r="2014"/>
    <row r="2015"/>
    <row r="2016"/>
    <row r="2017"/>
    <row r="2018"/>
  </sheetData>
  <sheetProtection algorithmName="SHA-512" hashValue="3H8u2xY2I2kc69exrIsVcmUwRBNvxm8gx1DYxTYMcPPWqaWV1sM3CphMKDF4OvmmdowrsVhuZ12M3dAd9jlooA==" saltValue="0RUvtT9fNdiBffAHkDGG5g==" spinCount="100000" sheet="1" objects="1" scenarios="1"/>
  <mergeCells count="301">
    <mergeCell ref="D1123:F1126"/>
    <mergeCell ref="A2:I2"/>
    <mergeCell ref="A3:I3"/>
    <mergeCell ref="D527:F528"/>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22:F827"/>
    <mergeCell ref="D516:F518"/>
    <mergeCell ref="D669:F677"/>
    <mergeCell ref="D573:F573"/>
    <mergeCell ref="D553:F554"/>
    <mergeCell ref="D550:F551"/>
    <mergeCell ref="D318:F332"/>
    <mergeCell ref="A614:G614"/>
    <mergeCell ref="B541:F541"/>
    <mergeCell ref="A543:G543"/>
    <mergeCell ref="D590:F593"/>
    <mergeCell ref="D594:F597"/>
    <mergeCell ref="D585:F585"/>
    <mergeCell ref="D586:F586"/>
    <mergeCell ref="D588:F588"/>
    <mergeCell ref="D559:F561"/>
    <mergeCell ref="D563:F564"/>
    <mergeCell ref="D569:F569"/>
    <mergeCell ref="D570:F570"/>
    <mergeCell ref="D566:F567"/>
    <mergeCell ref="D607:F607"/>
    <mergeCell ref="D608:F608"/>
    <mergeCell ref="D307:F311"/>
    <mergeCell ref="D352:F352"/>
    <mergeCell ref="D471:F472"/>
    <mergeCell ref="D511:F512"/>
    <mergeCell ref="D360:F360"/>
    <mergeCell ref="D362:F373"/>
    <mergeCell ref="D514:F514"/>
    <mergeCell ref="D474:F487"/>
    <mergeCell ref="A539:G539"/>
    <mergeCell ref="D344:F347"/>
    <mergeCell ref="D392:F400"/>
    <mergeCell ref="D401:F418"/>
    <mergeCell ref="D334:F342"/>
    <mergeCell ref="D420:F421"/>
    <mergeCell ref="D351:F351"/>
    <mergeCell ref="D536:F537"/>
    <mergeCell ref="D429:F432"/>
    <mergeCell ref="D433:F433"/>
    <mergeCell ref="D227:F227"/>
    <mergeCell ref="D287:F287"/>
    <mergeCell ref="D288:F288"/>
    <mergeCell ref="D290:F291"/>
    <mergeCell ref="D293:F295"/>
    <mergeCell ref="D228:F231"/>
    <mergeCell ref="D545:F545"/>
    <mergeCell ref="D546:F546"/>
    <mergeCell ref="D556:F557"/>
    <mergeCell ref="D548:F548"/>
    <mergeCell ref="D498:F498"/>
    <mergeCell ref="D499:F499"/>
    <mergeCell ref="D264:F264"/>
    <mergeCell ref="D305:F305"/>
    <mergeCell ref="A300:G300"/>
    <mergeCell ref="D233:F237"/>
    <mergeCell ref="A262:G262"/>
    <mergeCell ref="A521:G521"/>
    <mergeCell ref="D303:F303"/>
    <mergeCell ref="D532:F534"/>
    <mergeCell ref="D435:F465"/>
    <mergeCell ref="D355:F355"/>
    <mergeCell ref="D523:F523"/>
    <mergeCell ref="D387:F390"/>
    <mergeCell ref="D210:F210"/>
    <mergeCell ref="D195:F195"/>
    <mergeCell ref="D224:F224"/>
    <mergeCell ref="B188:F188"/>
    <mergeCell ref="A191:G191"/>
    <mergeCell ref="A222:G222"/>
    <mergeCell ref="D213:F213"/>
    <mergeCell ref="D214:F214"/>
    <mergeCell ref="E215:F215"/>
    <mergeCell ref="D198:F198"/>
    <mergeCell ref="E211:F211"/>
    <mergeCell ref="E207:F207"/>
    <mergeCell ref="D217:F220"/>
    <mergeCell ref="D80:F87"/>
    <mergeCell ref="D89:F90"/>
    <mergeCell ref="D100:F101"/>
    <mergeCell ref="D96:F97"/>
    <mergeCell ref="D92:F94"/>
    <mergeCell ref="D197:F197"/>
    <mergeCell ref="D206:F206"/>
    <mergeCell ref="D68:F70"/>
    <mergeCell ref="D72:F73"/>
    <mergeCell ref="D77:F77"/>
    <mergeCell ref="D193:F194"/>
    <mergeCell ref="D131:F135"/>
    <mergeCell ref="A186:G186"/>
    <mergeCell ref="D177:F180"/>
    <mergeCell ref="E199:F199"/>
    <mergeCell ref="D103:F117"/>
    <mergeCell ref="D119:F126"/>
    <mergeCell ref="D201:F201"/>
    <mergeCell ref="D202:F202"/>
    <mergeCell ref="E203:F203"/>
    <mergeCell ref="D205:F205"/>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78:F78"/>
    <mergeCell ref="D128:F129"/>
    <mergeCell ref="D137:F149"/>
    <mergeCell ref="D52:F54"/>
    <mergeCell ref="D56:F57"/>
    <mergeCell ref="D61:F63"/>
    <mergeCell ref="D65:F66"/>
    <mergeCell ref="D47:F50"/>
    <mergeCell ref="A75:G75"/>
    <mergeCell ref="G1541:I1541"/>
    <mergeCell ref="D744:F750"/>
    <mergeCell ref="D725:F727"/>
    <mergeCell ref="D626:F627"/>
    <mergeCell ref="D631:F631"/>
    <mergeCell ref="D640:F641"/>
    <mergeCell ref="D643:F645"/>
    <mergeCell ref="D646:F646"/>
    <mergeCell ref="D682:F682"/>
    <mergeCell ref="D702:F707"/>
    <mergeCell ref="D712:F724"/>
    <mergeCell ref="D681:F681"/>
    <mergeCell ref="D683:F683"/>
    <mergeCell ref="D685:F685"/>
    <mergeCell ref="A829:G829"/>
    <mergeCell ref="D225:F225"/>
    <mergeCell ref="D578:F581"/>
    <mergeCell ref="D784:F784"/>
    <mergeCell ref="A583:G583"/>
    <mergeCell ref="D574:F576"/>
    <mergeCell ref="D690:F692"/>
    <mergeCell ref="D182:F184"/>
    <mergeCell ref="D267:F268"/>
    <mergeCell ref="D501:F502"/>
    <mergeCell ref="D266:F266"/>
    <mergeCell ref="D278:F280"/>
    <mergeCell ref="D302:F302"/>
    <mergeCell ref="D313:F314"/>
    <mergeCell ref="D316:F316"/>
    <mergeCell ref="D878:F879"/>
    <mergeCell ref="D881:F882"/>
    <mergeCell ref="D599:F600"/>
    <mergeCell ref="D602:F603"/>
    <mergeCell ref="A605:G605"/>
    <mergeCell ref="D610:F611"/>
    <mergeCell ref="D633:F634"/>
    <mergeCell ref="D636:F638"/>
    <mergeCell ref="D852:F853"/>
    <mergeCell ref="D783:F783"/>
    <mergeCell ref="D774:F775"/>
    <mergeCell ref="D777:F779"/>
    <mergeCell ref="A781:G781"/>
    <mergeCell ref="D770:F772"/>
    <mergeCell ref="D755:F755"/>
    <mergeCell ref="D808:F813"/>
    <mergeCell ref="D804:F806"/>
    <mergeCell ref="D873:F873"/>
    <mergeCell ref="D875:F875"/>
    <mergeCell ref="D831:F831"/>
    <mergeCell ref="D832:F832"/>
    <mergeCell ref="D834:F834"/>
    <mergeCell ref="D837:F846"/>
    <mergeCell ref="D848:F850"/>
    <mergeCell ref="D620:F621"/>
    <mergeCell ref="D623:F624"/>
    <mergeCell ref="D729:F731"/>
    <mergeCell ref="A629:G629"/>
    <mergeCell ref="A648:G648"/>
    <mergeCell ref="D694:F694"/>
    <mergeCell ref="D695:F695"/>
    <mergeCell ref="A679:G679"/>
    <mergeCell ref="D650:F650"/>
    <mergeCell ref="D651:F651"/>
    <mergeCell ref="D738:F742"/>
    <mergeCell ref="D664:F667"/>
    <mergeCell ref="D698:F698"/>
    <mergeCell ref="D699:F699"/>
    <mergeCell ref="D658:F662"/>
    <mergeCell ref="D653:F656"/>
    <mergeCell ref="D906:F906"/>
    <mergeCell ref="D913:F920"/>
    <mergeCell ref="D934:F942"/>
    <mergeCell ref="D944:F950"/>
    <mergeCell ref="D616:F617"/>
    <mergeCell ref="D815:F820"/>
    <mergeCell ref="D686:F686"/>
    <mergeCell ref="A753:G753"/>
    <mergeCell ref="D733:F736"/>
    <mergeCell ref="D751:F751"/>
    <mergeCell ref="D709:F710"/>
    <mergeCell ref="D756:F756"/>
    <mergeCell ref="D758:F763"/>
    <mergeCell ref="D765:F768"/>
    <mergeCell ref="D786:F788"/>
    <mergeCell ref="D790:F792"/>
    <mergeCell ref="D794:F796"/>
    <mergeCell ref="D798:F803"/>
    <mergeCell ref="D618:F618"/>
    <mergeCell ref="D854:F859"/>
    <mergeCell ref="D861:F861"/>
    <mergeCell ref="D862:F862"/>
    <mergeCell ref="D865:F868"/>
    <mergeCell ref="D872:F872"/>
    <mergeCell ref="D883:F888"/>
    <mergeCell ref="D890:F890"/>
    <mergeCell ref="D891:F891"/>
    <mergeCell ref="D1019:F1020"/>
    <mergeCell ref="D1022:F1022"/>
    <mergeCell ref="D1024:F1024"/>
    <mergeCell ref="D969:F969"/>
    <mergeCell ref="D970:F970"/>
    <mergeCell ref="D972:F972"/>
    <mergeCell ref="D973:F987"/>
    <mergeCell ref="A989:G989"/>
    <mergeCell ref="D991:F991"/>
    <mergeCell ref="D992:F992"/>
    <mergeCell ref="D997:F1000"/>
    <mergeCell ref="D994:F995"/>
    <mergeCell ref="D894:F897"/>
    <mergeCell ref="D952:F957"/>
    <mergeCell ref="D908:F909"/>
    <mergeCell ref="D922:F923"/>
    <mergeCell ref="D925:F928"/>
    <mergeCell ref="D930:F930"/>
    <mergeCell ref="D932:F932"/>
    <mergeCell ref="A899:G899"/>
    <mergeCell ref="D905:F905"/>
    <mergeCell ref="D1105:F1106"/>
    <mergeCell ref="D1108:F1113"/>
    <mergeCell ref="D1115:F1117"/>
    <mergeCell ref="D1119:F1121"/>
    <mergeCell ref="D1046:F1046"/>
    <mergeCell ref="D1054:F1057"/>
    <mergeCell ref="D1064:F1068"/>
    <mergeCell ref="A1070:G1070"/>
    <mergeCell ref="D1080:F1083"/>
    <mergeCell ref="A1049:G1049"/>
    <mergeCell ref="D1087:F1091"/>
    <mergeCell ref="A1098:G1098"/>
    <mergeCell ref="D1101:F1102"/>
    <mergeCell ref="D1103:F1103"/>
    <mergeCell ref="D1094:F1096"/>
    <mergeCell ref="D1041:F1041"/>
    <mergeCell ref="D1042:F1042"/>
    <mergeCell ref="D1040:F1040"/>
    <mergeCell ref="D901:F901"/>
    <mergeCell ref="D1036:F1036"/>
    <mergeCell ref="A1038:G1038"/>
    <mergeCell ref="D1044:F1044"/>
    <mergeCell ref="D1045:F1045"/>
    <mergeCell ref="A1029:G1029"/>
    <mergeCell ref="D1031:F1031"/>
    <mergeCell ref="D1032:F1032"/>
    <mergeCell ref="D1034:F1034"/>
    <mergeCell ref="D1035:F1035"/>
    <mergeCell ref="D1037:F1037"/>
    <mergeCell ref="D1026:F1027"/>
    <mergeCell ref="D1002:F1005"/>
    <mergeCell ref="D1007:F1008"/>
    <mergeCell ref="D1010:F1010"/>
    <mergeCell ref="D1012:F1012"/>
    <mergeCell ref="D964:F967"/>
    <mergeCell ref="D910:F911"/>
    <mergeCell ref="D959:F961"/>
    <mergeCell ref="D1014:F1014"/>
    <mergeCell ref="D1016:F1017"/>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23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30 B527 B536 B548 B550 B553 B556 B559 B563 B566 B569 B573 B578 B588 B590 B594 B599 B602 B610 B620 B623 B626 B633 B640 B643 B646 B653 B658 B664 B669 B685 B690 B694 B702 B709 B712 B1094 B729 B733 B738 B744 B758 B765 B770 B774 B777 B245 B20 B100 B96 B92 B205 B201 B197 B213 B233 B786 B790 B794 B798 B808 B815 B822 B834 B837 B848 B852 B861 B865 B875 B878 B881 B890 B894 B913 B934 B944 B964 B908 B922 B925 B930 B932 B959 B970 B973 B994 B1002 B1007 B1010 B1012 B1014 B1016 B1019 B1022 B1024 B1026 B903 B1041 B1046 B1035 B1054 B1062 B1064 B1073 B1076 B1079 B1087 B1115 B1105 B1119 B1108 B1101 B380 B952 B514 B516 B725 B698"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103"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20" max="8" man="1"/>
    <brk id="538" max="8" man="1"/>
    <brk id="542" max="8" man="1"/>
    <brk id="582" max="8" man="1"/>
    <brk id="604" max="8" man="1"/>
    <brk id="613" max="8" man="1"/>
    <brk id="628" max="8" man="1"/>
    <brk id="647" max="8" man="1"/>
    <brk id="678" max="8" man="1"/>
    <brk id="780" max="8" man="1"/>
    <brk id="828" max="8" man="1"/>
    <brk id="869" max="8" man="1"/>
    <brk id="898" max="8" man="1"/>
    <brk id="962" max="8" man="1"/>
    <brk id="988" max="8" man="1"/>
    <brk id="1028" max="8" man="1"/>
    <brk id="1037" max="8" man="1"/>
    <brk id="1048" max="8" man="1"/>
    <brk id="1069" max="8" man="1"/>
    <brk id="1097" max="8"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GC2017"/>
  <sheetViews>
    <sheetView showGridLines="0" tabSelected="1" topLeftCell="A104" zoomScale="85" zoomScaleNormal="85" workbookViewId="0">
      <selection activeCell="O161" sqref="O161:AH161"/>
    </sheetView>
  </sheetViews>
  <sheetFormatPr defaultColWidth="0" defaultRowHeight="0" customHeight="1" zeroHeight="1"/>
  <cols>
    <col min="1" max="46" width="2.7109375" customWidth="1"/>
    <col min="47" max="47" width="2.7109375" hidden="1" customWidth="1"/>
    <col min="48" max="50" width="3.7109375" hidden="1" customWidth="1"/>
    <col min="51" max="51" width="4.7109375" hidden="1" customWidth="1"/>
    <col min="52" max="52" width="8.42578125" hidden="1" customWidth="1"/>
    <col min="53" max="53" width="7.42578125" hidden="1" customWidth="1"/>
    <col min="54" max="55" width="3.7109375" hidden="1" customWidth="1"/>
    <col min="56" max="56" width="8.28515625" hidden="1" customWidth="1"/>
    <col min="57" max="57" width="8.42578125" hidden="1" customWidth="1"/>
    <col min="58" max="58" width="8.140625" hidden="1" customWidth="1"/>
    <col min="59" max="59" width="11.140625" hidden="1" customWidth="1"/>
    <col min="60" max="60" width="3.7109375" hidden="1" customWidth="1"/>
    <col min="61" max="61" width="8.28515625" hidden="1" customWidth="1"/>
    <col min="62" max="16384" width="3.7109375" hidden="1"/>
  </cols>
  <sheetData>
    <row r="1" spans="1:58" ht="12.95" customHeight="1">
      <c r="J1" s="100"/>
      <c r="AS1" s="1031">
        <v>4</v>
      </c>
      <c r="BD1" s="3" t="s">
        <v>2494</v>
      </c>
      <c r="BE1" s="3"/>
      <c r="BF1" s="3"/>
    </row>
    <row r="2" spans="1:58" ht="12.95" customHeight="1">
      <c r="BD2" s="3" t="s">
        <v>2495</v>
      </c>
      <c r="BE2" s="3" t="s">
        <v>2496</v>
      </c>
      <c r="BF2" s="3" t="s">
        <v>2497</v>
      </c>
    </row>
    <row r="3" spans="1:58" ht="12.95" customHeight="1">
      <c r="BD3" s="3" t="s">
        <v>2592</v>
      </c>
      <c r="BE3" t="str">
        <f>AC220</f>
        <v xml:space="preserve">Coastal (Monterey, Napa, Orange, San Benito, San Diego, San Luis Obispo, Santa Barbara, Sonoma, and Ventura Counties) </v>
      </c>
    </row>
    <row r="4" spans="1:58" ht="12.95" customHeight="1">
      <c r="BD4" s="3" t="s">
        <v>2504</v>
      </c>
      <c r="BE4" s="1246"/>
    </row>
    <row r="5" spans="1:58" ht="12.95" customHeight="1">
      <c r="BD5" s="3" t="s">
        <v>2505</v>
      </c>
      <c r="BE5">
        <f>SUMIF($AC$718:$AC$752,"&lt;=20%",$G$718:G$752)</f>
        <v>0</v>
      </c>
      <c r="BF5" s="3" t="s">
        <v>2510</v>
      </c>
    </row>
    <row r="6" spans="1:58" ht="12.95" customHeight="1">
      <c r="BD6" s="3" t="s">
        <v>2506</v>
      </c>
      <c r="BE6" s="1249">
        <f>SUMIF($AC$718:$AC$752,"&lt;=25%",$G$718:G$752)-SUM($BE$5:BE5)</f>
        <v>0</v>
      </c>
    </row>
    <row r="7" spans="1:58" ht="12.95" customHeight="1">
      <c r="BD7" s="1247" t="s">
        <v>2498</v>
      </c>
      <c r="BE7" s="1249">
        <f>SUMIF($AC$718:$AC$752,"&lt;=30%",$G$718:G$752)-SUM($BE$5:BE6)</f>
        <v>32</v>
      </c>
    </row>
    <row r="8" spans="1:58" ht="26.25" customHeight="1">
      <c r="A8" s="1410" t="s">
        <v>100</v>
      </c>
      <c r="B8" s="1410"/>
      <c r="C8" s="1410"/>
      <c r="D8" s="1410"/>
      <c r="E8" s="1410"/>
      <c r="F8" s="1410"/>
      <c r="G8" s="1410"/>
      <c r="H8" s="1410"/>
      <c r="I8" s="1410"/>
      <c r="J8" s="1410"/>
      <c r="K8" s="1410"/>
      <c r="L8" s="1410"/>
      <c r="M8" s="1410"/>
      <c r="N8" s="1410"/>
      <c r="O8" s="1410"/>
      <c r="P8" s="1410"/>
      <c r="Q8" s="1410"/>
      <c r="R8" s="1410"/>
      <c r="S8" s="1410"/>
      <c r="T8" s="1410"/>
      <c r="U8" s="1410"/>
      <c r="V8" s="1410"/>
      <c r="W8" s="1410"/>
      <c r="X8" s="1410"/>
      <c r="Y8" s="1410"/>
      <c r="Z8" s="1410"/>
      <c r="AA8" s="1410"/>
      <c r="AB8" s="1410"/>
      <c r="AC8" s="1410"/>
      <c r="AD8" s="1410"/>
      <c r="AE8" s="1410"/>
      <c r="AF8" s="1410"/>
      <c r="AG8" s="1410"/>
      <c r="AH8" s="1410"/>
      <c r="AI8" s="1410"/>
      <c r="AJ8" s="1410"/>
      <c r="AK8" s="1410"/>
      <c r="AL8" s="1410"/>
      <c r="AM8" s="1410"/>
      <c r="AN8" s="1410"/>
      <c r="AO8" s="1410"/>
      <c r="AP8" s="1410"/>
      <c r="AQ8" s="1410"/>
      <c r="AR8" s="1410"/>
      <c r="AS8" s="1410"/>
      <c r="AT8" s="1410"/>
      <c r="AU8" s="898"/>
      <c r="AV8" s="898"/>
      <c r="AW8" s="898"/>
      <c r="AX8" s="898"/>
      <c r="AY8" s="898"/>
      <c r="BD8" s="3" t="s">
        <v>2507</v>
      </c>
      <c r="BE8" s="1249">
        <f>SUMIF($AC$718:$AC$752,"&lt;=35%",$G$718:G$752)-SUM($BE$5:BE7)</f>
        <v>0</v>
      </c>
    </row>
    <row r="9" spans="1:58" ht="12.95" customHeight="1">
      <c r="A9" s="1372" t="s">
        <v>2077</v>
      </c>
      <c r="B9" s="1372"/>
      <c r="C9" s="1372"/>
      <c r="D9" s="1372"/>
      <c r="E9" s="1372"/>
      <c r="F9" s="1372"/>
      <c r="G9" s="1372"/>
      <c r="H9" s="1372"/>
      <c r="I9" s="1372"/>
      <c r="J9" s="1372"/>
      <c r="K9" s="1372"/>
      <c r="L9" s="1372"/>
      <c r="M9" s="1372"/>
      <c r="N9" s="1372"/>
      <c r="O9" s="1372"/>
      <c r="P9" s="1372"/>
      <c r="Q9" s="1372"/>
      <c r="R9" s="1372"/>
      <c r="S9" s="1372"/>
      <c r="T9" s="1372"/>
      <c r="U9" s="1372"/>
      <c r="V9" s="1372"/>
      <c r="W9" s="1372"/>
      <c r="X9" s="1372"/>
      <c r="Y9" s="1372"/>
      <c r="Z9" s="1372"/>
      <c r="AA9" s="1372"/>
      <c r="AB9" s="1372"/>
      <c r="AC9" s="1372"/>
      <c r="AD9" s="1372"/>
      <c r="AE9" s="1372"/>
      <c r="AF9" s="1372"/>
      <c r="AG9" s="1372"/>
      <c r="AH9" s="1372"/>
      <c r="AI9" s="1372"/>
      <c r="AJ9" s="1372"/>
      <c r="AK9" s="1372"/>
      <c r="AL9" s="1372"/>
      <c r="AM9" s="1372"/>
      <c r="AN9" s="1372"/>
      <c r="AO9" s="1372"/>
      <c r="AP9" s="1372"/>
      <c r="AQ9" s="1372"/>
      <c r="AR9" s="1372"/>
      <c r="AS9" s="1372"/>
      <c r="AT9" s="1372"/>
      <c r="AU9" s="13"/>
      <c r="AV9" s="13"/>
      <c r="AW9" s="13"/>
      <c r="AX9" s="13"/>
      <c r="AY9" s="13"/>
      <c r="BD9" s="1248" t="s">
        <v>2499</v>
      </c>
      <c r="BE9" s="1249">
        <f>SUMIF($AC$718:$AC$752,"&lt;=40%",$G$718:G$752)-SUM($BE$5:BE8)</f>
        <v>7</v>
      </c>
    </row>
    <row r="10" spans="1:58" ht="12.95" customHeight="1">
      <c r="A10" s="1372" t="s">
        <v>2456</v>
      </c>
      <c r="B10" s="1372"/>
      <c r="C10" s="1372"/>
      <c r="D10" s="1372"/>
      <c r="E10" s="1372"/>
      <c r="F10" s="1372"/>
      <c r="G10" s="1372"/>
      <c r="H10" s="1372"/>
      <c r="I10" s="1372"/>
      <c r="J10" s="1372"/>
      <c r="K10" s="1372"/>
      <c r="L10" s="1372"/>
      <c r="M10" s="1372"/>
      <c r="N10" s="1372"/>
      <c r="O10" s="1372"/>
      <c r="P10" s="1372"/>
      <c r="Q10" s="1372"/>
      <c r="R10" s="1372"/>
      <c r="S10" s="1372"/>
      <c r="T10" s="1372"/>
      <c r="U10" s="1372"/>
      <c r="V10" s="1372"/>
      <c r="W10" s="1372"/>
      <c r="X10" s="1372"/>
      <c r="Y10" s="1372"/>
      <c r="Z10" s="1372"/>
      <c r="AA10" s="1372"/>
      <c r="AB10" s="1372"/>
      <c r="AC10" s="1372"/>
      <c r="AD10" s="1372"/>
      <c r="AE10" s="1372"/>
      <c r="AF10" s="1372"/>
      <c r="AG10" s="1372"/>
      <c r="AH10" s="1372"/>
      <c r="AI10" s="1372"/>
      <c r="AJ10" s="1372"/>
      <c r="AK10" s="1372"/>
      <c r="AL10" s="1372"/>
      <c r="AM10" s="1372"/>
      <c r="AN10" s="1372"/>
      <c r="AO10" s="1372"/>
      <c r="AP10" s="1372"/>
      <c r="AQ10" s="1372"/>
      <c r="AR10" s="1372"/>
      <c r="AS10" s="1372"/>
      <c r="AT10" s="1372"/>
      <c r="AU10" s="13"/>
      <c r="AV10" s="13"/>
      <c r="AW10" s="13"/>
      <c r="AX10" s="13"/>
      <c r="AY10" s="13"/>
      <c r="BD10" s="3" t="s">
        <v>2508</v>
      </c>
      <c r="BE10" s="1249">
        <f>SUMIF($AC$718:$AC$752,"&lt;=45%",$G$718:G$752)-SUM($BE$5:BE9)</f>
        <v>0</v>
      </c>
    </row>
    <row r="11" spans="1:58" ht="12.95" customHeight="1">
      <c r="A11" s="1372" t="s">
        <v>2602</v>
      </c>
      <c r="B11" s="1372"/>
      <c r="C11" s="1372"/>
      <c r="D11" s="1372"/>
      <c r="E11" s="1372"/>
      <c r="F11" s="1372"/>
      <c r="G11" s="1372"/>
      <c r="H11" s="1372"/>
      <c r="I11" s="1372"/>
      <c r="J11" s="1372"/>
      <c r="K11" s="1372"/>
      <c r="L11" s="1372"/>
      <c r="M11" s="1372"/>
      <c r="N11" s="1372"/>
      <c r="O11" s="1372"/>
      <c r="P11" s="1372"/>
      <c r="Q11" s="1372"/>
      <c r="R11" s="1372"/>
      <c r="S11" s="1372"/>
      <c r="T11" s="1372"/>
      <c r="U11" s="1372"/>
      <c r="V11" s="1372"/>
      <c r="W11" s="1372"/>
      <c r="X11" s="1372"/>
      <c r="Y11" s="1372"/>
      <c r="Z11" s="1372"/>
      <c r="AA11" s="1372"/>
      <c r="AB11" s="1372"/>
      <c r="AC11" s="1372"/>
      <c r="AD11" s="1372"/>
      <c r="AE11" s="1372"/>
      <c r="AF11" s="1372"/>
      <c r="AG11" s="1372"/>
      <c r="AH11" s="1372"/>
      <c r="AI11" s="1372"/>
      <c r="AJ11" s="1372"/>
      <c r="AK11" s="1372"/>
      <c r="AL11" s="1372"/>
      <c r="AM11" s="1372"/>
      <c r="AN11" s="1372"/>
      <c r="AO11" s="1372"/>
      <c r="AP11" s="1372"/>
      <c r="AQ11" s="1372"/>
      <c r="AR11" s="1372"/>
      <c r="AS11" s="1372"/>
      <c r="AT11" s="1372"/>
      <c r="AU11" s="13"/>
      <c r="AV11" s="13"/>
      <c r="AW11" s="13"/>
      <c r="AX11" s="13"/>
      <c r="AY11" s="13"/>
      <c r="BD11" s="1247" t="s">
        <v>2500</v>
      </c>
      <c r="BE11" s="1249">
        <f>SUMIF($AC$718:$AC$752,"&lt;=50%",$G$718:G$752)-SUM($BE$5:BE10)</f>
        <v>7</v>
      </c>
    </row>
    <row r="12" spans="1:58" ht="12.95" customHeight="1">
      <c r="A12" s="1411" t="s">
        <v>2607</v>
      </c>
      <c r="B12" s="1411"/>
      <c r="C12" s="1411"/>
      <c r="D12" s="1411"/>
      <c r="E12" s="1411"/>
      <c r="F12" s="1411"/>
      <c r="G12" s="1411"/>
      <c r="H12" s="1411"/>
      <c r="I12" s="1411"/>
      <c r="J12" s="1411"/>
      <c r="K12" s="1411"/>
      <c r="L12" s="1411"/>
      <c r="M12" s="1411"/>
      <c r="N12" s="1411"/>
      <c r="O12" s="1411"/>
      <c r="P12" s="1411"/>
      <c r="Q12" s="1411"/>
      <c r="R12" s="1411"/>
      <c r="S12" s="1411"/>
      <c r="T12" s="1411"/>
      <c r="U12" s="1411"/>
      <c r="V12" s="1411"/>
      <c r="W12" s="1411"/>
      <c r="X12" s="1411"/>
      <c r="Y12" s="1411"/>
      <c r="Z12" s="1411"/>
      <c r="AA12" s="1411"/>
      <c r="AB12" s="1411"/>
      <c r="AC12" s="1411"/>
      <c r="AD12" s="1411"/>
      <c r="AE12" s="1411"/>
      <c r="AF12" s="1411"/>
      <c r="AG12" s="1411"/>
      <c r="AH12" s="1411"/>
      <c r="AI12" s="1411"/>
      <c r="AJ12" s="1411"/>
      <c r="AK12" s="1411"/>
      <c r="AL12" s="1411"/>
      <c r="AM12" s="1411"/>
      <c r="AN12" s="1411"/>
      <c r="AO12" s="1411"/>
      <c r="AP12" s="1411"/>
      <c r="AQ12" s="1411"/>
      <c r="AR12" s="1411"/>
      <c r="AS12" s="1411"/>
      <c r="AT12" s="1411"/>
      <c r="AU12" s="6"/>
      <c r="AV12" s="6"/>
      <c r="AW12" s="6"/>
      <c r="AX12" s="6"/>
      <c r="AY12" s="6"/>
      <c r="BD12" s="3" t="s">
        <v>2509</v>
      </c>
      <c r="BE12" s="1249">
        <f>SUMIF($AC$718:$AC$752,"&lt;=55%",$G$718:G$752)-SUM($BE$5:BE11)</f>
        <v>0</v>
      </c>
    </row>
    <row r="13" spans="1:58" ht="12.95" customHeight="1">
      <c r="A13" s="1260" t="s">
        <v>2078</v>
      </c>
      <c r="B13" s="1260"/>
      <c r="C13" s="1260"/>
      <c r="D13" s="1260"/>
      <c r="E13" s="1260"/>
      <c r="F13" s="1260"/>
      <c r="G13" s="1260"/>
      <c r="H13" s="1260"/>
      <c r="I13" s="1260"/>
      <c r="J13" s="1260"/>
      <c r="K13" s="1260"/>
      <c r="L13" s="1260"/>
      <c r="M13" s="1260"/>
      <c r="N13" s="1260"/>
      <c r="O13" s="1260"/>
      <c r="P13" s="1260"/>
      <c r="Q13" s="1260"/>
      <c r="R13" s="1260"/>
      <c r="S13" s="1260"/>
      <c r="T13" s="1260"/>
      <c r="U13" s="1260"/>
      <c r="V13" s="1260"/>
      <c r="W13" s="1260"/>
      <c r="X13" s="1260"/>
      <c r="Y13" s="1260"/>
      <c r="Z13" s="1260"/>
      <c r="AA13" s="1260"/>
      <c r="AB13" s="1260"/>
      <c r="AC13" s="1260"/>
      <c r="AD13" s="1260"/>
      <c r="AE13" s="1260"/>
      <c r="AF13" s="1260"/>
      <c r="AG13" s="1260"/>
      <c r="AH13" s="1260"/>
      <c r="AI13" s="1260"/>
      <c r="AJ13" s="1260"/>
      <c r="AK13" s="1260"/>
      <c r="AL13" s="1260"/>
      <c r="AM13" s="1260"/>
      <c r="AN13" s="1260"/>
      <c r="AO13" s="1260"/>
      <c r="AP13" s="1260"/>
      <c r="AQ13" s="1260"/>
      <c r="AR13" s="1260"/>
      <c r="AS13" s="1260"/>
      <c r="AT13" s="1260"/>
      <c r="AU13" s="899"/>
      <c r="AV13" s="899"/>
      <c r="AW13" s="899"/>
      <c r="AX13" s="899"/>
      <c r="AY13" s="899"/>
      <c r="BD13" s="1248" t="s">
        <v>2501</v>
      </c>
      <c r="BE13" s="1249">
        <f>SUMIF($AC$718:$AC$752,"&lt;=60%",$G$718:G$752)-SUM($BE$5:BE12)</f>
        <v>7</v>
      </c>
    </row>
    <row r="14" spans="1:58" ht="12.95" customHeight="1">
      <c r="A14" s="1260"/>
      <c r="B14" s="1260"/>
      <c r="C14" s="1260"/>
      <c r="D14" s="1260"/>
      <c r="E14" s="1260"/>
      <c r="F14" s="1260"/>
      <c r="G14" s="1260"/>
      <c r="H14" s="1260"/>
      <c r="I14" s="1260"/>
      <c r="J14" s="1260"/>
      <c r="K14" s="1260"/>
      <c r="L14" s="1260"/>
      <c r="M14" s="1260"/>
      <c r="N14" s="1260"/>
      <c r="O14" s="1260"/>
      <c r="P14" s="1260"/>
      <c r="Q14" s="1260"/>
      <c r="R14" s="1260"/>
      <c r="S14" s="1260"/>
      <c r="T14" s="1260"/>
      <c r="U14" s="1260"/>
      <c r="V14" s="1260"/>
      <c r="W14" s="1260"/>
      <c r="X14" s="1260"/>
      <c r="Y14" s="1260"/>
      <c r="Z14" s="1260"/>
      <c r="AA14" s="1260"/>
      <c r="AB14" s="1260"/>
      <c r="AC14" s="1260"/>
      <c r="AD14" s="1260"/>
      <c r="AE14" s="1260"/>
      <c r="AF14" s="1260"/>
      <c r="AG14" s="1260"/>
      <c r="AH14" s="1260"/>
      <c r="AI14" s="1260"/>
      <c r="AJ14" s="1260"/>
      <c r="AK14" s="1260"/>
      <c r="AL14" s="1260"/>
      <c r="AM14" s="1260"/>
      <c r="AN14" s="1260"/>
      <c r="AO14" s="1260"/>
      <c r="AP14" s="1260"/>
      <c r="AQ14" s="1260"/>
      <c r="AR14" s="1260"/>
      <c r="AS14" s="1260"/>
      <c r="AT14" s="1260"/>
      <c r="AU14" s="899"/>
      <c r="AV14" s="899"/>
      <c r="AW14" s="899"/>
      <c r="AX14" s="899"/>
      <c r="AY14" s="899"/>
      <c r="BD14" s="1247" t="s">
        <v>2502</v>
      </c>
      <c r="BE14" s="1249">
        <f>SUMIF($AC$718:$AC$752,"&lt;=70%",$G$718:G$752)-SUM($BE$5:BE13)</f>
        <v>0</v>
      </c>
    </row>
    <row r="15" spans="1:58"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BD15" s="1248" t="s">
        <v>2503</v>
      </c>
      <c r="BE15" s="1249">
        <f>SUMIF($AC$718:$AC$752,"&lt;=80%",$G$718:G$752)-SUM($BE$5:BE14)</f>
        <v>50</v>
      </c>
    </row>
    <row r="16" spans="1:58" ht="12.95" customHeight="1">
      <c r="A16" s="57" t="s">
        <v>2079</v>
      </c>
      <c r="C16" s="4"/>
      <c r="D16" s="4"/>
      <c r="E16" s="4"/>
      <c r="F16" s="4"/>
      <c r="G16" s="4"/>
      <c r="H16" s="1419" t="s">
        <v>2608</v>
      </c>
      <c r="I16" s="1420"/>
      <c r="J16" s="1420"/>
      <c r="K16" s="1420"/>
      <c r="L16" s="1420"/>
      <c r="M16" s="1420"/>
      <c r="N16" s="1420"/>
      <c r="O16" s="1420"/>
      <c r="P16" s="1420"/>
      <c r="Q16" s="1420"/>
      <c r="R16" s="1420"/>
      <c r="S16" s="1420"/>
      <c r="T16" s="1420"/>
      <c r="U16" s="1420"/>
      <c r="V16" s="1420"/>
      <c r="W16" s="1420"/>
      <c r="X16" s="1420"/>
      <c r="Y16" s="1420"/>
      <c r="Z16" s="1420"/>
      <c r="AA16" s="1420"/>
      <c r="AB16" s="1420"/>
      <c r="AC16" s="1420"/>
      <c r="AD16" s="1420"/>
      <c r="AE16" s="1420"/>
      <c r="AF16" s="1420"/>
      <c r="AG16" s="1420"/>
      <c r="AH16" s="1420"/>
      <c r="AI16" s="1420"/>
      <c r="AJ16" s="1420"/>
      <c r="BD16" s="1248" t="s">
        <v>656</v>
      </c>
      <c r="BE16" s="1249" t="str">
        <f>Application!H18</f>
        <v>Victoria Flats</v>
      </c>
    </row>
    <row r="17" spans="1:58" ht="12.95" customHeight="1">
      <c r="BD17" s="1247" t="s">
        <v>2516</v>
      </c>
      <c r="BE17" s="1249">
        <f>Application!AA934</f>
        <v>4000000</v>
      </c>
    </row>
    <row r="18" spans="1:58" ht="12.95" customHeight="1">
      <c r="A18" s="57" t="s">
        <v>101</v>
      </c>
      <c r="C18" s="4"/>
      <c r="D18" s="4"/>
      <c r="E18" s="4"/>
      <c r="F18" s="4"/>
      <c r="G18" s="4"/>
      <c r="H18" s="1416" t="s">
        <v>2609</v>
      </c>
      <c r="I18" s="1417"/>
      <c r="J18" s="1417"/>
      <c r="K18" s="1417"/>
      <c r="L18" s="1417"/>
      <c r="M18" s="1417"/>
      <c r="N18" s="1417"/>
      <c r="O18" s="1417"/>
      <c r="P18" s="1417"/>
      <c r="Q18" s="1417"/>
      <c r="R18" s="1417"/>
      <c r="S18" s="1417"/>
      <c r="T18" s="1417"/>
      <c r="U18" s="1417"/>
      <c r="V18" s="1417"/>
      <c r="W18" s="1417"/>
      <c r="X18" s="1417"/>
      <c r="Y18" s="1417"/>
      <c r="Z18" s="1417"/>
      <c r="AA18" s="1417"/>
      <c r="AB18" s="1417"/>
      <c r="AC18" s="1417"/>
      <c r="AD18" s="1417"/>
      <c r="AE18" s="1417"/>
      <c r="AF18" s="1417"/>
      <c r="AG18" s="1417"/>
      <c r="AH18" s="1417"/>
      <c r="AI18" s="1417"/>
      <c r="AJ18" s="1417"/>
      <c r="BD18" s="1248" t="s">
        <v>2517</v>
      </c>
      <c r="BE18" s="1249">
        <f>'CalHFA Addendum'!N11</f>
        <v>4000000</v>
      </c>
    </row>
    <row r="19" spans="1:58" ht="12.95" customHeight="1">
      <c r="BD19" s="1247" t="s">
        <v>2518</v>
      </c>
      <c r="BE19" s="1249">
        <f>Application!M26</f>
        <v>2446917</v>
      </c>
    </row>
    <row r="20" spans="1:58" ht="12.95" customHeight="1">
      <c r="A20" s="1412" t="s">
        <v>873</v>
      </c>
      <c r="B20" s="1412"/>
      <c r="C20" s="1412"/>
      <c r="D20" s="1412"/>
      <c r="E20" s="1412"/>
      <c r="F20" s="1412"/>
      <c r="G20" s="1412"/>
      <c r="H20" s="1412"/>
      <c r="I20" s="1412"/>
      <c r="J20" s="1412"/>
      <c r="K20" s="1412"/>
      <c r="L20" s="1412"/>
      <c r="M20" s="1412"/>
      <c r="N20" s="1412"/>
      <c r="O20" s="1412"/>
      <c r="P20" s="1412"/>
      <c r="Q20" s="1412"/>
      <c r="R20" s="1412"/>
      <c r="S20" s="1412"/>
      <c r="T20" s="1412"/>
      <c r="U20" s="1412"/>
      <c r="V20" s="1412"/>
      <c r="W20" s="1412"/>
      <c r="X20" s="1412"/>
      <c r="Y20" s="1412"/>
      <c r="Z20" s="1412"/>
      <c r="AA20" s="1412"/>
      <c r="AB20" s="1412"/>
      <c r="AC20" s="1412"/>
      <c r="AD20" s="1412"/>
      <c r="AE20" s="1412"/>
      <c r="AF20" s="1412"/>
      <c r="AG20" s="1412"/>
      <c r="AH20" s="1412"/>
      <c r="AI20" s="1412"/>
      <c r="AJ20" s="1412"/>
      <c r="AK20" s="1412"/>
      <c r="AL20" s="1412"/>
      <c r="AM20" s="1412"/>
      <c r="AN20" s="1412"/>
      <c r="AO20" s="1412"/>
      <c r="AP20" s="1412"/>
      <c r="AQ20" s="1412"/>
      <c r="AR20" s="1412"/>
      <c r="AS20" s="1412"/>
      <c r="AT20" s="1412"/>
      <c r="AU20" s="900"/>
      <c r="AV20" s="900"/>
      <c r="AW20" s="900"/>
      <c r="AX20" s="900"/>
      <c r="AY20" s="900"/>
      <c r="BD20" s="1248" t="s">
        <v>2519</v>
      </c>
      <c r="BE20" s="1249">
        <f>Application!M27</f>
        <v>2724270</v>
      </c>
    </row>
    <row r="21" spans="1:58" ht="12.95" customHeight="1">
      <c r="A21" s="1421" t="s">
        <v>1009</v>
      </c>
      <c r="B21" s="1421"/>
      <c r="C21" s="1421"/>
      <c r="D21" s="1421"/>
      <c r="E21" s="1421"/>
      <c r="F21" s="1421"/>
      <c r="G21" s="1421"/>
      <c r="H21" s="1421"/>
      <c r="I21" s="1421"/>
      <c r="J21" s="1421"/>
      <c r="K21" s="1421"/>
      <c r="L21" s="1421"/>
      <c r="M21" s="1421"/>
      <c r="N21" s="1421"/>
      <c r="O21" s="1421"/>
      <c r="P21" s="1421"/>
      <c r="Q21" s="1421"/>
      <c r="R21" s="1421"/>
      <c r="S21" s="1421"/>
      <c r="T21" s="1421"/>
      <c r="U21" s="1421"/>
      <c r="V21" s="1421"/>
      <c r="W21" s="1421"/>
      <c r="X21" s="1421"/>
      <c r="Y21" s="1421"/>
      <c r="Z21" s="1421"/>
      <c r="AA21" s="1421"/>
      <c r="AB21" s="1421"/>
      <c r="AC21" s="1421"/>
      <c r="AD21" s="1421"/>
      <c r="AE21" s="1421"/>
      <c r="AF21" s="1421"/>
      <c r="AG21" s="1421"/>
      <c r="AH21" s="1421"/>
      <c r="AI21" s="1421"/>
      <c r="AJ21" s="1421"/>
      <c r="AK21" s="1421"/>
      <c r="AL21" s="1421"/>
      <c r="AM21" s="901"/>
      <c r="AN21" s="901"/>
      <c r="AO21" s="901"/>
      <c r="AP21" s="901"/>
      <c r="AQ21" s="901"/>
      <c r="AR21" s="901"/>
      <c r="AS21" s="901"/>
      <c r="AT21" s="901"/>
      <c r="AU21" s="901"/>
      <c r="AV21" s="901"/>
      <c r="AW21" s="901"/>
      <c r="AX21" s="901"/>
      <c r="AY21" s="901"/>
      <c r="BD21" s="1247" t="s">
        <v>2520</v>
      </c>
      <c r="BE21" s="1249">
        <f>Application!AM554</f>
        <v>24861947</v>
      </c>
    </row>
    <row r="22" spans="1:58"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BD22" s="1248" t="s">
        <v>282</v>
      </c>
      <c r="BE22" s="1249">
        <f>'Sources and Uses Budget'!B105</f>
        <v>50605110</v>
      </c>
      <c r="BF22" s="3" t="s">
        <v>2593</v>
      </c>
    </row>
    <row r="23" spans="1:58" ht="12.95" customHeight="1">
      <c r="A23" s="1292" t="s">
        <v>2147</v>
      </c>
      <c r="B23" s="1292"/>
      <c r="C23" s="1292"/>
      <c r="D23" s="1292"/>
      <c r="E23" s="1292"/>
      <c r="F23" s="1292"/>
      <c r="G23" s="1292"/>
      <c r="H23" s="1292"/>
      <c r="I23" s="1292"/>
      <c r="J23" s="1292"/>
      <c r="K23" s="1292"/>
      <c r="L23" s="1292"/>
      <c r="M23" s="1292"/>
      <c r="N23" s="1292"/>
      <c r="O23" s="1292"/>
      <c r="P23" s="1292"/>
      <c r="Q23" s="1292"/>
      <c r="R23" s="1292"/>
      <c r="S23" s="1292"/>
      <c r="T23" s="1292"/>
      <c r="U23" s="1292"/>
      <c r="V23" s="1292"/>
      <c r="W23" s="1292"/>
      <c r="X23" s="1292"/>
      <c r="Y23" s="1292"/>
      <c r="Z23" s="1292"/>
      <c r="AA23" s="1292"/>
      <c r="AB23" s="1292"/>
      <c r="AC23" s="1292"/>
      <c r="AD23" s="1292"/>
      <c r="AE23" s="1292"/>
      <c r="AF23" s="1292"/>
      <c r="AG23" s="1292"/>
      <c r="AH23" s="1292"/>
      <c r="AI23" s="1292"/>
      <c r="AJ23" s="1292"/>
      <c r="AK23" s="1292"/>
      <c r="AL23" s="1292"/>
      <c r="AM23" s="1292"/>
      <c r="AN23" s="1292"/>
      <c r="AO23" s="1292"/>
      <c r="AP23" s="1292"/>
      <c r="AQ23" s="1292"/>
      <c r="AR23" s="1292"/>
      <c r="AS23" s="1292"/>
      <c r="AT23" s="1292"/>
      <c r="AU23" s="18"/>
      <c r="AV23" s="18"/>
      <c r="AW23" s="18"/>
      <c r="AX23" s="18"/>
      <c r="AY23" s="18"/>
      <c r="AZ23" s="18"/>
      <c r="BD23" s="1247" t="s">
        <v>2521</v>
      </c>
      <c r="BE23" s="1249">
        <f>'Sources and Uses Budget'!B4</f>
        <v>300000</v>
      </c>
    </row>
    <row r="24" spans="1:58" ht="12.95" customHeight="1">
      <c r="A24" s="1292"/>
      <c r="B24" s="1292"/>
      <c r="C24" s="1292"/>
      <c r="D24" s="1292"/>
      <c r="E24" s="1292"/>
      <c r="F24" s="1292"/>
      <c r="G24" s="1292"/>
      <c r="H24" s="1292"/>
      <c r="I24" s="1292"/>
      <c r="J24" s="1292"/>
      <c r="K24" s="1292"/>
      <c r="L24" s="1292"/>
      <c r="M24" s="1292"/>
      <c r="N24" s="1292"/>
      <c r="O24" s="1292"/>
      <c r="P24" s="1292"/>
      <c r="Q24" s="1292"/>
      <c r="R24" s="1292"/>
      <c r="S24" s="1292"/>
      <c r="T24" s="1292"/>
      <c r="U24" s="1292"/>
      <c r="V24" s="1292"/>
      <c r="W24" s="1292"/>
      <c r="X24" s="1292"/>
      <c r="Y24" s="1292"/>
      <c r="Z24" s="1292"/>
      <c r="AA24" s="1292"/>
      <c r="AB24" s="1292"/>
      <c r="AC24" s="1292"/>
      <c r="AD24" s="1292"/>
      <c r="AE24" s="1292"/>
      <c r="AF24" s="1292"/>
      <c r="AG24" s="1292"/>
      <c r="AH24" s="1292"/>
      <c r="AI24" s="1292"/>
      <c r="AJ24" s="1292"/>
      <c r="AK24" s="1292"/>
      <c r="AL24" s="1292"/>
      <c r="AM24" s="1292"/>
      <c r="AN24" s="1292"/>
      <c r="AO24" s="1292"/>
      <c r="AP24" s="1292"/>
      <c r="AQ24" s="1292"/>
      <c r="AR24" s="1292"/>
      <c r="AS24" s="1292"/>
      <c r="AT24" s="1292"/>
      <c r="AU24" s="18"/>
      <c r="AV24" s="18"/>
      <c r="AW24" s="18"/>
      <c r="AX24" s="18"/>
      <c r="AY24" s="18"/>
      <c r="AZ24" s="18"/>
      <c r="BD24" s="1248" t="s">
        <v>2522</v>
      </c>
      <c r="BE24" s="1249">
        <f>Application!AG450</f>
        <v>99927</v>
      </c>
    </row>
    <row r="25" spans="1:58"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c r="BD25" s="1247" t="s">
        <v>2523</v>
      </c>
      <c r="BE25" s="1249" t="str">
        <f>Application!D208</f>
        <v>40%/60% Average Income</v>
      </c>
    </row>
    <row r="26" spans="1:58" ht="12.95" customHeight="1">
      <c r="A26" s="4"/>
      <c r="C26" s="4"/>
      <c r="D26" s="4"/>
      <c r="E26" s="4"/>
      <c r="F26" s="4"/>
      <c r="G26" s="4"/>
      <c r="H26" s="4"/>
      <c r="I26" s="4"/>
      <c r="J26" s="4"/>
      <c r="K26" s="4"/>
      <c r="L26" s="4"/>
      <c r="M26" s="1418">
        <f>'Basis &amp; Credits'!AB56</f>
        <v>2446917</v>
      </c>
      <c r="N26" s="1418"/>
      <c r="O26" s="1418"/>
      <c r="P26" s="1418"/>
      <c r="Q26" s="1418"/>
      <c r="R26" s="4" t="s">
        <v>759</v>
      </c>
      <c r="S26" s="4"/>
      <c r="T26" s="4"/>
      <c r="U26" s="4"/>
      <c r="V26" s="4"/>
      <c r="W26" s="4"/>
      <c r="X26" s="4"/>
      <c r="Y26" s="4"/>
      <c r="Z26" s="4"/>
      <c r="AF26" s="4"/>
      <c r="AG26" s="4"/>
      <c r="AH26" s="4"/>
      <c r="AI26" s="4"/>
      <c r="AJ26" s="4"/>
      <c r="AK26" s="4"/>
      <c r="BD26" s="1248" t="s">
        <v>1639</v>
      </c>
      <c r="BE26" s="1249" t="b">
        <f>Application!M356="Yes"</f>
        <v>0</v>
      </c>
    </row>
    <row r="27" spans="1:58" ht="12.95" customHeight="1">
      <c r="A27" s="4"/>
      <c r="C27" s="4"/>
      <c r="D27" s="4"/>
      <c r="E27" s="4"/>
      <c r="F27" s="4"/>
      <c r="G27" s="4"/>
      <c r="H27" s="4"/>
      <c r="I27" s="4"/>
      <c r="J27" s="4"/>
      <c r="K27" s="4"/>
      <c r="L27" s="4"/>
      <c r="M27" s="1353">
        <f>'Basis &amp; Credits'!AB78</f>
        <v>2724270</v>
      </c>
      <c r="N27" s="1353"/>
      <c r="O27" s="1353"/>
      <c r="P27" s="1353"/>
      <c r="Q27" s="1353"/>
      <c r="R27" s="3" t="s">
        <v>1267</v>
      </c>
      <c r="S27" s="4"/>
      <c r="T27" s="4"/>
      <c r="U27" s="4"/>
      <c r="V27" s="4"/>
      <c r="W27" s="4"/>
      <c r="X27" s="4"/>
      <c r="Y27" s="4"/>
      <c r="Z27" s="4"/>
      <c r="AF27" s="4"/>
      <c r="AG27" s="4"/>
      <c r="AH27" s="4"/>
      <c r="AI27" s="4"/>
      <c r="AJ27" s="4"/>
      <c r="AK27" s="4"/>
      <c r="BD27" s="1247" t="s">
        <v>2099</v>
      </c>
      <c r="BE27" s="1249" t="b">
        <f>Application!M355="Yes"</f>
        <v>1</v>
      </c>
    </row>
    <row r="28" spans="1:58"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c r="BD28" s="1248" t="s">
        <v>2524</v>
      </c>
      <c r="BE28" s="1249" t="b">
        <f>Application!M357="Yes"</f>
        <v>0</v>
      </c>
    </row>
    <row r="29" spans="1:58" ht="12.95" customHeight="1">
      <c r="A29" s="1413" t="s">
        <v>2148</v>
      </c>
      <c r="B29" s="1413"/>
      <c r="C29" s="1413"/>
      <c r="D29" s="1413"/>
      <c r="E29" s="1413"/>
      <c r="F29" s="1413"/>
      <c r="G29" s="1413"/>
      <c r="H29" s="1413"/>
      <c r="I29" s="1413"/>
      <c r="J29" s="1413"/>
      <c r="K29" s="1413"/>
      <c r="L29" s="1413"/>
      <c r="M29" s="1413"/>
      <c r="N29" s="1413"/>
      <c r="O29" s="1413"/>
      <c r="P29" s="1413"/>
      <c r="Q29" s="1413"/>
      <c r="R29" s="1413"/>
      <c r="S29" s="1413"/>
      <c r="T29" s="1413"/>
      <c r="U29" s="1413"/>
      <c r="V29" s="1413"/>
      <c r="W29" s="1413"/>
      <c r="X29" s="1413"/>
      <c r="Y29" s="1413"/>
      <c r="Z29" s="1413"/>
      <c r="AA29" s="1413"/>
      <c r="AB29" s="1413"/>
      <c r="AC29" s="1413"/>
      <c r="AD29" s="1413"/>
      <c r="AE29" s="1413"/>
      <c r="AF29" s="1413"/>
      <c r="AG29" s="1413"/>
      <c r="AH29" s="1413"/>
      <c r="AI29" s="1413"/>
      <c r="AJ29" s="1413"/>
      <c r="AK29" s="1413"/>
      <c r="AL29" s="1413"/>
      <c r="AM29" s="1413"/>
      <c r="AN29" s="1413"/>
      <c r="AO29" s="1413"/>
      <c r="AP29" s="1413"/>
      <c r="AQ29" s="1413"/>
      <c r="AR29" s="1413"/>
      <c r="AS29" s="1413"/>
      <c r="AT29" s="1413"/>
      <c r="BD29" s="1247" t="s">
        <v>2525</v>
      </c>
      <c r="BE29" s="1249" t="b">
        <f>Application!M358="Yes"</f>
        <v>0</v>
      </c>
    </row>
    <row r="30" spans="1:58" ht="12.95" customHeight="1">
      <c r="A30" s="1413"/>
      <c r="B30" s="1413"/>
      <c r="C30" s="1413"/>
      <c r="D30" s="1413"/>
      <c r="E30" s="1413"/>
      <c r="F30" s="1413"/>
      <c r="G30" s="1413"/>
      <c r="H30" s="1413"/>
      <c r="I30" s="1413"/>
      <c r="J30" s="1413"/>
      <c r="K30" s="1413"/>
      <c r="L30" s="1413"/>
      <c r="M30" s="1413"/>
      <c r="N30" s="1413"/>
      <c r="O30" s="1413"/>
      <c r="P30" s="1413"/>
      <c r="Q30" s="1413"/>
      <c r="R30" s="1413"/>
      <c r="S30" s="1413"/>
      <c r="T30" s="1413"/>
      <c r="U30" s="1413"/>
      <c r="V30" s="1413"/>
      <c r="W30" s="1413"/>
      <c r="X30" s="1413"/>
      <c r="Y30" s="1413"/>
      <c r="Z30" s="1413"/>
      <c r="AA30" s="1413"/>
      <c r="AB30" s="1413"/>
      <c r="AC30" s="1413"/>
      <c r="AD30" s="1413"/>
      <c r="AE30" s="1413"/>
      <c r="AF30" s="1413"/>
      <c r="AG30" s="1413"/>
      <c r="AH30" s="1413"/>
      <c r="AI30" s="1413"/>
      <c r="AJ30" s="1413"/>
      <c r="AK30" s="1413"/>
      <c r="AL30" s="1413"/>
      <c r="AM30" s="1413"/>
      <c r="AN30" s="1413"/>
      <c r="AO30" s="1413"/>
      <c r="AP30" s="1413"/>
      <c r="AQ30" s="1413"/>
      <c r="AR30" s="1413"/>
      <c r="AS30" s="1413"/>
      <c r="AT30" s="1413"/>
      <c r="AZ30" s="20"/>
      <c r="BD30" s="1248" t="s">
        <v>28</v>
      </c>
      <c r="BE30" s="1249" t="b">
        <f>Application!AJ355="Yes"</f>
        <v>0</v>
      </c>
    </row>
    <row r="31" spans="1:58" ht="12.95" customHeight="1">
      <c r="A31" s="1413"/>
      <c r="B31" s="1413"/>
      <c r="C31" s="1413"/>
      <c r="D31" s="1413"/>
      <c r="E31" s="1413"/>
      <c r="F31" s="1413"/>
      <c r="G31" s="1413"/>
      <c r="H31" s="1413"/>
      <c r="I31" s="1413"/>
      <c r="J31" s="1413"/>
      <c r="K31" s="1413"/>
      <c r="L31" s="1413"/>
      <c r="M31" s="1413"/>
      <c r="N31" s="1413"/>
      <c r="O31" s="1413"/>
      <c r="P31" s="1413"/>
      <c r="Q31" s="1413"/>
      <c r="R31" s="1413"/>
      <c r="S31" s="1413"/>
      <c r="T31" s="1413"/>
      <c r="U31" s="1413"/>
      <c r="V31" s="1413"/>
      <c r="W31" s="1413"/>
      <c r="X31" s="1413"/>
      <c r="Y31" s="1413"/>
      <c r="Z31" s="1413"/>
      <c r="AA31" s="1413"/>
      <c r="AB31" s="1413"/>
      <c r="AC31" s="1413"/>
      <c r="AD31" s="1413"/>
      <c r="AE31" s="1413"/>
      <c r="AF31" s="1413"/>
      <c r="AG31" s="1413"/>
      <c r="AH31" s="1413"/>
      <c r="AI31" s="1413"/>
      <c r="AJ31" s="1413"/>
      <c r="AK31" s="1413"/>
      <c r="AL31" s="1413"/>
      <c r="AM31" s="1413"/>
      <c r="AN31" s="1413"/>
      <c r="AO31" s="1413"/>
      <c r="AP31" s="1413"/>
      <c r="AQ31" s="1413"/>
      <c r="AR31" s="1413"/>
      <c r="AS31" s="1413"/>
      <c r="AT31" s="1413"/>
      <c r="AU31" s="20"/>
      <c r="AV31" s="20"/>
      <c r="AW31" s="20"/>
      <c r="AX31" s="20"/>
      <c r="AY31" s="20"/>
      <c r="AZ31" s="20"/>
      <c r="BD31" s="1247" t="s">
        <v>2526</v>
      </c>
      <c r="BE31" s="1249" t="str">
        <f>Application!D211</f>
        <v>Large Family</v>
      </c>
    </row>
    <row r="32" spans="1:58"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D32" s="1248" t="s">
        <v>2527</v>
      </c>
      <c r="BE32" s="1249">
        <f>IF(ISNUMBER(Application!W465),W465,0)</f>
        <v>0</v>
      </c>
    </row>
    <row r="33" spans="1:57" ht="12.95" customHeight="1">
      <c r="A33" s="519" t="s">
        <v>1278</v>
      </c>
      <c r="C33" s="519"/>
      <c r="D33" s="519"/>
      <c r="E33" s="519"/>
      <c r="F33" s="519"/>
      <c r="G33" s="519"/>
      <c r="H33" s="519"/>
      <c r="I33" s="519"/>
      <c r="J33" s="519"/>
      <c r="K33" s="519"/>
      <c r="L33" s="519"/>
      <c r="M33" s="519"/>
      <c r="N33" s="519"/>
      <c r="O33" s="1332" t="s">
        <v>545</v>
      </c>
      <c r="P33" s="1332"/>
      <c r="Q33" s="1414" t="s">
        <v>2149</v>
      </c>
      <c r="R33" s="1414"/>
      <c r="S33" s="1414"/>
      <c r="T33" s="1414"/>
      <c r="U33" s="1414"/>
      <c r="V33" s="1414"/>
      <c r="W33" s="1414"/>
      <c r="X33" s="1414"/>
      <c r="Y33" s="1414"/>
      <c r="Z33" s="1414"/>
      <c r="AA33" s="1414"/>
      <c r="AB33" s="1414"/>
      <c r="AC33" s="1414"/>
      <c r="AD33" s="1414"/>
      <c r="AE33" s="1414"/>
      <c r="AF33" s="1414"/>
      <c r="AG33" s="1414"/>
      <c r="AH33" s="1414"/>
      <c r="AI33" s="1414"/>
      <c r="AJ33" s="1414"/>
      <c r="AK33" s="1414"/>
      <c r="AL33" s="1414"/>
      <c r="AM33" s="1414"/>
      <c r="AN33" s="1414"/>
      <c r="AO33" s="1414"/>
      <c r="AP33" s="1414"/>
      <c r="AQ33" s="1414"/>
      <c r="AR33" s="1414"/>
      <c r="AS33" s="1414"/>
      <c r="AT33" s="1414"/>
      <c r="AU33" s="20"/>
      <c r="AV33" s="20"/>
      <c r="AW33" s="20"/>
      <c r="AX33" s="20"/>
      <c r="AY33" s="20"/>
      <c r="BD33" s="1247" t="s">
        <v>2594</v>
      </c>
      <c r="BE33" s="1249" t="str">
        <f>Application!D220</f>
        <v>Central Coast Region: Monterey, San Luis Obispo, Santa Barbara, Santa Cruz, and Ventura Counties</v>
      </c>
    </row>
    <row r="34" spans="1:57" ht="12.95" customHeight="1">
      <c r="A34" s="1413" t="s">
        <v>2150</v>
      </c>
      <c r="B34" s="1413"/>
      <c r="C34" s="1413"/>
      <c r="D34" s="1413"/>
      <c r="E34" s="1413"/>
      <c r="F34" s="1413"/>
      <c r="G34" s="1413"/>
      <c r="H34" s="1413"/>
      <c r="I34" s="1413"/>
      <c r="J34" s="1413"/>
      <c r="K34" s="1413"/>
      <c r="L34" s="1413"/>
      <c r="M34" s="1413"/>
      <c r="N34" s="1413"/>
      <c r="O34" s="1413"/>
      <c r="P34" s="1413"/>
      <c r="Q34" s="1413"/>
      <c r="R34" s="1413"/>
      <c r="S34" s="1413"/>
      <c r="T34" s="1413"/>
      <c r="U34" s="1413"/>
      <c r="V34" s="1413"/>
      <c r="W34" s="1413"/>
      <c r="X34" s="1413"/>
      <c r="Y34" s="1413"/>
      <c r="Z34" s="1413"/>
      <c r="AA34" s="1413"/>
      <c r="AB34" s="1413"/>
      <c r="AC34" s="1413"/>
      <c r="AD34" s="1413"/>
      <c r="AE34" s="1413"/>
      <c r="AF34" s="1413"/>
      <c r="AG34" s="1413"/>
      <c r="AH34" s="1413"/>
      <c r="AI34" s="1413"/>
      <c r="AJ34" s="1413"/>
      <c r="AK34" s="1413"/>
      <c r="AL34" s="1413"/>
      <c r="AM34" s="1413"/>
      <c r="AN34" s="1413"/>
      <c r="AO34" s="1413"/>
      <c r="AP34" s="1413"/>
      <c r="AQ34" s="1413"/>
      <c r="AR34" s="1413"/>
      <c r="AS34" s="1413"/>
      <c r="AT34" s="1413"/>
      <c r="AU34" s="20"/>
      <c r="AV34" s="20"/>
      <c r="AW34" s="20"/>
      <c r="AX34" s="20"/>
      <c r="AY34" s="20"/>
      <c r="AZ34" s="20"/>
      <c r="BD34" s="1248" t="s">
        <v>2528</v>
      </c>
      <c r="BE34" s="1249">
        <f>Application!I185</f>
        <v>0</v>
      </c>
    </row>
    <row r="35" spans="1:57" ht="12.95" customHeight="1">
      <c r="A35" s="1413"/>
      <c r="B35" s="1413"/>
      <c r="C35" s="1413"/>
      <c r="D35" s="1413"/>
      <c r="E35" s="1413"/>
      <c r="F35" s="1413"/>
      <c r="G35" s="1413"/>
      <c r="H35" s="1413"/>
      <c r="I35" s="1413"/>
      <c r="J35" s="1413"/>
      <c r="K35" s="1413"/>
      <c r="L35" s="1413"/>
      <c r="M35" s="1413"/>
      <c r="N35" s="1413"/>
      <c r="O35" s="1413"/>
      <c r="P35" s="1413"/>
      <c r="Q35" s="1413"/>
      <c r="R35" s="1413"/>
      <c r="S35" s="1413"/>
      <c r="T35" s="1413"/>
      <c r="U35" s="1413"/>
      <c r="V35" s="1413"/>
      <c r="W35" s="1413"/>
      <c r="X35" s="1413"/>
      <c r="Y35" s="1413"/>
      <c r="Z35" s="1413"/>
      <c r="AA35" s="1413"/>
      <c r="AB35" s="1413"/>
      <c r="AC35" s="1413"/>
      <c r="AD35" s="1413"/>
      <c r="AE35" s="1413"/>
      <c r="AF35" s="1413"/>
      <c r="AG35" s="1413"/>
      <c r="AH35" s="1413"/>
      <c r="AI35" s="1413"/>
      <c r="AJ35" s="1413"/>
      <c r="AK35" s="1413"/>
      <c r="AL35" s="1413"/>
      <c r="AM35" s="1413"/>
      <c r="AN35" s="1413"/>
      <c r="AO35" s="1413"/>
      <c r="AP35" s="1413"/>
      <c r="AQ35" s="1413"/>
      <c r="AR35" s="1413"/>
      <c r="AS35" s="1413"/>
      <c r="AT35" s="1413"/>
      <c r="AU35" s="20"/>
      <c r="AV35" s="20"/>
      <c r="AW35" s="20"/>
      <c r="AX35" s="20"/>
      <c r="AY35" s="20"/>
      <c r="AZ35" s="20"/>
      <c r="BD35" s="1247" t="s">
        <v>2529</v>
      </c>
      <c r="BE35" s="1249" t="str">
        <f>IF(Application!E187="","",Application!E187)</f>
        <v>Northeast of intersection of Victoria Ave and Olivas Park Dr</v>
      </c>
    </row>
    <row r="36" spans="1:57" ht="12.95" customHeight="1">
      <c r="A36" s="1413"/>
      <c r="B36" s="1413"/>
      <c r="C36" s="1413"/>
      <c r="D36" s="1413"/>
      <c r="E36" s="1413"/>
      <c r="F36" s="1413"/>
      <c r="G36" s="1413"/>
      <c r="H36" s="1413"/>
      <c r="I36" s="1413"/>
      <c r="J36" s="1413"/>
      <c r="K36" s="1413"/>
      <c r="L36" s="1413"/>
      <c r="M36" s="1413"/>
      <c r="N36" s="1413"/>
      <c r="O36" s="1413"/>
      <c r="P36" s="1413"/>
      <c r="Q36" s="1413"/>
      <c r="R36" s="1413"/>
      <c r="S36" s="1413"/>
      <c r="T36" s="1413"/>
      <c r="U36" s="1413"/>
      <c r="V36" s="1413"/>
      <c r="W36" s="1413"/>
      <c r="X36" s="1413"/>
      <c r="Y36" s="1413"/>
      <c r="Z36" s="1413"/>
      <c r="AA36" s="1413"/>
      <c r="AB36" s="1413"/>
      <c r="AC36" s="1413"/>
      <c r="AD36" s="1413"/>
      <c r="AE36" s="1413"/>
      <c r="AF36" s="1413"/>
      <c r="AG36" s="1413"/>
      <c r="AH36" s="1413"/>
      <c r="AI36" s="1413"/>
      <c r="AJ36" s="1413"/>
      <c r="AK36" s="1413"/>
      <c r="AL36" s="1413"/>
      <c r="AM36" s="1413"/>
      <c r="AN36" s="1413"/>
      <c r="AO36" s="1413"/>
      <c r="AP36" s="1413"/>
      <c r="AQ36" s="1413"/>
      <c r="AR36" s="1413"/>
      <c r="AS36" s="1413"/>
      <c r="AT36" s="1413"/>
      <c r="AU36" s="20"/>
      <c r="AV36" s="20"/>
      <c r="AW36" s="20"/>
      <c r="AX36" s="20"/>
      <c r="AY36" s="20"/>
      <c r="AZ36" s="20"/>
      <c r="BD36" s="1248" t="s">
        <v>2530</v>
      </c>
      <c r="BE36" s="1249" t="str">
        <f>Application!I189</f>
        <v>Ventura</v>
      </c>
    </row>
    <row r="37" spans="1:57" ht="12.95" customHeight="1">
      <c r="A37" s="1413"/>
      <c r="B37" s="1413"/>
      <c r="C37" s="1413"/>
      <c r="D37" s="1413"/>
      <c r="E37" s="1413"/>
      <c r="F37" s="1413"/>
      <c r="G37" s="1413"/>
      <c r="H37" s="1413"/>
      <c r="I37" s="1413"/>
      <c r="J37" s="1413"/>
      <c r="K37" s="1413"/>
      <c r="L37" s="1413"/>
      <c r="M37" s="1413"/>
      <c r="N37" s="1413"/>
      <c r="O37" s="1413"/>
      <c r="P37" s="1413"/>
      <c r="Q37" s="1413"/>
      <c r="R37" s="1413"/>
      <c r="S37" s="1413"/>
      <c r="T37" s="1413"/>
      <c r="U37" s="1413"/>
      <c r="V37" s="1413"/>
      <c r="W37" s="1413"/>
      <c r="X37" s="1413"/>
      <c r="Y37" s="1413"/>
      <c r="Z37" s="1413"/>
      <c r="AA37" s="1413"/>
      <c r="AB37" s="1413"/>
      <c r="AC37" s="1413"/>
      <c r="AD37" s="1413"/>
      <c r="AE37" s="1413"/>
      <c r="AF37" s="1413"/>
      <c r="AG37" s="1413"/>
      <c r="AH37" s="1413"/>
      <c r="AI37" s="1413"/>
      <c r="AJ37" s="1413"/>
      <c r="AK37" s="1413"/>
      <c r="AL37" s="1413"/>
      <c r="AM37" s="1413"/>
      <c r="AN37" s="1413"/>
      <c r="AO37" s="1413"/>
      <c r="AP37" s="1413"/>
      <c r="AQ37" s="1413"/>
      <c r="AR37" s="1413"/>
      <c r="AS37" s="1413"/>
      <c r="AT37" s="1413"/>
      <c r="AZ37" s="20"/>
      <c r="BD37" s="1247" t="s">
        <v>2531</v>
      </c>
      <c r="BE37" s="1249" t="str">
        <f>Application!T189</f>
        <v>Ventura</v>
      </c>
    </row>
    <row r="38" spans="1:57" ht="12.95" customHeight="1">
      <c r="A38" s="3"/>
      <c r="AZ38" s="20"/>
      <c r="BD38" s="1248" t="s">
        <v>2532</v>
      </c>
      <c r="BE38" s="1249">
        <f>Application!I190</f>
        <v>93003</v>
      </c>
    </row>
    <row r="39" spans="1:57" ht="12.95" customHeight="1">
      <c r="A39" s="1262" t="s">
        <v>2151</v>
      </c>
      <c r="B39" s="1262"/>
      <c r="C39" s="1262"/>
      <c r="D39" s="1262"/>
      <c r="E39" s="1262"/>
      <c r="F39" s="1262"/>
      <c r="G39" s="1262"/>
      <c r="H39" s="1262"/>
      <c r="I39" s="1262"/>
      <c r="J39" s="1262"/>
      <c r="K39" s="1262"/>
      <c r="L39" s="1262"/>
      <c r="M39" s="1262"/>
      <c r="N39" s="1262"/>
      <c r="O39" s="1262"/>
      <c r="P39" s="1262"/>
      <c r="Q39" s="1262"/>
      <c r="R39" s="1262"/>
      <c r="S39" s="1262"/>
      <c r="T39" s="1262"/>
      <c r="U39" s="1262"/>
      <c r="V39" s="1262"/>
      <c r="W39" s="1262"/>
      <c r="X39" s="1262"/>
      <c r="Y39" s="1262"/>
      <c r="Z39" s="1262"/>
      <c r="AA39" s="1262"/>
      <c r="AB39" s="1262"/>
      <c r="AC39" s="1262"/>
      <c r="AD39" s="1262"/>
      <c r="AE39" s="1262"/>
      <c r="AF39" s="1262"/>
      <c r="AG39" s="1262"/>
      <c r="AH39" s="1262"/>
      <c r="AI39" s="1262"/>
      <c r="AJ39" s="1262"/>
      <c r="AK39" s="1262"/>
      <c r="AL39" s="1262"/>
      <c r="AM39" s="1262"/>
      <c r="AN39" s="1262"/>
      <c r="AO39" s="1262"/>
      <c r="AP39" s="1262"/>
      <c r="AQ39" s="1262"/>
      <c r="AR39" s="1262"/>
      <c r="AS39" s="1262"/>
      <c r="AT39" s="1262"/>
      <c r="AZ39" s="20"/>
      <c r="BD39" s="1247" t="s">
        <v>2533</v>
      </c>
      <c r="BE39" s="1249">
        <f>Application!AG437</f>
        <v>104</v>
      </c>
    </row>
    <row r="40" spans="1:57" ht="12.95" customHeight="1">
      <c r="A40" s="1262"/>
      <c r="B40" s="1262"/>
      <c r="C40" s="1262"/>
      <c r="D40" s="1262"/>
      <c r="E40" s="1262"/>
      <c r="F40" s="1262"/>
      <c r="G40" s="1262"/>
      <c r="H40" s="1262"/>
      <c r="I40" s="1262"/>
      <c r="J40" s="1262"/>
      <c r="K40" s="1262"/>
      <c r="L40" s="1262"/>
      <c r="M40" s="1262"/>
      <c r="N40" s="1262"/>
      <c r="O40" s="1262"/>
      <c r="P40" s="1262"/>
      <c r="Q40" s="1262"/>
      <c r="R40" s="1262"/>
      <c r="S40" s="1262"/>
      <c r="T40" s="1262"/>
      <c r="U40" s="1262"/>
      <c r="V40" s="1262"/>
      <c r="W40" s="1262"/>
      <c r="X40" s="1262"/>
      <c r="Y40" s="1262"/>
      <c r="Z40" s="1262"/>
      <c r="AA40" s="1262"/>
      <c r="AB40" s="1262"/>
      <c r="AC40" s="1262"/>
      <c r="AD40" s="1262"/>
      <c r="AE40" s="1262"/>
      <c r="AF40" s="1262"/>
      <c r="AG40" s="1262"/>
      <c r="AH40" s="1262"/>
      <c r="AI40" s="1262"/>
      <c r="AJ40" s="1262"/>
      <c r="AK40" s="1262"/>
      <c r="AL40" s="1262"/>
      <c r="AM40" s="1262"/>
      <c r="AN40" s="1262"/>
      <c r="AO40" s="1262"/>
      <c r="AP40" s="1262"/>
      <c r="AQ40" s="1262"/>
      <c r="AR40" s="1262"/>
      <c r="AS40" s="1262"/>
      <c r="AT40" s="1262"/>
      <c r="AU40" s="20"/>
      <c r="AV40" s="20"/>
      <c r="AW40" s="20"/>
      <c r="AX40" s="20"/>
      <c r="AY40" s="20"/>
      <c r="AZ40" s="20"/>
      <c r="BD40" s="1248" t="s">
        <v>383</v>
      </c>
      <c r="BE40" s="1249">
        <f>Application!AG440</f>
        <v>103</v>
      </c>
    </row>
    <row r="41" spans="1:57" ht="12.95" customHeight="1">
      <c r="A41" s="1262"/>
      <c r="B41" s="1262"/>
      <c r="C41" s="1262"/>
      <c r="D41" s="1262"/>
      <c r="E41" s="1262"/>
      <c r="F41" s="1262"/>
      <c r="G41" s="1262"/>
      <c r="H41" s="1262"/>
      <c r="I41" s="1262"/>
      <c r="J41" s="1262"/>
      <c r="K41" s="1262"/>
      <c r="L41" s="1262"/>
      <c r="M41" s="1262"/>
      <c r="N41" s="1262"/>
      <c r="O41" s="1262"/>
      <c r="P41" s="1262"/>
      <c r="Q41" s="1262"/>
      <c r="R41" s="1262"/>
      <c r="S41" s="1262"/>
      <c r="T41" s="1262"/>
      <c r="U41" s="1262"/>
      <c r="V41" s="1262"/>
      <c r="W41" s="1262"/>
      <c r="X41" s="1262"/>
      <c r="Y41" s="1262"/>
      <c r="Z41" s="1262"/>
      <c r="AA41" s="1262"/>
      <c r="AB41" s="1262"/>
      <c r="AC41" s="1262"/>
      <c r="AD41" s="1262"/>
      <c r="AE41" s="1262"/>
      <c r="AF41" s="1262"/>
      <c r="AG41" s="1262"/>
      <c r="AH41" s="1262"/>
      <c r="AI41" s="1262"/>
      <c r="AJ41" s="1262"/>
      <c r="AK41" s="1262"/>
      <c r="AL41" s="1262"/>
      <c r="AM41" s="1262"/>
      <c r="AN41" s="1262"/>
      <c r="AO41" s="1262"/>
      <c r="AP41" s="1262"/>
      <c r="AQ41" s="1262"/>
      <c r="AR41" s="1262"/>
      <c r="AS41" s="1262"/>
      <c r="AT41" s="1262"/>
      <c r="AU41" s="20"/>
      <c r="AV41" s="20"/>
      <c r="AW41" s="20"/>
      <c r="AX41" s="20"/>
      <c r="AY41" s="20"/>
      <c r="AZ41" s="20"/>
      <c r="BD41" s="1247" t="s">
        <v>286</v>
      </c>
      <c r="BE41" s="1249">
        <f>Application!AG438</f>
        <v>0</v>
      </c>
    </row>
    <row r="42" spans="1:57" ht="12.95" customHeight="1">
      <c r="A42" s="1262"/>
      <c r="B42" s="1262"/>
      <c r="C42" s="1262"/>
      <c r="D42" s="1262"/>
      <c r="E42" s="1262"/>
      <c r="F42" s="1262"/>
      <c r="G42" s="1262"/>
      <c r="H42" s="1262"/>
      <c r="I42" s="1262"/>
      <c r="J42" s="1262"/>
      <c r="K42" s="1262"/>
      <c r="L42" s="1262"/>
      <c r="M42" s="1262"/>
      <c r="N42" s="1262"/>
      <c r="O42" s="1262"/>
      <c r="P42" s="1262"/>
      <c r="Q42" s="1262"/>
      <c r="R42" s="1262"/>
      <c r="S42" s="1262"/>
      <c r="T42" s="1262"/>
      <c r="U42" s="1262"/>
      <c r="V42" s="1262"/>
      <c r="W42" s="1262"/>
      <c r="X42" s="1262"/>
      <c r="Y42" s="1262"/>
      <c r="Z42" s="1262"/>
      <c r="AA42" s="1262"/>
      <c r="AB42" s="1262"/>
      <c r="AC42" s="1262"/>
      <c r="AD42" s="1262"/>
      <c r="AE42" s="1262"/>
      <c r="AF42" s="1262"/>
      <c r="AG42" s="1262"/>
      <c r="AH42" s="1262"/>
      <c r="AI42" s="1262"/>
      <c r="AJ42" s="1262"/>
      <c r="AK42" s="1262"/>
      <c r="AL42" s="1262"/>
      <c r="AM42" s="1262"/>
      <c r="AN42" s="1262"/>
      <c r="AO42" s="1262"/>
      <c r="AP42" s="1262"/>
      <c r="AQ42" s="1262"/>
      <c r="AR42" s="1262"/>
      <c r="AS42" s="1262"/>
      <c r="AT42" s="1262"/>
      <c r="AZ42" s="20"/>
      <c r="BD42" s="1248" t="s">
        <v>2534</v>
      </c>
      <c r="BE42" s="1251">
        <f>Application!AC753</f>
        <v>0.58349514563106797</v>
      </c>
    </row>
    <row r="43" spans="1:57" ht="12.95" customHeight="1">
      <c r="A43" s="1262"/>
      <c r="B43" s="1262"/>
      <c r="C43" s="1262"/>
      <c r="D43" s="1262"/>
      <c r="E43" s="1262"/>
      <c r="F43" s="1262"/>
      <c r="G43" s="1262"/>
      <c r="H43" s="1262"/>
      <c r="I43" s="1262"/>
      <c r="J43" s="1262"/>
      <c r="K43" s="1262"/>
      <c r="L43" s="1262"/>
      <c r="M43" s="1262"/>
      <c r="N43" s="1262"/>
      <c r="O43" s="1262"/>
      <c r="P43" s="1262"/>
      <c r="Q43" s="1262"/>
      <c r="R43" s="1262"/>
      <c r="S43" s="1262"/>
      <c r="T43" s="1262"/>
      <c r="U43" s="1262"/>
      <c r="V43" s="1262"/>
      <c r="W43" s="1262"/>
      <c r="X43" s="1262"/>
      <c r="Y43" s="1262"/>
      <c r="Z43" s="1262"/>
      <c r="AA43" s="1262"/>
      <c r="AB43" s="1262"/>
      <c r="AC43" s="1262"/>
      <c r="AD43" s="1262"/>
      <c r="AE43" s="1262"/>
      <c r="AF43" s="1262"/>
      <c r="AG43" s="1262"/>
      <c r="AH43" s="1262"/>
      <c r="AI43" s="1262"/>
      <c r="AJ43" s="1262"/>
      <c r="AK43" s="1262"/>
      <c r="AL43" s="1262"/>
      <c r="AM43" s="1262"/>
      <c r="AN43" s="1262"/>
      <c r="AO43" s="1262"/>
      <c r="AP43" s="1262"/>
      <c r="AQ43" s="1262"/>
      <c r="AR43" s="1262"/>
      <c r="AS43" s="1262"/>
      <c r="AT43" s="1262"/>
      <c r="AU43" s="20"/>
      <c r="AV43" s="20"/>
      <c r="AW43" s="20"/>
      <c r="AX43" s="20"/>
      <c r="AY43" s="20"/>
      <c r="AZ43" s="20"/>
      <c r="BD43" s="1247" t="s">
        <v>2535</v>
      </c>
      <c r="BE43" s="1251">
        <f>Application!AH753</f>
        <v>0.5484799239856023</v>
      </c>
    </row>
    <row r="44" spans="1:57" ht="12.95" customHeight="1">
      <c r="A44" s="1262"/>
      <c r="B44" s="1262"/>
      <c r="C44" s="1262"/>
      <c r="D44" s="1262"/>
      <c r="E44" s="1262"/>
      <c r="F44" s="1262"/>
      <c r="G44" s="1262"/>
      <c r="H44" s="1262"/>
      <c r="I44" s="1262"/>
      <c r="J44" s="1262"/>
      <c r="K44" s="1262"/>
      <c r="L44" s="1262"/>
      <c r="M44" s="1262"/>
      <c r="N44" s="1262"/>
      <c r="O44" s="1262"/>
      <c r="P44" s="1262"/>
      <c r="Q44" s="1262"/>
      <c r="R44" s="1262"/>
      <c r="S44" s="1262"/>
      <c r="T44" s="1262"/>
      <c r="U44" s="1262"/>
      <c r="V44" s="1262"/>
      <c r="W44" s="1262"/>
      <c r="X44" s="1262"/>
      <c r="Y44" s="1262"/>
      <c r="Z44" s="1262"/>
      <c r="AA44" s="1262"/>
      <c r="AB44" s="1262"/>
      <c r="AC44" s="1262"/>
      <c r="AD44" s="1262"/>
      <c r="AE44" s="1262"/>
      <c r="AF44" s="1262"/>
      <c r="AG44" s="1262"/>
      <c r="AH44" s="1262"/>
      <c r="AI44" s="1262"/>
      <c r="AJ44" s="1262"/>
      <c r="AK44" s="1262"/>
      <c r="AL44" s="1262"/>
      <c r="AM44" s="1262"/>
      <c r="AN44" s="1262"/>
      <c r="AO44" s="1262"/>
      <c r="AP44" s="1262"/>
      <c r="AQ44" s="1262"/>
      <c r="AR44" s="1262"/>
      <c r="AS44" s="1262"/>
      <c r="AT44" s="1262"/>
      <c r="AU44" s="20"/>
      <c r="AV44" s="20"/>
      <c r="AW44" s="20"/>
      <c r="AX44" s="20"/>
      <c r="AY44" s="20"/>
      <c r="AZ44" s="20"/>
      <c r="BD44" s="1248" t="s">
        <v>2536</v>
      </c>
      <c r="BE44" s="1249">
        <f>Application!AC454</f>
        <v>486587.59615384613</v>
      </c>
    </row>
    <row r="45" spans="1:57" ht="12.95" customHeight="1">
      <c r="A45" s="519"/>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BD45" s="1247" t="s">
        <v>2537</v>
      </c>
      <c r="BE45" s="1249">
        <f>Application!AE424</f>
        <v>1</v>
      </c>
    </row>
    <row r="46" spans="1:57" ht="12.95" customHeight="1">
      <c r="A46" s="1292" t="s">
        <v>2152</v>
      </c>
      <c r="B46" s="1292"/>
      <c r="C46" s="1292"/>
      <c r="D46" s="1292"/>
      <c r="E46" s="1292"/>
      <c r="F46" s="1292"/>
      <c r="G46" s="1292"/>
      <c r="H46" s="1292"/>
      <c r="I46" s="1292"/>
      <c r="J46" s="1292"/>
      <c r="K46" s="1292"/>
      <c r="L46" s="1292"/>
      <c r="M46" s="1292"/>
      <c r="N46" s="1292"/>
      <c r="O46" s="1292"/>
      <c r="P46" s="1292"/>
      <c r="Q46" s="1292"/>
      <c r="R46" s="1292"/>
      <c r="S46" s="1292"/>
      <c r="T46" s="1292"/>
      <c r="U46" s="1292"/>
      <c r="V46" s="1292"/>
      <c r="W46" s="1292"/>
      <c r="X46" s="1292"/>
      <c r="Y46" s="1292"/>
      <c r="Z46" s="1292"/>
      <c r="AA46" s="1292"/>
      <c r="AB46" s="1292"/>
      <c r="AC46" s="1292"/>
      <c r="AD46" s="1292"/>
      <c r="AE46" s="1292"/>
      <c r="AF46" s="1292"/>
      <c r="AG46" s="1292"/>
      <c r="AH46" s="1292"/>
      <c r="AI46" s="1292"/>
      <c r="AJ46" s="1292"/>
      <c r="AK46" s="1292"/>
      <c r="AL46" s="1292"/>
      <c r="AM46" s="1292"/>
      <c r="AN46" s="1292"/>
      <c r="AO46" s="1292"/>
      <c r="AP46" s="1292"/>
      <c r="AQ46" s="1292"/>
      <c r="AR46" s="1292"/>
      <c r="AS46" s="1292"/>
      <c r="AT46" s="1292"/>
      <c r="AU46" s="20"/>
      <c r="AV46" s="20"/>
      <c r="AW46" s="20"/>
      <c r="AX46" s="20"/>
      <c r="AY46" s="20"/>
      <c r="AZ46" s="20"/>
      <c r="BD46" s="1248" t="s">
        <v>2538</v>
      </c>
      <c r="BE46" s="1249" t="b">
        <f>Application!T195="Yes"</f>
        <v>1</v>
      </c>
    </row>
    <row r="47" spans="1:57" ht="12.95" customHeight="1">
      <c r="A47" s="1292"/>
      <c r="B47" s="1292"/>
      <c r="C47" s="1292"/>
      <c r="D47" s="1292"/>
      <c r="E47" s="1292"/>
      <c r="F47" s="1292"/>
      <c r="G47" s="1292"/>
      <c r="H47" s="1292"/>
      <c r="I47" s="1292"/>
      <c r="J47" s="1292"/>
      <c r="K47" s="1292"/>
      <c r="L47" s="1292"/>
      <c r="M47" s="1292"/>
      <c r="N47" s="1292"/>
      <c r="O47" s="1292"/>
      <c r="P47" s="1292"/>
      <c r="Q47" s="1292"/>
      <c r="R47" s="1292"/>
      <c r="S47" s="1292"/>
      <c r="T47" s="1292"/>
      <c r="U47" s="1292"/>
      <c r="V47" s="1292"/>
      <c r="W47" s="1292"/>
      <c r="X47" s="1292"/>
      <c r="Y47" s="1292"/>
      <c r="Z47" s="1292"/>
      <c r="AA47" s="1292"/>
      <c r="AB47" s="1292"/>
      <c r="AC47" s="1292"/>
      <c r="AD47" s="1292"/>
      <c r="AE47" s="1292"/>
      <c r="AF47" s="1292"/>
      <c r="AG47" s="1292"/>
      <c r="AH47" s="1292"/>
      <c r="AI47" s="1292"/>
      <c r="AJ47" s="1292"/>
      <c r="AK47" s="1292"/>
      <c r="AL47" s="1292"/>
      <c r="AM47" s="1292"/>
      <c r="AN47" s="1292"/>
      <c r="AO47" s="1292"/>
      <c r="AP47" s="1292"/>
      <c r="AQ47" s="1292"/>
      <c r="AR47" s="1292"/>
      <c r="AS47" s="1292"/>
      <c r="AT47" s="1292"/>
      <c r="AU47" s="20"/>
      <c r="AV47" s="20"/>
      <c r="AW47" s="20"/>
      <c r="AX47" s="20"/>
      <c r="AY47" s="20"/>
      <c r="AZ47" s="20"/>
      <c r="BD47" s="1247" t="s">
        <v>2539</v>
      </c>
      <c r="BE47" s="1249" t="b">
        <f>Application!T196="Yes"</f>
        <v>0</v>
      </c>
    </row>
    <row r="48" spans="1:57" ht="12.95" customHeight="1">
      <c r="A48" s="1292"/>
      <c r="B48" s="1292"/>
      <c r="C48" s="1292"/>
      <c r="D48" s="1292"/>
      <c r="E48" s="1292"/>
      <c r="F48" s="1292"/>
      <c r="G48" s="1292"/>
      <c r="H48" s="1292"/>
      <c r="I48" s="1292"/>
      <c r="J48" s="1292"/>
      <c r="K48" s="1292"/>
      <c r="L48" s="1292"/>
      <c r="M48" s="1292"/>
      <c r="N48" s="1292"/>
      <c r="O48" s="1292"/>
      <c r="P48" s="1292"/>
      <c r="Q48" s="1292"/>
      <c r="R48" s="1292"/>
      <c r="S48" s="1292"/>
      <c r="T48" s="1292"/>
      <c r="U48" s="1292"/>
      <c r="V48" s="1292"/>
      <c r="W48" s="1292"/>
      <c r="X48" s="1292"/>
      <c r="Y48" s="1292"/>
      <c r="Z48" s="1292"/>
      <c r="AA48" s="1292"/>
      <c r="AB48" s="1292"/>
      <c r="AC48" s="1292"/>
      <c r="AD48" s="1292"/>
      <c r="AE48" s="1292"/>
      <c r="AF48" s="1292"/>
      <c r="AG48" s="1292"/>
      <c r="AH48" s="1292"/>
      <c r="AI48" s="1292"/>
      <c r="AJ48" s="1292"/>
      <c r="AK48" s="1292"/>
      <c r="AL48" s="1292"/>
      <c r="AM48" s="1292"/>
      <c r="AN48" s="1292"/>
      <c r="AO48" s="1292"/>
      <c r="AP48" s="1292"/>
      <c r="AQ48" s="1292"/>
      <c r="AR48" s="1292"/>
      <c r="AS48" s="1292"/>
      <c r="AT48" s="1292"/>
      <c r="AU48" s="20"/>
      <c r="AV48" s="20"/>
      <c r="AW48" s="20"/>
      <c r="AX48" s="20"/>
      <c r="AY48" s="20"/>
      <c r="AZ48" s="20"/>
      <c r="BD48" s="1248" t="s">
        <v>2540</v>
      </c>
      <c r="BE48" s="1249" t="str">
        <f>Application!M243</f>
        <v>AHA Ventura II MGP, LLC</v>
      </c>
    </row>
    <row r="49" spans="1:57" ht="12.95" customHeight="1">
      <c r="A49" s="1292"/>
      <c r="B49" s="1292"/>
      <c r="C49" s="1292"/>
      <c r="D49" s="1292"/>
      <c r="E49" s="1292"/>
      <c r="F49" s="1292"/>
      <c r="G49" s="1292"/>
      <c r="H49" s="1292"/>
      <c r="I49" s="1292"/>
      <c r="J49" s="1292"/>
      <c r="K49" s="1292"/>
      <c r="L49" s="1292"/>
      <c r="M49" s="1292"/>
      <c r="N49" s="1292"/>
      <c r="O49" s="1292"/>
      <c r="P49" s="1292"/>
      <c r="Q49" s="1292"/>
      <c r="R49" s="1292"/>
      <c r="S49" s="1292"/>
      <c r="T49" s="1292"/>
      <c r="U49" s="1292"/>
      <c r="V49" s="1292"/>
      <c r="W49" s="1292"/>
      <c r="X49" s="1292"/>
      <c r="Y49" s="1292"/>
      <c r="Z49" s="1292"/>
      <c r="AA49" s="1292"/>
      <c r="AB49" s="1292"/>
      <c r="AC49" s="1292"/>
      <c r="AD49" s="1292"/>
      <c r="AE49" s="1292"/>
      <c r="AF49" s="1292"/>
      <c r="AG49" s="1292"/>
      <c r="AH49" s="1292"/>
      <c r="AI49" s="1292"/>
      <c r="AJ49" s="1292"/>
      <c r="AK49" s="1292"/>
      <c r="AL49" s="1292"/>
      <c r="AM49" s="1292"/>
      <c r="AN49" s="1292"/>
      <c r="AO49" s="1292"/>
      <c r="AP49" s="1292"/>
      <c r="AQ49" s="1292"/>
      <c r="AR49" s="1292"/>
      <c r="AS49" s="1292"/>
      <c r="AT49" s="1292"/>
      <c r="AU49" s="20"/>
      <c r="AV49" s="20"/>
      <c r="AW49" s="20"/>
      <c r="AX49" s="20"/>
      <c r="AY49" s="20"/>
      <c r="AZ49" s="20"/>
      <c r="BD49" s="1247" t="s">
        <v>2541</v>
      </c>
      <c r="BE49" s="1249" t="str">
        <f>Application!M246</f>
        <v>Shawn Boyd</v>
      </c>
    </row>
    <row r="50" spans="1:57" ht="12.95" customHeight="1">
      <c r="A50" s="455"/>
      <c r="B50" s="455"/>
      <c r="C50" s="455"/>
      <c r="D50" s="455"/>
      <c r="E50" s="455"/>
      <c r="F50" s="455"/>
      <c r="G50" s="455"/>
      <c r="H50" s="455"/>
      <c r="I50" s="455"/>
      <c r="J50" s="455"/>
      <c r="K50" s="455"/>
      <c r="L50" s="455"/>
      <c r="M50" s="455"/>
      <c r="N50" s="455"/>
      <c r="O50" s="455"/>
      <c r="P50" s="455"/>
      <c r="Q50" s="455"/>
      <c r="R50" s="455"/>
      <c r="S50" s="455"/>
      <c r="T50" s="455"/>
      <c r="U50" s="455"/>
      <c r="V50" s="455"/>
      <c r="W50" s="455"/>
      <c r="X50" s="455"/>
      <c r="Y50" s="455"/>
      <c r="Z50" s="455"/>
      <c r="AA50" s="455"/>
      <c r="AB50" s="455"/>
      <c r="AC50" s="455"/>
      <c r="AD50" s="455"/>
      <c r="AE50" s="455"/>
      <c r="AF50" s="455"/>
      <c r="AG50" s="455"/>
      <c r="AH50" s="455"/>
      <c r="AI50" s="455"/>
      <c r="AJ50" s="455"/>
      <c r="AK50" s="455"/>
      <c r="AL50" s="455"/>
      <c r="AM50" s="455"/>
      <c r="AN50" s="455"/>
      <c r="AO50" s="455"/>
      <c r="AP50" s="455"/>
      <c r="AQ50" s="455"/>
      <c r="AR50" s="455"/>
      <c r="AS50" s="455"/>
      <c r="AT50" s="455"/>
      <c r="AU50" s="20"/>
      <c r="AV50" s="20"/>
      <c r="AW50" s="20"/>
      <c r="AX50" s="20"/>
      <c r="AY50" s="20"/>
      <c r="AZ50" s="20"/>
      <c r="BD50" s="1248" t="s">
        <v>2542</v>
      </c>
      <c r="BE50" s="1249" t="str">
        <f>Application!AA249</f>
        <v>Affordable Housing Access, Inc.</v>
      </c>
    </row>
    <row r="51" spans="1:57" ht="12.95" customHeight="1">
      <c r="A51" s="1262" t="s">
        <v>2153</v>
      </c>
      <c r="B51" s="1262"/>
      <c r="C51" s="1262"/>
      <c r="D51" s="1262"/>
      <c r="E51" s="1262"/>
      <c r="F51" s="1262"/>
      <c r="G51" s="1262"/>
      <c r="H51" s="1262"/>
      <c r="I51" s="1262"/>
      <c r="J51" s="1262"/>
      <c r="K51" s="1262"/>
      <c r="L51" s="1262"/>
      <c r="M51" s="1262"/>
      <c r="N51" s="1262"/>
      <c r="O51" s="1262"/>
      <c r="P51" s="1262"/>
      <c r="Q51" s="1262"/>
      <c r="R51" s="1262"/>
      <c r="S51" s="1262"/>
      <c r="T51" s="1262"/>
      <c r="U51" s="1262"/>
      <c r="V51" s="1262"/>
      <c r="W51" s="1262"/>
      <c r="X51" s="1262"/>
      <c r="Y51" s="1262"/>
      <c r="Z51" s="1262"/>
      <c r="AA51" s="1262"/>
      <c r="AB51" s="1262"/>
      <c r="AC51" s="1262"/>
      <c r="AD51" s="1262"/>
      <c r="AE51" s="1262"/>
      <c r="AF51" s="1262"/>
      <c r="AG51" s="1262"/>
      <c r="AH51" s="1262"/>
      <c r="AI51" s="1262"/>
      <c r="AJ51" s="1262"/>
      <c r="AK51" s="1262"/>
      <c r="AL51" s="1262"/>
      <c r="AM51" s="1262"/>
      <c r="AN51" s="1262"/>
      <c r="AO51" s="1262"/>
      <c r="AP51" s="1262"/>
      <c r="AQ51" s="1262"/>
      <c r="AR51" s="1262"/>
      <c r="AS51" s="1262"/>
      <c r="AT51" s="1262"/>
      <c r="AU51" s="20"/>
      <c r="AV51" s="20"/>
      <c r="AW51" s="20"/>
      <c r="AX51" s="20"/>
      <c r="AY51" s="20"/>
      <c r="AZ51" s="20"/>
      <c r="BD51" s="1247" t="s">
        <v>2543</v>
      </c>
      <c r="BE51" s="1249" t="str">
        <f>Application!M251</f>
        <v>Olivas Partners AGP, LLC</v>
      </c>
    </row>
    <row r="52" spans="1:57" ht="12.95" customHeight="1">
      <c r="A52" s="1262"/>
      <c r="B52" s="1262"/>
      <c r="C52" s="1262"/>
      <c r="D52" s="1262"/>
      <c r="E52" s="1262"/>
      <c r="F52" s="1262"/>
      <c r="G52" s="1262"/>
      <c r="H52" s="1262"/>
      <c r="I52" s="1262"/>
      <c r="J52" s="1262"/>
      <c r="K52" s="1262"/>
      <c r="L52" s="1262"/>
      <c r="M52" s="1262"/>
      <c r="N52" s="1262"/>
      <c r="O52" s="1262"/>
      <c r="P52" s="1262"/>
      <c r="Q52" s="1262"/>
      <c r="R52" s="1262"/>
      <c r="S52" s="1262"/>
      <c r="T52" s="1262"/>
      <c r="U52" s="1262"/>
      <c r="V52" s="1262"/>
      <c r="W52" s="1262"/>
      <c r="X52" s="1262"/>
      <c r="Y52" s="1262"/>
      <c r="Z52" s="1262"/>
      <c r="AA52" s="1262"/>
      <c r="AB52" s="1262"/>
      <c r="AC52" s="1262"/>
      <c r="AD52" s="1262"/>
      <c r="AE52" s="1262"/>
      <c r="AF52" s="1262"/>
      <c r="AG52" s="1262"/>
      <c r="AH52" s="1262"/>
      <c r="AI52" s="1262"/>
      <c r="AJ52" s="1262"/>
      <c r="AK52" s="1262"/>
      <c r="AL52" s="1262"/>
      <c r="AM52" s="1262"/>
      <c r="AN52" s="1262"/>
      <c r="AO52" s="1262"/>
      <c r="AP52" s="1262"/>
      <c r="AQ52" s="1262"/>
      <c r="AR52" s="1262"/>
      <c r="AS52" s="1262"/>
      <c r="AT52" s="1262"/>
      <c r="AU52" s="20"/>
      <c r="AV52" s="20"/>
      <c r="AW52" s="20"/>
      <c r="AX52" s="20"/>
      <c r="AY52" s="20"/>
      <c r="AZ52" s="20"/>
      <c r="BD52" s="1248" t="s">
        <v>2544</v>
      </c>
      <c r="BE52" s="1249" t="str">
        <f>Application!M254</f>
        <v>Ron Wu</v>
      </c>
    </row>
    <row r="53" spans="1:57"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D53" s="1247" t="s">
        <v>2545</v>
      </c>
      <c r="BE53" s="1249" t="str">
        <f>Application!AA257</f>
        <v>FLT Equity,LLC</v>
      </c>
    </row>
    <row r="54" spans="1:57" ht="12.95" customHeight="1">
      <c r="A54" s="1262" t="s">
        <v>2154</v>
      </c>
      <c r="B54" s="1262"/>
      <c r="C54" s="1262"/>
      <c r="D54" s="1262"/>
      <c r="E54" s="1262"/>
      <c r="F54" s="1262"/>
      <c r="G54" s="1262"/>
      <c r="H54" s="1262"/>
      <c r="I54" s="1262"/>
      <c r="J54" s="1262"/>
      <c r="K54" s="1262"/>
      <c r="L54" s="1262"/>
      <c r="M54" s="1262"/>
      <c r="N54" s="1262"/>
      <c r="O54" s="1262"/>
      <c r="P54" s="1262"/>
      <c r="Q54" s="1262"/>
      <c r="R54" s="1262"/>
      <c r="S54" s="1262"/>
      <c r="T54" s="1262"/>
      <c r="U54" s="1262"/>
      <c r="V54" s="1262"/>
      <c r="W54" s="1262"/>
      <c r="X54" s="1262"/>
      <c r="Y54" s="1262"/>
      <c r="Z54" s="1262"/>
      <c r="AA54" s="1262"/>
      <c r="AB54" s="1262"/>
      <c r="AC54" s="1262"/>
      <c r="AD54" s="1262"/>
      <c r="AE54" s="1262"/>
      <c r="AF54" s="1262"/>
      <c r="AG54" s="1262"/>
      <c r="AH54" s="1262"/>
      <c r="AI54" s="1262"/>
      <c r="AJ54" s="1262"/>
      <c r="AK54" s="1262"/>
      <c r="AL54" s="1262"/>
      <c r="AM54" s="1262"/>
      <c r="AN54" s="1262"/>
      <c r="AO54" s="1262"/>
      <c r="AP54" s="1262"/>
      <c r="AQ54" s="1262"/>
      <c r="AR54" s="1262"/>
      <c r="AS54" s="1262"/>
      <c r="AT54" s="1262"/>
      <c r="AU54" s="20"/>
      <c r="AV54" s="20"/>
      <c r="AW54" s="20"/>
      <c r="AX54" s="20"/>
      <c r="AY54" s="20"/>
      <c r="AZ54" s="21"/>
      <c r="BD54" s="1248" t="s">
        <v>2546</v>
      </c>
      <c r="BE54" s="1249" t="str">
        <f>Application!M259</f>
        <v>N/A</v>
      </c>
    </row>
    <row r="55" spans="1:57" ht="12.95" customHeight="1">
      <c r="A55" s="1262"/>
      <c r="B55" s="1262"/>
      <c r="C55" s="1262"/>
      <c r="D55" s="1262"/>
      <c r="E55" s="1262"/>
      <c r="F55" s="1262"/>
      <c r="G55" s="1262"/>
      <c r="H55" s="1262"/>
      <c r="I55" s="1262"/>
      <c r="J55" s="1262"/>
      <c r="K55" s="1262"/>
      <c r="L55" s="1262"/>
      <c r="M55" s="1262"/>
      <c r="N55" s="1262"/>
      <c r="O55" s="1262"/>
      <c r="P55" s="1262"/>
      <c r="Q55" s="1262"/>
      <c r="R55" s="1262"/>
      <c r="S55" s="1262"/>
      <c r="T55" s="1262"/>
      <c r="U55" s="1262"/>
      <c r="V55" s="1262"/>
      <c r="W55" s="1262"/>
      <c r="X55" s="1262"/>
      <c r="Y55" s="1262"/>
      <c r="Z55" s="1262"/>
      <c r="AA55" s="1262"/>
      <c r="AB55" s="1262"/>
      <c r="AC55" s="1262"/>
      <c r="AD55" s="1262"/>
      <c r="AE55" s="1262"/>
      <c r="AF55" s="1262"/>
      <c r="AG55" s="1262"/>
      <c r="AH55" s="1262"/>
      <c r="AI55" s="1262"/>
      <c r="AJ55" s="1262"/>
      <c r="AK55" s="1262"/>
      <c r="AL55" s="1262"/>
      <c r="AM55" s="1262"/>
      <c r="AN55" s="1262"/>
      <c r="AO55" s="1262"/>
      <c r="AP55" s="1262"/>
      <c r="AQ55" s="1262"/>
      <c r="AR55" s="1262"/>
      <c r="AS55" s="1262"/>
      <c r="AT55" s="1262"/>
      <c r="AZ55" s="21"/>
      <c r="BD55" s="1247" t="s">
        <v>2547</v>
      </c>
      <c r="BE55" s="1249" t="str">
        <f>Application!M262</f>
        <v>N/A</v>
      </c>
    </row>
    <row r="56" spans="1:57" ht="12.95" customHeight="1">
      <c r="A56" s="1262"/>
      <c r="B56" s="1262"/>
      <c r="C56" s="1262"/>
      <c r="D56" s="1262"/>
      <c r="E56" s="1262"/>
      <c r="F56" s="1262"/>
      <c r="G56" s="1262"/>
      <c r="H56" s="1262"/>
      <c r="I56" s="1262"/>
      <c r="J56" s="1262"/>
      <c r="K56" s="1262"/>
      <c r="L56" s="1262"/>
      <c r="M56" s="1262"/>
      <c r="N56" s="1262"/>
      <c r="O56" s="1262"/>
      <c r="P56" s="1262"/>
      <c r="Q56" s="1262"/>
      <c r="R56" s="1262"/>
      <c r="S56" s="1262"/>
      <c r="T56" s="1262"/>
      <c r="U56" s="1262"/>
      <c r="V56" s="1262"/>
      <c r="W56" s="1262"/>
      <c r="X56" s="1262"/>
      <c r="Y56" s="1262"/>
      <c r="Z56" s="1262"/>
      <c r="AA56" s="1262"/>
      <c r="AB56" s="1262"/>
      <c r="AC56" s="1262"/>
      <c r="AD56" s="1262"/>
      <c r="AE56" s="1262"/>
      <c r="AF56" s="1262"/>
      <c r="AG56" s="1262"/>
      <c r="AH56" s="1262"/>
      <c r="AI56" s="1262"/>
      <c r="AJ56" s="1262"/>
      <c r="AK56" s="1262"/>
      <c r="AL56" s="1262"/>
      <c r="AM56" s="1262"/>
      <c r="AN56" s="1262"/>
      <c r="AO56" s="1262"/>
      <c r="AP56" s="1262"/>
      <c r="AQ56" s="1262"/>
      <c r="AR56" s="1262"/>
      <c r="AS56" s="1262"/>
      <c r="AT56" s="1262"/>
      <c r="BD56" s="1248" t="s">
        <v>2548</v>
      </c>
      <c r="BE56" s="1249">
        <f>Application!AA265</f>
        <v>0</v>
      </c>
    </row>
    <row r="57" spans="1:57" ht="12.95" customHeight="1">
      <c r="A57" s="1262"/>
      <c r="B57" s="1262"/>
      <c r="C57" s="1262"/>
      <c r="D57" s="1262"/>
      <c r="E57" s="1262"/>
      <c r="F57" s="1262"/>
      <c r="G57" s="1262"/>
      <c r="H57" s="1262"/>
      <c r="I57" s="1262"/>
      <c r="J57" s="1262"/>
      <c r="K57" s="1262"/>
      <c r="L57" s="1262"/>
      <c r="M57" s="1262"/>
      <c r="N57" s="1262"/>
      <c r="O57" s="1262"/>
      <c r="P57" s="1262"/>
      <c r="Q57" s="1262"/>
      <c r="R57" s="1262"/>
      <c r="S57" s="1262"/>
      <c r="T57" s="1262"/>
      <c r="U57" s="1262"/>
      <c r="V57" s="1262"/>
      <c r="W57" s="1262"/>
      <c r="X57" s="1262"/>
      <c r="Y57" s="1262"/>
      <c r="Z57" s="1262"/>
      <c r="AA57" s="1262"/>
      <c r="AB57" s="1262"/>
      <c r="AC57" s="1262"/>
      <c r="AD57" s="1262"/>
      <c r="AE57" s="1262"/>
      <c r="AF57" s="1262"/>
      <c r="AG57" s="1262"/>
      <c r="AH57" s="1262"/>
      <c r="AI57" s="1262"/>
      <c r="AJ57" s="1262"/>
      <c r="AK57" s="1262"/>
      <c r="AL57" s="1262"/>
      <c r="AM57" s="1262"/>
      <c r="AN57" s="1262"/>
      <c r="AO57" s="1262"/>
      <c r="AP57" s="1262"/>
      <c r="AQ57" s="1262"/>
      <c r="AR57" s="1262"/>
      <c r="AS57" s="1262"/>
      <c r="AT57" s="1262"/>
      <c r="BD57" s="1247" t="s">
        <v>2549</v>
      </c>
      <c r="BE57" s="1249" t="str">
        <f>Application!H287</f>
        <v>Red Tail Multifamily Land Development, LLC</v>
      </c>
    </row>
    <row r="58" spans="1:57" ht="12.95" customHeight="1">
      <c r="A58" s="1262"/>
      <c r="B58" s="1262"/>
      <c r="C58" s="1262"/>
      <c r="D58" s="1262"/>
      <c r="E58" s="1262"/>
      <c r="F58" s="1262"/>
      <c r="G58" s="1262"/>
      <c r="H58" s="1262"/>
      <c r="I58" s="1262"/>
      <c r="J58" s="1262"/>
      <c r="K58" s="1262"/>
      <c r="L58" s="1262"/>
      <c r="M58" s="1262"/>
      <c r="N58" s="1262"/>
      <c r="O58" s="1262"/>
      <c r="P58" s="1262"/>
      <c r="Q58" s="1262"/>
      <c r="R58" s="1262"/>
      <c r="S58" s="1262"/>
      <c r="T58" s="1262"/>
      <c r="U58" s="1262"/>
      <c r="V58" s="1262"/>
      <c r="W58" s="1262"/>
      <c r="X58" s="1262"/>
      <c r="Y58" s="1262"/>
      <c r="Z58" s="1262"/>
      <c r="AA58" s="1262"/>
      <c r="AB58" s="1262"/>
      <c r="AC58" s="1262"/>
      <c r="AD58" s="1262"/>
      <c r="AE58" s="1262"/>
      <c r="AF58" s="1262"/>
      <c r="AG58" s="1262"/>
      <c r="AH58" s="1262"/>
      <c r="AI58" s="1262"/>
      <c r="AJ58" s="1262"/>
      <c r="AK58" s="1262"/>
      <c r="AL58" s="1262"/>
      <c r="AM58" s="1262"/>
      <c r="AN58" s="1262"/>
      <c r="AO58" s="1262"/>
      <c r="AP58" s="1262"/>
      <c r="AQ58" s="1262"/>
      <c r="AR58" s="1262"/>
      <c r="AS58" s="1262"/>
      <c r="AT58" s="1262"/>
      <c r="BD58" s="1248" t="s">
        <v>2550</v>
      </c>
      <c r="BE58" s="1249" t="str">
        <f>Application!H288</f>
        <v>2082 Michelson Dr. 4th Floor</v>
      </c>
    </row>
    <row r="59" spans="1:57" ht="12.95" customHeight="1">
      <c r="A59" s="519"/>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c r="BD59" s="1247" t="s">
        <v>2551</v>
      </c>
      <c r="BE59" s="1249" t="str">
        <f>Application!H289</f>
        <v>Irvine, CA   92612</v>
      </c>
    </row>
    <row r="60" spans="1:57" ht="12.95" customHeight="1">
      <c r="A60" s="1262" t="s">
        <v>2155</v>
      </c>
      <c r="B60" s="1262"/>
      <c r="C60" s="1262"/>
      <c r="D60" s="1262"/>
      <c r="E60" s="1262"/>
      <c r="F60" s="1262"/>
      <c r="G60" s="1262"/>
      <c r="H60" s="1262"/>
      <c r="I60" s="1262"/>
      <c r="J60" s="1262"/>
      <c r="K60" s="1262"/>
      <c r="L60" s="1262"/>
      <c r="M60" s="1262"/>
      <c r="N60" s="1262"/>
      <c r="O60" s="1262"/>
      <c r="P60" s="1262"/>
      <c r="Q60" s="1262"/>
      <c r="R60" s="1262"/>
      <c r="S60" s="1262"/>
      <c r="T60" s="1262"/>
      <c r="U60" s="1262"/>
      <c r="V60" s="1262"/>
      <c r="W60" s="1262"/>
      <c r="X60" s="1262"/>
      <c r="Y60" s="1262"/>
      <c r="Z60" s="1262"/>
      <c r="AA60" s="1262"/>
      <c r="AB60" s="1262"/>
      <c r="AC60" s="1262"/>
      <c r="AD60" s="1262"/>
      <c r="AE60" s="1262"/>
      <c r="AF60" s="1262"/>
      <c r="AG60" s="1262"/>
      <c r="AH60" s="1262"/>
      <c r="AI60" s="1262"/>
      <c r="AJ60" s="1262"/>
      <c r="AK60" s="1262"/>
      <c r="AL60" s="1262"/>
      <c r="AM60" s="1262"/>
      <c r="AN60" s="1262"/>
      <c r="AO60" s="1262"/>
      <c r="AP60" s="1262"/>
      <c r="AQ60" s="1262"/>
      <c r="AR60" s="1262"/>
      <c r="AS60" s="1262"/>
      <c r="AT60" s="1262"/>
      <c r="AU60" s="20"/>
      <c r="AV60" s="20"/>
      <c r="AW60" s="20"/>
      <c r="AX60" s="20"/>
      <c r="AY60" s="20"/>
      <c r="AZ60" s="20"/>
      <c r="BD60" s="1248" t="s">
        <v>2552</v>
      </c>
      <c r="BE60" s="1249" t="str">
        <f>Application!H290</f>
        <v>Ron Wu</v>
      </c>
    </row>
    <row r="61" spans="1:57" ht="12.95" customHeight="1">
      <c r="A61" s="1262"/>
      <c r="B61" s="1262"/>
      <c r="C61" s="1262"/>
      <c r="D61" s="1262"/>
      <c r="E61" s="1262"/>
      <c r="F61" s="1262"/>
      <c r="G61" s="1262"/>
      <c r="H61" s="1262"/>
      <c r="I61" s="1262"/>
      <c r="J61" s="1262"/>
      <c r="K61" s="1262"/>
      <c r="L61" s="1262"/>
      <c r="M61" s="1262"/>
      <c r="N61" s="1262"/>
      <c r="O61" s="1262"/>
      <c r="P61" s="1262"/>
      <c r="Q61" s="1262"/>
      <c r="R61" s="1262"/>
      <c r="S61" s="1262"/>
      <c r="T61" s="1262"/>
      <c r="U61" s="1262"/>
      <c r="V61" s="1262"/>
      <c r="W61" s="1262"/>
      <c r="X61" s="1262"/>
      <c r="Y61" s="1262"/>
      <c r="Z61" s="1262"/>
      <c r="AA61" s="1262"/>
      <c r="AB61" s="1262"/>
      <c r="AC61" s="1262"/>
      <c r="AD61" s="1262"/>
      <c r="AE61" s="1262"/>
      <c r="AF61" s="1262"/>
      <c r="AG61" s="1262"/>
      <c r="AH61" s="1262"/>
      <c r="AI61" s="1262"/>
      <c r="AJ61" s="1262"/>
      <c r="AK61" s="1262"/>
      <c r="AL61" s="1262"/>
      <c r="AM61" s="1262"/>
      <c r="AN61" s="1262"/>
      <c r="AO61" s="1262"/>
      <c r="AP61" s="1262"/>
      <c r="AQ61" s="1262"/>
      <c r="AR61" s="1262"/>
      <c r="AS61" s="1262"/>
      <c r="AT61" s="1262"/>
      <c r="AU61" s="20"/>
      <c r="AV61" s="20"/>
      <c r="AW61" s="20"/>
      <c r="AX61" s="20"/>
      <c r="AY61" s="20"/>
      <c r="AZ61" s="20"/>
      <c r="BD61" s="1247" t="s">
        <v>2553</v>
      </c>
      <c r="BE61" s="1249" t="str">
        <f>Application!H293</f>
        <v>rwu@rtacq.com</v>
      </c>
    </row>
    <row r="62" spans="1:57" ht="12.95" customHeight="1">
      <c r="A62" s="519"/>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D62" s="1248" t="s">
        <v>2554</v>
      </c>
      <c r="BE62" s="1252">
        <f>'Basis &amp; Credits'!AB50</f>
        <v>0.82991666656449725</v>
      </c>
    </row>
    <row r="63" spans="1:57" ht="12.95" customHeight="1">
      <c r="A63" s="91" t="s">
        <v>2156</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c r="BD63" s="1247" t="s">
        <v>1250</v>
      </c>
      <c r="BE63" s="1252">
        <f>'Basis &amp; Credits'!AB72</f>
        <v>0.82991700528949042</v>
      </c>
    </row>
    <row r="64" spans="1:57"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c r="BD64" s="1248" t="s">
        <v>2555</v>
      </c>
      <c r="BE64" s="1249" t="str">
        <f>Application!X180</f>
        <v>No</v>
      </c>
    </row>
    <row r="65" spans="1:57" ht="12.95" customHeight="1">
      <c r="A65" s="1415" t="s">
        <v>2157</v>
      </c>
      <c r="B65" s="1415"/>
      <c r="C65" s="1415"/>
      <c r="D65" s="1415"/>
      <c r="E65" s="1415"/>
      <c r="F65" s="1415"/>
      <c r="G65" s="1415"/>
      <c r="H65" s="1415"/>
      <c r="I65" s="1415"/>
      <c r="J65" s="1415"/>
      <c r="K65" s="1415"/>
      <c r="L65" s="1415"/>
      <c r="M65" s="1415"/>
      <c r="N65" s="1415"/>
      <c r="O65" s="1415"/>
      <c r="P65" s="1415"/>
      <c r="Q65" s="1415"/>
      <c r="R65" s="1415"/>
      <c r="S65" s="1415"/>
      <c r="T65" s="1415"/>
      <c r="U65" s="1415"/>
      <c r="V65" s="1415"/>
      <c r="W65" s="1415"/>
      <c r="X65" s="1415"/>
      <c r="Y65" s="1415"/>
      <c r="Z65" s="1415"/>
      <c r="AA65" s="1415"/>
      <c r="AB65" s="1415"/>
      <c r="AC65" s="1415"/>
      <c r="AD65" s="1415"/>
      <c r="AE65" s="1415"/>
      <c r="AF65" s="1415"/>
      <c r="AG65" s="1415"/>
      <c r="AH65" s="1415"/>
      <c r="AI65" s="1415"/>
      <c r="AJ65" s="1415"/>
      <c r="AK65" s="1415"/>
      <c r="AL65" s="1415"/>
      <c r="AM65" s="1415"/>
      <c r="AN65" s="1415"/>
      <c r="AO65" s="1415"/>
      <c r="AP65" s="1415"/>
      <c r="AQ65" s="1415"/>
      <c r="AR65" s="1415"/>
      <c r="AS65" s="1415"/>
      <c r="AT65" s="1415"/>
      <c r="AU65" s="21"/>
      <c r="AV65" s="21"/>
      <c r="AW65" s="21"/>
      <c r="AX65" s="21"/>
      <c r="AY65" s="21"/>
      <c r="AZ65" s="20"/>
      <c r="BD65" s="1247" t="s">
        <v>2591</v>
      </c>
      <c r="BE65" s="1249" t="str">
        <f>Z205</f>
        <v>$500M</v>
      </c>
    </row>
    <row r="66" spans="1:57" ht="12.95" customHeight="1">
      <c r="A66" s="1415"/>
      <c r="B66" s="1415"/>
      <c r="C66" s="1415"/>
      <c r="D66" s="1415"/>
      <c r="E66" s="1415"/>
      <c r="F66" s="1415"/>
      <c r="G66" s="1415"/>
      <c r="H66" s="1415"/>
      <c r="I66" s="1415"/>
      <c r="J66" s="1415"/>
      <c r="K66" s="1415"/>
      <c r="L66" s="1415"/>
      <c r="M66" s="1415"/>
      <c r="N66" s="1415"/>
      <c r="O66" s="1415"/>
      <c r="P66" s="1415"/>
      <c r="Q66" s="1415"/>
      <c r="R66" s="1415"/>
      <c r="S66" s="1415"/>
      <c r="T66" s="1415"/>
      <c r="U66" s="1415"/>
      <c r="V66" s="1415"/>
      <c r="W66" s="1415"/>
      <c r="X66" s="1415"/>
      <c r="Y66" s="1415"/>
      <c r="Z66" s="1415"/>
      <c r="AA66" s="1415"/>
      <c r="AB66" s="1415"/>
      <c r="AC66" s="1415"/>
      <c r="AD66" s="1415"/>
      <c r="AE66" s="1415"/>
      <c r="AF66" s="1415"/>
      <c r="AG66" s="1415"/>
      <c r="AH66" s="1415"/>
      <c r="AI66" s="1415"/>
      <c r="AJ66" s="1415"/>
      <c r="AK66" s="1415"/>
      <c r="AL66" s="1415"/>
      <c r="AM66" s="1415"/>
      <c r="AN66" s="1415"/>
      <c r="AO66" s="1415"/>
      <c r="AP66" s="1415"/>
      <c r="AQ66" s="1415"/>
      <c r="AR66" s="1415"/>
      <c r="AS66" s="1415"/>
      <c r="AT66" s="1415"/>
      <c r="AU66" s="21"/>
      <c r="AV66" s="21"/>
      <c r="AW66" s="21"/>
      <c r="AX66" s="21"/>
      <c r="AY66" s="21"/>
      <c r="AZ66" s="20"/>
      <c r="BD66" s="1248" t="s">
        <v>2556</v>
      </c>
      <c r="BE66" s="1249" t="b">
        <f>Application!Z205="State Farmworker Credit"</f>
        <v>0</v>
      </c>
    </row>
    <row r="67" spans="1:57" ht="12.95" customHeight="1">
      <c r="A67" s="1415"/>
      <c r="B67" s="1415"/>
      <c r="C67" s="1415"/>
      <c r="D67" s="1415"/>
      <c r="E67" s="1415"/>
      <c r="F67" s="1415"/>
      <c r="G67" s="1415"/>
      <c r="H67" s="1415"/>
      <c r="I67" s="1415"/>
      <c r="J67" s="1415"/>
      <c r="K67" s="1415"/>
      <c r="L67" s="1415"/>
      <c r="M67" s="1415"/>
      <c r="N67" s="1415"/>
      <c r="O67" s="1415"/>
      <c r="P67" s="1415"/>
      <c r="Q67" s="1415"/>
      <c r="R67" s="1415"/>
      <c r="S67" s="1415"/>
      <c r="T67" s="1415"/>
      <c r="U67" s="1415"/>
      <c r="V67" s="1415"/>
      <c r="W67" s="1415"/>
      <c r="X67" s="1415"/>
      <c r="Y67" s="1415"/>
      <c r="Z67" s="1415"/>
      <c r="AA67" s="1415"/>
      <c r="AB67" s="1415"/>
      <c r="AC67" s="1415"/>
      <c r="AD67" s="1415"/>
      <c r="AE67" s="1415"/>
      <c r="AF67" s="1415"/>
      <c r="AG67" s="1415"/>
      <c r="AH67" s="1415"/>
      <c r="AI67" s="1415"/>
      <c r="AJ67" s="1415"/>
      <c r="AK67" s="1415"/>
      <c r="AL67" s="1415"/>
      <c r="AM67" s="1415"/>
      <c r="AN67" s="1415"/>
      <c r="AO67" s="1415"/>
      <c r="AP67" s="1415"/>
      <c r="AQ67" s="1415"/>
      <c r="AR67" s="1415"/>
      <c r="AS67" s="1415"/>
      <c r="AT67" s="1415"/>
      <c r="AZ67" s="20"/>
      <c r="BD67" s="1247" t="s">
        <v>2557</v>
      </c>
      <c r="BE67" s="1249" t="b">
        <f>Application!O33="Yes"</f>
        <v>1</v>
      </c>
    </row>
    <row r="68" spans="1:57"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c r="BD68" s="1248" t="s">
        <v>2558</v>
      </c>
      <c r="BE68" s="1249">
        <f>'Sources and Uses Budget'!D105</f>
        <v>0</v>
      </c>
    </row>
    <row r="69" spans="1:57" ht="12.95" customHeight="1">
      <c r="A69" s="1415" t="s">
        <v>2158</v>
      </c>
      <c r="B69" s="1415"/>
      <c r="C69" s="1415"/>
      <c r="D69" s="1415"/>
      <c r="E69" s="1415"/>
      <c r="F69" s="1415"/>
      <c r="G69" s="1415"/>
      <c r="H69" s="1415"/>
      <c r="I69" s="1415"/>
      <c r="J69" s="1415"/>
      <c r="K69" s="1415"/>
      <c r="L69" s="1415"/>
      <c r="M69" s="1415"/>
      <c r="N69" s="1415"/>
      <c r="O69" s="1415"/>
      <c r="P69" s="1415"/>
      <c r="Q69" s="1415"/>
      <c r="R69" s="1415"/>
      <c r="S69" s="1415"/>
      <c r="T69" s="1415"/>
      <c r="U69" s="1415"/>
      <c r="V69" s="1415"/>
      <c r="W69" s="1415"/>
      <c r="X69" s="1415"/>
      <c r="Y69" s="1415"/>
      <c r="Z69" s="1415"/>
      <c r="AA69" s="1415"/>
      <c r="AB69" s="1415"/>
      <c r="AC69" s="1415"/>
      <c r="AD69" s="1415"/>
      <c r="AE69" s="1415"/>
      <c r="AF69" s="1415"/>
      <c r="AG69" s="1415"/>
      <c r="AH69" s="1415"/>
      <c r="AI69" s="1415"/>
      <c r="AJ69" s="1415"/>
      <c r="AK69" s="1415"/>
      <c r="AL69" s="1415"/>
      <c r="AM69" s="1415"/>
      <c r="AN69" s="1415"/>
      <c r="AO69" s="1415"/>
      <c r="AP69" s="1415"/>
      <c r="AQ69" s="1415"/>
      <c r="AR69" s="1415"/>
      <c r="AS69" s="1415"/>
      <c r="AT69" s="1415"/>
      <c r="AZ69" s="20"/>
      <c r="BD69" s="1247" t="s">
        <v>2559</v>
      </c>
      <c r="BE69" s="1249" t="str">
        <f>Application!W700</f>
        <v>CalHFA</v>
      </c>
    </row>
    <row r="70" spans="1:57" ht="12.95" customHeight="1">
      <c r="A70" s="1415"/>
      <c r="B70" s="1415"/>
      <c r="C70" s="1415"/>
      <c r="D70" s="1415"/>
      <c r="E70" s="1415"/>
      <c r="F70" s="1415"/>
      <c r="G70" s="1415"/>
      <c r="H70" s="1415"/>
      <c r="I70" s="1415"/>
      <c r="J70" s="1415"/>
      <c r="K70" s="1415"/>
      <c r="L70" s="1415"/>
      <c r="M70" s="1415"/>
      <c r="N70" s="1415"/>
      <c r="O70" s="1415"/>
      <c r="P70" s="1415"/>
      <c r="Q70" s="1415"/>
      <c r="R70" s="1415"/>
      <c r="S70" s="1415"/>
      <c r="T70" s="1415"/>
      <c r="U70" s="1415"/>
      <c r="V70" s="1415"/>
      <c r="W70" s="1415"/>
      <c r="X70" s="1415"/>
      <c r="Y70" s="1415"/>
      <c r="Z70" s="1415"/>
      <c r="AA70" s="1415"/>
      <c r="AB70" s="1415"/>
      <c r="AC70" s="1415"/>
      <c r="AD70" s="1415"/>
      <c r="AE70" s="1415"/>
      <c r="AF70" s="1415"/>
      <c r="AG70" s="1415"/>
      <c r="AH70" s="1415"/>
      <c r="AI70" s="1415"/>
      <c r="AJ70" s="1415"/>
      <c r="AK70" s="1415"/>
      <c r="AL70" s="1415"/>
      <c r="AM70" s="1415"/>
      <c r="AN70" s="1415"/>
      <c r="AO70" s="1415"/>
      <c r="AP70" s="1415"/>
      <c r="AQ70" s="1415"/>
      <c r="AR70" s="1415"/>
      <c r="AS70" s="1415"/>
      <c r="AT70" s="1415"/>
      <c r="AU70" s="20"/>
      <c r="AV70" s="20"/>
      <c r="AW70" s="20"/>
      <c r="AX70" s="20"/>
      <c r="AY70" s="20"/>
      <c r="AZ70" s="20"/>
      <c r="BD70" s="1248" t="s">
        <v>2560</v>
      </c>
      <c r="BE70" s="1249">
        <f ca="1">'Points System'!AF821</f>
        <v>119</v>
      </c>
    </row>
    <row r="71" spans="1:57" ht="12.95" customHeight="1">
      <c r="A71" s="519"/>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c r="BD71" s="1247" t="s">
        <v>2561</v>
      </c>
      <c r="BE71" s="1249">
        <f>'Points System'!AF804</f>
        <v>0</v>
      </c>
    </row>
    <row r="72" spans="1:57" ht="12.95" customHeight="1">
      <c r="A72" s="1413" t="s">
        <v>2159</v>
      </c>
      <c r="B72" s="1413"/>
      <c r="C72" s="1413"/>
      <c r="D72" s="1413"/>
      <c r="E72" s="1413"/>
      <c r="F72" s="1413"/>
      <c r="G72" s="1413"/>
      <c r="H72" s="1413"/>
      <c r="I72" s="1413"/>
      <c r="J72" s="1413"/>
      <c r="K72" s="1413"/>
      <c r="L72" s="1413"/>
      <c r="M72" s="1413"/>
      <c r="N72" s="1413"/>
      <c r="O72" s="1413"/>
      <c r="P72" s="1413"/>
      <c r="Q72" s="1413"/>
      <c r="R72" s="1413"/>
      <c r="S72" s="1413"/>
      <c r="T72" s="1413"/>
      <c r="U72" s="1413"/>
      <c r="V72" s="1413"/>
      <c r="W72" s="1413"/>
      <c r="X72" s="1413"/>
      <c r="Y72" s="1413"/>
      <c r="Z72" s="1413"/>
      <c r="AA72" s="1413"/>
      <c r="AB72" s="1413"/>
      <c r="AC72" s="1413"/>
      <c r="AD72" s="1413"/>
      <c r="AE72" s="1413"/>
      <c r="AF72" s="1413"/>
      <c r="AG72" s="1413"/>
      <c r="AH72" s="1413"/>
      <c r="AI72" s="1413"/>
      <c r="AJ72" s="1413"/>
      <c r="AK72" s="1413"/>
      <c r="AL72" s="1413"/>
      <c r="AM72" s="1413"/>
      <c r="AN72" s="1413"/>
      <c r="AO72" s="1413"/>
      <c r="AP72" s="1413"/>
      <c r="AQ72" s="1413"/>
      <c r="AR72" s="1413"/>
      <c r="AS72" s="1413"/>
      <c r="AT72" s="1413"/>
      <c r="AU72" s="20"/>
      <c r="AV72" s="20"/>
      <c r="AW72" s="20"/>
      <c r="AX72" s="20"/>
      <c r="AY72" s="20"/>
      <c r="AZ72" s="20"/>
      <c r="BD72" s="1248" t="s">
        <v>2562</v>
      </c>
      <c r="BE72" s="1249">
        <f>'Points System'!AF805</f>
        <v>10</v>
      </c>
    </row>
    <row r="73" spans="1:57" ht="12.95" customHeight="1">
      <c r="A73" s="1413"/>
      <c r="B73" s="1413"/>
      <c r="C73" s="1413"/>
      <c r="D73" s="1413"/>
      <c r="E73" s="1413"/>
      <c r="F73" s="1413"/>
      <c r="G73" s="1413"/>
      <c r="H73" s="1413"/>
      <c r="I73" s="1413"/>
      <c r="J73" s="1413"/>
      <c r="K73" s="1413"/>
      <c r="L73" s="1413"/>
      <c r="M73" s="1413"/>
      <c r="N73" s="1413"/>
      <c r="O73" s="1413"/>
      <c r="P73" s="1413"/>
      <c r="Q73" s="1413"/>
      <c r="R73" s="1413"/>
      <c r="S73" s="1413"/>
      <c r="T73" s="1413"/>
      <c r="U73" s="1413"/>
      <c r="V73" s="1413"/>
      <c r="W73" s="1413"/>
      <c r="X73" s="1413"/>
      <c r="Y73" s="1413"/>
      <c r="Z73" s="1413"/>
      <c r="AA73" s="1413"/>
      <c r="AB73" s="1413"/>
      <c r="AC73" s="1413"/>
      <c r="AD73" s="1413"/>
      <c r="AE73" s="1413"/>
      <c r="AF73" s="1413"/>
      <c r="AG73" s="1413"/>
      <c r="AH73" s="1413"/>
      <c r="AI73" s="1413"/>
      <c r="AJ73" s="1413"/>
      <c r="AK73" s="1413"/>
      <c r="AL73" s="1413"/>
      <c r="AM73" s="1413"/>
      <c r="AN73" s="1413"/>
      <c r="AO73" s="1413"/>
      <c r="AP73" s="1413"/>
      <c r="AQ73" s="1413"/>
      <c r="AR73" s="1413"/>
      <c r="AS73" s="1413"/>
      <c r="AT73" s="1413"/>
      <c r="AU73" s="20"/>
      <c r="AV73" s="20"/>
      <c r="AW73" s="20"/>
      <c r="AX73" s="20"/>
      <c r="AY73" s="20"/>
      <c r="AZ73" s="20"/>
      <c r="BD73" s="1247" t="s">
        <v>2563</v>
      </c>
      <c r="BE73" s="1249">
        <f ca="1">'Points System'!AF806</f>
        <v>20</v>
      </c>
    </row>
    <row r="74" spans="1:57"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c r="BD74" s="1248" t="s">
        <v>2564</v>
      </c>
      <c r="BE74" s="1249">
        <f>'Points System'!AF807</f>
        <v>10</v>
      </c>
    </row>
    <row r="75" spans="1:57" ht="12.95" customHeight="1">
      <c r="A75" s="1788" t="s">
        <v>2160</v>
      </c>
      <c r="B75" s="1788"/>
      <c r="C75" s="1788"/>
      <c r="D75" s="1788"/>
      <c r="E75" s="1788"/>
      <c r="F75" s="1788"/>
      <c r="G75" s="1788"/>
      <c r="H75" s="1788"/>
      <c r="I75" s="1788"/>
      <c r="J75" s="1788"/>
      <c r="K75" s="1788"/>
      <c r="L75" s="1788"/>
      <c r="M75" s="1788"/>
      <c r="N75" s="1788"/>
      <c r="O75" s="1788"/>
      <c r="P75" s="1788"/>
      <c r="Q75" s="1788"/>
      <c r="R75" s="1788"/>
      <c r="S75" s="1788"/>
      <c r="T75" s="1788"/>
      <c r="U75" s="1788"/>
      <c r="V75" s="1788"/>
      <c r="W75" s="1788"/>
      <c r="X75" s="1788"/>
      <c r="Y75" s="1788"/>
      <c r="Z75" s="1788"/>
      <c r="AA75" s="1788"/>
      <c r="AB75" s="1788"/>
      <c r="AC75" s="1788"/>
      <c r="AD75" s="1788"/>
      <c r="AE75" s="1788"/>
      <c r="AF75" s="1788"/>
      <c r="AG75" s="1788"/>
      <c r="AH75" s="1788"/>
      <c r="AI75" s="1788"/>
      <c r="AJ75" s="1788"/>
      <c r="AK75" s="1788"/>
      <c r="AL75" s="1788"/>
      <c r="AM75" s="1788"/>
      <c r="AN75" s="1788"/>
      <c r="AO75" s="1788"/>
      <c r="AP75" s="1788"/>
      <c r="AQ75" s="1788"/>
      <c r="AR75" s="1788"/>
      <c r="AS75" s="1788"/>
      <c r="AT75" s="1788"/>
      <c r="AU75" s="20"/>
      <c r="AV75" s="20"/>
      <c r="AW75" s="20"/>
      <c r="AX75" s="20"/>
      <c r="AY75" s="20"/>
      <c r="AZ75" s="20"/>
      <c r="BD75" s="1247" t="s">
        <v>2565</v>
      </c>
      <c r="BE75" s="1249">
        <f>'Points System'!AF808</f>
        <v>10</v>
      </c>
    </row>
    <row r="76" spans="1:57" ht="12.95" customHeight="1">
      <c r="A76" s="1788"/>
      <c r="B76" s="1788"/>
      <c r="C76" s="1788"/>
      <c r="D76" s="1788"/>
      <c r="E76" s="1788"/>
      <c r="F76" s="1788"/>
      <c r="G76" s="1788"/>
      <c r="H76" s="1788"/>
      <c r="I76" s="1788"/>
      <c r="J76" s="1788"/>
      <c r="K76" s="1788"/>
      <c r="L76" s="1788"/>
      <c r="M76" s="1788"/>
      <c r="N76" s="1788"/>
      <c r="O76" s="1788"/>
      <c r="P76" s="1788"/>
      <c r="Q76" s="1788"/>
      <c r="R76" s="1788"/>
      <c r="S76" s="1788"/>
      <c r="T76" s="1788"/>
      <c r="U76" s="1788"/>
      <c r="V76" s="1788"/>
      <c r="W76" s="1788"/>
      <c r="X76" s="1788"/>
      <c r="Y76" s="1788"/>
      <c r="Z76" s="1788"/>
      <c r="AA76" s="1788"/>
      <c r="AB76" s="1788"/>
      <c r="AC76" s="1788"/>
      <c r="AD76" s="1788"/>
      <c r="AE76" s="1788"/>
      <c r="AF76" s="1788"/>
      <c r="AG76" s="1788"/>
      <c r="AH76" s="1788"/>
      <c r="AI76" s="1788"/>
      <c r="AJ76" s="1788"/>
      <c r="AK76" s="1788"/>
      <c r="AL76" s="1788"/>
      <c r="AM76" s="1788"/>
      <c r="AN76" s="1788"/>
      <c r="AO76" s="1788"/>
      <c r="AP76" s="1788"/>
      <c r="AQ76" s="1788"/>
      <c r="AR76" s="1788"/>
      <c r="AS76" s="1788"/>
      <c r="AT76" s="1788"/>
      <c r="AU76" s="20"/>
      <c r="AV76" s="20"/>
      <c r="AW76" s="20"/>
      <c r="AX76" s="20"/>
      <c r="AY76" s="20"/>
      <c r="AZ76" s="17"/>
      <c r="BD76" s="1248" t="s">
        <v>2566</v>
      </c>
      <c r="BE76" s="1249">
        <f>'Points System'!AF811</f>
        <v>10</v>
      </c>
    </row>
    <row r="77" spans="1:57" ht="12.95" customHeight="1">
      <c r="A77" s="1788"/>
      <c r="B77" s="1788"/>
      <c r="C77" s="1788"/>
      <c r="D77" s="1788"/>
      <c r="E77" s="1788"/>
      <c r="F77" s="1788"/>
      <c r="G77" s="1788"/>
      <c r="H77" s="1788"/>
      <c r="I77" s="1788"/>
      <c r="J77" s="1788"/>
      <c r="K77" s="1788"/>
      <c r="L77" s="1788"/>
      <c r="M77" s="1788"/>
      <c r="N77" s="1788"/>
      <c r="O77" s="1788"/>
      <c r="P77" s="1788"/>
      <c r="Q77" s="1788"/>
      <c r="R77" s="1788"/>
      <c r="S77" s="1788"/>
      <c r="T77" s="1788"/>
      <c r="U77" s="1788"/>
      <c r="V77" s="1788"/>
      <c r="W77" s="1788"/>
      <c r="X77" s="1788"/>
      <c r="Y77" s="1788"/>
      <c r="Z77" s="1788"/>
      <c r="AA77" s="1788"/>
      <c r="AB77" s="1788"/>
      <c r="AC77" s="1788"/>
      <c r="AD77" s="1788"/>
      <c r="AE77" s="1788"/>
      <c r="AF77" s="1788"/>
      <c r="AG77" s="1788"/>
      <c r="AH77" s="1788"/>
      <c r="AI77" s="1788"/>
      <c r="AJ77" s="1788"/>
      <c r="AK77" s="1788"/>
      <c r="AL77" s="1788"/>
      <c r="AM77" s="1788"/>
      <c r="AN77" s="1788"/>
      <c r="AO77" s="1788"/>
      <c r="AP77" s="1788"/>
      <c r="AQ77" s="1788"/>
      <c r="AR77" s="1788"/>
      <c r="AS77" s="1788"/>
      <c r="AT77" s="1788"/>
      <c r="AU77" s="20"/>
      <c r="AV77" s="20"/>
      <c r="AW77" s="20"/>
      <c r="AX77" s="20"/>
      <c r="AY77" s="20"/>
      <c r="AZ77" s="17"/>
      <c r="BD77" s="1247" t="s">
        <v>2567</v>
      </c>
      <c r="BE77" s="1249">
        <f>'Points System'!AF812</f>
        <v>8</v>
      </c>
    </row>
    <row r="78" spans="1:57"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c r="BD78" s="1248" t="s">
        <v>2568</v>
      </c>
      <c r="BE78" s="1249">
        <f>'Points System'!AF814</f>
        <v>10</v>
      </c>
    </row>
    <row r="79" spans="1:57" ht="12.95" customHeight="1">
      <c r="A79" s="1415" t="s">
        <v>2161</v>
      </c>
      <c r="B79" s="1415"/>
      <c r="C79" s="1415"/>
      <c r="D79" s="1415"/>
      <c r="E79" s="1415"/>
      <c r="F79" s="1415"/>
      <c r="G79" s="1415"/>
      <c r="H79" s="1415"/>
      <c r="I79" s="1415"/>
      <c r="J79" s="1415"/>
      <c r="K79" s="1415"/>
      <c r="L79" s="1415"/>
      <c r="M79" s="1415"/>
      <c r="N79" s="1415"/>
      <c r="O79" s="1415"/>
      <c r="P79" s="1415"/>
      <c r="Q79" s="1415"/>
      <c r="R79" s="1415"/>
      <c r="S79" s="1415"/>
      <c r="T79" s="1415"/>
      <c r="U79" s="1415"/>
      <c r="V79" s="1415"/>
      <c r="W79" s="1415"/>
      <c r="X79" s="1415"/>
      <c r="Y79" s="1415"/>
      <c r="Z79" s="1415"/>
      <c r="AA79" s="1415"/>
      <c r="AB79" s="1415"/>
      <c r="AC79" s="1415"/>
      <c r="AD79" s="1415"/>
      <c r="AE79" s="1415"/>
      <c r="AF79" s="1415"/>
      <c r="AG79" s="1415"/>
      <c r="AH79" s="1415"/>
      <c r="AI79" s="1415"/>
      <c r="AJ79" s="1415"/>
      <c r="AK79" s="1415"/>
      <c r="AL79" s="1415"/>
      <c r="AM79" s="1415"/>
      <c r="AN79" s="1415"/>
      <c r="AO79" s="1415"/>
      <c r="AP79" s="1415"/>
      <c r="AQ79" s="1415"/>
      <c r="AR79" s="1415"/>
      <c r="AS79" s="1415"/>
      <c r="AT79" s="1415"/>
      <c r="AU79" s="20"/>
      <c r="AV79" s="20"/>
      <c r="AW79" s="20"/>
      <c r="AX79" s="20"/>
      <c r="AY79" s="20"/>
      <c r="AZ79" s="20"/>
      <c r="BD79" s="1247" t="s">
        <v>2569</v>
      </c>
      <c r="BE79" s="1249">
        <f>'Points System'!AF815</f>
        <v>9</v>
      </c>
    </row>
    <row r="80" spans="1:57" ht="12.95" customHeight="1">
      <c r="A80" s="1415"/>
      <c r="B80" s="1415"/>
      <c r="C80" s="1415"/>
      <c r="D80" s="1415"/>
      <c r="E80" s="1415"/>
      <c r="F80" s="1415"/>
      <c r="G80" s="1415"/>
      <c r="H80" s="1415"/>
      <c r="I80" s="1415"/>
      <c r="J80" s="1415"/>
      <c r="K80" s="1415"/>
      <c r="L80" s="1415"/>
      <c r="M80" s="1415"/>
      <c r="N80" s="1415"/>
      <c r="O80" s="1415"/>
      <c r="P80" s="1415"/>
      <c r="Q80" s="1415"/>
      <c r="R80" s="1415"/>
      <c r="S80" s="1415"/>
      <c r="T80" s="1415"/>
      <c r="U80" s="1415"/>
      <c r="V80" s="1415"/>
      <c r="W80" s="1415"/>
      <c r="X80" s="1415"/>
      <c r="Y80" s="1415"/>
      <c r="Z80" s="1415"/>
      <c r="AA80" s="1415"/>
      <c r="AB80" s="1415"/>
      <c r="AC80" s="1415"/>
      <c r="AD80" s="1415"/>
      <c r="AE80" s="1415"/>
      <c r="AF80" s="1415"/>
      <c r="AG80" s="1415"/>
      <c r="AH80" s="1415"/>
      <c r="AI80" s="1415"/>
      <c r="AJ80" s="1415"/>
      <c r="AK80" s="1415"/>
      <c r="AL80" s="1415"/>
      <c r="AM80" s="1415"/>
      <c r="AN80" s="1415"/>
      <c r="AO80" s="1415"/>
      <c r="AP80" s="1415"/>
      <c r="AQ80" s="1415"/>
      <c r="AR80" s="1415"/>
      <c r="AS80" s="1415"/>
      <c r="AT80" s="1415"/>
      <c r="AU80" s="20"/>
      <c r="AV80" s="20"/>
      <c r="AW80" s="20"/>
      <c r="AX80" s="20"/>
      <c r="AY80" s="20"/>
      <c r="AZ80" s="20"/>
      <c r="BD80" s="1248" t="s">
        <v>2570</v>
      </c>
      <c r="BE80" s="1249">
        <f>'Points System'!AF817</f>
        <v>10</v>
      </c>
    </row>
    <row r="81" spans="1:57" ht="12.95" customHeight="1">
      <c r="A81" s="1415"/>
      <c r="B81" s="1415"/>
      <c r="C81" s="1415"/>
      <c r="D81" s="1415"/>
      <c r="E81" s="1415"/>
      <c r="F81" s="1415"/>
      <c r="G81" s="1415"/>
      <c r="H81" s="1415"/>
      <c r="I81" s="1415"/>
      <c r="J81" s="1415"/>
      <c r="K81" s="1415"/>
      <c r="L81" s="1415"/>
      <c r="M81" s="1415"/>
      <c r="N81" s="1415"/>
      <c r="O81" s="1415"/>
      <c r="P81" s="1415"/>
      <c r="Q81" s="1415"/>
      <c r="R81" s="1415"/>
      <c r="S81" s="1415"/>
      <c r="T81" s="1415"/>
      <c r="U81" s="1415"/>
      <c r="V81" s="1415"/>
      <c r="W81" s="1415"/>
      <c r="X81" s="1415"/>
      <c r="Y81" s="1415"/>
      <c r="Z81" s="1415"/>
      <c r="AA81" s="1415"/>
      <c r="AB81" s="1415"/>
      <c r="AC81" s="1415"/>
      <c r="AD81" s="1415"/>
      <c r="AE81" s="1415"/>
      <c r="AF81" s="1415"/>
      <c r="AG81" s="1415"/>
      <c r="AH81" s="1415"/>
      <c r="AI81" s="1415"/>
      <c r="AJ81" s="1415"/>
      <c r="AK81" s="1415"/>
      <c r="AL81" s="1415"/>
      <c r="AM81" s="1415"/>
      <c r="AN81" s="1415"/>
      <c r="AO81" s="1415"/>
      <c r="AP81" s="1415"/>
      <c r="AQ81" s="1415"/>
      <c r="AR81" s="1415"/>
      <c r="AS81" s="1415"/>
      <c r="AT81" s="1415"/>
      <c r="AU81" s="20"/>
      <c r="AV81" s="20"/>
      <c r="AW81" s="20"/>
      <c r="AX81" s="20"/>
      <c r="AY81" s="20"/>
      <c r="AZ81" s="20"/>
      <c r="BD81" s="1247" t="s">
        <v>2571</v>
      </c>
      <c r="BE81" s="1249">
        <f>'Points System'!AF818</f>
        <v>12</v>
      </c>
    </row>
    <row r="82" spans="1:57" ht="12.95" customHeight="1">
      <c r="A82" s="519"/>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D82" s="1248" t="s">
        <v>2572</v>
      </c>
      <c r="BE82" s="1249">
        <f>'Points System'!AF819</f>
        <v>10</v>
      </c>
    </row>
    <row r="83" spans="1:57" ht="12.95" customHeight="1">
      <c r="A83" s="1262" t="s">
        <v>2162</v>
      </c>
      <c r="B83" s="1262"/>
      <c r="C83" s="1262"/>
      <c r="D83" s="1262"/>
      <c r="E83" s="1262"/>
      <c r="F83" s="1262"/>
      <c r="G83" s="1262"/>
      <c r="H83" s="1262"/>
      <c r="I83" s="1262"/>
      <c r="J83" s="1262"/>
      <c r="K83" s="1262"/>
      <c r="L83" s="1262"/>
      <c r="M83" s="1262"/>
      <c r="N83" s="1262"/>
      <c r="O83" s="1262"/>
      <c r="P83" s="1262"/>
      <c r="Q83" s="1262"/>
      <c r="R83" s="1262"/>
      <c r="S83" s="1262"/>
      <c r="T83" s="1262"/>
      <c r="U83" s="1262"/>
      <c r="V83" s="1262"/>
      <c r="W83" s="1262"/>
      <c r="X83" s="1262"/>
      <c r="Y83" s="1262"/>
      <c r="Z83" s="1262"/>
      <c r="AA83" s="1262"/>
      <c r="AB83" s="1262"/>
      <c r="AC83" s="1262"/>
      <c r="AD83" s="1262"/>
      <c r="AE83" s="1262"/>
      <c r="AF83" s="1262"/>
      <c r="AG83" s="1262"/>
      <c r="AH83" s="1262"/>
      <c r="AI83" s="1262"/>
      <c r="AJ83" s="1262"/>
      <c r="AK83" s="1262"/>
      <c r="AL83" s="1262"/>
      <c r="AM83" s="1262"/>
      <c r="AN83" s="1262"/>
      <c r="AO83" s="1262"/>
      <c r="AP83" s="1262"/>
      <c r="AQ83" s="1262"/>
      <c r="AR83" s="1262"/>
      <c r="AS83" s="1262"/>
      <c r="AT83" s="1262"/>
      <c r="AU83" s="20"/>
      <c r="AV83" s="20"/>
      <c r="AW83" s="20"/>
      <c r="AX83" s="20"/>
      <c r="AY83" s="20"/>
      <c r="AZ83" s="20"/>
      <c r="BD83" s="1247" t="s">
        <v>2573</v>
      </c>
      <c r="BE83" s="1253">
        <f>'Tie Breaker'!H5</f>
        <v>1.2939830139531379</v>
      </c>
    </row>
    <row r="84" spans="1:57" ht="12.95" customHeight="1">
      <c r="A84" s="1262"/>
      <c r="B84" s="1262"/>
      <c r="C84" s="1262"/>
      <c r="D84" s="1262"/>
      <c r="E84" s="1262"/>
      <c r="F84" s="1262"/>
      <c r="G84" s="1262"/>
      <c r="H84" s="1262"/>
      <c r="I84" s="1262"/>
      <c r="J84" s="1262"/>
      <c r="K84" s="1262"/>
      <c r="L84" s="1262"/>
      <c r="M84" s="1262"/>
      <c r="N84" s="1262"/>
      <c r="O84" s="1262"/>
      <c r="P84" s="1262"/>
      <c r="Q84" s="1262"/>
      <c r="R84" s="1262"/>
      <c r="S84" s="1262"/>
      <c r="T84" s="1262"/>
      <c r="U84" s="1262"/>
      <c r="V84" s="1262"/>
      <c r="W84" s="1262"/>
      <c r="X84" s="1262"/>
      <c r="Y84" s="1262"/>
      <c r="Z84" s="1262"/>
      <c r="AA84" s="1262"/>
      <c r="AB84" s="1262"/>
      <c r="AC84" s="1262"/>
      <c r="AD84" s="1262"/>
      <c r="AE84" s="1262"/>
      <c r="AF84" s="1262"/>
      <c r="AG84" s="1262"/>
      <c r="AH84" s="1262"/>
      <c r="AI84" s="1262"/>
      <c r="AJ84" s="1262"/>
      <c r="AK84" s="1262"/>
      <c r="AL84" s="1262"/>
      <c r="AM84" s="1262"/>
      <c r="AN84" s="1262"/>
      <c r="AO84" s="1262"/>
      <c r="AP84" s="1262"/>
      <c r="AQ84" s="1262"/>
      <c r="AR84" s="1262"/>
      <c r="AS84" s="1262"/>
      <c r="AT84" s="1262"/>
      <c r="AU84" s="20"/>
      <c r="AV84" s="20"/>
      <c r="AW84" s="20"/>
      <c r="AX84" s="20"/>
      <c r="AY84" s="20"/>
      <c r="AZ84" s="20"/>
      <c r="BD84" s="1248" t="s">
        <v>2574</v>
      </c>
      <c r="BE84" s="1249" t="str">
        <f>Application!O153</f>
        <v>City of Ventura</v>
      </c>
    </row>
    <row r="85" spans="1:57"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c r="BD85" s="1247" t="s">
        <v>2575</v>
      </c>
      <c r="BE85" s="1249" t="str">
        <f>Application!O154</f>
        <v>Bill Ayub</v>
      </c>
    </row>
    <row r="86" spans="1:57" ht="12.95" customHeight="1">
      <c r="A86" s="1262" t="s">
        <v>2163</v>
      </c>
      <c r="B86" s="1262"/>
      <c r="C86" s="1262"/>
      <c r="D86" s="1262"/>
      <c r="E86" s="1262"/>
      <c r="F86" s="1262"/>
      <c r="G86" s="1262"/>
      <c r="H86" s="1262"/>
      <c r="I86" s="1262"/>
      <c r="J86" s="1262"/>
      <c r="K86" s="1262"/>
      <c r="L86" s="1262"/>
      <c r="M86" s="1262"/>
      <c r="N86" s="1262"/>
      <c r="O86" s="1262"/>
      <c r="P86" s="1262"/>
      <c r="Q86" s="1262"/>
      <c r="R86" s="1262"/>
      <c r="S86" s="1262"/>
      <c r="T86" s="1262"/>
      <c r="U86" s="1262"/>
      <c r="V86" s="1262"/>
      <c r="W86" s="1262"/>
      <c r="X86" s="1262"/>
      <c r="Y86" s="1262"/>
      <c r="Z86" s="1262"/>
      <c r="AA86" s="1262"/>
      <c r="AB86" s="1262"/>
      <c r="AC86" s="1262"/>
      <c r="AD86" s="1262"/>
      <c r="AE86" s="1262"/>
      <c r="AF86" s="1262"/>
      <c r="AG86" s="1262"/>
      <c r="AH86" s="1262"/>
      <c r="AI86" s="1262"/>
      <c r="AJ86" s="1262"/>
      <c r="AK86" s="1262"/>
      <c r="AL86" s="1262"/>
      <c r="AM86" s="1262"/>
      <c r="AN86" s="1262"/>
      <c r="AO86" s="1262"/>
      <c r="AP86" s="1262"/>
      <c r="AQ86" s="1262"/>
      <c r="AR86" s="1262"/>
      <c r="AS86" s="1262"/>
      <c r="AT86" s="1262"/>
      <c r="AU86" s="20"/>
      <c r="AV86" s="20"/>
      <c r="AW86" s="20"/>
      <c r="AX86" s="20"/>
      <c r="AY86" s="20"/>
      <c r="AZ86" s="20"/>
      <c r="BD86" s="1248" t="s">
        <v>2576</v>
      </c>
      <c r="BE86" s="1249" t="str">
        <f>Application!O155</f>
        <v>City Manager</v>
      </c>
    </row>
    <row r="87" spans="1:57" ht="12.95" customHeight="1">
      <c r="A87" s="1262"/>
      <c r="B87" s="1262"/>
      <c r="C87" s="1262"/>
      <c r="D87" s="1262"/>
      <c r="E87" s="1262"/>
      <c r="F87" s="1262"/>
      <c r="G87" s="1262"/>
      <c r="H87" s="1262"/>
      <c r="I87" s="1262"/>
      <c r="J87" s="1262"/>
      <c r="K87" s="1262"/>
      <c r="L87" s="1262"/>
      <c r="M87" s="1262"/>
      <c r="N87" s="1262"/>
      <c r="O87" s="1262"/>
      <c r="P87" s="1262"/>
      <c r="Q87" s="1262"/>
      <c r="R87" s="1262"/>
      <c r="S87" s="1262"/>
      <c r="T87" s="1262"/>
      <c r="U87" s="1262"/>
      <c r="V87" s="1262"/>
      <c r="W87" s="1262"/>
      <c r="X87" s="1262"/>
      <c r="Y87" s="1262"/>
      <c r="Z87" s="1262"/>
      <c r="AA87" s="1262"/>
      <c r="AB87" s="1262"/>
      <c r="AC87" s="1262"/>
      <c r="AD87" s="1262"/>
      <c r="AE87" s="1262"/>
      <c r="AF87" s="1262"/>
      <c r="AG87" s="1262"/>
      <c r="AH87" s="1262"/>
      <c r="AI87" s="1262"/>
      <c r="AJ87" s="1262"/>
      <c r="AK87" s="1262"/>
      <c r="AL87" s="1262"/>
      <c r="AM87" s="1262"/>
      <c r="AN87" s="1262"/>
      <c r="AO87" s="1262"/>
      <c r="AP87" s="1262"/>
      <c r="AQ87" s="1262"/>
      <c r="AR87" s="1262"/>
      <c r="AS87" s="1262"/>
      <c r="AT87" s="1262"/>
      <c r="AU87" s="20"/>
      <c r="AV87" s="20"/>
      <c r="AW87" s="20"/>
      <c r="AX87" s="20"/>
      <c r="AY87" s="20"/>
      <c r="AZ87" s="20"/>
      <c r="BD87" s="1247" t="s">
        <v>2577</v>
      </c>
      <c r="BE87" s="1249" t="str">
        <f>Application!O156</f>
        <v>501 Poli St, Room 133</v>
      </c>
    </row>
    <row r="88" spans="1:57"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D88" s="1248" t="s">
        <v>2578</v>
      </c>
      <c r="BE88" s="1249" t="str">
        <f>Application!O157</f>
        <v>Ventura</v>
      </c>
    </row>
    <row r="89" spans="1:57" ht="12.95" customHeight="1">
      <c r="A89" s="1787" t="s">
        <v>2164</v>
      </c>
      <c r="B89" s="1787"/>
      <c r="C89" s="1787"/>
      <c r="D89" s="1787"/>
      <c r="E89" s="1787"/>
      <c r="F89" s="1787"/>
      <c r="G89" s="1787"/>
      <c r="H89" s="1787"/>
      <c r="I89" s="1787"/>
      <c r="J89" s="1787"/>
      <c r="K89" s="1787"/>
      <c r="L89" s="1787"/>
      <c r="M89" s="1787"/>
      <c r="N89" s="1787"/>
      <c r="O89" s="1787"/>
      <c r="P89" s="1787"/>
      <c r="Q89" s="1787"/>
      <c r="R89" s="1787"/>
      <c r="S89" s="1787"/>
      <c r="T89" s="1787"/>
      <c r="U89" s="1787"/>
      <c r="V89" s="1787"/>
      <c r="W89" s="1787"/>
      <c r="X89" s="1787"/>
      <c r="Y89" s="1787"/>
      <c r="Z89" s="1787"/>
      <c r="AA89" s="1787"/>
      <c r="AB89" s="1787"/>
      <c r="AC89" s="1787"/>
      <c r="AD89" s="1787"/>
      <c r="AE89" s="1787"/>
      <c r="AF89" s="1787"/>
      <c r="AG89" s="1787"/>
      <c r="AH89" s="1787"/>
      <c r="AI89" s="1787"/>
      <c r="AJ89" s="1787"/>
      <c r="AK89" s="1787"/>
      <c r="AL89" s="1787"/>
      <c r="AM89" s="1787"/>
      <c r="AN89" s="1787"/>
      <c r="AO89" s="1787"/>
      <c r="AP89" s="1787"/>
      <c r="AQ89" s="1787"/>
      <c r="AR89" s="1787"/>
      <c r="AS89" s="1787"/>
      <c r="AT89" s="1787"/>
      <c r="AU89" s="17"/>
      <c r="AV89" s="17"/>
      <c r="AW89" s="17"/>
      <c r="AX89" s="17"/>
      <c r="AY89" s="17"/>
      <c r="AZ89" s="20"/>
      <c r="BD89" s="1247" t="s">
        <v>2579</v>
      </c>
      <c r="BE89" s="1249">
        <f>Application!O158</f>
        <v>93001</v>
      </c>
    </row>
    <row r="90" spans="1:57" ht="12.95" customHeight="1">
      <c r="A90" s="1787"/>
      <c r="B90" s="1787"/>
      <c r="C90" s="1787"/>
      <c r="D90" s="1787"/>
      <c r="E90" s="1787"/>
      <c r="F90" s="1787"/>
      <c r="G90" s="1787"/>
      <c r="H90" s="1787"/>
      <c r="I90" s="1787"/>
      <c r="J90" s="1787"/>
      <c r="K90" s="1787"/>
      <c r="L90" s="1787"/>
      <c r="M90" s="1787"/>
      <c r="N90" s="1787"/>
      <c r="O90" s="1787"/>
      <c r="P90" s="1787"/>
      <c r="Q90" s="1787"/>
      <c r="R90" s="1787"/>
      <c r="S90" s="1787"/>
      <c r="T90" s="1787"/>
      <c r="U90" s="1787"/>
      <c r="V90" s="1787"/>
      <c r="W90" s="1787"/>
      <c r="X90" s="1787"/>
      <c r="Y90" s="1787"/>
      <c r="Z90" s="1787"/>
      <c r="AA90" s="1787"/>
      <c r="AB90" s="1787"/>
      <c r="AC90" s="1787"/>
      <c r="AD90" s="1787"/>
      <c r="AE90" s="1787"/>
      <c r="AF90" s="1787"/>
      <c r="AG90" s="1787"/>
      <c r="AH90" s="1787"/>
      <c r="AI90" s="1787"/>
      <c r="AJ90" s="1787"/>
      <c r="AK90" s="1787"/>
      <c r="AL90" s="1787"/>
      <c r="AM90" s="1787"/>
      <c r="AN90" s="1787"/>
      <c r="AO90" s="1787"/>
      <c r="AP90" s="1787"/>
      <c r="AQ90" s="1787"/>
      <c r="AR90" s="1787"/>
      <c r="AS90" s="1787"/>
      <c r="AT90" s="1787"/>
      <c r="AU90" s="17"/>
      <c r="AV90" s="17"/>
      <c r="AW90" s="17"/>
      <c r="AX90" s="17"/>
      <c r="AY90" s="17"/>
      <c r="AZ90" s="20"/>
      <c r="BD90" s="1248" t="s">
        <v>2580</v>
      </c>
      <c r="BE90" s="1249" t="str">
        <f>Application!H16</f>
        <v>Affordable Housing Access, Inc.</v>
      </c>
    </row>
    <row r="91" spans="1:57"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c r="BD91" s="1247" t="s">
        <v>2581</v>
      </c>
      <c r="BE91" s="1249" t="str">
        <f>Application!M233</f>
        <v>3920 Birch Street, Suite 103</v>
      </c>
    </row>
    <row r="92" spans="1:57" ht="12.95" customHeight="1">
      <c r="A92" s="1788" t="s">
        <v>2165</v>
      </c>
      <c r="B92" s="1788"/>
      <c r="C92" s="1788"/>
      <c r="D92" s="1788"/>
      <c r="E92" s="1788"/>
      <c r="F92" s="1788"/>
      <c r="G92" s="1788"/>
      <c r="H92" s="1788"/>
      <c r="I92" s="1788"/>
      <c r="J92" s="1788"/>
      <c r="K92" s="1788"/>
      <c r="L92" s="1788"/>
      <c r="M92" s="1788"/>
      <c r="N92" s="1788"/>
      <c r="O92" s="1788"/>
      <c r="P92" s="1788"/>
      <c r="Q92" s="1788"/>
      <c r="R92" s="1788"/>
      <c r="S92" s="1788"/>
      <c r="T92" s="1788"/>
      <c r="U92" s="1788"/>
      <c r="V92" s="1788"/>
      <c r="W92" s="1788"/>
      <c r="X92" s="1788"/>
      <c r="Y92" s="1788"/>
      <c r="Z92" s="1788"/>
      <c r="AA92" s="1788"/>
      <c r="AB92" s="1788"/>
      <c r="AC92" s="1788"/>
      <c r="AD92" s="1788"/>
      <c r="AE92" s="1788"/>
      <c r="AF92" s="1788"/>
      <c r="AG92" s="1788"/>
      <c r="AH92" s="1788"/>
      <c r="AI92" s="1788"/>
      <c r="AJ92" s="1788"/>
      <c r="AK92" s="1788"/>
      <c r="AL92" s="1788"/>
      <c r="AM92" s="1788"/>
      <c r="AN92" s="1788"/>
      <c r="AO92" s="1788"/>
      <c r="AP92" s="1788"/>
      <c r="AQ92" s="1788"/>
      <c r="AR92" s="1788"/>
      <c r="AS92" s="1788"/>
      <c r="AT92" s="1788"/>
      <c r="AU92" s="20"/>
      <c r="AV92" s="20"/>
      <c r="AW92" s="20"/>
      <c r="AX92" s="20"/>
      <c r="AY92" s="20"/>
      <c r="AZ92" s="20"/>
      <c r="BD92" s="1248" t="s">
        <v>2582</v>
      </c>
      <c r="BE92" s="1249" t="str">
        <f>Application!M234</f>
        <v>Newport Beach</v>
      </c>
    </row>
    <row r="93" spans="1:57" ht="12.95" customHeight="1">
      <c r="A93" s="1788"/>
      <c r="B93" s="1788"/>
      <c r="C93" s="1788"/>
      <c r="D93" s="1788"/>
      <c r="E93" s="1788"/>
      <c r="F93" s="1788"/>
      <c r="G93" s="1788"/>
      <c r="H93" s="1788"/>
      <c r="I93" s="1788"/>
      <c r="J93" s="1788"/>
      <c r="K93" s="1788"/>
      <c r="L93" s="1788"/>
      <c r="M93" s="1788"/>
      <c r="N93" s="1788"/>
      <c r="O93" s="1788"/>
      <c r="P93" s="1788"/>
      <c r="Q93" s="1788"/>
      <c r="R93" s="1788"/>
      <c r="S93" s="1788"/>
      <c r="T93" s="1788"/>
      <c r="U93" s="1788"/>
      <c r="V93" s="1788"/>
      <c r="W93" s="1788"/>
      <c r="X93" s="1788"/>
      <c r="Y93" s="1788"/>
      <c r="Z93" s="1788"/>
      <c r="AA93" s="1788"/>
      <c r="AB93" s="1788"/>
      <c r="AC93" s="1788"/>
      <c r="AD93" s="1788"/>
      <c r="AE93" s="1788"/>
      <c r="AF93" s="1788"/>
      <c r="AG93" s="1788"/>
      <c r="AH93" s="1788"/>
      <c r="AI93" s="1788"/>
      <c r="AJ93" s="1788"/>
      <c r="AK93" s="1788"/>
      <c r="AL93" s="1788"/>
      <c r="AM93" s="1788"/>
      <c r="AN93" s="1788"/>
      <c r="AO93" s="1788"/>
      <c r="AP93" s="1788"/>
      <c r="AQ93" s="1788"/>
      <c r="AR93" s="1788"/>
      <c r="AS93" s="1788"/>
      <c r="AT93" s="1788"/>
      <c r="AU93" s="20"/>
      <c r="AV93" s="20"/>
      <c r="AW93" s="20"/>
      <c r="AX93" s="20"/>
      <c r="AY93" s="20"/>
      <c r="AZ93" s="20"/>
      <c r="BD93" s="1247" t="s">
        <v>2583</v>
      </c>
      <c r="BE93" s="1249" t="str">
        <f>Application!W234</f>
        <v>CA</v>
      </c>
    </row>
    <row r="94" spans="1:57" ht="12.95" customHeight="1">
      <c r="A94" s="1788"/>
      <c r="B94" s="1788"/>
      <c r="C94" s="1788"/>
      <c r="D94" s="1788"/>
      <c r="E94" s="1788"/>
      <c r="F94" s="1788"/>
      <c r="G94" s="1788"/>
      <c r="H94" s="1788"/>
      <c r="I94" s="1788"/>
      <c r="J94" s="1788"/>
      <c r="K94" s="1788"/>
      <c r="L94" s="1788"/>
      <c r="M94" s="1788"/>
      <c r="N94" s="1788"/>
      <c r="O94" s="1788"/>
      <c r="P94" s="1788"/>
      <c r="Q94" s="1788"/>
      <c r="R94" s="1788"/>
      <c r="S94" s="1788"/>
      <c r="T94" s="1788"/>
      <c r="U94" s="1788"/>
      <c r="V94" s="1788"/>
      <c r="W94" s="1788"/>
      <c r="X94" s="1788"/>
      <c r="Y94" s="1788"/>
      <c r="Z94" s="1788"/>
      <c r="AA94" s="1788"/>
      <c r="AB94" s="1788"/>
      <c r="AC94" s="1788"/>
      <c r="AD94" s="1788"/>
      <c r="AE94" s="1788"/>
      <c r="AF94" s="1788"/>
      <c r="AG94" s="1788"/>
      <c r="AH94" s="1788"/>
      <c r="AI94" s="1788"/>
      <c r="AJ94" s="1788"/>
      <c r="AK94" s="1788"/>
      <c r="AL94" s="1788"/>
      <c r="AM94" s="1788"/>
      <c r="AN94" s="1788"/>
      <c r="AO94" s="1788"/>
      <c r="AP94" s="1788"/>
      <c r="AQ94" s="1788"/>
      <c r="AR94" s="1788"/>
      <c r="AS94" s="1788"/>
      <c r="AT94" s="1788"/>
      <c r="AU94" s="20"/>
      <c r="AV94" s="20"/>
      <c r="AW94" s="20"/>
      <c r="AX94" s="20"/>
      <c r="AY94" s="20"/>
      <c r="AZ94" s="20"/>
      <c r="BD94" s="1248" t="s">
        <v>2584</v>
      </c>
      <c r="BE94" s="1249">
        <f>Application!AC234</f>
        <v>0</v>
      </c>
    </row>
    <row r="95" spans="1:57" ht="12.95" customHeight="1">
      <c r="A95" s="1788"/>
      <c r="B95" s="1788"/>
      <c r="C95" s="1788"/>
      <c r="D95" s="1788"/>
      <c r="E95" s="1788"/>
      <c r="F95" s="1788"/>
      <c r="G95" s="1788"/>
      <c r="H95" s="1788"/>
      <c r="I95" s="1788"/>
      <c r="J95" s="1788"/>
      <c r="K95" s="1788"/>
      <c r="L95" s="1788"/>
      <c r="M95" s="1788"/>
      <c r="N95" s="1788"/>
      <c r="O95" s="1788"/>
      <c r="P95" s="1788"/>
      <c r="Q95" s="1788"/>
      <c r="R95" s="1788"/>
      <c r="S95" s="1788"/>
      <c r="T95" s="1788"/>
      <c r="U95" s="1788"/>
      <c r="V95" s="1788"/>
      <c r="W95" s="1788"/>
      <c r="X95" s="1788"/>
      <c r="Y95" s="1788"/>
      <c r="Z95" s="1788"/>
      <c r="AA95" s="1788"/>
      <c r="AB95" s="1788"/>
      <c r="AC95" s="1788"/>
      <c r="AD95" s="1788"/>
      <c r="AE95" s="1788"/>
      <c r="AF95" s="1788"/>
      <c r="AG95" s="1788"/>
      <c r="AH95" s="1788"/>
      <c r="AI95" s="1788"/>
      <c r="AJ95" s="1788"/>
      <c r="AK95" s="1788"/>
      <c r="AL95" s="1788"/>
      <c r="AM95" s="1788"/>
      <c r="AN95" s="1788"/>
      <c r="AO95" s="1788"/>
      <c r="AP95" s="1788"/>
      <c r="AQ95" s="1788"/>
      <c r="AR95" s="1788"/>
      <c r="AS95" s="1788"/>
      <c r="AT95" s="1788"/>
      <c r="AU95" s="20"/>
      <c r="AV95" s="20"/>
      <c r="AW95" s="20"/>
      <c r="AX95" s="20"/>
      <c r="AY95" s="20"/>
      <c r="AZ95" s="20"/>
      <c r="BD95" s="1247" t="s">
        <v>2585</v>
      </c>
      <c r="BE95" s="1249" t="str">
        <f>Application!M235</f>
        <v>Shawn Boyd</v>
      </c>
    </row>
    <row r="96" spans="1:57" ht="12.95" customHeight="1">
      <c r="A96" s="1788"/>
      <c r="B96" s="1788"/>
      <c r="C96" s="1788"/>
      <c r="D96" s="1788"/>
      <c r="E96" s="1788"/>
      <c r="F96" s="1788"/>
      <c r="G96" s="1788"/>
      <c r="H96" s="1788"/>
      <c r="I96" s="1788"/>
      <c r="J96" s="1788"/>
      <c r="K96" s="1788"/>
      <c r="L96" s="1788"/>
      <c r="M96" s="1788"/>
      <c r="N96" s="1788"/>
      <c r="O96" s="1788"/>
      <c r="P96" s="1788"/>
      <c r="Q96" s="1788"/>
      <c r="R96" s="1788"/>
      <c r="S96" s="1788"/>
      <c r="T96" s="1788"/>
      <c r="U96" s="1788"/>
      <c r="V96" s="1788"/>
      <c r="W96" s="1788"/>
      <c r="X96" s="1788"/>
      <c r="Y96" s="1788"/>
      <c r="Z96" s="1788"/>
      <c r="AA96" s="1788"/>
      <c r="AB96" s="1788"/>
      <c r="AC96" s="1788"/>
      <c r="AD96" s="1788"/>
      <c r="AE96" s="1788"/>
      <c r="AF96" s="1788"/>
      <c r="AG96" s="1788"/>
      <c r="AH96" s="1788"/>
      <c r="AI96" s="1788"/>
      <c r="AJ96" s="1788"/>
      <c r="AK96" s="1788"/>
      <c r="AL96" s="1788"/>
      <c r="AM96" s="1788"/>
      <c r="AN96" s="1788"/>
      <c r="AO96" s="1788"/>
      <c r="AP96" s="1788"/>
      <c r="AQ96" s="1788"/>
      <c r="AR96" s="1788"/>
      <c r="AS96" s="1788"/>
      <c r="AT96" s="1788"/>
      <c r="AU96" s="20"/>
      <c r="AV96" s="20"/>
      <c r="AW96" s="20"/>
      <c r="AX96" s="20"/>
      <c r="AY96" s="20"/>
      <c r="AZ96" s="20"/>
      <c r="BD96" s="1248" t="s">
        <v>2586</v>
      </c>
      <c r="BE96" s="1249" t="str">
        <f>Application!M237</f>
        <v>Sboyd@ahaccess.org</v>
      </c>
    </row>
    <row r="97" spans="1:57" ht="12.95" customHeight="1">
      <c r="A97" s="1788"/>
      <c r="B97" s="1788"/>
      <c r="C97" s="1788"/>
      <c r="D97" s="1788"/>
      <c r="E97" s="1788"/>
      <c r="F97" s="1788"/>
      <c r="G97" s="1788"/>
      <c r="H97" s="1788"/>
      <c r="I97" s="1788"/>
      <c r="J97" s="1788"/>
      <c r="K97" s="1788"/>
      <c r="L97" s="1788"/>
      <c r="M97" s="1788"/>
      <c r="N97" s="1788"/>
      <c r="O97" s="1788"/>
      <c r="P97" s="1788"/>
      <c r="Q97" s="1788"/>
      <c r="R97" s="1788"/>
      <c r="S97" s="1788"/>
      <c r="T97" s="1788"/>
      <c r="U97" s="1788"/>
      <c r="V97" s="1788"/>
      <c r="W97" s="1788"/>
      <c r="X97" s="1788"/>
      <c r="Y97" s="1788"/>
      <c r="Z97" s="1788"/>
      <c r="AA97" s="1788"/>
      <c r="AB97" s="1788"/>
      <c r="AC97" s="1788"/>
      <c r="AD97" s="1788"/>
      <c r="AE97" s="1788"/>
      <c r="AF97" s="1788"/>
      <c r="AG97" s="1788"/>
      <c r="AH97" s="1788"/>
      <c r="AI97" s="1788"/>
      <c r="AJ97" s="1788"/>
      <c r="AK97" s="1788"/>
      <c r="AL97" s="1788"/>
      <c r="AM97" s="1788"/>
      <c r="AN97" s="1788"/>
      <c r="AO97" s="1788"/>
      <c r="AP97" s="1788"/>
      <c r="AQ97" s="1788"/>
      <c r="AR97" s="1788"/>
      <c r="AS97" s="1788"/>
      <c r="AT97" s="1788"/>
      <c r="AU97" s="20"/>
      <c r="AV97" s="20"/>
      <c r="AW97" s="20"/>
      <c r="AX97" s="20"/>
      <c r="AY97" s="20"/>
      <c r="AZ97" s="20"/>
      <c r="BD97" s="1247" t="s">
        <v>2587</v>
      </c>
      <c r="BE97" s="1249" t="str">
        <f>Application!M248</f>
        <v>sboyd@ahaccess.org</v>
      </c>
    </row>
    <row r="98" spans="1:57" ht="12.95" customHeight="1">
      <c r="A98" s="1788"/>
      <c r="B98" s="1788"/>
      <c r="C98" s="1788"/>
      <c r="D98" s="1788"/>
      <c r="E98" s="1788"/>
      <c r="F98" s="1788"/>
      <c r="G98" s="1788"/>
      <c r="H98" s="1788"/>
      <c r="I98" s="1788"/>
      <c r="J98" s="1788"/>
      <c r="K98" s="1788"/>
      <c r="L98" s="1788"/>
      <c r="M98" s="1788"/>
      <c r="N98" s="1788"/>
      <c r="O98" s="1788"/>
      <c r="P98" s="1788"/>
      <c r="Q98" s="1788"/>
      <c r="R98" s="1788"/>
      <c r="S98" s="1788"/>
      <c r="T98" s="1788"/>
      <c r="U98" s="1788"/>
      <c r="V98" s="1788"/>
      <c r="W98" s="1788"/>
      <c r="X98" s="1788"/>
      <c r="Y98" s="1788"/>
      <c r="Z98" s="1788"/>
      <c r="AA98" s="1788"/>
      <c r="AB98" s="1788"/>
      <c r="AC98" s="1788"/>
      <c r="AD98" s="1788"/>
      <c r="AE98" s="1788"/>
      <c r="AF98" s="1788"/>
      <c r="AG98" s="1788"/>
      <c r="AH98" s="1788"/>
      <c r="AI98" s="1788"/>
      <c r="AJ98" s="1788"/>
      <c r="AK98" s="1788"/>
      <c r="AL98" s="1788"/>
      <c r="AM98" s="1788"/>
      <c r="AN98" s="1788"/>
      <c r="AO98" s="1788"/>
      <c r="AP98" s="1788"/>
      <c r="AQ98" s="1788"/>
      <c r="AR98" s="1788"/>
      <c r="AS98" s="1788"/>
      <c r="AT98" s="1788"/>
      <c r="AU98" s="20"/>
      <c r="AV98" s="20"/>
      <c r="AW98" s="20"/>
      <c r="AX98" s="20"/>
      <c r="AY98" s="20"/>
      <c r="AZ98" s="20"/>
      <c r="BD98" s="1248" t="s">
        <v>2588</v>
      </c>
      <c r="BE98" s="1249" t="str">
        <f>Application!M256</f>
        <v>rwu@rtacq.com</v>
      </c>
    </row>
    <row r="99" spans="1:57"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D99" s="1247" t="s">
        <v>2589</v>
      </c>
      <c r="BE99" s="1249" t="str">
        <f>Application!M264</f>
        <v>N/A</v>
      </c>
    </row>
    <row r="100" spans="1:57" ht="12.95" customHeight="1">
      <c r="A100" s="1789" t="s">
        <v>2166</v>
      </c>
      <c r="B100" s="1789"/>
      <c r="C100" s="1789"/>
      <c r="D100" s="1789"/>
      <c r="E100" s="1789"/>
      <c r="F100" s="1789"/>
      <c r="G100" s="1789"/>
      <c r="H100" s="1789"/>
      <c r="I100" s="1789"/>
      <c r="J100" s="1789"/>
      <c r="K100" s="1789"/>
      <c r="L100" s="1789"/>
      <c r="M100" s="1789"/>
      <c r="N100" s="1789"/>
      <c r="O100" s="1789"/>
      <c r="P100" s="1789"/>
      <c r="Q100" s="1789"/>
      <c r="R100" s="1789"/>
      <c r="S100" s="1789"/>
      <c r="T100" s="1789"/>
      <c r="U100" s="1789"/>
      <c r="V100" s="1789"/>
      <c r="W100" s="1789"/>
      <c r="X100" s="1789"/>
      <c r="Y100" s="1789"/>
      <c r="Z100" s="1789"/>
      <c r="AA100" s="1789"/>
      <c r="AB100" s="1789"/>
      <c r="AC100" s="1789"/>
      <c r="AD100" s="1789"/>
      <c r="AE100" s="1789"/>
      <c r="AF100" s="1789"/>
      <c r="AG100" s="1789"/>
      <c r="AH100" s="1789"/>
      <c r="AI100" s="1789"/>
      <c r="AJ100" s="1789"/>
      <c r="AK100" s="1789"/>
      <c r="AL100" s="1789"/>
      <c r="AM100" s="1789"/>
      <c r="AN100" s="1789"/>
      <c r="AO100" s="1789"/>
      <c r="AP100" s="1789"/>
      <c r="AQ100" s="1789"/>
      <c r="AR100" s="1789"/>
      <c r="AS100" s="1789"/>
      <c r="AT100" s="1789"/>
      <c r="AU100" s="20"/>
      <c r="AV100" s="20"/>
      <c r="AW100" s="20"/>
      <c r="AX100" s="20"/>
      <c r="AY100" s="20"/>
      <c r="AZ100" s="20"/>
      <c r="BD100" s="1248" t="s">
        <v>2590</v>
      </c>
      <c r="BE100" s="1249" t="str">
        <f>Application!L279</f>
        <v>william@kingdomdevelopment.net</v>
      </c>
    </row>
    <row r="101" spans="1:57" ht="12.95" customHeight="1">
      <c r="A101" s="1789"/>
      <c r="B101" s="1789"/>
      <c r="C101" s="1789"/>
      <c r="D101" s="1789"/>
      <c r="E101" s="1789"/>
      <c r="F101" s="1789"/>
      <c r="G101" s="1789"/>
      <c r="H101" s="1789"/>
      <c r="I101" s="1789"/>
      <c r="J101" s="1789"/>
      <c r="K101" s="1789"/>
      <c r="L101" s="1789"/>
      <c r="M101" s="1789"/>
      <c r="N101" s="1789"/>
      <c r="O101" s="1789"/>
      <c r="P101" s="1789"/>
      <c r="Q101" s="1789"/>
      <c r="R101" s="1789"/>
      <c r="S101" s="1789"/>
      <c r="T101" s="1789"/>
      <c r="U101" s="1789"/>
      <c r="V101" s="1789"/>
      <c r="W101" s="1789"/>
      <c r="X101" s="1789"/>
      <c r="Y101" s="1789"/>
      <c r="Z101" s="1789"/>
      <c r="AA101" s="1789"/>
      <c r="AB101" s="1789"/>
      <c r="AC101" s="1789"/>
      <c r="AD101" s="1789"/>
      <c r="AE101" s="1789"/>
      <c r="AF101" s="1789"/>
      <c r="AG101" s="1789"/>
      <c r="AH101" s="1789"/>
      <c r="AI101" s="1789"/>
      <c r="AJ101" s="1789"/>
      <c r="AK101" s="1789"/>
      <c r="AL101" s="1789"/>
      <c r="AM101" s="1789"/>
      <c r="AN101" s="1789"/>
      <c r="AO101" s="1789"/>
      <c r="AP101" s="1789"/>
      <c r="AQ101" s="1789"/>
      <c r="AR101" s="1789"/>
      <c r="AS101" s="1789"/>
      <c r="AT101" s="1789"/>
      <c r="AU101" s="20"/>
      <c r="AV101" s="20"/>
      <c r="AW101" s="20"/>
      <c r="AX101" s="20"/>
      <c r="AY101" s="20"/>
      <c r="AZ101" s="20"/>
      <c r="BD101" s="3" t="s">
        <v>2595</v>
      </c>
      <c r="BE101">
        <f>'Sources and Uses Budget'!C105</f>
        <v>50605110</v>
      </c>
    </row>
    <row r="102" spans="1:57" ht="12.95" customHeight="1">
      <c r="A102" s="1789"/>
      <c r="B102" s="1789"/>
      <c r="C102" s="1789"/>
      <c r="D102" s="1789"/>
      <c r="E102" s="1789"/>
      <c r="F102" s="1789"/>
      <c r="G102" s="1789"/>
      <c r="H102" s="1789"/>
      <c r="I102" s="1789"/>
      <c r="J102" s="1789"/>
      <c r="K102" s="1789"/>
      <c r="L102" s="1789"/>
      <c r="M102" s="1789"/>
      <c r="N102" s="1789"/>
      <c r="O102" s="1789"/>
      <c r="P102" s="1789"/>
      <c r="Q102" s="1789"/>
      <c r="R102" s="1789"/>
      <c r="S102" s="1789"/>
      <c r="T102" s="1789"/>
      <c r="U102" s="1789"/>
      <c r="V102" s="1789"/>
      <c r="W102" s="1789"/>
      <c r="X102" s="1789"/>
      <c r="Y102" s="1789"/>
      <c r="Z102" s="1789"/>
      <c r="AA102" s="1789"/>
      <c r="AB102" s="1789"/>
      <c r="AC102" s="1789"/>
      <c r="AD102" s="1789"/>
      <c r="AE102" s="1789"/>
      <c r="AF102" s="1789"/>
      <c r="AG102" s="1789"/>
      <c r="AH102" s="1789"/>
      <c r="AI102" s="1789"/>
      <c r="AJ102" s="1789"/>
      <c r="AK102" s="1789"/>
      <c r="AL102" s="1789"/>
      <c r="AM102" s="1789"/>
      <c r="AN102" s="1789"/>
      <c r="AO102" s="1789"/>
      <c r="AP102" s="1789"/>
      <c r="AQ102" s="1789"/>
      <c r="AR102" s="1789"/>
      <c r="AS102" s="1789"/>
      <c r="AT102" s="1789"/>
      <c r="AU102" s="20"/>
      <c r="AV102" s="20"/>
      <c r="AW102" s="20"/>
      <c r="AX102" s="20"/>
      <c r="AY102" s="20"/>
      <c r="AZ102" s="20"/>
      <c r="BD102" s="3" t="s">
        <v>2596</v>
      </c>
      <c r="BE102" t="b">
        <f>T197="Yes"</f>
        <v>0</v>
      </c>
    </row>
    <row r="103" spans="1:57" ht="12.95" customHeight="1">
      <c r="A103" s="1789"/>
      <c r="B103" s="1789"/>
      <c r="C103" s="1789"/>
      <c r="D103" s="1789"/>
      <c r="E103" s="1789"/>
      <c r="F103" s="1789"/>
      <c r="G103" s="1789"/>
      <c r="H103" s="1789"/>
      <c r="I103" s="1789"/>
      <c r="J103" s="1789"/>
      <c r="K103" s="1789"/>
      <c r="L103" s="1789"/>
      <c r="M103" s="1789"/>
      <c r="N103" s="1789"/>
      <c r="O103" s="1789"/>
      <c r="P103" s="1789"/>
      <c r="Q103" s="1789"/>
      <c r="R103" s="1789"/>
      <c r="S103" s="1789"/>
      <c r="T103" s="1789"/>
      <c r="U103" s="1789"/>
      <c r="V103" s="1789"/>
      <c r="W103" s="1789"/>
      <c r="X103" s="1789"/>
      <c r="Y103" s="1789"/>
      <c r="Z103" s="1789"/>
      <c r="AA103" s="1789"/>
      <c r="AB103" s="1789"/>
      <c r="AC103" s="1789"/>
      <c r="AD103" s="1789"/>
      <c r="AE103" s="1789"/>
      <c r="AF103" s="1789"/>
      <c r="AG103" s="1789"/>
      <c r="AH103" s="1789"/>
      <c r="AI103" s="1789"/>
      <c r="AJ103" s="1789"/>
      <c r="AK103" s="1789"/>
      <c r="AL103" s="1789"/>
      <c r="AM103" s="1789"/>
      <c r="AN103" s="1789"/>
      <c r="AO103" s="1789"/>
      <c r="AP103" s="1789"/>
      <c r="AQ103" s="1789"/>
      <c r="AR103" s="1789"/>
      <c r="AS103" s="1789"/>
      <c r="AT103" s="1789"/>
      <c r="AU103" s="20"/>
      <c r="AV103" s="20"/>
      <c r="AW103" s="20"/>
      <c r="AX103" s="20"/>
      <c r="AY103" s="20"/>
      <c r="BD103" t="s">
        <v>2176</v>
      </c>
      <c r="BE103" s="1249" t="b">
        <f>T199="Yes"</f>
        <v>0</v>
      </c>
    </row>
    <row r="104" spans="1:57"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7" ht="12.95" customHeight="1">
      <c r="A105" s="1789" t="s">
        <v>2167</v>
      </c>
      <c r="B105" s="1789"/>
      <c r="C105" s="1789"/>
      <c r="D105" s="1789"/>
      <c r="E105" s="1789"/>
      <c r="F105" s="1789"/>
      <c r="G105" s="1789"/>
      <c r="H105" s="1789"/>
      <c r="I105" s="1789"/>
      <c r="J105" s="1789"/>
      <c r="K105" s="1789"/>
      <c r="L105" s="1789"/>
      <c r="M105" s="1789"/>
      <c r="N105" s="1789"/>
      <c r="O105" s="1789"/>
      <c r="P105" s="1789"/>
      <c r="Q105" s="1789"/>
      <c r="R105" s="1789"/>
      <c r="S105" s="1789"/>
      <c r="T105" s="1789"/>
      <c r="U105" s="1789"/>
      <c r="V105" s="1789"/>
      <c r="W105" s="1789"/>
      <c r="X105" s="1789"/>
      <c r="Y105" s="1789"/>
      <c r="Z105" s="1789"/>
      <c r="AA105" s="1789"/>
      <c r="AB105" s="1789"/>
      <c r="AC105" s="1789"/>
      <c r="AD105" s="1789"/>
      <c r="AE105" s="1789"/>
      <c r="AF105" s="1789"/>
      <c r="AG105" s="1789"/>
      <c r="AH105" s="1789"/>
      <c r="AI105" s="1789"/>
      <c r="AJ105" s="1789"/>
      <c r="AK105" s="1789"/>
      <c r="AL105" s="1789"/>
      <c r="AM105" s="1789"/>
      <c r="AN105" s="1789"/>
      <c r="AO105" s="1789"/>
      <c r="AP105" s="1789"/>
      <c r="AQ105" s="1789"/>
      <c r="AR105" s="1789"/>
      <c r="AS105" s="1789"/>
      <c r="AT105" s="1789"/>
      <c r="AU105" s="20"/>
      <c r="AV105" s="20"/>
      <c r="AW105" s="20"/>
      <c r="AX105" s="20"/>
      <c r="AY105" s="20"/>
    </row>
    <row r="106" spans="1:57" ht="12.95" customHeight="1">
      <c r="A106" s="1789"/>
      <c r="B106" s="1789"/>
      <c r="C106" s="1789"/>
      <c r="D106" s="1789"/>
      <c r="E106" s="1789"/>
      <c r="F106" s="1789"/>
      <c r="G106" s="1789"/>
      <c r="H106" s="1789"/>
      <c r="I106" s="1789"/>
      <c r="J106" s="1789"/>
      <c r="K106" s="1789"/>
      <c r="L106" s="1789"/>
      <c r="M106" s="1789"/>
      <c r="N106" s="1789"/>
      <c r="O106" s="1789"/>
      <c r="P106" s="1789"/>
      <c r="Q106" s="1789"/>
      <c r="R106" s="1789"/>
      <c r="S106" s="1789"/>
      <c r="T106" s="1789"/>
      <c r="U106" s="1789"/>
      <c r="V106" s="1789"/>
      <c r="W106" s="1789"/>
      <c r="X106" s="1789"/>
      <c r="Y106" s="1789"/>
      <c r="Z106" s="1789"/>
      <c r="AA106" s="1789"/>
      <c r="AB106" s="1789"/>
      <c r="AC106" s="1789"/>
      <c r="AD106" s="1789"/>
      <c r="AE106" s="1789"/>
      <c r="AF106" s="1789"/>
      <c r="AG106" s="1789"/>
      <c r="AH106" s="1789"/>
      <c r="AI106" s="1789"/>
      <c r="AJ106" s="1789"/>
      <c r="AK106" s="1789"/>
      <c r="AL106" s="1789"/>
      <c r="AM106" s="1789"/>
      <c r="AN106" s="1789"/>
      <c r="AO106" s="1789"/>
      <c r="AP106" s="1789"/>
      <c r="AQ106" s="1789"/>
      <c r="AR106" s="1789"/>
      <c r="AS106" s="1789"/>
      <c r="AT106" s="1789"/>
      <c r="AU106" s="20"/>
      <c r="AV106" s="20"/>
      <c r="AW106" s="20"/>
      <c r="AX106" s="20"/>
      <c r="AY106" s="20"/>
    </row>
    <row r="107" spans="1:57" ht="12.95" customHeight="1">
      <c r="A107" s="517"/>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7" ht="12.95" customHeight="1">
      <c r="A108" s="517" t="s">
        <v>2168</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7"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7" ht="12.95" customHeight="1">
      <c r="A110" s="517"/>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7" ht="12.95" customHeight="1">
      <c r="A111" s="517"/>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7" ht="12.95" customHeight="1">
      <c r="A112" s="517"/>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117" ht="12.95" customHeight="1">
      <c r="A113" s="289"/>
      <c r="C113" s="3" t="s">
        <v>180</v>
      </c>
      <c r="G113" s="1790"/>
      <c r="H113" s="1790"/>
      <c r="I113" s="3" t="s">
        <v>181</v>
      </c>
      <c r="L113" s="1790"/>
      <c r="M113" s="1790"/>
      <c r="N113" s="1790"/>
      <c r="O113" s="1790"/>
      <c r="P113" s="1796" t="s">
        <v>2241</v>
      </c>
      <c r="Q113" s="1796"/>
      <c r="R113" s="1796"/>
      <c r="S113" s="1796"/>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117"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117" ht="12.95" customHeight="1">
      <c r="A115" s="91"/>
      <c r="C115" s="1801"/>
      <c r="D115" s="1801"/>
      <c r="E115" s="1801"/>
      <c r="F115" s="1801"/>
      <c r="G115" s="1801"/>
      <c r="H115" s="1801"/>
      <c r="I115" s="1801"/>
      <c r="J115" s="1801"/>
      <c r="K115" s="1801"/>
      <c r="L115" s="202" t="s">
        <v>627</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117"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117" ht="12.95" customHeight="1">
      <c r="A117" s="91"/>
      <c r="B117" s="22"/>
      <c r="C117" s="22"/>
      <c r="X117" s="3" t="s">
        <v>628</v>
      </c>
      <c r="Y117" s="1790"/>
      <c r="Z117" s="1790"/>
      <c r="AA117" s="1790"/>
      <c r="AB117" s="1790"/>
      <c r="AC117" s="1790"/>
      <c r="AD117" s="1790"/>
      <c r="AE117" s="1790"/>
      <c r="AF117" s="1790"/>
      <c r="AG117" s="1790"/>
      <c r="AH117" s="1790"/>
      <c r="AI117" s="1790"/>
      <c r="AJ117" s="1790"/>
      <c r="AK117" s="1790"/>
    </row>
    <row r="118" spans="1:117" ht="12.95" customHeight="1">
      <c r="X118" s="3"/>
      <c r="Y118" s="3"/>
      <c r="Z118" s="3" t="s">
        <v>629</v>
      </c>
      <c r="AA118" s="3"/>
      <c r="AB118" s="3"/>
      <c r="AC118" s="3"/>
      <c r="AD118" s="3"/>
      <c r="AE118" s="3"/>
      <c r="AF118" s="3"/>
      <c r="AG118" s="3"/>
      <c r="AH118" s="3"/>
      <c r="AI118" s="3"/>
      <c r="AJ118" s="3"/>
      <c r="AK118" s="3"/>
    </row>
    <row r="119" spans="1:117"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117" ht="12.95" customHeight="1">
      <c r="A120" s="91"/>
      <c r="B120" s="3"/>
      <c r="P120" s="3"/>
      <c r="Q120" s="3"/>
      <c r="R120" s="3"/>
      <c r="S120" s="3"/>
      <c r="T120" s="3"/>
      <c r="U120" s="3"/>
      <c r="V120" s="3"/>
      <c r="W120" s="3"/>
      <c r="X120" s="3"/>
      <c r="Y120" s="1790" t="s">
        <v>2610</v>
      </c>
      <c r="Z120" s="1790"/>
      <c r="AA120" s="1790"/>
      <c r="AB120" s="1790"/>
      <c r="AC120" s="1790"/>
      <c r="AD120" s="1790"/>
      <c r="AE120" s="1790"/>
      <c r="AF120" s="1790"/>
      <c r="AG120" s="1790"/>
      <c r="AH120" s="1790"/>
      <c r="AI120" s="1790"/>
      <c r="AJ120" s="1790"/>
      <c r="AK120" s="1790"/>
      <c r="AL120" s="3"/>
      <c r="AM120" s="3"/>
      <c r="AN120" s="3"/>
      <c r="AO120" s="3"/>
      <c r="AP120" s="3"/>
      <c r="AQ120" s="3"/>
      <c r="AR120" s="3"/>
      <c r="AS120" s="3"/>
      <c r="AT120" s="3"/>
      <c r="AU120" s="3"/>
      <c r="AV120" s="3"/>
      <c r="AW120" s="3"/>
      <c r="AX120" s="3"/>
      <c r="AY120" s="3"/>
    </row>
    <row r="121" spans="1:117" ht="12.95" customHeight="1">
      <c r="A121" s="3"/>
      <c r="B121" s="3"/>
      <c r="P121" s="3"/>
      <c r="Q121" s="3"/>
      <c r="R121" s="3"/>
      <c r="S121" s="3"/>
      <c r="T121" s="3"/>
      <c r="U121" s="3"/>
      <c r="V121" s="3"/>
      <c r="W121" s="3"/>
      <c r="X121" s="3"/>
      <c r="Y121" s="3"/>
      <c r="Z121" s="3" t="s">
        <v>630</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117" ht="12.95" customHeight="1">
      <c r="A122" s="3"/>
      <c r="B122" s="3"/>
      <c r="T122" s="3"/>
      <c r="U122" s="3"/>
      <c r="V122" s="3"/>
      <c r="W122" s="3"/>
      <c r="AL122" s="3"/>
      <c r="AM122" s="3"/>
      <c r="AN122" s="3"/>
      <c r="AO122" s="3"/>
      <c r="AP122" s="3"/>
      <c r="AQ122" s="3"/>
      <c r="AR122" s="3"/>
      <c r="AS122" s="3"/>
      <c r="AT122" s="3"/>
      <c r="AU122" s="3"/>
      <c r="AV122" s="3"/>
      <c r="AW122" s="3"/>
      <c r="AX122" s="3"/>
      <c r="AY122" s="3"/>
      <c r="CQ122" s="14" t="s">
        <v>632</v>
      </c>
      <c r="CR122" s="14"/>
      <c r="CS122" s="14"/>
      <c r="CT122" s="14"/>
      <c r="CU122" s="1657" t="s">
        <v>469</v>
      </c>
      <c r="CV122" s="1658"/>
      <c r="CW122" s="14"/>
      <c r="CX122" s="14" t="s">
        <v>634</v>
      </c>
      <c r="CY122" s="14"/>
      <c r="CZ122" s="14"/>
      <c r="DA122" s="14"/>
      <c r="DB122" s="14"/>
      <c r="DC122" s="14"/>
      <c r="DD122" s="14"/>
      <c r="DE122" s="14"/>
      <c r="DF122" s="14"/>
      <c r="DG122" s="1654" t="str">
        <f>T189</f>
        <v>Ventura</v>
      </c>
      <c r="DH122" s="1655"/>
      <c r="DI122" s="1655"/>
      <c r="DJ122" s="1655"/>
      <c r="DK122" s="1655"/>
      <c r="DL122" s="1655"/>
      <c r="DM122" s="1656"/>
    </row>
    <row r="123" spans="1:117" ht="12.95" customHeight="1">
      <c r="A123" s="3"/>
      <c r="B123" s="3"/>
      <c r="T123" s="3"/>
      <c r="U123" s="3"/>
      <c r="V123" s="3"/>
      <c r="W123" s="3"/>
      <c r="X123" s="3"/>
      <c r="Y123" s="1790" t="s">
        <v>2611</v>
      </c>
      <c r="Z123" s="1790"/>
      <c r="AA123" s="1790"/>
      <c r="AB123" s="1790"/>
      <c r="AC123" s="1790"/>
      <c r="AD123" s="1790"/>
      <c r="AE123" s="1790"/>
      <c r="AF123" s="1790"/>
      <c r="AG123" s="1790"/>
      <c r="AH123" s="1790"/>
      <c r="AI123" s="1790"/>
      <c r="AJ123" s="1790"/>
      <c r="AK123" s="1790"/>
      <c r="AL123" s="3"/>
      <c r="AM123" s="3"/>
      <c r="AN123" s="3"/>
      <c r="AO123" s="3"/>
      <c r="AP123" s="3"/>
      <c r="AQ123" s="3"/>
      <c r="AR123" s="3"/>
      <c r="AS123" s="3"/>
      <c r="AT123" s="3"/>
      <c r="AU123" s="3"/>
      <c r="AV123" s="3"/>
      <c r="AW123" s="3"/>
      <c r="AX123" s="3"/>
      <c r="AY123" s="3"/>
      <c r="DJ123" s="3"/>
      <c r="DK123" s="3"/>
      <c r="DL123" s="3"/>
      <c r="DM123" s="3"/>
    </row>
    <row r="124" spans="1:117" ht="12.95" customHeight="1">
      <c r="A124" s="3"/>
      <c r="B124" s="3"/>
      <c r="T124" s="3"/>
      <c r="U124" s="3"/>
      <c r="V124" s="3"/>
      <c r="W124" s="3"/>
      <c r="X124" s="3"/>
      <c r="Y124" s="3"/>
      <c r="Z124" s="3" t="s">
        <v>631</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CQ124" s="14"/>
      <c r="CR124" s="14"/>
      <c r="CS124" s="14"/>
      <c r="CT124" s="14"/>
      <c r="CU124" s="69" t="s">
        <v>469</v>
      </c>
      <c r="CV124" s="14"/>
      <c r="CW124" s="14"/>
      <c r="CX124" s="14"/>
      <c r="CY124" s="14"/>
      <c r="CZ124" s="14"/>
      <c r="DA124" s="14"/>
      <c r="DB124" s="14"/>
      <c r="DE124" s="32"/>
      <c r="DF124" s="32"/>
      <c r="DG124" s="32"/>
      <c r="DH124" s="32"/>
      <c r="DI124" s="32"/>
      <c r="DJ124" s="14"/>
      <c r="DK124" s="14"/>
      <c r="DL124" s="14"/>
      <c r="DM124" s="14"/>
    </row>
    <row r="125" spans="1:117" ht="12.95" customHeight="1">
      <c r="A125" s="3"/>
      <c r="B125" s="3"/>
      <c r="S125" s="3"/>
      <c r="T125" s="3"/>
      <c r="U125" s="3"/>
      <c r="V125" s="3"/>
      <c r="W125" s="3"/>
      <c r="AL125" s="3"/>
      <c r="AM125" s="3"/>
      <c r="AN125" s="3"/>
      <c r="AO125" s="3"/>
      <c r="AP125" s="3"/>
      <c r="AQ125" s="3"/>
      <c r="AR125" s="3"/>
      <c r="AS125" s="3"/>
      <c r="AT125" s="3"/>
      <c r="AU125" s="3"/>
      <c r="AV125" s="3"/>
      <c r="AW125" s="3"/>
      <c r="AX125" s="3"/>
      <c r="AY125" s="3"/>
      <c r="CQ125" s="14"/>
      <c r="CR125" s="14"/>
      <c r="CS125" s="14"/>
      <c r="CT125" s="14"/>
      <c r="CU125" s="69" t="s">
        <v>468</v>
      </c>
      <c r="CV125" s="4"/>
      <c r="CW125" s="14"/>
      <c r="CX125" s="14"/>
      <c r="CY125" s="14"/>
      <c r="CZ125" s="14"/>
      <c r="DA125" s="14"/>
      <c r="DB125" s="14"/>
      <c r="DE125" s="4"/>
      <c r="DF125" s="4"/>
      <c r="DG125" s="4"/>
      <c r="DH125" s="4"/>
      <c r="DI125" s="4"/>
      <c r="DJ125" s="4"/>
      <c r="DK125" s="4"/>
      <c r="DL125" s="4"/>
      <c r="DM125" s="4"/>
    </row>
    <row r="126" spans="1:117" ht="12.95" customHeight="1">
      <c r="CQ126" s="14"/>
      <c r="CR126" s="14"/>
      <c r="CS126" s="14"/>
      <c r="CT126" s="14"/>
      <c r="CU126" s="14"/>
      <c r="CV126" s="14"/>
      <c r="CW126" s="14"/>
      <c r="CX126" s="14"/>
      <c r="CY126" s="14"/>
      <c r="CZ126" s="14"/>
      <c r="DA126" s="14"/>
      <c r="DB126" s="14"/>
      <c r="DC126" s="69"/>
      <c r="DD126" s="4"/>
      <c r="DE126" s="4"/>
      <c r="DF126" s="4"/>
      <c r="DG126" s="4"/>
      <c r="DH126" s="4"/>
      <c r="DI126" s="4"/>
      <c r="DJ126" s="4"/>
      <c r="DK126" s="4"/>
      <c r="DL126" s="4"/>
      <c r="DM126" s="4"/>
    </row>
    <row r="127" spans="1:117" ht="12.95" customHeight="1">
      <c r="A127" s="3"/>
      <c r="B127" s="3"/>
      <c r="R127" s="3"/>
      <c r="S127" s="3"/>
      <c r="T127" s="3"/>
      <c r="U127" s="3"/>
      <c r="V127" s="3"/>
      <c r="W127" s="3"/>
      <c r="AL127" s="3"/>
      <c r="AM127" s="3"/>
      <c r="AN127" s="3"/>
      <c r="AO127" s="3"/>
      <c r="AP127" s="3"/>
      <c r="AQ127" s="3"/>
      <c r="AR127" s="3"/>
      <c r="AS127" s="3"/>
      <c r="AT127" s="3"/>
      <c r="AU127" s="3"/>
      <c r="AV127" s="3"/>
      <c r="AW127" s="3"/>
      <c r="AX127" s="3"/>
      <c r="AY127" s="3"/>
      <c r="CQ127" s="14"/>
      <c r="CR127" s="14"/>
      <c r="CS127" s="14"/>
      <c r="CT127" s="14"/>
      <c r="CU127" s="14"/>
      <c r="CV127" s="14"/>
      <c r="CW127" s="14"/>
      <c r="CX127" s="14"/>
      <c r="CY127" s="14"/>
      <c r="CZ127" s="14"/>
      <c r="DA127" s="14"/>
      <c r="DB127" s="14"/>
      <c r="DC127" s="69" t="s">
        <v>469</v>
      </c>
      <c r="DD127" s="4"/>
      <c r="DE127" s="4"/>
      <c r="DF127" s="4"/>
      <c r="DG127" s="4"/>
      <c r="DH127" s="4"/>
      <c r="DI127" s="4"/>
      <c r="DJ127" s="4"/>
      <c r="DK127" s="4"/>
      <c r="DL127" s="4"/>
      <c r="DM127" s="4"/>
    </row>
    <row r="128" spans="1:117" ht="12.95" customHeight="1">
      <c r="A128" s="354"/>
      <c r="AL128" s="354"/>
      <c r="AM128" s="354"/>
      <c r="AN128" s="354"/>
      <c r="AO128" s="354"/>
      <c r="AP128" s="354"/>
      <c r="AQ128" s="354"/>
      <c r="AR128" s="354"/>
      <c r="AS128" s="354"/>
      <c r="AT128" s="354"/>
      <c r="AU128" s="354"/>
      <c r="AV128" s="354"/>
      <c r="AW128" s="354"/>
      <c r="AX128" s="354"/>
      <c r="AY128" s="354"/>
    </row>
    <row r="129" spans="1:51" ht="12.95" customHeight="1">
      <c r="A129" s="354"/>
      <c r="B129" s="4"/>
      <c r="R129" s="6"/>
      <c r="S129" s="6"/>
      <c r="T129" s="6"/>
      <c r="U129" s="6"/>
      <c r="V129" s="6"/>
      <c r="W129" s="6"/>
      <c r="AL129" s="354"/>
      <c r="AM129" s="354"/>
      <c r="AN129" s="354"/>
      <c r="AO129" s="354"/>
      <c r="AP129" s="354"/>
      <c r="AQ129" s="354"/>
      <c r="AR129" s="354"/>
      <c r="AS129" s="354"/>
      <c r="AT129" s="354"/>
      <c r="AU129" s="354"/>
      <c r="AV129" s="354"/>
      <c r="AW129" s="354"/>
      <c r="AX129" s="354"/>
      <c r="AY129" s="354"/>
    </row>
    <row r="130" spans="1:51" ht="12.95"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customHeight="1">
      <c r="A131" s="3"/>
      <c r="AL131" s="3"/>
      <c r="AM131" s="3"/>
      <c r="AN131" s="3"/>
      <c r="AO131" s="3"/>
      <c r="AP131" s="3"/>
      <c r="AQ131" s="3"/>
      <c r="AR131" s="3"/>
      <c r="AS131" s="3"/>
      <c r="AT131" s="3"/>
      <c r="AU131" s="3"/>
      <c r="AV131" s="3"/>
      <c r="AW131" s="3"/>
      <c r="AX131" s="3"/>
      <c r="AY131" s="3"/>
    </row>
    <row r="132" spans="1:51" ht="12.95" customHeight="1">
      <c r="A132" s="3"/>
      <c r="B132" s="3"/>
      <c r="C132" s="3"/>
      <c r="D132" s="3"/>
      <c r="F132" s="202"/>
      <c r="G132" s="202"/>
      <c r="H132" s="202"/>
      <c r="I132" s="202"/>
      <c r="J132" s="202"/>
      <c r="K132" s="202"/>
      <c r="L132" s="202"/>
      <c r="M132" s="202"/>
      <c r="N132" s="3"/>
      <c r="P132" s="3"/>
      <c r="Q132" s="3"/>
      <c r="U132" s="3"/>
      <c r="V132" s="3"/>
      <c r="W132" s="3"/>
      <c r="AL132" s="3"/>
      <c r="AM132" s="3"/>
      <c r="AN132" s="3"/>
      <c r="AO132" s="3"/>
      <c r="AP132" s="3"/>
      <c r="AQ132" s="3"/>
      <c r="AR132" s="3"/>
      <c r="AS132" s="3"/>
      <c r="AT132" s="3"/>
      <c r="AU132" s="3"/>
      <c r="AV132" s="3"/>
      <c r="AW132" s="3"/>
      <c r="AX132" s="3"/>
      <c r="AY132" s="3"/>
    </row>
    <row r="133" spans="1:51" ht="12.95" customHeight="1">
      <c r="A133" s="3"/>
      <c r="W133" s="3"/>
      <c r="AL133" s="3"/>
      <c r="AM133" s="3"/>
      <c r="AN133" s="3"/>
      <c r="AO133" s="3"/>
      <c r="AP133" s="3"/>
      <c r="AQ133" s="3"/>
      <c r="AR133" s="3"/>
      <c r="AS133" s="3"/>
      <c r="AT133" s="3"/>
      <c r="AU133" s="3"/>
      <c r="AV133" s="3"/>
      <c r="AW133" s="3"/>
      <c r="AX133" s="3"/>
      <c r="AY133" s="3"/>
    </row>
    <row r="134" spans="1:51" ht="12.95"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customHeight="1">
      <c r="A135" s="3"/>
      <c r="M135" s="3"/>
      <c r="N135" s="3"/>
      <c r="O135" s="3"/>
      <c r="AK135" s="3"/>
      <c r="AL135" s="3"/>
      <c r="AM135" s="3"/>
      <c r="AN135" s="3"/>
      <c r="AO135" s="3"/>
      <c r="AP135" s="3"/>
      <c r="AQ135" s="3"/>
      <c r="AR135" s="3"/>
      <c r="AS135" s="3"/>
      <c r="AT135" s="3"/>
      <c r="AU135" s="3"/>
      <c r="AV135" s="3"/>
      <c r="AW135" s="3"/>
      <c r="AX135" s="3"/>
      <c r="AY135" s="3"/>
    </row>
    <row r="136" spans="1:51" ht="12.95"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customHeight="1">
      <c r="A139" s="3"/>
      <c r="B139" s="3"/>
      <c r="C139" s="3"/>
      <c r="D139" s="3"/>
      <c r="E139" s="3"/>
      <c r="F139" s="3"/>
      <c r="G139" s="3"/>
      <c r="H139" s="3"/>
      <c r="I139" s="3"/>
      <c r="J139" s="3"/>
      <c r="K139" s="3"/>
      <c r="L139" s="3"/>
      <c r="M139" s="3"/>
      <c r="N139" s="3"/>
      <c r="O139" s="3"/>
      <c r="P139" s="3"/>
      <c r="Q139" s="3"/>
      <c r="R139" s="3"/>
      <c r="S139" s="118"/>
      <c r="T139" s="455"/>
      <c r="U139" s="455"/>
      <c r="V139" s="455"/>
      <c r="W139" s="455"/>
      <c r="X139" s="455"/>
      <c r="Y139" s="455"/>
      <c r="Z139" s="455"/>
      <c r="AA139" s="455"/>
      <c r="AB139" s="455"/>
      <c r="AC139" s="455"/>
      <c r="AD139" s="455"/>
      <c r="AE139" s="455"/>
      <c r="AF139" s="455"/>
      <c r="AG139" s="455"/>
      <c r="AH139" s="455"/>
      <c r="AI139" s="455"/>
      <c r="AJ139" s="455"/>
      <c r="AK139" s="3"/>
      <c r="AL139" s="3"/>
      <c r="AM139" s="3"/>
      <c r="AN139" s="3"/>
      <c r="AO139" s="3"/>
      <c r="AP139" s="3"/>
      <c r="AQ139" s="3"/>
      <c r="AR139" s="3"/>
      <c r="AS139" s="3"/>
      <c r="AT139" s="3"/>
      <c r="AU139" s="3"/>
      <c r="AV139" s="3"/>
      <c r="AW139" s="3"/>
      <c r="AX139" s="3"/>
      <c r="AY139" s="3"/>
    </row>
    <row r="140" spans="1:51" ht="12.95" customHeight="1">
      <c r="A140" s="3"/>
      <c r="B140" s="119"/>
      <c r="C140" s="455"/>
      <c r="D140" s="455"/>
      <c r="E140" s="455"/>
      <c r="F140" s="455"/>
      <c r="G140" s="455"/>
      <c r="H140" s="455"/>
      <c r="I140" s="455"/>
      <c r="J140" s="455"/>
      <c r="K140" s="455"/>
      <c r="L140" s="455"/>
      <c r="M140" s="455"/>
      <c r="N140" s="455"/>
      <c r="O140" s="455"/>
      <c r="P140" s="455"/>
      <c r="Q140" s="455"/>
      <c r="R140" s="455"/>
      <c r="S140" s="455"/>
      <c r="T140" s="455"/>
      <c r="U140" s="455"/>
      <c r="V140" s="455"/>
      <c r="W140" s="455"/>
      <c r="X140" s="455"/>
      <c r="Y140" s="455"/>
      <c r="Z140" s="455"/>
      <c r="AA140" s="455"/>
      <c r="AB140" s="455"/>
      <c r="AC140" s="455"/>
      <c r="AD140" s="455"/>
      <c r="AE140" s="455"/>
      <c r="AF140" s="455"/>
      <c r="AG140" s="455"/>
      <c r="AH140" s="455"/>
      <c r="AI140" s="455"/>
      <c r="AJ140" s="455"/>
      <c r="AK140" s="3"/>
      <c r="AL140" s="3"/>
      <c r="AM140" s="3"/>
      <c r="AN140" s="3"/>
      <c r="AO140" s="3"/>
      <c r="AP140" s="3"/>
      <c r="AQ140" s="3"/>
      <c r="AR140" s="3"/>
      <c r="AS140" s="3"/>
      <c r="AT140" s="3"/>
      <c r="AU140" s="3"/>
      <c r="AV140" s="3"/>
      <c r="AW140" s="3"/>
      <c r="AX140" s="3"/>
      <c r="AY140" s="3"/>
    </row>
    <row r="141" spans="1:51" ht="12.95" customHeight="1">
      <c r="A141" s="3"/>
      <c r="B141" s="119"/>
      <c r="C141" s="455"/>
      <c r="D141" s="455"/>
      <c r="E141" s="455"/>
      <c r="F141" s="455"/>
      <c r="G141" s="455"/>
      <c r="H141" s="455"/>
      <c r="I141" s="455"/>
      <c r="J141" s="455"/>
      <c r="K141" s="455"/>
      <c r="L141" s="455"/>
      <c r="M141" s="455"/>
      <c r="N141" s="455"/>
      <c r="O141" s="455"/>
      <c r="P141" s="455"/>
      <c r="Q141" s="455"/>
      <c r="R141" s="455"/>
      <c r="S141" s="455"/>
      <c r="T141" s="455"/>
      <c r="U141" s="455"/>
      <c r="V141" s="455"/>
      <c r="W141" s="455"/>
      <c r="X141" s="455"/>
      <c r="Y141" s="455"/>
      <c r="Z141" s="455"/>
      <c r="AA141" s="455"/>
      <c r="AB141" s="455"/>
      <c r="AC141" s="455"/>
      <c r="AD141" s="455"/>
      <c r="AE141" s="455"/>
      <c r="AF141" s="455"/>
      <c r="AG141" s="455"/>
      <c r="AH141" s="455"/>
      <c r="AI141" s="455"/>
      <c r="AJ141" s="455"/>
      <c r="AK141" s="3"/>
      <c r="AL141" s="3"/>
      <c r="AM141" s="3"/>
      <c r="AN141" s="3"/>
      <c r="AO141" s="3"/>
      <c r="AP141" s="3"/>
      <c r="AQ141" s="3"/>
      <c r="AR141" s="3"/>
      <c r="AS141" s="3"/>
      <c r="AT141" s="3"/>
      <c r="AU141" s="3"/>
      <c r="AV141" s="3"/>
      <c r="AW141" s="3"/>
      <c r="AX141" s="3"/>
      <c r="AY141" s="3"/>
    </row>
    <row r="142" spans="1:51" ht="12.95" customHeight="1">
      <c r="A142" s="3"/>
      <c r="B142" s="119"/>
      <c r="C142" s="441"/>
      <c r="D142" s="441"/>
      <c r="E142" s="441"/>
      <c r="F142" s="441"/>
      <c r="G142" s="441"/>
      <c r="H142" s="441"/>
      <c r="I142" s="441"/>
      <c r="J142" s="441"/>
      <c r="K142" s="441"/>
      <c r="L142" s="441"/>
      <c r="M142" s="441"/>
      <c r="N142" s="441"/>
      <c r="O142" s="441"/>
      <c r="P142" s="441"/>
      <c r="Q142" s="441"/>
      <c r="R142" s="441"/>
      <c r="S142" s="441"/>
      <c r="T142" s="441"/>
      <c r="U142" s="441"/>
      <c r="V142" s="441"/>
      <c r="W142" s="441"/>
      <c r="X142" s="441"/>
      <c r="Y142" s="441"/>
      <c r="Z142" s="441"/>
      <c r="AA142" s="441"/>
      <c r="AB142" s="441"/>
      <c r="AC142" s="441"/>
      <c r="AD142" s="441"/>
      <c r="AE142" s="441"/>
      <c r="AF142" s="441"/>
      <c r="AG142" s="441"/>
      <c r="AH142" s="441"/>
      <c r="AI142" s="441"/>
      <c r="AJ142" s="441"/>
      <c r="AK142" s="3"/>
      <c r="AL142" s="3"/>
      <c r="AM142" s="3"/>
      <c r="AN142" s="3"/>
      <c r="AO142" s="3"/>
      <c r="AP142" s="3"/>
      <c r="AQ142" s="3"/>
      <c r="AR142" s="3"/>
      <c r="AS142" s="3"/>
      <c r="AT142" s="3"/>
      <c r="AU142" s="3"/>
      <c r="AV142" s="3"/>
      <c r="AW142" s="3"/>
      <c r="AX142" s="3"/>
      <c r="AY142" s="3"/>
    </row>
    <row r="143" spans="1:51" ht="12.95" customHeight="1">
      <c r="A143" s="3"/>
      <c r="D143" s="441"/>
      <c r="E143" s="441"/>
      <c r="F143" s="441"/>
      <c r="G143" s="441"/>
      <c r="H143" s="441"/>
      <c r="I143" s="441"/>
      <c r="J143" s="441"/>
      <c r="K143" s="441"/>
      <c r="L143" s="441"/>
      <c r="M143" s="441"/>
      <c r="N143" s="441"/>
      <c r="O143" s="441"/>
      <c r="P143" s="441"/>
      <c r="Q143" s="441"/>
      <c r="R143" s="441"/>
      <c r="S143" s="441"/>
      <c r="T143" s="441"/>
      <c r="U143" s="441"/>
      <c r="V143" s="441"/>
      <c r="W143" s="441"/>
      <c r="X143" s="441"/>
      <c r="Y143" s="441"/>
      <c r="Z143" s="441"/>
      <c r="AA143" s="441"/>
      <c r="AB143" s="441"/>
      <c r="AC143" s="441"/>
      <c r="AD143" s="441"/>
      <c r="AE143" s="441"/>
      <c r="AF143" s="441"/>
      <c r="AG143" s="441"/>
      <c r="AH143" s="441"/>
      <c r="AI143" s="441"/>
      <c r="AJ143" s="441"/>
      <c r="AK143" s="3"/>
      <c r="AL143" s="3"/>
      <c r="AM143" s="3"/>
      <c r="AN143" s="3"/>
      <c r="AO143" s="3"/>
      <c r="AP143" s="3"/>
      <c r="AQ143" s="3"/>
      <c r="AR143" s="3"/>
      <c r="AS143" s="3"/>
      <c r="AT143" s="3"/>
      <c r="AU143" s="3"/>
      <c r="AV143" s="3"/>
      <c r="AW143" s="3"/>
      <c r="AX143" s="3"/>
      <c r="AY143" s="3"/>
    </row>
    <row r="144" spans="1:51" ht="12.95" customHeight="1">
      <c r="A144" s="3"/>
      <c r="B144" s="519"/>
      <c r="C144" s="441"/>
      <c r="D144" s="441"/>
      <c r="E144" s="441"/>
      <c r="F144" s="441"/>
      <c r="G144" s="441"/>
      <c r="H144" s="441"/>
      <c r="I144" s="441"/>
      <c r="J144" s="441"/>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41"/>
      <c r="AJ144" s="441"/>
      <c r="AK144" s="3"/>
      <c r="AL144" s="3"/>
      <c r="AM144" s="3"/>
      <c r="AN144" s="3"/>
      <c r="AO144" s="3"/>
      <c r="AP144" s="3"/>
      <c r="AQ144" s="3"/>
      <c r="AR144" s="3"/>
      <c r="AS144" s="3"/>
      <c r="AT144" s="3"/>
      <c r="AU144" s="3"/>
      <c r="AV144" s="3"/>
      <c r="AW144" s="3"/>
      <c r="AX144" s="3"/>
      <c r="AY144" s="3"/>
    </row>
    <row r="145" spans="1:108" ht="12.95" customHeight="1">
      <c r="A145" s="3"/>
      <c r="B145" s="3"/>
      <c r="C145" s="441"/>
      <c r="D145" s="441"/>
      <c r="E145" s="441"/>
      <c r="F145" s="441"/>
      <c r="G145" s="441"/>
      <c r="H145" s="441"/>
      <c r="I145" s="441"/>
      <c r="J145" s="441"/>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41"/>
      <c r="AJ145" s="441"/>
      <c r="AK145" s="3"/>
      <c r="AL145" s="3"/>
      <c r="AM145" s="3"/>
      <c r="AN145" s="3"/>
      <c r="AO145" s="3"/>
      <c r="AP145" s="3"/>
      <c r="AQ145" s="3"/>
      <c r="AR145" s="3"/>
      <c r="AS145" s="3"/>
      <c r="AT145" s="3"/>
      <c r="AU145" s="3"/>
      <c r="AV145" s="3"/>
      <c r="AW145" s="3"/>
      <c r="AX145" s="3"/>
      <c r="AY145" s="3"/>
    </row>
    <row r="146" spans="1:108" ht="12.95" customHeight="1">
      <c r="A146" s="3"/>
      <c r="D146" s="441"/>
      <c r="E146" s="441"/>
      <c r="F146" s="441"/>
      <c r="G146" s="441"/>
      <c r="H146" s="441"/>
      <c r="I146" s="441"/>
      <c r="J146" s="441"/>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41"/>
      <c r="AJ146" s="441"/>
      <c r="AK146" s="3"/>
      <c r="AL146" s="3"/>
      <c r="AM146" s="3"/>
      <c r="AN146" s="3"/>
      <c r="AO146" s="3"/>
      <c r="AP146" s="3"/>
      <c r="AQ146" s="3"/>
      <c r="AR146" s="3"/>
      <c r="AS146" s="3"/>
      <c r="AT146" s="3"/>
      <c r="AU146" s="3"/>
      <c r="AV146" s="3"/>
      <c r="AW146" s="3"/>
      <c r="AX146" s="3"/>
      <c r="AY146" s="3"/>
    </row>
    <row r="147" spans="1:108" ht="12.95" customHeight="1">
      <c r="A147" s="3"/>
      <c r="B147" s="519"/>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108" ht="12.95"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BN148" s="3" t="s">
        <v>306</v>
      </c>
    </row>
    <row r="149" spans="1:108"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BM149">
        <v>1</v>
      </c>
      <c r="BN149" t="s">
        <v>875</v>
      </c>
    </row>
    <row r="150" spans="1:108" ht="12.95" customHeight="1">
      <c r="A150" s="3"/>
      <c r="B150" s="3"/>
      <c r="D150" s="3"/>
      <c r="E150" s="3"/>
      <c r="F150" s="1335"/>
      <c r="G150" s="1335"/>
      <c r="H150" s="1335"/>
      <c r="I150" s="1335"/>
      <c r="J150" s="1335"/>
      <c r="K150" s="1335"/>
      <c r="L150" s="1335"/>
      <c r="M150" s="1335"/>
      <c r="N150" s="1335"/>
      <c r="O150" s="1335"/>
      <c r="P150" s="1335"/>
      <c r="Q150" s="1335"/>
      <c r="R150" s="1335"/>
      <c r="S150" s="1335"/>
      <c r="T150" s="1335"/>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BM150">
        <v>2</v>
      </c>
      <c r="BN150" t="str">
        <f>IF(I189="Los Angeles",BN149,"Balance of Los Angeles County")</f>
        <v>Balance of Los Angeles County</v>
      </c>
    </row>
    <row r="151" spans="1:108"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BM151">
        <v>3</v>
      </c>
      <c r="BN151" s="3" t="s">
        <v>2463</v>
      </c>
    </row>
    <row r="152" spans="1:108" ht="12.95" customHeight="1">
      <c r="BM152">
        <v>4</v>
      </c>
      <c r="BN152" s="3" t="s">
        <v>2462</v>
      </c>
    </row>
    <row r="153" spans="1:108" ht="12.95" customHeight="1">
      <c r="D153" t="s">
        <v>645</v>
      </c>
      <c r="O153" s="1416" t="s">
        <v>2612</v>
      </c>
      <c r="P153" s="1417"/>
      <c r="Q153" s="1417"/>
      <c r="R153" s="1417"/>
      <c r="S153" s="1417"/>
      <c r="T153" s="1417"/>
      <c r="U153" s="1417"/>
      <c r="V153" s="1417"/>
      <c r="W153" s="1417"/>
      <c r="X153" s="1417"/>
      <c r="Y153" s="1417"/>
      <c r="Z153" s="1417"/>
      <c r="AA153" s="1417"/>
      <c r="AB153" s="1417"/>
      <c r="AC153" s="1417"/>
      <c r="AD153" s="1417"/>
      <c r="AE153" s="1417"/>
      <c r="AF153" s="1417"/>
      <c r="AG153" s="1417"/>
      <c r="AH153" s="1417"/>
      <c r="BM153">
        <v>5</v>
      </c>
      <c r="BN153" s="3" t="s">
        <v>2464</v>
      </c>
      <c r="CR153" s="31" t="s">
        <v>2597</v>
      </c>
      <c r="CS153" s="32"/>
      <c r="CT153" s="32"/>
      <c r="CU153" s="32"/>
      <c r="CV153" s="32"/>
      <c r="CW153" s="32"/>
      <c r="CX153" s="14"/>
      <c r="CY153" s="31" t="s">
        <v>2598</v>
      </c>
      <c r="CZ153" s="14"/>
      <c r="DA153" s="14"/>
      <c r="DB153" s="14"/>
      <c r="DC153" s="14"/>
      <c r="DD153" s="14"/>
    </row>
    <row r="154" spans="1:108" ht="12.95" customHeight="1">
      <c r="D154" s="303" t="s">
        <v>439</v>
      </c>
      <c r="O154" s="1546" t="s">
        <v>2756</v>
      </c>
      <c r="P154" s="1437"/>
      <c r="Q154" s="1437"/>
      <c r="R154" s="1437"/>
      <c r="S154" s="1437"/>
      <c r="T154" s="1437"/>
      <c r="U154" s="1437"/>
      <c r="V154" s="1437"/>
      <c r="W154" s="1437"/>
      <c r="X154" s="1437"/>
      <c r="Y154" s="1437"/>
      <c r="Z154" s="1437"/>
      <c r="AA154" s="1437"/>
      <c r="AB154" s="1437"/>
      <c r="AC154" s="1437"/>
      <c r="AD154" s="1437"/>
      <c r="AE154" s="1437"/>
      <c r="AF154" s="1437"/>
      <c r="AG154" s="1437"/>
      <c r="AH154" s="1437"/>
      <c r="BM154">
        <v>6</v>
      </c>
      <c r="BN154" s="3" t="s">
        <v>2465</v>
      </c>
      <c r="CR154" s="31"/>
      <c r="CS154" s="32"/>
      <c r="CT154" s="32"/>
      <c r="CU154" s="32"/>
      <c r="CV154" s="32"/>
      <c r="CW154" s="32"/>
      <c r="CX154" s="14"/>
      <c r="CY154" s="31"/>
      <c r="CZ154" s="14"/>
      <c r="DA154" s="14"/>
      <c r="DB154" s="14"/>
      <c r="DC154" s="14"/>
      <c r="DD154" s="14"/>
    </row>
    <row r="155" spans="1:108" ht="12.95" customHeight="1">
      <c r="D155" s="8" t="s">
        <v>441</v>
      </c>
      <c r="F155" s="8"/>
      <c r="G155" s="8"/>
      <c r="H155" s="8"/>
      <c r="I155" s="8"/>
      <c r="J155" s="8"/>
      <c r="K155" s="8"/>
      <c r="L155" s="8"/>
      <c r="M155" s="8"/>
      <c r="N155" s="8"/>
      <c r="O155" s="1809" t="s">
        <v>440</v>
      </c>
      <c r="P155" s="1809"/>
      <c r="Q155" s="1809"/>
      <c r="R155" s="1809"/>
      <c r="S155" s="1809"/>
      <c r="T155" s="1809"/>
      <c r="U155" s="1809"/>
      <c r="V155" s="1809"/>
      <c r="W155" s="1809"/>
      <c r="X155" s="1809"/>
      <c r="Y155" s="1809"/>
      <c r="Z155" s="1809"/>
      <c r="AA155" s="1809"/>
      <c r="AB155" s="1809"/>
      <c r="AC155" s="1809"/>
      <c r="AD155" s="1809"/>
      <c r="AE155" s="1809"/>
      <c r="AF155" s="1809"/>
      <c r="AG155" s="1809"/>
      <c r="AH155" s="1809"/>
      <c r="BM155">
        <v>7</v>
      </c>
      <c r="BN155" s="3" t="s">
        <v>591</v>
      </c>
      <c r="CR155" s="31"/>
      <c r="CS155" s="32"/>
      <c r="CT155" s="32"/>
      <c r="CU155" s="32"/>
      <c r="CV155" s="32"/>
      <c r="CW155" s="32"/>
      <c r="CX155" s="14"/>
      <c r="CY155" s="31"/>
      <c r="CZ155" s="14"/>
      <c r="DA155" s="14"/>
      <c r="DB155" s="14"/>
      <c r="DC155" s="14"/>
      <c r="DD155" s="14"/>
    </row>
    <row r="156" spans="1:108" ht="12.95" customHeight="1">
      <c r="D156" t="s">
        <v>312</v>
      </c>
      <c r="O156" s="1371" t="s">
        <v>2613</v>
      </c>
      <c r="P156" s="1371"/>
      <c r="Q156" s="1371"/>
      <c r="R156" s="1371"/>
      <c r="S156" s="1371"/>
      <c r="T156" s="1371"/>
      <c r="U156" s="1371"/>
      <c r="V156" s="1371"/>
      <c r="W156" s="1371"/>
      <c r="X156" s="1371"/>
      <c r="Y156" s="1371"/>
      <c r="Z156" s="1371"/>
      <c r="AA156" s="1371"/>
      <c r="AB156" s="1371"/>
      <c r="AC156" s="1371"/>
      <c r="AD156" s="1371"/>
      <c r="AE156" s="1371"/>
      <c r="AF156" s="1371"/>
      <c r="AG156" s="1371"/>
      <c r="AH156" s="1371"/>
      <c r="BT156" t="s">
        <v>306</v>
      </c>
      <c r="CB156" s="195" t="s">
        <v>2225</v>
      </c>
      <c r="CC156" s="196"/>
      <c r="CD156" s="196"/>
      <c r="CE156" s="196"/>
      <c r="CF156" s="196"/>
      <c r="CG156" s="196"/>
      <c r="CH156" s="196"/>
      <c r="CI156" s="3"/>
      <c r="CJ156" s="195" t="s">
        <v>2605</v>
      </c>
      <c r="CK156" s="3"/>
      <c r="CL156" s="3"/>
      <c r="CM156" s="3"/>
      <c r="CN156" s="3"/>
      <c r="CR156" s="31"/>
      <c r="CS156" s="32"/>
      <c r="CT156" s="32"/>
      <c r="CU156" s="32"/>
      <c r="CV156" s="32"/>
      <c r="CW156" s="32"/>
      <c r="CX156" s="14"/>
      <c r="CY156" s="31"/>
      <c r="CZ156" s="14"/>
      <c r="DA156" s="14"/>
      <c r="DB156" s="14"/>
      <c r="DC156" s="14"/>
      <c r="DD156" s="14"/>
    </row>
    <row r="157" spans="1:108" ht="12.95" customHeight="1">
      <c r="D157" t="s">
        <v>313</v>
      </c>
      <c r="O157" s="1416" t="s">
        <v>202</v>
      </c>
      <c r="P157" s="1417"/>
      <c r="Q157" s="1417"/>
      <c r="R157" s="1417"/>
      <c r="S157" s="1417"/>
      <c r="T157" s="1417"/>
      <c r="U157" s="1417"/>
      <c r="V157" s="1417"/>
      <c r="W157" s="1417"/>
      <c r="X157" s="1417"/>
      <c r="Y157" s="8"/>
      <c r="Z157" s="8"/>
      <c r="AA157" s="8"/>
      <c r="AB157" s="8"/>
      <c r="AC157" s="8"/>
      <c r="AD157" s="8"/>
      <c r="AE157" s="8"/>
      <c r="AF157" s="8"/>
      <c r="BN157" s="23" t="s">
        <v>636</v>
      </c>
      <c r="BS157">
        <v>2</v>
      </c>
      <c r="BT157" t="s">
        <v>476</v>
      </c>
      <c r="CB157" s="286" t="s">
        <v>647</v>
      </c>
      <c r="CC157" s="196"/>
      <c r="CD157" s="196"/>
      <c r="CE157" s="196"/>
      <c r="CF157" s="196"/>
      <c r="CG157" s="196"/>
      <c r="CH157" s="196"/>
      <c r="CI157" s="3"/>
      <c r="CJ157" s="286" t="s">
        <v>1933</v>
      </c>
      <c r="CK157" s="3"/>
      <c r="CL157" s="3"/>
      <c r="CM157" s="3"/>
      <c r="CN157" s="3"/>
      <c r="CR157" s="14"/>
      <c r="CS157" s="32"/>
      <c r="CT157" s="32"/>
      <c r="CU157" s="32"/>
      <c r="CV157" s="32"/>
      <c r="CW157" s="32"/>
      <c r="CX157" s="14"/>
      <c r="CY157" s="14"/>
      <c r="CZ157" s="14"/>
      <c r="DA157" s="14"/>
      <c r="DB157" s="14"/>
      <c r="DC157" s="14"/>
      <c r="DD157" s="14"/>
    </row>
    <row r="158" spans="1:108" ht="12.95" customHeight="1">
      <c r="D158" t="s">
        <v>314</v>
      </c>
      <c r="O158" s="1793">
        <v>93001</v>
      </c>
      <c r="P158" s="1793"/>
      <c r="Q158" s="1793"/>
      <c r="R158" s="1793"/>
      <c r="S158" s="9"/>
      <c r="T158" s="9"/>
      <c r="U158" s="9"/>
      <c r="V158" s="9"/>
      <c r="W158" s="9"/>
      <c r="X158" s="9"/>
      <c r="Y158" s="9"/>
      <c r="Z158" s="9"/>
      <c r="AA158" s="9"/>
      <c r="AB158" s="9"/>
      <c r="AC158" s="9"/>
      <c r="AD158" s="9"/>
      <c r="AE158" s="9"/>
      <c r="AF158" s="9"/>
      <c r="BN158" s="23" t="s">
        <v>637</v>
      </c>
      <c r="BS158">
        <v>7</v>
      </c>
      <c r="BT158" t="s">
        <v>477</v>
      </c>
      <c r="CB158" s="284"/>
      <c r="CC158" s="197"/>
      <c r="CD158" s="285"/>
      <c r="CE158" s="285"/>
      <c r="CF158" s="285"/>
      <c r="CG158" s="285"/>
      <c r="CH158" s="285"/>
      <c r="CI158" s="3"/>
      <c r="CJ158" s="3"/>
      <c r="CK158" s="3"/>
      <c r="CL158" s="3"/>
      <c r="CM158" s="3"/>
      <c r="CN158" s="3"/>
      <c r="CR158" s="14"/>
      <c r="CS158" s="32"/>
      <c r="CT158" s="32"/>
      <c r="CU158" s="32"/>
      <c r="CV158" s="32"/>
      <c r="CW158" s="32"/>
      <c r="CX158" s="14"/>
      <c r="CY158" s="14"/>
      <c r="CZ158" s="14"/>
      <c r="DA158" s="14"/>
      <c r="DB158" s="14"/>
      <c r="DC158" s="14"/>
      <c r="DD158" s="14"/>
    </row>
    <row r="159" spans="1:108" ht="12.95" customHeight="1" thickBot="1">
      <c r="D159" t="s">
        <v>315</v>
      </c>
      <c r="O159" s="1423" t="s">
        <v>2757</v>
      </c>
      <c r="P159" s="1782"/>
      <c r="Q159" s="1782"/>
      <c r="R159" s="1782"/>
      <c r="S159" s="1782"/>
      <c r="T159" s="1782"/>
      <c r="V159" s="97" t="s">
        <v>270</v>
      </c>
      <c r="W159" s="1794"/>
      <c r="X159" s="1794"/>
      <c r="Y159" s="10"/>
      <c r="Z159" s="10"/>
      <c r="AA159" s="10"/>
      <c r="AB159" s="10"/>
      <c r="AC159" s="10"/>
      <c r="AD159" s="10"/>
      <c r="AE159" s="10"/>
      <c r="AF159" s="10"/>
      <c r="BN159" s="23" t="s">
        <v>338</v>
      </c>
      <c r="BS159">
        <v>7</v>
      </c>
      <c r="BT159" t="s">
        <v>478</v>
      </c>
      <c r="CB159" s="347" t="s">
        <v>648</v>
      </c>
      <c r="CC159" s="348" t="s">
        <v>323</v>
      </c>
      <c r="CD159" s="348" t="s">
        <v>324</v>
      </c>
      <c r="CE159" s="348" t="s">
        <v>163</v>
      </c>
      <c r="CF159" s="348" t="s">
        <v>164</v>
      </c>
      <c r="CG159" s="348" t="s">
        <v>165</v>
      </c>
      <c r="CH159" s="348" t="s">
        <v>30</v>
      </c>
      <c r="CI159" s="3"/>
      <c r="CJ159" s="348" t="s">
        <v>323</v>
      </c>
      <c r="CK159" s="348" t="s">
        <v>324</v>
      </c>
      <c r="CL159" s="348" t="s">
        <v>163</v>
      </c>
      <c r="CM159" s="348" t="s">
        <v>164</v>
      </c>
      <c r="CN159" s="348" t="s">
        <v>165</v>
      </c>
      <c r="CR159" s="14"/>
      <c r="CS159" s="71" t="s">
        <v>633</v>
      </c>
      <c r="CT159" s="72" t="s">
        <v>324</v>
      </c>
      <c r="CU159" s="72" t="s">
        <v>163</v>
      </c>
      <c r="CV159" s="72" t="s">
        <v>164</v>
      </c>
      <c r="CW159" s="72" t="s">
        <v>460</v>
      </c>
      <c r="CX159" s="14"/>
      <c r="CY159" s="14"/>
      <c r="CZ159" s="71" t="s">
        <v>633</v>
      </c>
      <c r="DA159" s="72" t="s">
        <v>324</v>
      </c>
      <c r="DB159" s="72" t="s">
        <v>163</v>
      </c>
      <c r="DC159" s="72" t="s">
        <v>164</v>
      </c>
      <c r="DD159" s="72" t="s">
        <v>460</v>
      </c>
    </row>
    <row r="160" spans="1:108" ht="12.95" customHeight="1">
      <c r="D160" t="s">
        <v>316</v>
      </c>
      <c r="O160" s="1423" t="s">
        <v>591</v>
      </c>
      <c r="P160" s="1782"/>
      <c r="Q160" s="1782"/>
      <c r="R160" s="1782"/>
      <c r="S160" s="1782"/>
      <c r="T160" s="1782"/>
      <c r="U160" s="10"/>
      <c r="V160" s="10"/>
      <c r="W160" s="10"/>
      <c r="X160" s="10"/>
      <c r="Y160" s="10"/>
      <c r="Z160" s="10"/>
      <c r="AA160" s="10"/>
      <c r="AB160" s="10"/>
      <c r="AC160" s="10"/>
      <c r="AD160" s="10"/>
      <c r="AE160" s="10"/>
      <c r="AF160" s="10"/>
      <c r="BN160" s="23" t="s">
        <v>660</v>
      </c>
      <c r="BS160">
        <v>6</v>
      </c>
      <c r="BT160" t="s">
        <v>479</v>
      </c>
      <c r="CB160" s="349" t="s">
        <v>476</v>
      </c>
      <c r="CC160" s="457">
        <v>2796</v>
      </c>
      <c r="CD160" s="458">
        <v>2996</v>
      </c>
      <c r="CE160" s="459">
        <v>3596</v>
      </c>
      <c r="CF160" s="458">
        <v>4154</v>
      </c>
      <c r="CG160" s="459">
        <v>4634</v>
      </c>
      <c r="CH160" s="460">
        <v>5114</v>
      </c>
      <c r="CI160" s="3"/>
      <c r="CJ160" s="861">
        <v>1937</v>
      </c>
      <c r="CK160" s="861">
        <v>2201</v>
      </c>
      <c r="CL160" s="861">
        <v>2682</v>
      </c>
      <c r="CM160" s="861">
        <v>3432</v>
      </c>
      <c r="CN160" s="861">
        <v>4077</v>
      </c>
      <c r="CR160" s="23" t="s">
        <v>636</v>
      </c>
      <c r="CS160" s="323">
        <v>473390</v>
      </c>
      <c r="CT160" s="323">
        <v>545814</v>
      </c>
      <c r="CU160" s="323">
        <v>658400</v>
      </c>
      <c r="CV160" s="323">
        <v>842752</v>
      </c>
      <c r="CW160" s="323">
        <v>938878</v>
      </c>
      <c r="CX160" s="14"/>
      <c r="CY160" s="23" t="s">
        <v>636</v>
      </c>
      <c r="CZ160" s="323">
        <v>473390</v>
      </c>
      <c r="DA160" s="323">
        <v>545814</v>
      </c>
      <c r="DB160" s="323">
        <v>658400</v>
      </c>
      <c r="DC160" s="323">
        <v>842752</v>
      </c>
      <c r="DD160" s="323">
        <v>938878</v>
      </c>
    </row>
    <row r="161" spans="1:108" ht="12.95" customHeight="1">
      <c r="D161" t="s">
        <v>317</v>
      </c>
      <c r="O161" s="1786" t="s">
        <v>2758</v>
      </c>
      <c r="P161" s="1786"/>
      <c r="Q161" s="1786"/>
      <c r="R161" s="1786"/>
      <c r="S161" s="1786"/>
      <c r="T161" s="1786"/>
      <c r="U161" s="1786"/>
      <c r="V161" s="1786"/>
      <c r="W161" s="1786"/>
      <c r="X161" s="1786"/>
      <c r="Y161" s="1786"/>
      <c r="Z161" s="1786"/>
      <c r="AA161" s="1786"/>
      <c r="AB161" s="1786"/>
      <c r="AC161" s="1786"/>
      <c r="AD161" s="1786"/>
      <c r="AE161" s="1786"/>
      <c r="AF161" s="1786"/>
      <c r="AG161" s="1786"/>
      <c r="AH161" s="1786"/>
      <c r="BJ161" t="s">
        <v>669</v>
      </c>
      <c r="BN161" s="23" t="s">
        <v>661</v>
      </c>
      <c r="BS161">
        <v>7</v>
      </c>
      <c r="BT161" t="s">
        <v>480</v>
      </c>
      <c r="CB161" s="350" t="s">
        <v>477</v>
      </c>
      <c r="CC161" s="461">
        <v>2020</v>
      </c>
      <c r="CD161" s="462">
        <v>2162</v>
      </c>
      <c r="CE161" s="461">
        <v>2594</v>
      </c>
      <c r="CF161" s="462">
        <v>3000</v>
      </c>
      <c r="CG161" s="462">
        <v>3346</v>
      </c>
      <c r="CH161" s="463">
        <v>3692</v>
      </c>
      <c r="CI161" s="3"/>
      <c r="CJ161" s="861">
        <v>1003</v>
      </c>
      <c r="CK161" s="861">
        <v>1101</v>
      </c>
      <c r="CL161" s="861">
        <v>1445</v>
      </c>
      <c r="CM161" s="861">
        <v>2025</v>
      </c>
      <c r="CN161" s="861">
        <v>2396</v>
      </c>
      <c r="CR161" s="23" t="s">
        <v>637</v>
      </c>
      <c r="CS161" s="321">
        <v>352022</v>
      </c>
      <c r="CT161" s="321">
        <v>405878</v>
      </c>
      <c r="CU161" s="321">
        <v>489600</v>
      </c>
      <c r="CV161" s="321">
        <v>626688</v>
      </c>
      <c r="CW161" s="321">
        <v>698170</v>
      </c>
      <c r="CX161" s="14"/>
      <c r="CY161" s="23" t="s">
        <v>637</v>
      </c>
      <c r="CZ161" s="321">
        <v>352022</v>
      </c>
      <c r="DA161" s="321">
        <v>405878</v>
      </c>
      <c r="DB161" s="321">
        <v>489600</v>
      </c>
      <c r="DC161" s="321">
        <v>626688</v>
      </c>
      <c r="DD161" s="321">
        <v>698170</v>
      </c>
    </row>
    <row r="162" spans="1:108"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545</v>
      </c>
      <c r="BN162" s="23" t="s">
        <v>662</v>
      </c>
      <c r="BS162">
        <v>7</v>
      </c>
      <c r="BT162" t="s">
        <v>481</v>
      </c>
      <c r="CB162" s="350" t="s">
        <v>478</v>
      </c>
      <c r="CC162" s="464">
        <v>1924</v>
      </c>
      <c r="CD162" s="465">
        <v>2062</v>
      </c>
      <c r="CE162" s="464">
        <v>2474</v>
      </c>
      <c r="CF162" s="465">
        <v>2856</v>
      </c>
      <c r="CG162" s="465">
        <v>3186</v>
      </c>
      <c r="CH162" s="466">
        <v>3516</v>
      </c>
      <c r="CI162" s="3"/>
      <c r="CJ162" s="861">
        <v>1253</v>
      </c>
      <c r="CK162" s="861">
        <v>1260</v>
      </c>
      <c r="CL162" s="861">
        <v>1493</v>
      </c>
      <c r="CM162" s="861">
        <v>2084</v>
      </c>
      <c r="CN162" s="861">
        <v>2507</v>
      </c>
      <c r="CR162" s="23" t="s">
        <v>338</v>
      </c>
      <c r="CS162" s="323">
        <v>352022</v>
      </c>
      <c r="CT162" s="323">
        <v>405878</v>
      </c>
      <c r="CU162" s="323">
        <v>489600</v>
      </c>
      <c r="CV162" s="323">
        <v>626688</v>
      </c>
      <c r="CW162" s="323">
        <v>698170</v>
      </c>
      <c r="CX162" s="14"/>
      <c r="CY162" s="23" t="s">
        <v>338</v>
      </c>
      <c r="CZ162" s="323">
        <v>352022</v>
      </c>
      <c r="DA162" s="323">
        <v>405878</v>
      </c>
      <c r="DB162" s="323">
        <v>489600</v>
      </c>
      <c r="DC162" s="323">
        <v>626688</v>
      </c>
      <c r="DD162" s="323">
        <v>698170</v>
      </c>
    </row>
    <row r="163" spans="1:108" ht="12.95" customHeight="1">
      <c r="C163" s="27" t="s">
        <v>82</v>
      </c>
      <c r="D163" s="3" t="s">
        <v>2097</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663</v>
      </c>
      <c r="BS163">
        <v>2</v>
      </c>
      <c r="BT163" t="s">
        <v>482</v>
      </c>
      <c r="CB163" s="350" t="s">
        <v>479</v>
      </c>
      <c r="CC163" s="464">
        <v>1644</v>
      </c>
      <c r="CD163" s="465">
        <v>1762</v>
      </c>
      <c r="CE163" s="464">
        <v>2114</v>
      </c>
      <c r="CF163" s="465">
        <v>2442</v>
      </c>
      <c r="CG163" s="465">
        <v>2724</v>
      </c>
      <c r="CH163" s="466">
        <v>3006</v>
      </c>
      <c r="CI163" s="3"/>
      <c r="CJ163" s="861">
        <v>1069</v>
      </c>
      <c r="CK163" s="861">
        <v>1126</v>
      </c>
      <c r="CL163" s="861">
        <v>1466</v>
      </c>
      <c r="CM163" s="861">
        <v>2054</v>
      </c>
      <c r="CN163" s="861">
        <v>2462</v>
      </c>
      <c r="CR163" s="23" t="s">
        <v>660</v>
      </c>
      <c r="CS163" s="321">
        <v>319236</v>
      </c>
      <c r="CT163" s="321">
        <v>368076</v>
      </c>
      <c r="CU163" s="321">
        <v>444000</v>
      </c>
      <c r="CV163" s="321">
        <v>568320</v>
      </c>
      <c r="CW163" s="321">
        <v>633144</v>
      </c>
      <c r="CX163" s="14"/>
      <c r="CY163" s="23" t="s">
        <v>660</v>
      </c>
      <c r="CZ163" s="321">
        <v>319236</v>
      </c>
      <c r="DA163" s="321">
        <v>368076</v>
      </c>
      <c r="DB163" s="321">
        <v>444000</v>
      </c>
      <c r="DC163" s="321">
        <v>568320</v>
      </c>
      <c r="DD163" s="321">
        <v>633144</v>
      </c>
    </row>
    <row r="164" spans="1:108" ht="12.95" customHeight="1">
      <c r="C164" s="27"/>
      <c r="D164" s="1802" t="s">
        <v>2217</v>
      </c>
      <c r="E164" s="1802"/>
      <c r="F164" s="1802"/>
      <c r="G164" s="1802"/>
      <c r="H164" s="1802"/>
      <c r="I164" s="1802"/>
      <c r="J164" s="1802"/>
      <c r="K164" s="1802"/>
      <c r="L164" s="1802"/>
      <c r="M164" s="1802"/>
      <c r="N164" s="1802"/>
      <c r="O164" s="1802"/>
      <c r="P164" s="1802"/>
      <c r="Q164" s="1802"/>
      <c r="R164" s="1802"/>
      <c r="S164" s="1802"/>
      <c r="T164" s="1802"/>
      <c r="U164" s="1802"/>
      <c r="V164" s="1802"/>
      <c r="W164" s="1802"/>
      <c r="X164" s="1802"/>
      <c r="Y164" s="1802"/>
      <c r="Z164" s="1802"/>
      <c r="AA164" s="1802"/>
      <c r="AB164" s="1802"/>
      <c r="AC164" s="1802"/>
      <c r="AD164" s="1802"/>
      <c r="AE164" s="1802"/>
      <c r="AF164" s="1802"/>
      <c r="AG164" s="1802"/>
      <c r="AH164" s="1802"/>
      <c r="BN164" s="23" t="s">
        <v>664</v>
      </c>
      <c r="BS164">
        <v>7</v>
      </c>
      <c r="BT164" t="s">
        <v>483</v>
      </c>
      <c r="CB164" s="350" t="s">
        <v>480</v>
      </c>
      <c r="CC164" s="464">
        <v>1776</v>
      </c>
      <c r="CD164" s="465">
        <v>1902</v>
      </c>
      <c r="CE164" s="464">
        <v>2284</v>
      </c>
      <c r="CF164" s="465">
        <v>2640</v>
      </c>
      <c r="CG164" s="465">
        <v>2944</v>
      </c>
      <c r="CH164" s="466">
        <v>3248</v>
      </c>
      <c r="CI164" s="3"/>
      <c r="CJ164" s="861">
        <v>989</v>
      </c>
      <c r="CK164" s="861">
        <v>1086</v>
      </c>
      <c r="CL164" s="861">
        <v>1425</v>
      </c>
      <c r="CM164" s="861">
        <v>1997</v>
      </c>
      <c r="CN164" s="861">
        <v>2195</v>
      </c>
      <c r="CR164" s="23" t="s">
        <v>661</v>
      </c>
      <c r="CS164" s="323">
        <v>352022</v>
      </c>
      <c r="CT164" s="323">
        <v>405878</v>
      </c>
      <c r="CU164" s="323">
        <v>489600</v>
      </c>
      <c r="CV164" s="323">
        <v>626688</v>
      </c>
      <c r="CW164" s="323">
        <v>698170</v>
      </c>
      <c r="CX164" s="14"/>
      <c r="CY164" s="23" t="s">
        <v>661</v>
      </c>
      <c r="CZ164" s="323">
        <v>352022</v>
      </c>
      <c r="DA164" s="323">
        <v>405878</v>
      </c>
      <c r="DB164" s="323">
        <v>489600</v>
      </c>
      <c r="DC164" s="323">
        <v>626688</v>
      </c>
      <c r="DD164" s="323">
        <v>698170</v>
      </c>
    </row>
    <row r="165" spans="1:108"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665</v>
      </c>
      <c r="BS165">
        <v>6</v>
      </c>
      <c r="BT165" t="s">
        <v>484</v>
      </c>
      <c r="CB165" s="350" t="s">
        <v>481</v>
      </c>
      <c r="CC165" s="464">
        <v>1680</v>
      </c>
      <c r="CD165" s="465">
        <v>1800</v>
      </c>
      <c r="CE165" s="464">
        <v>2160</v>
      </c>
      <c r="CF165" s="465">
        <v>2496</v>
      </c>
      <c r="CG165" s="465">
        <v>2784</v>
      </c>
      <c r="CH165" s="466">
        <v>3072</v>
      </c>
      <c r="CI165" s="3"/>
      <c r="CJ165" s="861">
        <v>915</v>
      </c>
      <c r="CK165" s="861">
        <v>921</v>
      </c>
      <c r="CL165" s="861">
        <v>1208</v>
      </c>
      <c r="CM165" s="861">
        <v>1625</v>
      </c>
      <c r="CN165" s="861">
        <v>1631</v>
      </c>
      <c r="CR165" s="23" t="s">
        <v>662</v>
      </c>
      <c r="CS165" s="321">
        <v>352022</v>
      </c>
      <c r="CT165" s="321">
        <v>405878</v>
      </c>
      <c r="CU165" s="321">
        <v>489600</v>
      </c>
      <c r="CV165" s="321">
        <v>626688</v>
      </c>
      <c r="CW165" s="321">
        <v>698170</v>
      </c>
      <c r="CX165" s="14"/>
      <c r="CY165" s="23" t="s">
        <v>662</v>
      </c>
      <c r="CZ165" s="321">
        <v>352022</v>
      </c>
      <c r="DA165" s="321">
        <v>405878</v>
      </c>
      <c r="DB165" s="321">
        <v>489600</v>
      </c>
      <c r="DC165" s="321">
        <v>626688</v>
      </c>
      <c r="DD165" s="321">
        <v>698170</v>
      </c>
    </row>
    <row r="166" spans="1:108"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667</v>
      </c>
      <c r="BS166">
        <v>5</v>
      </c>
      <c r="BT166" t="s">
        <v>485</v>
      </c>
      <c r="CB166" s="350" t="s">
        <v>482</v>
      </c>
      <c r="CC166" s="464">
        <v>2796</v>
      </c>
      <c r="CD166" s="465">
        <v>2996</v>
      </c>
      <c r="CE166" s="464">
        <v>3596</v>
      </c>
      <c r="CF166" s="465">
        <v>4154</v>
      </c>
      <c r="CG166" s="465">
        <v>4634</v>
      </c>
      <c r="CH166" s="466">
        <v>5114</v>
      </c>
      <c r="CI166" s="3"/>
      <c r="CJ166" s="861">
        <v>1937</v>
      </c>
      <c r="CK166" s="861">
        <v>2201</v>
      </c>
      <c r="CL166" s="861">
        <v>2682</v>
      </c>
      <c r="CM166" s="861">
        <v>3432</v>
      </c>
      <c r="CN166" s="861">
        <v>4077</v>
      </c>
      <c r="CR166" s="23" t="s">
        <v>663</v>
      </c>
      <c r="CS166" s="323">
        <v>473390</v>
      </c>
      <c r="CT166" s="323">
        <v>545814</v>
      </c>
      <c r="CU166" s="323">
        <v>658400</v>
      </c>
      <c r="CV166" s="323">
        <v>842752</v>
      </c>
      <c r="CW166" s="323">
        <v>938878</v>
      </c>
      <c r="CX166" s="14"/>
      <c r="CY166" s="23" t="s">
        <v>663</v>
      </c>
      <c r="CZ166" s="323">
        <v>473390</v>
      </c>
      <c r="DA166" s="323">
        <v>545814</v>
      </c>
      <c r="DB166" s="323">
        <v>658400</v>
      </c>
      <c r="DC166" s="323">
        <v>842752</v>
      </c>
      <c r="DD166" s="323">
        <v>938878</v>
      </c>
    </row>
    <row r="167" spans="1:108"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670</v>
      </c>
      <c r="BS167">
        <v>7</v>
      </c>
      <c r="BT167" t="s">
        <v>486</v>
      </c>
      <c r="CB167" s="350" t="s">
        <v>483</v>
      </c>
      <c r="CC167" s="464">
        <v>1644</v>
      </c>
      <c r="CD167" s="465">
        <v>1762</v>
      </c>
      <c r="CE167" s="464">
        <v>2114</v>
      </c>
      <c r="CF167" s="465">
        <v>2442</v>
      </c>
      <c r="CG167" s="465">
        <v>2724</v>
      </c>
      <c r="CH167" s="466">
        <v>3006</v>
      </c>
      <c r="CI167" s="3"/>
      <c r="CJ167" s="861">
        <v>869</v>
      </c>
      <c r="CK167" s="861">
        <v>1086</v>
      </c>
      <c r="CL167" s="861">
        <v>1253</v>
      </c>
      <c r="CM167" s="861">
        <v>1756</v>
      </c>
      <c r="CN167" s="861">
        <v>2104</v>
      </c>
      <c r="CR167" s="23" t="s">
        <v>664</v>
      </c>
      <c r="CS167" s="321">
        <v>352022</v>
      </c>
      <c r="CT167" s="321">
        <v>405878</v>
      </c>
      <c r="CU167" s="321">
        <v>489600</v>
      </c>
      <c r="CV167" s="321">
        <v>626688</v>
      </c>
      <c r="CW167" s="321">
        <v>698170</v>
      </c>
      <c r="CX167" s="14"/>
      <c r="CY167" s="23" t="s">
        <v>664</v>
      </c>
      <c r="CZ167" s="321">
        <v>352022</v>
      </c>
      <c r="DA167" s="321">
        <v>405878</v>
      </c>
      <c r="DB167" s="321">
        <v>489600</v>
      </c>
      <c r="DC167" s="321">
        <v>626688</v>
      </c>
      <c r="DD167" s="321">
        <v>698170</v>
      </c>
    </row>
    <row r="168" spans="1:108"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671</v>
      </c>
      <c r="BS168">
        <v>7</v>
      </c>
      <c r="BT168" t="s">
        <v>487</v>
      </c>
      <c r="CB168" s="350" t="s">
        <v>484</v>
      </c>
      <c r="CC168" s="464">
        <v>2252</v>
      </c>
      <c r="CD168" s="465">
        <v>2412</v>
      </c>
      <c r="CE168" s="464">
        <v>2894</v>
      </c>
      <c r="CF168" s="465">
        <v>3342</v>
      </c>
      <c r="CG168" s="465">
        <v>3730</v>
      </c>
      <c r="CH168" s="466">
        <v>4116</v>
      </c>
      <c r="CI168" s="3"/>
      <c r="CJ168" s="861">
        <v>1679</v>
      </c>
      <c r="CK168" s="861">
        <v>1777</v>
      </c>
      <c r="CL168" s="861">
        <v>2206</v>
      </c>
      <c r="CM168" s="861">
        <v>2992</v>
      </c>
      <c r="CN168" s="861">
        <v>3455</v>
      </c>
      <c r="CR168" s="23" t="s">
        <v>665</v>
      </c>
      <c r="CS168" s="323">
        <v>331890</v>
      </c>
      <c r="CT168" s="323">
        <v>382666</v>
      </c>
      <c r="CU168" s="323">
        <v>461600</v>
      </c>
      <c r="CV168" s="323">
        <v>590848</v>
      </c>
      <c r="CW168" s="323">
        <v>658242</v>
      </c>
      <c r="CX168" s="14"/>
      <c r="CY168" s="23" t="s">
        <v>665</v>
      </c>
      <c r="CZ168" s="323">
        <v>331890</v>
      </c>
      <c r="DA168" s="323">
        <v>382666</v>
      </c>
      <c r="DB168" s="323">
        <v>461600</v>
      </c>
      <c r="DC168" s="323">
        <v>590848</v>
      </c>
      <c r="DD168" s="323">
        <v>658242</v>
      </c>
    </row>
    <row r="169" spans="1:108" ht="12.95" customHeight="1">
      <c r="A169" s="1422" t="s">
        <v>539</v>
      </c>
      <c r="B169" s="1422"/>
      <c r="C169" s="1422"/>
      <c r="D169" s="1422"/>
      <c r="E169" s="1422"/>
      <c r="F169" s="1422"/>
      <c r="G169" s="1422"/>
      <c r="H169" s="1422"/>
      <c r="I169" s="1422"/>
      <c r="J169" s="1422"/>
      <c r="K169" s="1422"/>
      <c r="L169" s="1422"/>
      <c r="M169" s="1422"/>
      <c r="N169" s="1422"/>
      <c r="O169" s="1422"/>
      <c r="P169" s="1422"/>
      <c r="Q169" s="1422"/>
      <c r="R169" s="1422"/>
      <c r="S169" s="1422"/>
      <c r="T169" s="1422"/>
      <c r="U169" s="1422"/>
      <c r="V169" s="1422"/>
      <c r="W169" s="1422"/>
      <c r="X169" s="1422"/>
      <c r="Y169" s="1422"/>
      <c r="Z169" s="1422"/>
      <c r="AA169" s="1422"/>
      <c r="AB169" s="1422"/>
      <c r="AC169" s="1422"/>
      <c r="AD169" s="1422"/>
      <c r="AE169" s="1422"/>
      <c r="AF169" s="1422"/>
      <c r="AG169" s="1422"/>
      <c r="AH169" s="1422"/>
      <c r="AI169" s="1422"/>
      <c r="AJ169" s="1422"/>
      <c r="AK169" s="1422"/>
      <c r="AL169" s="1422"/>
      <c r="AM169" s="1422"/>
      <c r="AN169" s="1422"/>
      <c r="AO169" s="1422"/>
      <c r="AP169" s="1422"/>
      <c r="AQ169" s="1422"/>
      <c r="AR169" s="1422"/>
      <c r="AS169" s="1422"/>
      <c r="AT169" s="1422"/>
      <c r="AU169" s="95"/>
      <c r="AV169" s="95"/>
      <c r="AW169" s="95"/>
      <c r="AX169" s="95"/>
      <c r="AY169" s="95"/>
      <c r="BN169" s="23" t="s">
        <v>673</v>
      </c>
      <c r="BS169">
        <v>5</v>
      </c>
      <c r="BT169" t="s">
        <v>488</v>
      </c>
      <c r="CB169" s="350" t="s">
        <v>485</v>
      </c>
      <c r="CC169" s="464">
        <v>1644</v>
      </c>
      <c r="CD169" s="465">
        <v>1762</v>
      </c>
      <c r="CE169" s="464">
        <v>2114</v>
      </c>
      <c r="CF169" s="465">
        <v>2442</v>
      </c>
      <c r="CG169" s="465">
        <v>2724</v>
      </c>
      <c r="CH169" s="466">
        <v>3006</v>
      </c>
      <c r="CI169" s="3"/>
      <c r="CJ169" s="861">
        <v>1210</v>
      </c>
      <c r="CK169" s="861">
        <v>1217</v>
      </c>
      <c r="CL169" s="861">
        <v>1505</v>
      </c>
      <c r="CM169" s="861">
        <v>2109</v>
      </c>
      <c r="CN169" s="861">
        <v>2415</v>
      </c>
      <c r="CR169" s="23" t="s">
        <v>667</v>
      </c>
      <c r="CS169" s="321">
        <v>307732</v>
      </c>
      <c r="CT169" s="321">
        <v>354812</v>
      </c>
      <c r="CU169" s="321">
        <v>428000</v>
      </c>
      <c r="CV169" s="321">
        <v>547840</v>
      </c>
      <c r="CW169" s="321">
        <v>610328</v>
      </c>
      <c r="CX169" s="14"/>
      <c r="CY169" s="23" t="s">
        <v>667</v>
      </c>
      <c r="CZ169" s="321">
        <v>307732</v>
      </c>
      <c r="DA169" s="321">
        <v>354812</v>
      </c>
      <c r="DB169" s="321">
        <v>428000</v>
      </c>
      <c r="DC169" s="321">
        <v>547840</v>
      </c>
      <c r="DD169" s="321">
        <v>610328</v>
      </c>
    </row>
    <row r="170" spans="1:108" ht="12.95" customHeight="1">
      <c r="A170" s="1422"/>
      <c r="B170" s="1422"/>
      <c r="C170" s="1422"/>
      <c r="D170" s="1422"/>
      <c r="E170" s="1422"/>
      <c r="F170" s="1422"/>
      <c r="G170" s="1422"/>
      <c r="H170" s="1422"/>
      <c r="I170" s="1422"/>
      <c r="J170" s="1422"/>
      <c r="K170" s="1422"/>
      <c r="L170" s="1422"/>
      <c r="M170" s="1422"/>
      <c r="N170" s="1422"/>
      <c r="O170" s="1422"/>
      <c r="P170" s="1422"/>
      <c r="Q170" s="1422"/>
      <c r="R170" s="1422"/>
      <c r="S170" s="1422"/>
      <c r="T170" s="1422"/>
      <c r="U170" s="1422"/>
      <c r="V170" s="1422"/>
      <c r="W170" s="1422"/>
      <c r="X170" s="1422"/>
      <c r="Y170" s="1422"/>
      <c r="Z170" s="1422"/>
      <c r="AA170" s="1422"/>
      <c r="AB170" s="1422"/>
      <c r="AC170" s="1422"/>
      <c r="AD170" s="1422"/>
      <c r="AE170" s="1422"/>
      <c r="AF170" s="1422"/>
      <c r="AG170" s="1422"/>
      <c r="AH170" s="1422"/>
      <c r="AI170" s="1422"/>
      <c r="AJ170" s="1422"/>
      <c r="AK170" s="1422"/>
      <c r="AL170" s="1422"/>
      <c r="AM170" s="1422"/>
      <c r="AN170" s="1422"/>
      <c r="AO170" s="1422"/>
      <c r="AP170" s="1422"/>
      <c r="AQ170" s="1422"/>
      <c r="AR170" s="1422"/>
      <c r="AS170" s="1422"/>
      <c r="AT170" s="1422"/>
      <c r="AU170" s="95"/>
      <c r="AV170" s="95"/>
      <c r="AW170" s="95"/>
      <c r="AX170" s="95"/>
      <c r="AY170" s="95"/>
      <c r="BN170" s="23" t="s">
        <v>674</v>
      </c>
      <c r="BS170">
        <v>7</v>
      </c>
      <c r="BT170" t="s">
        <v>489</v>
      </c>
      <c r="CB170" s="350" t="s">
        <v>486</v>
      </c>
      <c r="CC170" s="464">
        <v>1644</v>
      </c>
      <c r="CD170" s="465">
        <v>1762</v>
      </c>
      <c r="CE170" s="464">
        <v>2114</v>
      </c>
      <c r="CF170" s="465">
        <v>2442</v>
      </c>
      <c r="CG170" s="465">
        <v>2724</v>
      </c>
      <c r="CH170" s="466">
        <v>3006</v>
      </c>
      <c r="CI170" s="3"/>
      <c r="CJ170" s="861">
        <v>841</v>
      </c>
      <c r="CK170" s="861">
        <v>935</v>
      </c>
      <c r="CL170" s="861">
        <v>1227</v>
      </c>
      <c r="CM170" s="861">
        <v>1631</v>
      </c>
      <c r="CN170" s="861">
        <v>2060</v>
      </c>
      <c r="CR170" s="23" t="s">
        <v>670</v>
      </c>
      <c r="CS170" s="323">
        <v>352022</v>
      </c>
      <c r="CT170" s="323">
        <v>405878</v>
      </c>
      <c r="CU170" s="323">
        <v>489600</v>
      </c>
      <c r="CV170" s="323">
        <v>626688</v>
      </c>
      <c r="CW170" s="323">
        <v>698170</v>
      </c>
      <c r="CX170" s="14"/>
      <c r="CY170" s="23" t="s">
        <v>670</v>
      </c>
      <c r="CZ170" s="323">
        <v>352022</v>
      </c>
      <c r="DA170" s="323">
        <v>405878</v>
      </c>
      <c r="DB170" s="323">
        <v>489600</v>
      </c>
      <c r="DC170" s="323">
        <v>626688</v>
      </c>
      <c r="DD170" s="323">
        <v>698170</v>
      </c>
    </row>
    <row r="171" spans="1:108" ht="12.95" customHeight="1">
      <c r="BN171" s="23" t="s">
        <v>210</v>
      </c>
      <c r="BS171">
        <v>5</v>
      </c>
      <c r="BT171" t="s">
        <v>490</v>
      </c>
      <c r="CB171" s="350" t="s">
        <v>487</v>
      </c>
      <c r="CC171" s="464">
        <v>1644</v>
      </c>
      <c r="CD171" s="465">
        <v>1762</v>
      </c>
      <c r="CE171" s="464">
        <v>2114</v>
      </c>
      <c r="CF171" s="465">
        <v>2442</v>
      </c>
      <c r="CG171" s="465">
        <v>2724</v>
      </c>
      <c r="CH171" s="466">
        <v>3006</v>
      </c>
      <c r="CI171" s="3"/>
      <c r="CJ171" s="861">
        <v>1065</v>
      </c>
      <c r="CK171" s="861">
        <v>1132</v>
      </c>
      <c r="CL171" s="861">
        <v>1478</v>
      </c>
      <c r="CM171" s="861">
        <v>2071</v>
      </c>
      <c r="CN171" s="861">
        <v>2482</v>
      </c>
      <c r="CR171" s="23" t="s">
        <v>671</v>
      </c>
      <c r="CS171" s="321">
        <v>352022</v>
      </c>
      <c r="CT171" s="321">
        <v>405878</v>
      </c>
      <c r="CU171" s="321">
        <v>489600</v>
      </c>
      <c r="CV171" s="321">
        <v>626688</v>
      </c>
      <c r="CW171" s="321">
        <v>698170</v>
      </c>
      <c r="CX171" s="14"/>
      <c r="CY171" s="23" t="s">
        <v>671</v>
      </c>
      <c r="CZ171" s="321">
        <v>352022</v>
      </c>
      <c r="DA171" s="321">
        <v>405878</v>
      </c>
      <c r="DB171" s="321">
        <v>489600</v>
      </c>
      <c r="DC171" s="321">
        <v>626688</v>
      </c>
      <c r="DD171" s="321">
        <v>698170</v>
      </c>
    </row>
    <row r="172" spans="1:108" ht="12.95" customHeight="1">
      <c r="A172" s="2" t="s">
        <v>318</v>
      </c>
      <c r="C172" s="2" t="s">
        <v>319</v>
      </c>
      <c r="BN172" s="23" t="s">
        <v>212</v>
      </c>
      <c r="BS172">
        <v>5</v>
      </c>
      <c r="BT172" t="s">
        <v>491</v>
      </c>
      <c r="CB172" s="350" t="s">
        <v>488</v>
      </c>
      <c r="CC172" s="464">
        <v>1644</v>
      </c>
      <c r="CD172" s="465">
        <v>1762</v>
      </c>
      <c r="CE172" s="464">
        <v>2114</v>
      </c>
      <c r="CF172" s="465">
        <v>2442</v>
      </c>
      <c r="CG172" s="465">
        <v>2724</v>
      </c>
      <c r="CH172" s="466">
        <v>3006</v>
      </c>
      <c r="CI172" s="3"/>
      <c r="CJ172" s="861">
        <v>940</v>
      </c>
      <c r="CK172" s="861">
        <v>1056</v>
      </c>
      <c r="CL172" s="861">
        <v>1371</v>
      </c>
      <c r="CM172" s="861">
        <v>1873</v>
      </c>
      <c r="CN172" s="861">
        <v>2287</v>
      </c>
      <c r="CR172" s="23" t="s">
        <v>673</v>
      </c>
      <c r="CS172" s="323">
        <v>324988</v>
      </c>
      <c r="CT172" s="323">
        <v>374708</v>
      </c>
      <c r="CU172" s="323">
        <v>452000</v>
      </c>
      <c r="CV172" s="323">
        <v>578560</v>
      </c>
      <c r="CW172" s="323">
        <v>644552</v>
      </c>
      <c r="CX172" s="14"/>
      <c r="CY172" s="23" t="s">
        <v>673</v>
      </c>
      <c r="CZ172" s="323">
        <v>324988</v>
      </c>
      <c r="DA172" s="323">
        <v>374708</v>
      </c>
      <c r="DB172" s="323">
        <v>452000</v>
      </c>
      <c r="DC172" s="323">
        <v>578560</v>
      </c>
      <c r="DD172" s="323">
        <v>644552</v>
      </c>
    </row>
    <row r="173" spans="1:108" ht="12.95" customHeight="1">
      <c r="C173" s="24"/>
      <c r="D173" t="s">
        <v>320</v>
      </c>
      <c r="J173" s="1808" t="s">
        <v>370</v>
      </c>
      <c r="K173" s="1808"/>
      <c r="L173" s="1808"/>
      <c r="M173" s="1808"/>
      <c r="N173" s="1808"/>
      <c r="O173" s="1808"/>
      <c r="P173" s="1808"/>
      <c r="Q173" s="1808"/>
      <c r="R173" s="1808"/>
      <c r="S173" s="1808"/>
      <c r="U173" s="25"/>
      <c r="X173" s="25"/>
      <c r="BB173" s="3" t="s">
        <v>306</v>
      </c>
      <c r="BN173" s="23" t="s">
        <v>213</v>
      </c>
      <c r="BS173">
        <v>7</v>
      </c>
      <c r="BT173" t="s">
        <v>492</v>
      </c>
      <c r="CB173" s="350" t="s">
        <v>489</v>
      </c>
      <c r="CC173" s="464">
        <v>1680</v>
      </c>
      <c r="CD173" s="465">
        <v>1800</v>
      </c>
      <c r="CE173" s="464">
        <v>2160</v>
      </c>
      <c r="CF173" s="465">
        <v>2496</v>
      </c>
      <c r="CG173" s="465">
        <v>2784</v>
      </c>
      <c r="CH173" s="466">
        <v>3072</v>
      </c>
      <c r="CI173" s="3"/>
      <c r="CJ173" s="861">
        <v>978</v>
      </c>
      <c r="CK173" s="861">
        <v>1254</v>
      </c>
      <c r="CL173" s="861">
        <v>1426</v>
      </c>
      <c r="CM173" s="861">
        <v>1734</v>
      </c>
      <c r="CN173" s="861">
        <v>2365</v>
      </c>
      <c r="CR173" s="23" t="s">
        <v>674</v>
      </c>
      <c r="CS173" s="321">
        <v>352022</v>
      </c>
      <c r="CT173" s="321">
        <v>405878</v>
      </c>
      <c r="CU173" s="321">
        <v>489600</v>
      </c>
      <c r="CV173" s="321">
        <v>626688</v>
      </c>
      <c r="CW173" s="321">
        <v>698170</v>
      </c>
      <c r="CX173" s="14"/>
      <c r="CY173" s="23" t="s">
        <v>674</v>
      </c>
      <c r="CZ173" s="321">
        <v>352022</v>
      </c>
      <c r="DA173" s="321">
        <v>405878</v>
      </c>
      <c r="DB173" s="321">
        <v>489600</v>
      </c>
      <c r="DC173" s="321">
        <v>626688</v>
      </c>
      <c r="DD173" s="321">
        <v>698170</v>
      </c>
    </row>
    <row r="174" spans="1:108" ht="12.95" customHeight="1">
      <c r="C174" s="24"/>
      <c r="D174" s="3" t="s">
        <v>1202</v>
      </c>
      <c r="J174" s="1371" t="s">
        <v>2102</v>
      </c>
      <c r="K174" s="1371"/>
      <c r="L174" s="1371"/>
      <c r="M174" s="1371"/>
      <c r="N174" s="1371"/>
      <c r="O174" s="1371"/>
      <c r="P174" s="1371"/>
      <c r="Q174" s="1371"/>
      <c r="R174" s="1371"/>
      <c r="S174" s="1371"/>
      <c r="T174" s="1371"/>
      <c r="U174" s="1371"/>
      <c r="V174" s="1371"/>
      <c r="W174" s="1371"/>
      <c r="X174" s="1371"/>
      <c r="Y174" s="1371"/>
      <c r="Z174" s="1371"/>
      <c r="AA174" s="1371"/>
      <c r="AB174" s="1371"/>
      <c r="BB174" t="s">
        <v>1970</v>
      </c>
      <c r="BN174" s="23" t="s">
        <v>215</v>
      </c>
      <c r="BS174">
        <v>7</v>
      </c>
      <c r="BT174" t="s">
        <v>493</v>
      </c>
      <c r="CB174" s="350" t="s">
        <v>490</v>
      </c>
      <c r="CC174" s="464">
        <v>1644</v>
      </c>
      <c r="CD174" s="465">
        <v>1762</v>
      </c>
      <c r="CE174" s="464">
        <v>2114</v>
      </c>
      <c r="CF174" s="465">
        <v>2442</v>
      </c>
      <c r="CG174" s="465">
        <v>2724</v>
      </c>
      <c r="CH174" s="466">
        <v>3006</v>
      </c>
      <c r="CI174" s="3"/>
      <c r="CJ174" s="861">
        <v>1058</v>
      </c>
      <c r="CK174" s="861">
        <v>1064</v>
      </c>
      <c r="CL174" s="861">
        <v>1380</v>
      </c>
      <c r="CM174" s="861">
        <v>1934</v>
      </c>
      <c r="CN174" s="861">
        <v>2317</v>
      </c>
      <c r="CR174" s="23" t="s">
        <v>210</v>
      </c>
      <c r="CS174" s="323">
        <v>307732</v>
      </c>
      <c r="CT174" s="323">
        <v>354812</v>
      </c>
      <c r="CU174" s="323">
        <v>428000</v>
      </c>
      <c r="CV174" s="323">
        <v>547840</v>
      </c>
      <c r="CW174" s="323">
        <v>610328</v>
      </c>
      <c r="CX174" s="14"/>
      <c r="CY174" s="23" t="s">
        <v>210</v>
      </c>
      <c r="CZ174" s="323">
        <v>307732</v>
      </c>
      <c r="DA174" s="323">
        <v>354812</v>
      </c>
      <c r="DB174" s="323">
        <v>428000</v>
      </c>
      <c r="DC174" s="323">
        <v>547840</v>
      </c>
      <c r="DD174" s="323">
        <v>610328</v>
      </c>
    </row>
    <row r="175" spans="1:108" ht="12.95" customHeight="1">
      <c r="C175" s="8"/>
      <c r="D175" s="3" t="s">
        <v>321</v>
      </c>
      <c r="O175" s="27"/>
      <c r="U175" s="1332" t="s">
        <v>669</v>
      </c>
      <c r="V175" s="1332"/>
      <c r="BB175" t="s">
        <v>1938</v>
      </c>
      <c r="BN175" s="23" t="s">
        <v>216</v>
      </c>
      <c r="BS175">
        <v>1</v>
      </c>
      <c r="BT175" t="s">
        <v>494</v>
      </c>
      <c r="CB175" s="350" t="s">
        <v>491</v>
      </c>
      <c r="CC175" s="464">
        <v>1644</v>
      </c>
      <c r="CD175" s="465">
        <v>1762</v>
      </c>
      <c r="CE175" s="464">
        <v>2114</v>
      </c>
      <c r="CF175" s="465">
        <v>2442</v>
      </c>
      <c r="CG175" s="465">
        <v>2724</v>
      </c>
      <c r="CH175" s="466">
        <v>3006</v>
      </c>
      <c r="CI175" s="3"/>
      <c r="CJ175" s="861">
        <v>1151</v>
      </c>
      <c r="CK175" s="861">
        <v>1158</v>
      </c>
      <c r="CL175" s="861">
        <v>1445</v>
      </c>
      <c r="CM175" s="861">
        <v>2025</v>
      </c>
      <c r="CN175" s="861">
        <v>2427</v>
      </c>
      <c r="CR175" s="23" t="s">
        <v>212</v>
      </c>
      <c r="CS175" s="321">
        <v>307732</v>
      </c>
      <c r="CT175" s="321">
        <v>354812</v>
      </c>
      <c r="CU175" s="321">
        <v>428000</v>
      </c>
      <c r="CV175" s="321">
        <v>547840</v>
      </c>
      <c r="CW175" s="321">
        <v>610328</v>
      </c>
      <c r="CX175" s="14"/>
      <c r="CY175" s="23" t="s">
        <v>212</v>
      </c>
      <c r="CZ175" s="321">
        <v>307732</v>
      </c>
      <c r="DA175" s="321">
        <v>354812</v>
      </c>
      <c r="DB175" s="321">
        <v>428000</v>
      </c>
      <c r="DC175" s="321">
        <v>547840</v>
      </c>
      <c r="DD175" s="321">
        <v>610328</v>
      </c>
    </row>
    <row r="176" spans="1:108" ht="12.95" customHeight="1">
      <c r="C176" s="8"/>
      <c r="D176" s="26"/>
      <c r="E176" t="s">
        <v>303</v>
      </c>
      <c r="O176" s="27"/>
      <c r="P176" t="s">
        <v>2080</v>
      </c>
      <c r="T176" s="27" t="s">
        <v>304</v>
      </c>
      <c r="U176" s="1426"/>
      <c r="V176" s="1426"/>
      <c r="W176" s="1" t="s">
        <v>305</v>
      </c>
      <c r="X176" s="1785"/>
      <c r="Y176" s="1785"/>
      <c r="BB176" t="s">
        <v>1971</v>
      </c>
      <c r="BN176" s="23" t="s">
        <v>218</v>
      </c>
      <c r="BS176">
        <v>5</v>
      </c>
      <c r="BT176" t="s">
        <v>495</v>
      </c>
      <c r="CB176" s="350" t="s">
        <v>492</v>
      </c>
      <c r="CC176" s="464">
        <v>1644</v>
      </c>
      <c r="CD176" s="465">
        <v>1762</v>
      </c>
      <c r="CE176" s="464">
        <v>2114</v>
      </c>
      <c r="CF176" s="465">
        <v>2442</v>
      </c>
      <c r="CG176" s="465">
        <v>2724</v>
      </c>
      <c r="CH176" s="466">
        <v>3006</v>
      </c>
      <c r="CI176" s="3"/>
      <c r="CJ176" s="861">
        <v>1053</v>
      </c>
      <c r="CK176" s="861">
        <v>1060</v>
      </c>
      <c r="CL176" s="861">
        <v>1390</v>
      </c>
      <c r="CM176" s="861">
        <v>1948</v>
      </c>
      <c r="CN176" s="861">
        <v>2334</v>
      </c>
      <c r="CR176" s="23" t="s">
        <v>213</v>
      </c>
      <c r="CS176" s="323">
        <v>352022</v>
      </c>
      <c r="CT176" s="323">
        <v>405878</v>
      </c>
      <c r="CU176" s="323">
        <v>489600</v>
      </c>
      <c r="CV176" s="323">
        <v>626688</v>
      </c>
      <c r="CW176" s="323">
        <v>698170</v>
      </c>
      <c r="CX176" s="14"/>
      <c r="CY176" s="23" t="s">
        <v>213</v>
      </c>
      <c r="CZ176" s="323">
        <v>352022</v>
      </c>
      <c r="DA176" s="323">
        <v>405878</v>
      </c>
      <c r="DB176" s="323">
        <v>489600</v>
      </c>
      <c r="DC176" s="323">
        <v>626688</v>
      </c>
      <c r="DD176" s="323">
        <v>698170</v>
      </c>
    </row>
    <row r="177" spans="1:108" ht="12.95" customHeight="1">
      <c r="C177" s="24"/>
      <c r="D177" t="s">
        <v>248</v>
      </c>
      <c r="R177" s="1332" t="s">
        <v>669</v>
      </c>
      <c r="S177" s="1332"/>
      <c r="BB177" t="s">
        <v>2214</v>
      </c>
      <c r="BN177" s="23" t="s">
        <v>219</v>
      </c>
      <c r="BS177">
        <v>2</v>
      </c>
      <c r="BT177" t="s">
        <v>496</v>
      </c>
      <c r="CB177" s="350" t="s">
        <v>493</v>
      </c>
      <c r="CC177" s="464">
        <v>1644</v>
      </c>
      <c r="CD177" s="465">
        <v>1762</v>
      </c>
      <c r="CE177" s="464">
        <v>2114</v>
      </c>
      <c r="CF177" s="465">
        <v>2442</v>
      </c>
      <c r="CG177" s="465">
        <v>2724</v>
      </c>
      <c r="CH177" s="466">
        <v>3006</v>
      </c>
      <c r="CI177" s="3"/>
      <c r="CJ177" s="861">
        <v>819</v>
      </c>
      <c r="CK177" s="861">
        <v>910</v>
      </c>
      <c r="CL177" s="861">
        <v>1194</v>
      </c>
      <c r="CM177" s="861">
        <v>1673</v>
      </c>
      <c r="CN177" s="861">
        <v>2005</v>
      </c>
      <c r="CR177" s="23" t="s">
        <v>215</v>
      </c>
      <c r="CS177" s="321">
        <v>352022</v>
      </c>
      <c r="CT177" s="321">
        <v>405878</v>
      </c>
      <c r="CU177" s="321">
        <v>489600</v>
      </c>
      <c r="CV177" s="321">
        <v>626688</v>
      </c>
      <c r="CW177" s="321">
        <v>698170</v>
      </c>
      <c r="CX177" s="14"/>
      <c r="CY177" s="23" t="s">
        <v>215</v>
      </c>
      <c r="CZ177" s="321">
        <v>352022</v>
      </c>
      <c r="DA177" s="321">
        <v>405878</v>
      </c>
      <c r="DB177" s="321">
        <v>489600</v>
      </c>
      <c r="DC177" s="321">
        <v>626688</v>
      </c>
      <c r="DD177" s="321">
        <v>698170</v>
      </c>
    </row>
    <row r="178" spans="1:108" ht="12.95" customHeight="1">
      <c r="C178" s="24"/>
      <c r="D178" s="3" t="s">
        <v>1203</v>
      </c>
      <c r="AA178" t="s">
        <v>2080</v>
      </c>
      <c r="AE178" s="27" t="s">
        <v>304</v>
      </c>
      <c r="AF178" s="1784"/>
      <c r="AG178" s="1784"/>
      <c r="AH178" s="1" t="s">
        <v>305</v>
      </c>
      <c r="AI178" s="1805"/>
      <c r="AJ178" s="1805"/>
      <c r="AK178" s="1805"/>
      <c r="BB178" t="s">
        <v>2215</v>
      </c>
      <c r="BN178" s="23" t="s">
        <v>220</v>
      </c>
      <c r="BS178">
        <v>7</v>
      </c>
      <c r="BT178" t="s">
        <v>53</v>
      </c>
      <c r="CB178" s="350" t="s">
        <v>494</v>
      </c>
      <c r="CC178" s="464">
        <v>2650</v>
      </c>
      <c r="CD178" s="465">
        <v>2840</v>
      </c>
      <c r="CE178" s="464">
        <v>3406</v>
      </c>
      <c r="CF178" s="465">
        <v>3938</v>
      </c>
      <c r="CG178" s="465">
        <v>4392</v>
      </c>
      <c r="CH178" s="466">
        <v>4846</v>
      </c>
      <c r="CI178" s="3"/>
      <c r="CJ178" s="861">
        <v>1856</v>
      </c>
      <c r="CK178" s="861">
        <v>2081</v>
      </c>
      <c r="CL178" s="861">
        <v>2625</v>
      </c>
      <c r="CM178" s="861">
        <v>3335</v>
      </c>
      <c r="CN178" s="861">
        <v>3698</v>
      </c>
      <c r="CR178" s="23" t="s">
        <v>216</v>
      </c>
      <c r="CS178" s="323">
        <v>437727</v>
      </c>
      <c r="CT178" s="323">
        <v>504695</v>
      </c>
      <c r="CU178" s="323">
        <v>608800</v>
      </c>
      <c r="CV178" s="323">
        <v>779264</v>
      </c>
      <c r="CW178" s="323">
        <v>868149</v>
      </c>
      <c r="CX178" s="14"/>
      <c r="CY178" s="23" t="s">
        <v>216</v>
      </c>
      <c r="CZ178" s="323">
        <v>437727</v>
      </c>
      <c r="DA178" s="323">
        <v>504695</v>
      </c>
      <c r="DB178" s="323">
        <v>608800</v>
      </c>
      <c r="DC178" s="323">
        <v>779264</v>
      </c>
      <c r="DD178" s="323">
        <v>868149</v>
      </c>
    </row>
    <row r="179" spans="1:108" ht="12.95" customHeight="1">
      <c r="C179" s="24"/>
      <c r="BN179" s="23" t="s">
        <v>221</v>
      </c>
      <c r="BS179">
        <v>7</v>
      </c>
      <c r="BT179" t="s">
        <v>54</v>
      </c>
      <c r="CB179" s="350" t="s">
        <v>495</v>
      </c>
      <c r="CC179" s="464">
        <v>1644</v>
      </c>
      <c r="CD179" s="465">
        <v>1762</v>
      </c>
      <c r="CE179" s="464">
        <v>2114</v>
      </c>
      <c r="CF179" s="465">
        <v>2442</v>
      </c>
      <c r="CG179" s="465">
        <v>2724</v>
      </c>
      <c r="CH179" s="466">
        <v>3006</v>
      </c>
      <c r="CI179" s="3"/>
      <c r="CJ179" s="861">
        <v>1099</v>
      </c>
      <c r="CK179" s="861">
        <v>1106</v>
      </c>
      <c r="CL179" s="861">
        <v>1433</v>
      </c>
      <c r="CM179" s="861">
        <v>2008</v>
      </c>
      <c r="CN179" s="861">
        <v>2293</v>
      </c>
      <c r="CR179" s="23" t="s">
        <v>218</v>
      </c>
      <c r="CS179" s="321">
        <v>307732</v>
      </c>
      <c r="CT179" s="321">
        <v>354812</v>
      </c>
      <c r="CU179" s="321">
        <v>428000</v>
      </c>
      <c r="CV179" s="321">
        <v>547840</v>
      </c>
      <c r="CW179" s="321">
        <v>610328</v>
      </c>
      <c r="CX179" s="14"/>
      <c r="CY179" s="23" t="s">
        <v>218</v>
      </c>
      <c r="CZ179" s="321">
        <v>307732</v>
      </c>
      <c r="DA179" s="321">
        <v>354812</v>
      </c>
      <c r="DB179" s="321">
        <v>428000</v>
      </c>
      <c r="DC179" s="321">
        <v>547840</v>
      </c>
      <c r="DD179" s="321">
        <v>610328</v>
      </c>
    </row>
    <row r="180" spans="1:108" ht="12.95" customHeight="1">
      <c r="C180" s="24"/>
      <c r="D180" t="s">
        <v>2081</v>
      </c>
      <c r="X180" s="1332" t="s">
        <v>669</v>
      </c>
      <c r="Y180" s="1332"/>
      <c r="BN180" s="23" t="s">
        <v>223</v>
      </c>
      <c r="BS180">
        <v>5</v>
      </c>
      <c r="BT180" t="s">
        <v>55</v>
      </c>
      <c r="CB180" s="350" t="s">
        <v>496</v>
      </c>
      <c r="CC180" s="464">
        <v>3384</v>
      </c>
      <c r="CD180" s="465">
        <v>3626</v>
      </c>
      <c r="CE180" s="464">
        <v>4352</v>
      </c>
      <c r="CF180" s="465">
        <v>5028</v>
      </c>
      <c r="CG180" s="465">
        <v>5610</v>
      </c>
      <c r="CH180" s="466">
        <v>6190</v>
      </c>
      <c r="CI180" s="3"/>
      <c r="CJ180" s="861">
        <v>2275</v>
      </c>
      <c r="CK180" s="861">
        <v>2780</v>
      </c>
      <c r="CL180" s="861">
        <v>3318</v>
      </c>
      <c r="CM180" s="861">
        <v>4138</v>
      </c>
      <c r="CN180" s="861">
        <v>4399</v>
      </c>
      <c r="CR180" s="23" t="s">
        <v>219</v>
      </c>
      <c r="CS180" s="323">
        <v>384234</v>
      </c>
      <c r="CT180" s="323">
        <v>443018</v>
      </c>
      <c r="CU180" s="323">
        <v>534400</v>
      </c>
      <c r="CV180" s="323">
        <v>684032</v>
      </c>
      <c r="CW180" s="323">
        <v>762054</v>
      </c>
      <c r="CX180" s="14"/>
      <c r="CY180" s="23" t="s">
        <v>219</v>
      </c>
      <c r="CZ180" s="323">
        <v>384234</v>
      </c>
      <c r="DA180" s="323">
        <v>443018</v>
      </c>
      <c r="DB180" s="323">
        <v>534400</v>
      </c>
      <c r="DC180" s="323">
        <v>684032</v>
      </c>
      <c r="DD180" s="323">
        <v>762054</v>
      </c>
    </row>
    <row r="181" spans="1:108" ht="12.95" customHeight="1">
      <c r="C181" s="8"/>
      <c r="E181" s="4" t="s">
        <v>976</v>
      </c>
      <c r="BN181" s="23" t="s">
        <v>224</v>
      </c>
      <c r="BS181">
        <v>7</v>
      </c>
      <c r="BT181" t="s">
        <v>56</v>
      </c>
      <c r="CB181" s="350" t="s">
        <v>53</v>
      </c>
      <c r="CC181" s="464">
        <v>1644</v>
      </c>
      <c r="CD181" s="465">
        <v>1762</v>
      </c>
      <c r="CE181" s="464">
        <v>2114</v>
      </c>
      <c r="CF181" s="465">
        <v>2442</v>
      </c>
      <c r="CG181" s="465">
        <v>2724</v>
      </c>
      <c r="CH181" s="466">
        <v>3006</v>
      </c>
      <c r="CI181" s="3"/>
      <c r="CJ181" s="861">
        <v>928</v>
      </c>
      <c r="CK181" s="861">
        <v>1119</v>
      </c>
      <c r="CL181" s="861">
        <v>1338</v>
      </c>
      <c r="CM181" s="861">
        <v>1875</v>
      </c>
      <c r="CN181" s="861">
        <v>2247</v>
      </c>
      <c r="CR181" s="23" t="s">
        <v>220</v>
      </c>
      <c r="CS181" s="321">
        <v>352022</v>
      </c>
      <c r="CT181" s="321">
        <v>405878</v>
      </c>
      <c r="CU181" s="321">
        <v>489600</v>
      </c>
      <c r="CV181" s="321">
        <v>626688</v>
      </c>
      <c r="CW181" s="321">
        <v>698170</v>
      </c>
      <c r="CX181" s="14"/>
      <c r="CY181" s="23" t="s">
        <v>220</v>
      </c>
      <c r="CZ181" s="321">
        <v>352022</v>
      </c>
      <c r="DA181" s="321">
        <v>405878</v>
      </c>
      <c r="DB181" s="321">
        <v>489600</v>
      </c>
      <c r="DC181" s="321">
        <v>626688</v>
      </c>
      <c r="DD181" s="321">
        <v>698170</v>
      </c>
    </row>
    <row r="182" spans="1:108" ht="12.95" customHeight="1">
      <c r="C182" s="530"/>
      <c r="BN182" s="23" t="s">
        <v>225</v>
      </c>
      <c r="BS182">
        <v>7</v>
      </c>
      <c r="BT182" t="s">
        <v>60</v>
      </c>
      <c r="CB182" s="350" t="s">
        <v>54</v>
      </c>
      <c r="CC182" s="464">
        <v>1644</v>
      </c>
      <c r="CD182" s="465">
        <v>1762</v>
      </c>
      <c r="CE182" s="464">
        <v>2114</v>
      </c>
      <c r="CF182" s="465">
        <v>2442</v>
      </c>
      <c r="CG182" s="465">
        <v>2724</v>
      </c>
      <c r="CH182" s="466">
        <v>3006</v>
      </c>
      <c r="CI182" s="3"/>
      <c r="CJ182" s="861">
        <v>1173</v>
      </c>
      <c r="CK182" s="861">
        <v>1220</v>
      </c>
      <c r="CL182" s="861">
        <v>1601</v>
      </c>
      <c r="CM182" s="861">
        <v>2243</v>
      </c>
      <c r="CN182" s="861">
        <v>2688</v>
      </c>
      <c r="CR182" s="23" t="s">
        <v>221</v>
      </c>
      <c r="CS182" s="323">
        <v>352022</v>
      </c>
      <c r="CT182" s="323">
        <v>405878</v>
      </c>
      <c r="CU182" s="323">
        <v>489600</v>
      </c>
      <c r="CV182" s="323">
        <v>626688</v>
      </c>
      <c r="CW182" s="323">
        <v>698170</v>
      </c>
      <c r="CX182" s="14"/>
      <c r="CY182" s="23" t="s">
        <v>221</v>
      </c>
      <c r="CZ182" s="323">
        <v>352022</v>
      </c>
      <c r="DA182" s="323">
        <v>405878</v>
      </c>
      <c r="DB182" s="323">
        <v>489600</v>
      </c>
      <c r="DC182" s="323">
        <v>626688</v>
      </c>
      <c r="DD182" s="323">
        <v>698170</v>
      </c>
    </row>
    <row r="183" spans="1:108" ht="12.95" customHeight="1">
      <c r="A183" s="2" t="s">
        <v>576</v>
      </c>
      <c r="C183" s="2" t="s">
        <v>577</v>
      </c>
      <c r="BN183" s="23" t="s">
        <v>227</v>
      </c>
      <c r="BS183">
        <v>4</v>
      </c>
      <c r="BT183" t="s">
        <v>61</v>
      </c>
      <c r="CB183" s="350" t="s">
        <v>55</v>
      </c>
      <c r="CC183" s="464">
        <v>1644</v>
      </c>
      <c r="CD183" s="465">
        <v>1762</v>
      </c>
      <c r="CE183" s="464">
        <v>2114</v>
      </c>
      <c r="CF183" s="465">
        <v>2442</v>
      </c>
      <c r="CG183" s="465">
        <v>2724</v>
      </c>
      <c r="CH183" s="466">
        <v>3006</v>
      </c>
      <c r="CI183" s="3"/>
      <c r="CJ183" s="861">
        <v>1071</v>
      </c>
      <c r="CK183" s="861">
        <v>1227</v>
      </c>
      <c r="CL183" s="861">
        <v>1509</v>
      </c>
      <c r="CM183" s="861">
        <v>2081</v>
      </c>
      <c r="CN183" s="861">
        <v>2534</v>
      </c>
      <c r="CR183" s="23" t="s">
        <v>223</v>
      </c>
      <c r="CS183" s="321">
        <v>307732</v>
      </c>
      <c r="CT183" s="321">
        <v>354812</v>
      </c>
      <c r="CU183" s="321">
        <v>428000</v>
      </c>
      <c r="CV183" s="321">
        <v>547840</v>
      </c>
      <c r="CW183" s="321">
        <v>610328</v>
      </c>
      <c r="CX183" s="14"/>
      <c r="CY183" s="23" t="s">
        <v>223</v>
      </c>
      <c r="CZ183" s="321">
        <v>307732</v>
      </c>
      <c r="DA183" s="321">
        <v>354812</v>
      </c>
      <c r="DB183" s="321">
        <v>428000</v>
      </c>
      <c r="DC183" s="321">
        <v>547840</v>
      </c>
      <c r="DD183" s="321">
        <v>610328</v>
      </c>
    </row>
    <row r="184" spans="1:108" ht="12.95" customHeight="1">
      <c r="C184" s="21"/>
      <c r="D184" t="s">
        <v>578</v>
      </c>
      <c r="I184" s="1358" t="str">
        <f>H18</f>
        <v>Victoria Flats</v>
      </c>
      <c r="J184" s="1358"/>
      <c r="K184" s="1358"/>
      <c r="L184" s="1358"/>
      <c r="M184" s="1358"/>
      <c r="N184" s="1358"/>
      <c r="O184" s="1358"/>
      <c r="P184" s="1358"/>
      <c r="Q184" s="1358"/>
      <c r="R184" s="1358"/>
      <c r="S184" s="1358"/>
      <c r="T184" s="1358"/>
      <c r="U184" s="1358"/>
      <c r="V184" s="1358"/>
      <c r="W184" s="1358"/>
      <c r="X184" s="1358"/>
      <c r="Y184" s="1358"/>
      <c r="Z184" s="1358"/>
      <c r="AA184" s="1358"/>
      <c r="AB184" s="1358"/>
      <c r="AC184" s="1358"/>
      <c r="AD184" s="1358"/>
      <c r="AE184" s="1358"/>
      <c r="BC184" t="s">
        <v>587</v>
      </c>
      <c r="BN184" s="23" t="s">
        <v>229</v>
      </c>
      <c r="BS184">
        <v>4</v>
      </c>
      <c r="BT184" t="s">
        <v>62</v>
      </c>
      <c r="CB184" s="350" t="s">
        <v>56</v>
      </c>
      <c r="CC184" s="464">
        <v>1644</v>
      </c>
      <c r="CD184" s="465">
        <v>1762</v>
      </c>
      <c r="CE184" s="464">
        <v>2114</v>
      </c>
      <c r="CF184" s="465">
        <v>2442</v>
      </c>
      <c r="CG184" s="465">
        <v>2724</v>
      </c>
      <c r="CH184" s="466">
        <v>3006</v>
      </c>
      <c r="CI184" s="3"/>
      <c r="CJ184" s="861">
        <v>731</v>
      </c>
      <c r="CK184" s="861">
        <v>886</v>
      </c>
      <c r="CL184" s="861">
        <v>1054</v>
      </c>
      <c r="CM184" s="861">
        <v>1270</v>
      </c>
      <c r="CN184" s="861">
        <v>1748</v>
      </c>
      <c r="CR184" s="23" t="s">
        <v>224</v>
      </c>
      <c r="CS184" s="323">
        <v>352022</v>
      </c>
      <c r="CT184" s="323">
        <v>405878</v>
      </c>
      <c r="CU184" s="323">
        <v>489600</v>
      </c>
      <c r="CV184" s="323">
        <v>626688</v>
      </c>
      <c r="CW184" s="323">
        <v>698170</v>
      </c>
      <c r="CX184" s="14"/>
      <c r="CY184" s="23" t="s">
        <v>224</v>
      </c>
      <c r="CZ184" s="323">
        <v>352022</v>
      </c>
      <c r="DA184" s="323">
        <v>405878</v>
      </c>
      <c r="DB184" s="323">
        <v>489600</v>
      </c>
      <c r="DC184" s="323">
        <v>626688</v>
      </c>
      <c r="DD184" s="323">
        <v>698170</v>
      </c>
    </row>
    <row r="185" spans="1:108" ht="12.95" customHeight="1">
      <c r="C185" s="21"/>
      <c r="D185" t="s">
        <v>579</v>
      </c>
      <c r="I185" s="1348"/>
      <c r="J185" s="1348"/>
      <c r="K185" s="1348"/>
      <c r="L185" s="1348"/>
      <c r="M185" s="1348"/>
      <c r="N185" s="1348"/>
      <c r="O185" s="1348"/>
      <c r="P185" s="1348"/>
      <c r="Q185" s="1348"/>
      <c r="R185" s="1348"/>
      <c r="S185" s="1348"/>
      <c r="T185" s="1348"/>
      <c r="U185" s="1348"/>
      <c r="V185" s="1348"/>
      <c r="W185" s="1348"/>
      <c r="X185" s="1348"/>
      <c r="Y185" s="1348"/>
      <c r="Z185" s="1348"/>
      <c r="AA185" s="1348"/>
      <c r="AB185" s="1348"/>
      <c r="AC185" s="1348"/>
      <c r="AD185" s="1348"/>
      <c r="AE185" s="1348"/>
      <c r="BC185" t="s">
        <v>588</v>
      </c>
      <c r="BN185" s="23" t="s">
        <v>230</v>
      </c>
      <c r="BS185">
        <v>7</v>
      </c>
      <c r="BT185" t="s">
        <v>63</v>
      </c>
      <c r="CB185" s="350" t="s">
        <v>60</v>
      </c>
      <c r="CC185" s="464">
        <v>1784</v>
      </c>
      <c r="CD185" s="465">
        <v>1912</v>
      </c>
      <c r="CE185" s="464">
        <v>2294</v>
      </c>
      <c r="CF185" s="465">
        <v>2652</v>
      </c>
      <c r="CG185" s="465">
        <v>2960</v>
      </c>
      <c r="CH185" s="466">
        <v>3266</v>
      </c>
      <c r="CI185" s="3"/>
      <c r="CJ185" s="861">
        <v>1036</v>
      </c>
      <c r="CK185" s="861">
        <v>1348</v>
      </c>
      <c r="CL185" s="861">
        <v>1493</v>
      </c>
      <c r="CM185" s="861">
        <v>2092</v>
      </c>
      <c r="CN185" s="861">
        <v>2476</v>
      </c>
      <c r="CR185" s="23" t="s">
        <v>225</v>
      </c>
      <c r="CS185" s="321">
        <v>352022</v>
      </c>
      <c r="CT185" s="321">
        <v>405878</v>
      </c>
      <c r="CU185" s="321">
        <v>489600</v>
      </c>
      <c r="CV185" s="321">
        <v>626688</v>
      </c>
      <c r="CW185" s="321">
        <v>698170</v>
      </c>
      <c r="CX185" s="14"/>
      <c r="CY185" s="23" t="s">
        <v>225</v>
      </c>
      <c r="CZ185" s="321">
        <v>352022</v>
      </c>
      <c r="DA185" s="321">
        <v>405878</v>
      </c>
      <c r="DB185" s="321">
        <v>489600</v>
      </c>
      <c r="DC185" s="321">
        <v>626688</v>
      </c>
      <c r="DD185" s="321">
        <v>698170</v>
      </c>
    </row>
    <row r="186" spans="1:108" ht="12.95" customHeight="1">
      <c r="C186" s="21"/>
      <c r="E186" t="s">
        <v>167</v>
      </c>
      <c r="BN186" s="23" t="s">
        <v>231</v>
      </c>
      <c r="BS186">
        <v>4</v>
      </c>
      <c r="BT186" t="s">
        <v>64</v>
      </c>
      <c r="CB186" s="350" t="s">
        <v>61</v>
      </c>
      <c r="CC186" s="464">
        <v>2530</v>
      </c>
      <c r="CD186" s="465">
        <v>2710</v>
      </c>
      <c r="CE186" s="464">
        <v>3254</v>
      </c>
      <c r="CF186" s="465">
        <v>3760</v>
      </c>
      <c r="CG186" s="465">
        <v>4192</v>
      </c>
      <c r="CH186" s="466">
        <v>4626</v>
      </c>
      <c r="CI186" s="3"/>
      <c r="CJ186" s="861">
        <v>2414</v>
      </c>
      <c r="CK186" s="861">
        <v>2479</v>
      </c>
      <c r="CL186" s="861">
        <v>2982</v>
      </c>
      <c r="CM186" s="861">
        <v>4025</v>
      </c>
      <c r="CN186" s="861">
        <v>4383</v>
      </c>
      <c r="CR186" s="23" t="s">
        <v>227</v>
      </c>
      <c r="CS186" s="323">
        <v>404366</v>
      </c>
      <c r="CT186" s="323">
        <v>466230</v>
      </c>
      <c r="CU186" s="323">
        <v>562400</v>
      </c>
      <c r="CV186" s="323">
        <v>719872</v>
      </c>
      <c r="CW186" s="323">
        <v>801982</v>
      </c>
      <c r="CX186" s="14"/>
      <c r="CY186" s="23" t="s">
        <v>227</v>
      </c>
      <c r="CZ186" s="323">
        <v>404366</v>
      </c>
      <c r="DA186" s="323">
        <v>466230</v>
      </c>
      <c r="DB186" s="323">
        <v>562400</v>
      </c>
      <c r="DC186" s="323">
        <v>719872</v>
      </c>
      <c r="DD186" s="323">
        <v>801982</v>
      </c>
    </row>
    <row r="187" spans="1:108" ht="12.95" customHeight="1">
      <c r="C187" s="21"/>
      <c r="E187" s="1804" t="s">
        <v>2614</v>
      </c>
      <c r="F187" s="1804"/>
      <c r="G187" s="1804"/>
      <c r="H187" s="1804"/>
      <c r="I187" s="1804"/>
      <c r="J187" s="1804"/>
      <c r="K187" s="1804"/>
      <c r="L187" s="1804"/>
      <c r="M187" s="1804"/>
      <c r="N187" s="1804"/>
      <c r="O187" s="1804"/>
      <c r="P187" s="1804"/>
      <c r="Q187" s="1804"/>
      <c r="R187" s="1804"/>
      <c r="S187" s="1804"/>
      <c r="T187" s="1804"/>
      <c r="U187" s="1804"/>
      <c r="V187" s="1804"/>
      <c r="W187" s="1804"/>
      <c r="X187" s="1804"/>
      <c r="Y187" s="1804"/>
      <c r="Z187" s="1804"/>
      <c r="AA187" s="1804"/>
      <c r="AB187" s="1804"/>
      <c r="AC187" s="1804"/>
      <c r="AD187" s="1804"/>
      <c r="AE187" s="1804"/>
      <c r="BN187" s="23" t="s">
        <v>232</v>
      </c>
      <c r="BS187">
        <v>6</v>
      </c>
      <c r="BT187" t="s">
        <v>65</v>
      </c>
      <c r="CB187" s="350" t="s">
        <v>62</v>
      </c>
      <c r="CC187" s="464">
        <v>2804</v>
      </c>
      <c r="CD187" s="465">
        <v>3004</v>
      </c>
      <c r="CE187" s="464">
        <v>3606</v>
      </c>
      <c r="CF187" s="465">
        <v>4168</v>
      </c>
      <c r="CG187" s="465">
        <v>4650</v>
      </c>
      <c r="CH187" s="466">
        <v>5130</v>
      </c>
      <c r="CI187" s="3"/>
      <c r="CJ187" s="861">
        <v>1915</v>
      </c>
      <c r="CK187" s="861">
        <v>2128</v>
      </c>
      <c r="CL187" s="861">
        <v>2792</v>
      </c>
      <c r="CM187" s="861">
        <v>3636</v>
      </c>
      <c r="CN187" s="861">
        <v>4144</v>
      </c>
      <c r="CR187" s="23" t="s">
        <v>229</v>
      </c>
      <c r="CS187" s="321">
        <v>384234</v>
      </c>
      <c r="CT187" s="321">
        <v>443018</v>
      </c>
      <c r="CU187" s="321">
        <v>534400</v>
      </c>
      <c r="CV187" s="321">
        <v>684032</v>
      </c>
      <c r="CW187" s="321">
        <v>762054</v>
      </c>
      <c r="CX187" s="14"/>
      <c r="CY187" s="23" t="s">
        <v>229</v>
      </c>
      <c r="CZ187" s="321">
        <v>384234</v>
      </c>
      <c r="DA187" s="321">
        <v>443018</v>
      </c>
      <c r="DB187" s="321">
        <v>534400</v>
      </c>
      <c r="DC187" s="321">
        <v>684032</v>
      </c>
      <c r="DD187" s="321">
        <v>762054</v>
      </c>
    </row>
    <row r="188" spans="1:108" ht="12.95" customHeight="1">
      <c r="C188" s="21"/>
      <c r="E188" s="1775"/>
      <c r="F188" s="1775"/>
      <c r="G188" s="1775"/>
      <c r="H188" s="1775"/>
      <c r="I188" s="1775"/>
      <c r="J188" s="1775"/>
      <c r="K188" s="1775"/>
      <c r="L188" s="1775"/>
      <c r="M188" s="1775"/>
      <c r="N188" s="1775"/>
      <c r="O188" s="1775"/>
      <c r="P188" s="1775"/>
      <c r="Q188" s="1775"/>
      <c r="R188" s="1775"/>
      <c r="S188" s="1775"/>
      <c r="T188" s="1775"/>
      <c r="U188" s="1775"/>
      <c r="V188" s="1775"/>
      <c r="W188" s="1775"/>
      <c r="X188" s="1775"/>
      <c r="Y188" s="1775"/>
      <c r="Z188" s="1775"/>
      <c r="AA188" s="1775"/>
      <c r="AB188" s="1775"/>
      <c r="AC188" s="1775"/>
      <c r="AD188" s="1775"/>
      <c r="AE188" s="1775"/>
      <c r="BN188" s="23" t="s">
        <v>234</v>
      </c>
      <c r="BS188">
        <v>7</v>
      </c>
      <c r="BT188" t="s">
        <v>66</v>
      </c>
      <c r="CB188" s="350" t="s">
        <v>63</v>
      </c>
      <c r="CC188" s="464">
        <v>1992</v>
      </c>
      <c r="CD188" s="465">
        <v>2132</v>
      </c>
      <c r="CE188" s="464">
        <v>2560</v>
      </c>
      <c r="CF188" s="465">
        <v>2958</v>
      </c>
      <c r="CG188" s="465">
        <v>3300</v>
      </c>
      <c r="CH188" s="466">
        <v>3642</v>
      </c>
      <c r="CI188" s="3"/>
      <c r="CJ188" s="861">
        <v>1352</v>
      </c>
      <c r="CK188" s="861">
        <v>1361</v>
      </c>
      <c r="CL188" s="861">
        <v>1785</v>
      </c>
      <c r="CM188" s="861">
        <v>2501</v>
      </c>
      <c r="CN188" s="861">
        <v>2997</v>
      </c>
      <c r="CR188" s="23" t="s">
        <v>230</v>
      </c>
      <c r="CS188" s="323">
        <v>352022</v>
      </c>
      <c r="CT188" s="323">
        <v>405878</v>
      </c>
      <c r="CU188" s="323">
        <v>489600</v>
      </c>
      <c r="CV188" s="323">
        <v>626688</v>
      </c>
      <c r="CW188" s="323">
        <v>698170</v>
      </c>
      <c r="CX188" s="14"/>
      <c r="CY188" s="23" t="s">
        <v>230</v>
      </c>
      <c r="CZ188" s="323">
        <v>352022</v>
      </c>
      <c r="DA188" s="323">
        <v>405878</v>
      </c>
      <c r="DB188" s="323">
        <v>489600</v>
      </c>
      <c r="DC188" s="323">
        <v>626688</v>
      </c>
      <c r="DD188" s="323">
        <v>698170</v>
      </c>
    </row>
    <row r="189" spans="1:108" ht="12.95" customHeight="1">
      <c r="C189" s="21"/>
      <c r="D189" t="s">
        <v>580</v>
      </c>
      <c r="I189" s="1416" t="s">
        <v>202</v>
      </c>
      <c r="J189" s="1371"/>
      <c r="K189" s="1371"/>
      <c r="L189" s="1371"/>
      <c r="M189" s="1371"/>
      <c r="N189" s="1371"/>
      <c r="O189" s="1371"/>
      <c r="P189" s="1371"/>
      <c r="Q189" t="s">
        <v>582</v>
      </c>
      <c r="T189" s="1371" t="s">
        <v>202</v>
      </c>
      <c r="U189" s="1371"/>
      <c r="V189" s="1371"/>
      <c r="W189" s="1371"/>
      <c r="X189" s="1371"/>
      <c r="Y189" s="1371"/>
      <c r="Z189" s="1371"/>
      <c r="AA189" s="1371"/>
      <c r="AB189" s="1371"/>
      <c r="AC189" s="1371"/>
      <c r="AD189" s="1371"/>
      <c r="AE189" s="1371"/>
      <c r="BC189" t="s">
        <v>306</v>
      </c>
      <c r="BH189" s="3" t="s">
        <v>591</v>
      </c>
      <c r="BN189" s="23" t="s">
        <v>235</v>
      </c>
      <c r="BS189">
        <v>5</v>
      </c>
      <c r="BT189" t="s">
        <v>67</v>
      </c>
      <c r="CB189" s="350" t="s">
        <v>64</v>
      </c>
      <c r="CC189" s="464">
        <v>2962</v>
      </c>
      <c r="CD189" s="465">
        <v>3172</v>
      </c>
      <c r="CE189" s="464">
        <v>3806</v>
      </c>
      <c r="CF189" s="465">
        <v>4400</v>
      </c>
      <c r="CG189" s="465">
        <v>4906</v>
      </c>
      <c r="CH189" s="466">
        <v>5416</v>
      </c>
      <c r="CI189" s="34"/>
      <c r="CJ189" s="1041">
        <v>2352</v>
      </c>
      <c r="CK189" s="1041">
        <v>2454</v>
      </c>
      <c r="CL189" s="1041">
        <v>2903</v>
      </c>
      <c r="CM189" s="1041">
        <v>3927</v>
      </c>
      <c r="CN189" s="1041">
        <v>4693</v>
      </c>
      <c r="CR189" s="23" t="s">
        <v>231</v>
      </c>
      <c r="CS189" s="321">
        <v>396888</v>
      </c>
      <c r="CT189" s="321">
        <v>457608</v>
      </c>
      <c r="CU189" s="321">
        <v>552000</v>
      </c>
      <c r="CV189" s="321">
        <v>706560</v>
      </c>
      <c r="CW189" s="321">
        <v>787152</v>
      </c>
      <c r="CX189" s="14"/>
      <c r="CY189" s="23" t="s">
        <v>231</v>
      </c>
      <c r="CZ189" s="321">
        <v>396888</v>
      </c>
      <c r="DA189" s="321">
        <v>457608</v>
      </c>
      <c r="DB189" s="321">
        <v>552000</v>
      </c>
      <c r="DC189" s="321">
        <v>706560</v>
      </c>
      <c r="DD189" s="321">
        <v>787152</v>
      </c>
    </row>
    <row r="190" spans="1:108" ht="12.95" customHeight="1">
      <c r="C190" s="21"/>
      <c r="D190" t="s">
        <v>583</v>
      </c>
      <c r="I190" s="1348">
        <v>93003</v>
      </c>
      <c r="J190" s="1348"/>
      <c r="K190" s="1348"/>
      <c r="L190" s="1348"/>
      <c r="M190" s="1348"/>
      <c r="N190" s="1348"/>
      <c r="O190" t="s">
        <v>585</v>
      </c>
      <c r="T190" s="1791">
        <v>6111002800</v>
      </c>
      <c r="U190" s="1791"/>
      <c r="V190" s="1791"/>
      <c r="W190" s="1791"/>
      <c r="X190" s="1791"/>
      <c r="Y190" s="1791"/>
      <c r="Z190" s="1791"/>
      <c r="AA190" s="1791"/>
      <c r="AB190" s="1791"/>
      <c r="AC190" s="1791"/>
      <c r="AD190" s="1791"/>
      <c r="AE190" s="1791"/>
      <c r="BC190" t="s">
        <v>1041</v>
      </c>
      <c r="BH190" t="s">
        <v>1041</v>
      </c>
      <c r="BN190" s="23" t="s">
        <v>635</v>
      </c>
      <c r="BS190">
        <v>6</v>
      </c>
      <c r="BT190" t="s">
        <v>68</v>
      </c>
      <c r="CB190" s="350" t="s">
        <v>65</v>
      </c>
      <c r="CC190" s="464">
        <v>2252</v>
      </c>
      <c r="CD190" s="465">
        <v>2412</v>
      </c>
      <c r="CE190" s="464">
        <v>2894</v>
      </c>
      <c r="CF190" s="465">
        <v>3342</v>
      </c>
      <c r="CG190" s="465">
        <v>3730</v>
      </c>
      <c r="CH190" s="466">
        <v>4116</v>
      </c>
      <c r="CI190" s="34"/>
      <c r="CJ190" s="1041">
        <v>1679</v>
      </c>
      <c r="CK190" s="1041">
        <v>1777</v>
      </c>
      <c r="CL190" s="1041">
        <v>2206</v>
      </c>
      <c r="CM190" s="1041">
        <v>2992</v>
      </c>
      <c r="CN190" s="1041">
        <v>3455</v>
      </c>
      <c r="CR190" s="23" t="s">
        <v>232</v>
      </c>
      <c r="CS190" s="323">
        <v>331890</v>
      </c>
      <c r="CT190" s="323">
        <v>382666</v>
      </c>
      <c r="CU190" s="323">
        <v>461600</v>
      </c>
      <c r="CV190" s="323">
        <v>590848</v>
      </c>
      <c r="CW190" s="323">
        <v>658242</v>
      </c>
      <c r="CX190" s="14"/>
      <c r="CY190" s="23" t="s">
        <v>232</v>
      </c>
      <c r="CZ190" s="323">
        <v>331890</v>
      </c>
      <c r="DA190" s="323">
        <v>382666</v>
      </c>
      <c r="DB190" s="323">
        <v>461600</v>
      </c>
      <c r="DC190" s="323">
        <v>590848</v>
      </c>
      <c r="DD190" s="323">
        <v>658242</v>
      </c>
    </row>
    <row r="191" spans="1:108" ht="12.95" customHeight="1">
      <c r="C191" s="21"/>
      <c r="D191" t="s">
        <v>462</v>
      </c>
      <c r="N191" s="1804" t="s">
        <v>2615</v>
      </c>
      <c r="O191" s="1804"/>
      <c r="P191" s="1804"/>
      <c r="Q191" s="1804"/>
      <c r="R191" s="1804"/>
      <c r="S191" s="1804"/>
      <c r="T191" s="1804"/>
      <c r="U191" s="1804"/>
      <c r="V191" s="1804"/>
      <c r="W191" s="1804"/>
      <c r="X191" s="1804"/>
      <c r="Y191" s="1804"/>
      <c r="Z191" s="1804"/>
      <c r="AA191" s="1804"/>
      <c r="AB191" s="1804"/>
      <c r="AC191" s="1804"/>
      <c r="AD191" s="1804"/>
      <c r="AE191" s="1804"/>
      <c r="BC191" t="s">
        <v>1040</v>
      </c>
      <c r="BH191" t="s">
        <v>1040</v>
      </c>
      <c r="BN191" s="23" t="s">
        <v>688</v>
      </c>
      <c r="BS191">
        <v>4</v>
      </c>
      <c r="BT191" t="s">
        <v>727</v>
      </c>
      <c r="CB191" s="350" t="s">
        <v>66</v>
      </c>
      <c r="CC191" s="464">
        <v>1670</v>
      </c>
      <c r="CD191" s="465">
        <v>1788</v>
      </c>
      <c r="CE191" s="464">
        <v>2144</v>
      </c>
      <c r="CF191" s="465">
        <v>2478</v>
      </c>
      <c r="CG191" s="465">
        <v>2764</v>
      </c>
      <c r="CH191" s="466">
        <v>3050</v>
      </c>
      <c r="CI191" s="34"/>
      <c r="CJ191" s="1041">
        <v>904</v>
      </c>
      <c r="CK191" s="1041">
        <v>1005</v>
      </c>
      <c r="CL191" s="1041">
        <v>1318</v>
      </c>
      <c r="CM191" s="1041">
        <v>1847</v>
      </c>
      <c r="CN191" s="1041">
        <v>1883</v>
      </c>
      <c r="CR191" s="23" t="s">
        <v>234</v>
      </c>
      <c r="CS191" s="321">
        <v>352022</v>
      </c>
      <c r="CT191" s="321">
        <v>405878</v>
      </c>
      <c r="CU191" s="321">
        <v>489600</v>
      </c>
      <c r="CV191" s="321">
        <v>626688</v>
      </c>
      <c r="CW191" s="321">
        <v>698170</v>
      </c>
      <c r="CX191" s="14"/>
      <c r="CY191" s="23" t="s">
        <v>234</v>
      </c>
      <c r="CZ191" s="321">
        <v>352022</v>
      </c>
      <c r="DA191" s="321">
        <v>405878</v>
      </c>
      <c r="DB191" s="321">
        <v>489600</v>
      </c>
      <c r="DC191" s="321">
        <v>626688</v>
      </c>
      <c r="DD191" s="321">
        <v>698170</v>
      </c>
    </row>
    <row r="192" spans="1:108" ht="12.95" customHeight="1">
      <c r="C192" s="21"/>
      <c r="M192" s="40"/>
      <c r="N192" s="1775"/>
      <c r="O192" s="1775"/>
      <c r="P192" s="1775"/>
      <c r="Q192" s="1775"/>
      <c r="R192" s="1775"/>
      <c r="S192" s="1775"/>
      <c r="T192" s="1775"/>
      <c r="U192" s="1775"/>
      <c r="V192" s="1775"/>
      <c r="W192" s="1775"/>
      <c r="X192" s="1775"/>
      <c r="Y192" s="1775"/>
      <c r="Z192" s="1775"/>
      <c r="AA192" s="1775"/>
      <c r="AB192" s="1775"/>
      <c r="AC192" s="1775"/>
      <c r="AD192" s="1775"/>
      <c r="AE192" s="1775"/>
      <c r="BC192" t="s">
        <v>1043</v>
      </c>
      <c r="BH192" s="3" t="s">
        <v>1364</v>
      </c>
      <c r="BN192" s="23" t="s">
        <v>689</v>
      </c>
      <c r="BS192">
        <v>5</v>
      </c>
      <c r="BT192" t="s">
        <v>728</v>
      </c>
      <c r="CB192" s="350" t="s">
        <v>67</v>
      </c>
      <c r="CC192" s="464">
        <v>1960</v>
      </c>
      <c r="CD192" s="465">
        <v>2098</v>
      </c>
      <c r="CE192" s="464">
        <v>2516</v>
      </c>
      <c r="CF192" s="465">
        <v>2910</v>
      </c>
      <c r="CG192" s="465">
        <v>3244</v>
      </c>
      <c r="CH192" s="466">
        <v>3580</v>
      </c>
      <c r="CI192" s="34"/>
      <c r="CJ192" s="1041">
        <v>1776</v>
      </c>
      <c r="CK192" s="1041">
        <v>1852</v>
      </c>
      <c r="CL192" s="1041">
        <v>2306</v>
      </c>
      <c r="CM192" s="1041">
        <v>3079</v>
      </c>
      <c r="CN192" s="1041">
        <v>3745</v>
      </c>
      <c r="CR192" s="23" t="s">
        <v>235</v>
      </c>
      <c r="CS192" s="323">
        <v>324988</v>
      </c>
      <c r="CT192" s="323">
        <v>374708</v>
      </c>
      <c r="CU192" s="323">
        <v>452000</v>
      </c>
      <c r="CV192" s="323">
        <v>578560</v>
      </c>
      <c r="CW192" s="323">
        <v>644552</v>
      </c>
      <c r="CX192" s="14"/>
      <c r="CY192" s="23" t="s">
        <v>235</v>
      </c>
      <c r="CZ192" s="323">
        <v>324988</v>
      </c>
      <c r="DA192" s="323">
        <v>374708</v>
      </c>
      <c r="DB192" s="323">
        <v>452000</v>
      </c>
      <c r="DC192" s="323">
        <v>578560</v>
      </c>
      <c r="DD192" s="323">
        <v>644552</v>
      </c>
    </row>
    <row r="193" spans="1:108" ht="12.95" customHeight="1">
      <c r="C193" s="21"/>
      <c r="D193" t="s">
        <v>2082</v>
      </c>
      <c r="M193" s="40"/>
      <c r="N193" s="894"/>
      <c r="O193" s="894"/>
      <c r="P193" s="894"/>
      <c r="Q193" s="894"/>
      <c r="R193" s="894"/>
      <c r="S193" s="894"/>
      <c r="T193" s="1795" t="s">
        <v>1971</v>
      </c>
      <c r="U193" s="1795"/>
      <c r="V193" s="1795"/>
      <c r="W193" s="1795"/>
      <c r="X193" s="1795"/>
      <c r="Y193" s="1795"/>
      <c r="Z193" s="1795"/>
      <c r="AA193" s="1795"/>
      <c r="AB193" s="1795"/>
      <c r="AC193" s="1795"/>
      <c r="AD193" s="1795"/>
      <c r="AE193" s="1795"/>
      <c r="AF193" s="1795"/>
      <c r="AG193" s="1795"/>
      <c r="AH193" s="1795"/>
      <c r="AI193" s="1795"/>
      <c r="BC193" t="s">
        <v>1042</v>
      </c>
      <c r="BH193" s="3" t="s">
        <v>1629</v>
      </c>
      <c r="BN193" s="23" t="s">
        <v>690</v>
      </c>
      <c r="BS193">
        <v>4</v>
      </c>
      <c r="BT193" t="s">
        <v>729</v>
      </c>
      <c r="CB193" s="350" t="s">
        <v>68</v>
      </c>
      <c r="CC193" s="464">
        <v>2252</v>
      </c>
      <c r="CD193" s="465">
        <v>2412</v>
      </c>
      <c r="CE193" s="464">
        <v>2894</v>
      </c>
      <c r="CF193" s="465">
        <v>3342</v>
      </c>
      <c r="CG193" s="465">
        <v>3730</v>
      </c>
      <c r="CH193" s="466">
        <v>4116</v>
      </c>
      <c r="CI193" s="34"/>
      <c r="CJ193" s="1041">
        <v>1679</v>
      </c>
      <c r="CK193" s="1041">
        <v>1777</v>
      </c>
      <c r="CL193" s="1041">
        <v>2206</v>
      </c>
      <c r="CM193" s="1041">
        <v>2992</v>
      </c>
      <c r="CN193" s="1041">
        <v>3455</v>
      </c>
      <c r="CR193" s="23" t="s">
        <v>635</v>
      </c>
      <c r="CS193" s="321">
        <v>331890</v>
      </c>
      <c r="CT193" s="321">
        <v>382666</v>
      </c>
      <c r="CU193" s="321">
        <v>461600</v>
      </c>
      <c r="CV193" s="321">
        <v>590848</v>
      </c>
      <c r="CW193" s="321">
        <v>658242</v>
      </c>
      <c r="CX193" s="14"/>
      <c r="CY193" s="23" t="s">
        <v>635</v>
      </c>
      <c r="CZ193" s="321">
        <v>331890</v>
      </c>
      <c r="DA193" s="321">
        <v>382666</v>
      </c>
      <c r="DB193" s="321">
        <v>461600</v>
      </c>
      <c r="DC193" s="321">
        <v>590848</v>
      </c>
      <c r="DD193" s="321">
        <v>658242</v>
      </c>
    </row>
    <row r="194" spans="1:108" ht="12.95" customHeight="1">
      <c r="C194" s="21"/>
      <c r="D194" s="3" t="s">
        <v>2216</v>
      </c>
      <c r="M194" s="40"/>
      <c r="N194" s="894"/>
      <c r="O194" s="894"/>
      <c r="P194" s="894"/>
      <c r="Q194" s="894"/>
      <c r="R194" s="894"/>
      <c r="S194" s="894"/>
      <c r="AH194" s="1332" t="s">
        <v>669</v>
      </c>
      <c r="AI194" s="1332"/>
      <c r="BC194" t="s">
        <v>1364</v>
      </c>
      <c r="BN194" s="23" t="s">
        <v>691</v>
      </c>
      <c r="BS194">
        <v>2</v>
      </c>
      <c r="BT194" t="s">
        <v>730</v>
      </c>
      <c r="CB194" s="350" t="s">
        <v>727</v>
      </c>
      <c r="CC194" s="464">
        <v>2340</v>
      </c>
      <c r="CD194" s="465">
        <v>2506</v>
      </c>
      <c r="CE194" s="464">
        <v>3006</v>
      </c>
      <c r="CF194" s="465">
        <v>3472</v>
      </c>
      <c r="CG194" s="465">
        <v>3874</v>
      </c>
      <c r="CH194" s="466">
        <v>4276</v>
      </c>
      <c r="CI194" s="34"/>
      <c r="CJ194" s="1041">
        <v>1799</v>
      </c>
      <c r="CK194" s="1041">
        <v>1999</v>
      </c>
      <c r="CL194" s="1041">
        <v>2623</v>
      </c>
      <c r="CM194" s="1041">
        <v>3655</v>
      </c>
      <c r="CN194" s="1041">
        <v>4046</v>
      </c>
      <c r="CR194" s="23" t="s">
        <v>688</v>
      </c>
      <c r="CS194" s="323">
        <v>352022</v>
      </c>
      <c r="CT194" s="323">
        <v>405878</v>
      </c>
      <c r="CU194" s="323">
        <v>489600</v>
      </c>
      <c r="CV194" s="323">
        <v>626688</v>
      </c>
      <c r="CW194" s="323">
        <v>698170</v>
      </c>
      <c r="CX194" s="14"/>
      <c r="CY194" s="23" t="s">
        <v>688</v>
      </c>
      <c r="CZ194" s="323">
        <v>352022</v>
      </c>
      <c r="DA194" s="323">
        <v>405878</v>
      </c>
      <c r="DB194" s="323">
        <v>489600</v>
      </c>
      <c r="DC194" s="323">
        <v>626688</v>
      </c>
      <c r="DD194" s="323">
        <v>698170</v>
      </c>
    </row>
    <row r="195" spans="1:108" ht="12.95" customHeight="1">
      <c r="C195" s="21"/>
      <c r="D195" t="s">
        <v>330</v>
      </c>
      <c r="T195" s="1332" t="s">
        <v>545</v>
      </c>
      <c r="U195" s="1332"/>
      <c r="W195" t="s">
        <v>684</v>
      </c>
      <c r="AH195" s="1332">
        <v>24</v>
      </c>
      <c r="AI195" s="1332"/>
      <c r="BC195" t="s">
        <v>1857</v>
      </c>
      <c r="BN195" s="23" t="s">
        <v>241</v>
      </c>
      <c r="BS195">
        <v>6</v>
      </c>
      <c r="BT195" t="s">
        <v>731</v>
      </c>
      <c r="CB195" s="350" t="s">
        <v>728</v>
      </c>
      <c r="CC195" s="464">
        <v>1960</v>
      </c>
      <c r="CD195" s="465">
        <v>2098</v>
      </c>
      <c r="CE195" s="464">
        <v>2516</v>
      </c>
      <c r="CF195" s="465">
        <v>2910</v>
      </c>
      <c r="CG195" s="465">
        <v>3244</v>
      </c>
      <c r="CH195" s="466">
        <v>3580</v>
      </c>
      <c r="CI195" s="34"/>
      <c r="CJ195" s="1041">
        <v>1776</v>
      </c>
      <c r="CK195" s="1041">
        <v>1852</v>
      </c>
      <c r="CL195" s="1041">
        <v>2306</v>
      </c>
      <c r="CM195" s="1041">
        <v>3079</v>
      </c>
      <c r="CN195" s="1041">
        <v>3745</v>
      </c>
      <c r="CR195" s="23" t="s">
        <v>689</v>
      </c>
      <c r="CS195" s="321">
        <v>324988</v>
      </c>
      <c r="CT195" s="321">
        <v>374708</v>
      </c>
      <c r="CU195" s="321">
        <v>452000</v>
      </c>
      <c r="CV195" s="321">
        <v>578560</v>
      </c>
      <c r="CW195" s="321">
        <v>644552</v>
      </c>
      <c r="CX195" s="14"/>
      <c r="CY195" s="23" t="s">
        <v>689</v>
      </c>
      <c r="CZ195" s="321">
        <v>324988</v>
      </c>
      <c r="DA195" s="321">
        <v>374708</v>
      </c>
      <c r="DB195" s="321">
        <v>452000</v>
      </c>
      <c r="DC195" s="321">
        <v>578560</v>
      </c>
      <c r="DD195" s="321">
        <v>644552</v>
      </c>
    </row>
    <row r="196" spans="1:108" ht="12.95" customHeight="1">
      <c r="C196" s="21"/>
      <c r="D196" t="s">
        <v>385</v>
      </c>
      <c r="T196" s="1402" t="s">
        <v>669</v>
      </c>
      <c r="U196" s="1402"/>
      <c r="W196" t="s">
        <v>685</v>
      </c>
      <c r="AH196" s="1332">
        <v>38</v>
      </c>
      <c r="AI196" s="1332"/>
      <c r="BN196" s="23" t="s">
        <v>242</v>
      </c>
      <c r="BS196">
        <v>4</v>
      </c>
      <c r="BT196" t="s">
        <v>69</v>
      </c>
      <c r="CB196" s="350" t="s">
        <v>729</v>
      </c>
      <c r="CC196" s="464">
        <v>2894</v>
      </c>
      <c r="CD196" s="465">
        <v>3100</v>
      </c>
      <c r="CE196" s="464">
        <v>3722</v>
      </c>
      <c r="CF196" s="465">
        <v>4300</v>
      </c>
      <c r="CG196" s="465">
        <v>4796</v>
      </c>
      <c r="CH196" s="466">
        <v>5292</v>
      </c>
      <c r="CI196" s="34"/>
      <c r="CJ196" s="1041">
        <v>2145</v>
      </c>
      <c r="CK196" s="1041">
        <v>2328</v>
      </c>
      <c r="CL196" s="1041">
        <v>2881</v>
      </c>
      <c r="CM196" s="1041">
        <v>3852</v>
      </c>
      <c r="CN196" s="1041">
        <v>4690</v>
      </c>
      <c r="CR196" s="23" t="s">
        <v>690</v>
      </c>
      <c r="CS196" s="323">
        <v>353173</v>
      </c>
      <c r="CT196" s="323">
        <v>407205</v>
      </c>
      <c r="CU196" s="323">
        <v>491200</v>
      </c>
      <c r="CV196" s="323">
        <v>628736</v>
      </c>
      <c r="CW196" s="323">
        <v>700451</v>
      </c>
      <c r="CX196" s="14"/>
      <c r="CY196" s="23" t="s">
        <v>690</v>
      </c>
      <c r="CZ196" s="323">
        <v>353173</v>
      </c>
      <c r="DA196" s="323">
        <v>407205</v>
      </c>
      <c r="DB196" s="323">
        <v>491200</v>
      </c>
      <c r="DC196" s="323">
        <v>628736</v>
      </c>
      <c r="DD196" s="323">
        <v>700451</v>
      </c>
    </row>
    <row r="197" spans="1:108" ht="12.95" customHeight="1">
      <c r="C197" s="21"/>
      <c r="D197" s="3" t="s">
        <v>168</v>
      </c>
      <c r="T197" s="1402" t="s">
        <v>669</v>
      </c>
      <c r="U197" s="1402"/>
      <c r="W197" t="s">
        <v>686</v>
      </c>
      <c r="AH197" s="1332">
        <v>21</v>
      </c>
      <c r="AI197" s="1332"/>
      <c r="BC197" t="s">
        <v>306</v>
      </c>
      <c r="BN197" s="23" t="s">
        <v>243</v>
      </c>
      <c r="BS197">
        <v>2</v>
      </c>
      <c r="BT197" t="s">
        <v>70</v>
      </c>
      <c r="CB197" s="350" t="s">
        <v>730</v>
      </c>
      <c r="CC197" s="464">
        <v>3384</v>
      </c>
      <c r="CD197" s="465">
        <v>3626</v>
      </c>
      <c r="CE197" s="464">
        <v>4352</v>
      </c>
      <c r="CF197" s="465">
        <v>5028</v>
      </c>
      <c r="CG197" s="465">
        <v>5610</v>
      </c>
      <c r="CH197" s="466">
        <v>6190</v>
      </c>
      <c r="CI197" s="34"/>
      <c r="CJ197" s="1041">
        <v>2275</v>
      </c>
      <c r="CK197" s="1041">
        <v>2780</v>
      </c>
      <c r="CL197" s="1041">
        <v>3318</v>
      </c>
      <c r="CM197" s="1041">
        <v>4138</v>
      </c>
      <c r="CN197" s="1041">
        <v>4399</v>
      </c>
      <c r="CR197" s="23" t="s">
        <v>691</v>
      </c>
      <c r="CS197" s="321">
        <v>689665</v>
      </c>
      <c r="CT197" s="321">
        <v>795177</v>
      </c>
      <c r="CU197" s="321">
        <v>959200</v>
      </c>
      <c r="CV197" s="321">
        <v>1227776</v>
      </c>
      <c r="CW197" s="321">
        <v>1367819</v>
      </c>
      <c r="CX197" s="14"/>
      <c r="CY197" s="23" t="s">
        <v>691</v>
      </c>
      <c r="CZ197" s="321">
        <v>689665</v>
      </c>
      <c r="DA197" s="321">
        <v>795177</v>
      </c>
      <c r="DB197" s="321">
        <v>959200</v>
      </c>
      <c r="DC197" s="321">
        <v>1227776</v>
      </c>
      <c r="DD197" s="321">
        <v>1367819</v>
      </c>
    </row>
    <row r="198" spans="1:108" s="14" customFormat="1" ht="12.95" customHeight="1">
      <c r="A198"/>
      <c r="B198"/>
      <c r="C198" s="21"/>
      <c r="D198" s="3" t="s">
        <v>1652</v>
      </c>
      <c r="E198"/>
      <c r="F198"/>
      <c r="G198"/>
      <c r="H198"/>
      <c r="I198"/>
      <c r="J198"/>
      <c r="K198"/>
      <c r="L198"/>
      <c r="M198"/>
      <c r="N198"/>
      <c r="O198"/>
      <c r="P198"/>
      <c r="Q198"/>
      <c r="R198"/>
      <c r="S198"/>
      <c r="T198" s="1402">
        <v>0</v>
      </c>
      <c r="U198" s="1402"/>
      <c r="V198"/>
      <c r="X198" s="1413" t="s">
        <v>2511</v>
      </c>
      <c r="Y198" s="1413"/>
      <c r="Z198" s="1413"/>
      <c r="AA198" s="1413"/>
      <c r="AB198" s="1413"/>
      <c r="AC198" s="1413"/>
      <c r="AD198" s="1413"/>
      <c r="AE198" s="1413"/>
      <c r="AF198" s="1413"/>
      <c r="AG198" s="1413"/>
      <c r="AH198" s="1413"/>
      <c r="AI198" s="1413"/>
      <c r="AJ198" s="1413"/>
      <c r="AK198" s="1413"/>
      <c r="AL198" s="1413"/>
      <c r="AM198" s="1413"/>
      <c r="AN198" s="1413"/>
      <c r="AO198" s="1413"/>
      <c r="AP198" s="1413"/>
      <c r="AQ198" s="1413"/>
      <c r="AR198" s="1413"/>
      <c r="AS198" s="1413"/>
      <c r="AT198" s="1413"/>
      <c r="AU198"/>
      <c r="AV198"/>
      <c r="AW198"/>
      <c r="AX198"/>
      <c r="AY198"/>
      <c r="AZ198" s="30"/>
      <c r="BA198" s="30"/>
      <c r="BC198" s="14" t="s">
        <v>591</v>
      </c>
      <c r="BD198"/>
      <c r="BN198" s="23" t="s">
        <v>697</v>
      </c>
      <c r="BO198"/>
      <c r="BP198"/>
      <c r="BQ198"/>
      <c r="BR198"/>
      <c r="BS198">
        <v>4</v>
      </c>
      <c r="BT198" t="s">
        <v>190</v>
      </c>
      <c r="BU198"/>
      <c r="BV198" s="31"/>
      <c r="CB198" s="350" t="s">
        <v>731</v>
      </c>
      <c r="CC198" s="464">
        <v>1832</v>
      </c>
      <c r="CD198" s="465">
        <v>1962</v>
      </c>
      <c r="CE198" s="464">
        <v>2354</v>
      </c>
      <c r="CF198" s="465">
        <v>2720</v>
      </c>
      <c r="CG198" s="465">
        <v>3034</v>
      </c>
      <c r="CH198" s="466">
        <v>3348</v>
      </c>
      <c r="CI198" s="3"/>
      <c r="CJ198" s="861">
        <v>1248</v>
      </c>
      <c r="CK198" s="861">
        <v>1363</v>
      </c>
      <c r="CL198" s="861">
        <v>1736</v>
      </c>
      <c r="CM198" s="861">
        <v>2433</v>
      </c>
      <c r="CN198" s="861">
        <v>2915</v>
      </c>
      <c r="CR198" s="23" t="s">
        <v>241</v>
      </c>
      <c r="CS198" s="323">
        <v>307732</v>
      </c>
      <c r="CT198" s="323">
        <v>354812</v>
      </c>
      <c r="CU198" s="323">
        <v>428000</v>
      </c>
      <c r="CV198" s="323">
        <v>547840</v>
      </c>
      <c r="CW198" s="323">
        <v>610328</v>
      </c>
      <c r="CY198" s="23" t="s">
        <v>241</v>
      </c>
      <c r="CZ198" s="323">
        <v>307732</v>
      </c>
      <c r="DA198" s="323">
        <v>354812</v>
      </c>
      <c r="DB198" s="323">
        <v>428000</v>
      </c>
      <c r="DC198" s="323">
        <v>547840</v>
      </c>
      <c r="DD198" s="323">
        <v>610328</v>
      </c>
    </row>
    <row r="199" spans="1:108" s="14" customFormat="1" ht="12.95" customHeight="1">
      <c r="A199"/>
      <c r="B199"/>
      <c r="C199" s="21"/>
      <c r="D199" s="118" t="s">
        <v>2514</v>
      </c>
      <c r="E199"/>
      <c r="F199"/>
      <c r="G199"/>
      <c r="H199"/>
      <c r="I199"/>
      <c r="J199"/>
      <c r="K199"/>
      <c r="L199"/>
      <c r="M199"/>
      <c r="N199"/>
      <c r="O199"/>
      <c r="P199"/>
      <c r="Q199"/>
      <c r="R199"/>
      <c r="S199"/>
      <c r="T199" s="1332" t="s">
        <v>669</v>
      </c>
      <c r="U199" s="1332"/>
      <c r="V199"/>
      <c r="W199"/>
      <c r="X199" s="1413"/>
      <c r="Y199" s="1413"/>
      <c r="Z199" s="1413"/>
      <c r="AA199" s="1413"/>
      <c r="AB199" s="1413"/>
      <c r="AC199" s="1413"/>
      <c r="AD199" s="1413"/>
      <c r="AE199" s="1413"/>
      <c r="AF199" s="1413"/>
      <c r="AG199" s="1413"/>
      <c r="AH199" s="1413"/>
      <c r="AI199" s="1413"/>
      <c r="AJ199" s="1413"/>
      <c r="AK199" s="1413"/>
      <c r="AL199" s="1413"/>
      <c r="AM199" s="1413"/>
      <c r="AN199" s="1413"/>
      <c r="AO199" s="1413"/>
      <c r="AP199" s="1413"/>
      <c r="AQ199" s="1413"/>
      <c r="AR199" s="1413"/>
      <c r="AS199" s="1413"/>
      <c r="AT199" s="1413"/>
      <c r="AU199"/>
      <c r="AV199"/>
      <c r="AW199"/>
      <c r="AX199"/>
      <c r="AY199"/>
      <c r="AZ199" s="30"/>
      <c r="BA199" s="30"/>
      <c r="BC199" t="s">
        <v>875</v>
      </c>
      <c r="BD199"/>
      <c r="BN199" s="23" t="s">
        <v>698</v>
      </c>
      <c r="BO199"/>
      <c r="BP199"/>
      <c r="BQ199"/>
      <c r="BR199"/>
      <c r="BS199">
        <v>2</v>
      </c>
      <c r="BT199" s="32" t="s">
        <v>191</v>
      </c>
      <c r="BU199"/>
      <c r="BV199" s="31"/>
      <c r="CB199" s="350" t="s">
        <v>69</v>
      </c>
      <c r="CC199" s="464">
        <v>2432</v>
      </c>
      <c r="CD199" s="465">
        <v>2606</v>
      </c>
      <c r="CE199" s="464">
        <v>3126</v>
      </c>
      <c r="CF199" s="465">
        <v>3612</v>
      </c>
      <c r="CG199" s="465">
        <v>4032</v>
      </c>
      <c r="CH199" s="466">
        <v>4448</v>
      </c>
      <c r="CI199" s="3"/>
      <c r="CJ199" s="861">
        <v>1669</v>
      </c>
      <c r="CK199" s="861">
        <v>1855</v>
      </c>
      <c r="CL199" s="861">
        <v>2434</v>
      </c>
      <c r="CM199" s="861">
        <v>3250</v>
      </c>
      <c r="CN199" s="861">
        <v>3683</v>
      </c>
      <c r="CR199" s="23" t="s">
        <v>242</v>
      </c>
      <c r="CS199" s="321">
        <v>404366</v>
      </c>
      <c r="CT199" s="321">
        <v>466230</v>
      </c>
      <c r="CU199" s="321">
        <v>562400</v>
      </c>
      <c r="CV199" s="321">
        <v>719872</v>
      </c>
      <c r="CW199" s="321">
        <v>801982</v>
      </c>
      <c r="CY199" s="23" t="s">
        <v>242</v>
      </c>
      <c r="CZ199" s="321">
        <v>404366</v>
      </c>
      <c r="DA199" s="321">
        <v>466230</v>
      </c>
      <c r="DB199" s="321">
        <v>562400</v>
      </c>
      <c r="DC199" s="321">
        <v>719872</v>
      </c>
      <c r="DD199" s="321">
        <v>801982</v>
      </c>
    </row>
    <row r="200" spans="1:108" s="14" customFormat="1" ht="12.95" customHeight="1">
      <c r="A200"/>
      <c r="B200"/>
      <c r="C200" s="21"/>
      <c r="D200" s="14" t="s">
        <v>2512</v>
      </c>
      <c r="T200" s="1332" t="s">
        <v>669</v>
      </c>
      <c r="U200" s="1332"/>
      <c r="V200"/>
      <c r="W200"/>
      <c r="X200"/>
      <c r="Y200"/>
      <c r="AA200"/>
      <c r="AB200" s="1250" t="s">
        <v>918</v>
      </c>
      <c r="AC200"/>
      <c r="AF200"/>
      <c r="AG200"/>
      <c r="AH200" s="1"/>
      <c r="AJ200"/>
      <c r="AK200"/>
      <c r="AL200"/>
      <c r="AM200"/>
      <c r="AN200"/>
      <c r="AO200"/>
      <c r="AP200"/>
      <c r="AQ200"/>
      <c r="AR200"/>
      <c r="AS200"/>
      <c r="AU200"/>
      <c r="AV200"/>
      <c r="AW200"/>
      <c r="AX200"/>
      <c r="AY200"/>
      <c r="AZ200" s="30"/>
      <c r="BA200" s="30"/>
      <c r="BC200" s="3" t="s">
        <v>874</v>
      </c>
      <c r="BD200" s="436"/>
      <c r="BN200" s="23" t="s">
        <v>699</v>
      </c>
      <c r="BO200"/>
      <c r="BP200"/>
      <c r="BQ200"/>
      <c r="BR200"/>
      <c r="BS200">
        <v>2</v>
      </c>
      <c r="BT200" s="32" t="s">
        <v>192</v>
      </c>
      <c r="BU200"/>
      <c r="CB200" s="350" t="s">
        <v>70</v>
      </c>
      <c r="CC200" s="464">
        <v>3384</v>
      </c>
      <c r="CD200" s="465">
        <v>3626</v>
      </c>
      <c r="CE200" s="464">
        <v>4352</v>
      </c>
      <c r="CF200" s="465">
        <v>5028</v>
      </c>
      <c r="CG200" s="465">
        <v>5610</v>
      </c>
      <c r="CH200" s="466">
        <v>6190</v>
      </c>
      <c r="CI200" s="3"/>
      <c r="CJ200" s="861">
        <v>2275</v>
      </c>
      <c r="CK200" s="861">
        <v>2780</v>
      </c>
      <c r="CL200" s="861">
        <v>3318</v>
      </c>
      <c r="CM200" s="861">
        <v>4138</v>
      </c>
      <c r="CN200" s="861">
        <v>4399</v>
      </c>
      <c r="CR200" s="23" t="s">
        <v>243</v>
      </c>
      <c r="CS200" s="322">
        <v>532060</v>
      </c>
      <c r="CT200" s="322">
        <v>613460</v>
      </c>
      <c r="CU200" s="323">
        <v>740000</v>
      </c>
      <c r="CV200" s="322">
        <v>947200</v>
      </c>
      <c r="CW200" s="322">
        <v>1055240</v>
      </c>
      <c r="CY200" s="23" t="s">
        <v>243</v>
      </c>
      <c r="CZ200" s="322">
        <v>532060</v>
      </c>
      <c r="DA200" s="322">
        <v>613460</v>
      </c>
      <c r="DB200" s="322">
        <v>740000</v>
      </c>
      <c r="DC200" s="322">
        <v>947200</v>
      </c>
      <c r="DD200" s="322">
        <v>1055240</v>
      </c>
    </row>
    <row r="201" spans="1:108" s="14" customFormat="1" ht="12.95" customHeight="1">
      <c r="A201"/>
      <c r="B201"/>
      <c r="C201" s="21"/>
      <c r="E201" s="3" t="s">
        <v>2513</v>
      </c>
      <c r="V201"/>
      <c r="X201"/>
      <c r="Y201"/>
      <c r="Z201"/>
      <c r="AB201" s="1250" t="s">
        <v>919</v>
      </c>
      <c r="AC201"/>
      <c r="AH201" s="1"/>
      <c r="AJ201"/>
      <c r="AK201"/>
      <c r="AL201"/>
      <c r="AM201"/>
      <c r="AN201"/>
      <c r="AO201"/>
      <c r="AP201"/>
      <c r="AQ201"/>
      <c r="AR201"/>
      <c r="AS201"/>
      <c r="AU201"/>
      <c r="AV201"/>
      <c r="AW201"/>
      <c r="AX201"/>
      <c r="AY201"/>
      <c r="AZ201" s="30"/>
      <c r="BA201" s="30"/>
      <c r="BC201" s="3" t="s">
        <v>1061</v>
      </c>
      <c r="BD201" s="436"/>
      <c r="BN201" s="23" t="s">
        <v>700</v>
      </c>
      <c r="BO201" s="31"/>
      <c r="BP201" s="32"/>
      <c r="BQ201" s="32"/>
      <c r="BR201" s="32"/>
      <c r="BS201">
        <v>6</v>
      </c>
      <c r="BT201" s="32" t="s">
        <v>193</v>
      </c>
      <c r="BU201"/>
      <c r="CB201" s="350" t="s">
        <v>190</v>
      </c>
      <c r="CC201" s="464">
        <v>3090</v>
      </c>
      <c r="CD201" s="465">
        <v>3310</v>
      </c>
      <c r="CE201" s="464">
        <v>3972</v>
      </c>
      <c r="CF201" s="465">
        <v>4590</v>
      </c>
      <c r="CG201" s="465">
        <v>5120</v>
      </c>
      <c r="CH201" s="466">
        <v>5648</v>
      </c>
      <c r="CI201" s="3"/>
      <c r="CJ201" s="861">
        <v>2381</v>
      </c>
      <c r="CK201" s="861">
        <v>2688</v>
      </c>
      <c r="CL201" s="861">
        <v>3028</v>
      </c>
      <c r="CM201" s="861">
        <v>4011</v>
      </c>
      <c r="CN201" s="861">
        <v>4468</v>
      </c>
      <c r="CR201" s="23" t="s">
        <v>697</v>
      </c>
      <c r="CS201" s="321">
        <v>404366</v>
      </c>
      <c r="CT201" s="321">
        <v>466230</v>
      </c>
      <c r="CU201" s="321">
        <v>562400</v>
      </c>
      <c r="CV201" s="321">
        <v>719872</v>
      </c>
      <c r="CW201" s="321">
        <v>801982</v>
      </c>
      <c r="CY201" s="23" t="s">
        <v>697</v>
      </c>
      <c r="CZ201" s="321">
        <v>404366</v>
      </c>
      <c r="DA201" s="321">
        <v>466230</v>
      </c>
      <c r="DB201" s="321">
        <v>562400</v>
      </c>
      <c r="DC201" s="321">
        <v>719872</v>
      </c>
      <c r="DD201" s="321">
        <v>801982</v>
      </c>
    </row>
    <row r="202" spans="1:108" ht="12.95" customHeight="1">
      <c r="C202" s="21"/>
      <c r="AE202" s="8"/>
      <c r="BC202" t="s">
        <v>611</v>
      </c>
      <c r="BD202" s="436"/>
      <c r="BN202" s="23" t="s">
        <v>701</v>
      </c>
      <c r="BO202" s="14"/>
      <c r="BP202" s="32"/>
      <c r="BQ202" s="32"/>
      <c r="BR202" s="32"/>
      <c r="BS202">
        <v>7</v>
      </c>
      <c r="BT202" s="32" t="s">
        <v>194</v>
      </c>
      <c r="CB202" s="350" t="s">
        <v>191</v>
      </c>
      <c r="CC202" s="464">
        <v>3516</v>
      </c>
      <c r="CD202" s="465">
        <v>3768</v>
      </c>
      <c r="CE202" s="464">
        <v>4522</v>
      </c>
      <c r="CF202" s="465">
        <v>5222</v>
      </c>
      <c r="CG202" s="465">
        <v>5826</v>
      </c>
      <c r="CH202" s="466">
        <v>6430</v>
      </c>
      <c r="CI202" s="3"/>
      <c r="CJ202" s="861">
        <v>2608</v>
      </c>
      <c r="CK202" s="861">
        <v>2975</v>
      </c>
      <c r="CL202" s="861">
        <v>3446</v>
      </c>
      <c r="CM202" s="861">
        <v>4477</v>
      </c>
      <c r="CN202" s="861">
        <v>4878</v>
      </c>
      <c r="CR202" s="23" t="s">
        <v>698</v>
      </c>
      <c r="CS202" s="322">
        <v>532060</v>
      </c>
      <c r="CT202" s="322">
        <v>613460</v>
      </c>
      <c r="CU202" s="322">
        <v>740000</v>
      </c>
      <c r="CV202" s="322">
        <v>947200</v>
      </c>
      <c r="CW202" s="322">
        <v>1055240</v>
      </c>
      <c r="CX202" s="14"/>
      <c r="CY202" s="23" t="s">
        <v>698</v>
      </c>
      <c r="CZ202" s="322">
        <v>532060</v>
      </c>
      <c r="DA202" s="322">
        <v>613460</v>
      </c>
      <c r="DB202" s="322">
        <v>740000</v>
      </c>
      <c r="DC202" s="322">
        <v>947200</v>
      </c>
      <c r="DD202" s="322">
        <v>1055240</v>
      </c>
    </row>
    <row r="203" spans="1:108" ht="12.95" customHeight="1">
      <c r="A203" s="2" t="s">
        <v>586</v>
      </c>
      <c r="C203" s="2" t="s">
        <v>136</v>
      </c>
      <c r="BC203" t="s">
        <v>1062</v>
      </c>
      <c r="BN203" s="23" t="s">
        <v>702</v>
      </c>
      <c r="BO203" s="14"/>
      <c r="BP203" s="32"/>
      <c r="BQ203" s="32"/>
      <c r="BR203" s="32"/>
      <c r="BS203">
        <v>7</v>
      </c>
      <c r="BT203" s="32" t="s">
        <v>195</v>
      </c>
      <c r="CB203" s="350" t="s">
        <v>192</v>
      </c>
      <c r="CC203" s="464">
        <v>3462</v>
      </c>
      <c r="CD203" s="465">
        <v>3708</v>
      </c>
      <c r="CE203" s="464">
        <v>4450</v>
      </c>
      <c r="CF203" s="465">
        <v>5142</v>
      </c>
      <c r="CG203" s="465">
        <v>5734</v>
      </c>
      <c r="CH203" s="466">
        <v>6330</v>
      </c>
      <c r="CI203" s="3"/>
      <c r="CJ203" s="861">
        <v>3056</v>
      </c>
      <c r="CK203" s="861">
        <v>3221</v>
      </c>
      <c r="CL203" s="861">
        <v>4223</v>
      </c>
      <c r="CM203" s="861">
        <v>5256</v>
      </c>
      <c r="CN203" s="861">
        <v>5605</v>
      </c>
      <c r="CR203" s="23" t="s">
        <v>699</v>
      </c>
      <c r="CS203" s="321">
        <v>404366</v>
      </c>
      <c r="CT203" s="321">
        <v>466230</v>
      </c>
      <c r="CU203" s="321">
        <v>562400</v>
      </c>
      <c r="CV203" s="321">
        <v>719872</v>
      </c>
      <c r="CW203" s="321">
        <v>801982</v>
      </c>
      <c r="CX203" s="14"/>
      <c r="CY203" s="23" t="s">
        <v>699</v>
      </c>
      <c r="CZ203" s="321">
        <v>404366</v>
      </c>
      <c r="DA203" s="321">
        <v>466230</v>
      </c>
      <c r="DB203" s="321">
        <v>562400</v>
      </c>
      <c r="DC203" s="321">
        <v>719872</v>
      </c>
      <c r="DD203" s="321">
        <v>801982</v>
      </c>
    </row>
    <row r="204" spans="1:108" ht="12.95" customHeight="1">
      <c r="D204" s="1358" t="s">
        <v>384</v>
      </c>
      <c r="E204" s="1358"/>
      <c r="F204" s="1358"/>
      <c r="G204" s="1358"/>
      <c r="H204" s="1358"/>
      <c r="I204" s="1358"/>
      <c r="J204" s="1358"/>
      <c r="K204" s="1358"/>
      <c r="L204" s="1358"/>
      <c r="M204" s="1358"/>
      <c r="P204" s="1803">
        <f>M26</f>
        <v>2446917</v>
      </c>
      <c r="Q204" s="1783"/>
      <c r="R204" s="1783"/>
      <c r="S204" s="1783"/>
      <c r="T204" s="1783"/>
      <c r="U204" s="1783"/>
      <c r="BC204" t="s">
        <v>1063</v>
      </c>
      <c r="BN204" s="23" t="s">
        <v>703</v>
      </c>
      <c r="BS204">
        <v>6</v>
      </c>
      <c r="BT204" s="32" t="s">
        <v>196</v>
      </c>
      <c r="BU204" s="14"/>
      <c r="CB204" s="350" t="s">
        <v>193</v>
      </c>
      <c r="CC204" s="464">
        <v>1702</v>
      </c>
      <c r="CD204" s="465">
        <v>1822</v>
      </c>
      <c r="CE204" s="464">
        <v>2190</v>
      </c>
      <c r="CF204" s="465">
        <v>2530</v>
      </c>
      <c r="CG204" s="465">
        <v>2822</v>
      </c>
      <c r="CH204" s="466">
        <v>3114</v>
      </c>
      <c r="CI204" s="3"/>
      <c r="CJ204" s="861">
        <v>1151</v>
      </c>
      <c r="CK204" s="861">
        <v>1229</v>
      </c>
      <c r="CL204" s="861">
        <v>1613</v>
      </c>
      <c r="CM204" s="861">
        <v>2260</v>
      </c>
      <c r="CN204" s="861">
        <v>2709</v>
      </c>
      <c r="CR204" s="23" t="s">
        <v>700</v>
      </c>
      <c r="CS204" s="323">
        <v>319236</v>
      </c>
      <c r="CT204" s="323">
        <v>368076</v>
      </c>
      <c r="CU204" s="323">
        <v>444000</v>
      </c>
      <c r="CV204" s="323">
        <v>568320</v>
      </c>
      <c r="CW204" s="323">
        <v>633144</v>
      </c>
      <c r="CX204" s="14"/>
      <c r="CY204" s="23" t="s">
        <v>700</v>
      </c>
      <c r="CZ204" s="323">
        <v>319236</v>
      </c>
      <c r="DA204" s="323">
        <v>368076</v>
      </c>
      <c r="DB204" s="323">
        <v>444000</v>
      </c>
      <c r="DC204" s="323">
        <v>568320</v>
      </c>
      <c r="DD204" s="323">
        <v>633144</v>
      </c>
    </row>
    <row r="205" spans="1:108" ht="12.95" customHeight="1">
      <c r="C205" s="21"/>
      <c r="D205" s="1812" t="s">
        <v>1247</v>
      </c>
      <c r="E205" s="1358"/>
      <c r="F205" s="1358"/>
      <c r="G205" s="1358"/>
      <c r="H205" s="1358"/>
      <c r="I205" s="1358"/>
      <c r="J205" s="1358"/>
      <c r="K205" s="1358"/>
      <c r="L205" s="1358"/>
      <c r="M205" s="1358"/>
      <c r="P205" s="1783">
        <f>M27</f>
        <v>2724270</v>
      </c>
      <c r="Q205" s="1783"/>
      <c r="R205" s="1783"/>
      <c r="S205" s="1783"/>
      <c r="T205" s="1783"/>
      <c r="U205" s="1783"/>
      <c r="V205" s="28"/>
      <c r="W205" s="3" t="s">
        <v>1720</v>
      </c>
      <c r="Z205" s="1810" t="s">
        <v>2220</v>
      </c>
      <c r="AA205" s="1810"/>
      <c r="AB205" s="1810"/>
      <c r="AC205" s="1810"/>
      <c r="AD205" s="1810"/>
      <c r="AE205" s="1810"/>
      <c r="AF205" s="1810"/>
      <c r="AG205" s="1810"/>
      <c r="AH205" s="1810"/>
      <c r="AI205" s="1810"/>
      <c r="AJ205" s="1810"/>
      <c r="AK205" s="1810"/>
      <c r="AL205" s="1810"/>
      <c r="AM205" s="1810"/>
      <c r="AN205" s="1810"/>
      <c r="AP205" s="1335"/>
      <c r="AQ205" s="1335"/>
      <c r="BC205" t="s">
        <v>610</v>
      </c>
      <c r="BN205" s="23" t="s">
        <v>109</v>
      </c>
      <c r="BS205">
        <v>4</v>
      </c>
      <c r="BT205" s="32" t="s">
        <v>173</v>
      </c>
      <c r="BU205" s="14"/>
      <c r="CB205" s="350" t="s">
        <v>194</v>
      </c>
      <c r="CC205" s="464">
        <v>1644</v>
      </c>
      <c r="CD205" s="465">
        <v>1762</v>
      </c>
      <c r="CE205" s="464">
        <v>2114</v>
      </c>
      <c r="CF205" s="465">
        <v>2442</v>
      </c>
      <c r="CG205" s="465">
        <v>2724</v>
      </c>
      <c r="CH205" s="466">
        <v>3006</v>
      </c>
      <c r="CI205" s="3"/>
      <c r="CJ205" s="861">
        <v>1003</v>
      </c>
      <c r="CK205" s="861">
        <v>1101</v>
      </c>
      <c r="CL205" s="861">
        <v>1445</v>
      </c>
      <c r="CM205" s="861">
        <v>2025</v>
      </c>
      <c r="CN205" s="861">
        <v>2396</v>
      </c>
      <c r="CR205" s="23" t="s">
        <v>701</v>
      </c>
      <c r="CS205" s="321">
        <v>352022</v>
      </c>
      <c r="CT205" s="321">
        <v>405878</v>
      </c>
      <c r="CU205" s="321">
        <v>489600</v>
      </c>
      <c r="CV205" s="321">
        <v>626688</v>
      </c>
      <c r="CW205" s="321">
        <v>698170</v>
      </c>
      <c r="CX205" s="14"/>
      <c r="CY205" s="23" t="s">
        <v>701</v>
      </c>
      <c r="CZ205" s="321">
        <v>352022</v>
      </c>
      <c r="DA205" s="321">
        <v>405878</v>
      </c>
      <c r="DB205" s="321">
        <v>489600</v>
      </c>
      <c r="DC205" s="321">
        <v>626688</v>
      </c>
      <c r="DD205" s="321">
        <v>698170</v>
      </c>
    </row>
    <row r="206" spans="1:108" ht="12.95" customHeight="1">
      <c r="D206" s="29"/>
      <c r="E206" s="29"/>
      <c r="F206" s="29"/>
      <c r="G206" s="29"/>
      <c r="H206" s="29"/>
      <c r="I206" s="29"/>
      <c r="J206" s="29"/>
      <c r="K206" s="29"/>
      <c r="L206" s="29"/>
      <c r="M206" s="29"/>
      <c r="N206" s="29"/>
      <c r="O206" s="29"/>
      <c r="P206" s="29"/>
      <c r="BC206" t="s">
        <v>1026</v>
      </c>
      <c r="BN206" s="23" t="s">
        <v>110</v>
      </c>
      <c r="BS206">
        <v>5</v>
      </c>
      <c r="BT206" s="32" t="s">
        <v>197</v>
      </c>
      <c r="BU206" s="14"/>
      <c r="CB206" s="350" t="s">
        <v>195</v>
      </c>
      <c r="CC206" s="464">
        <v>1644</v>
      </c>
      <c r="CD206" s="465">
        <v>1762</v>
      </c>
      <c r="CE206" s="464">
        <v>2114</v>
      </c>
      <c r="CF206" s="465">
        <v>2442</v>
      </c>
      <c r="CG206" s="465">
        <v>2724</v>
      </c>
      <c r="CH206" s="466">
        <v>3006</v>
      </c>
      <c r="CI206" s="3"/>
      <c r="CJ206" s="861">
        <v>924</v>
      </c>
      <c r="CK206" s="861">
        <v>930</v>
      </c>
      <c r="CL206" s="861">
        <v>1201</v>
      </c>
      <c r="CM206" s="861">
        <v>1683</v>
      </c>
      <c r="CN206" s="861">
        <v>1834</v>
      </c>
      <c r="CR206" s="23" t="s">
        <v>702</v>
      </c>
      <c r="CS206" s="323">
        <v>352022</v>
      </c>
      <c r="CT206" s="323">
        <v>405878</v>
      </c>
      <c r="CU206" s="323">
        <v>489600</v>
      </c>
      <c r="CV206" s="323">
        <v>626688</v>
      </c>
      <c r="CW206" s="323">
        <v>698170</v>
      </c>
      <c r="CX206" s="14"/>
      <c r="CY206" s="23" t="s">
        <v>702</v>
      </c>
      <c r="CZ206" s="323">
        <v>352022</v>
      </c>
      <c r="DA206" s="323">
        <v>405878</v>
      </c>
      <c r="DB206" s="323">
        <v>489600</v>
      </c>
      <c r="DC206" s="323">
        <v>626688</v>
      </c>
      <c r="DD206" s="323">
        <v>698170</v>
      </c>
    </row>
    <row r="207" spans="1:108" ht="12.95" customHeight="1">
      <c r="A207" s="2" t="s">
        <v>589</v>
      </c>
      <c r="C207" s="2" t="s">
        <v>551</v>
      </c>
      <c r="BC207" s="437" t="s">
        <v>1064</v>
      </c>
      <c r="BN207" s="23" t="s">
        <v>45</v>
      </c>
      <c r="BS207">
        <v>6</v>
      </c>
      <c r="BT207" s="32" t="s">
        <v>198</v>
      </c>
      <c r="CB207" s="350" t="s">
        <v>196</v>
      </c>
      <c r="CC207" s="464">
        <v>2404</v>
      </c>
      <c r="CD207" s="465">
        <v>2576</v>
      </c>
      <c r="CE207" s="464">
        <v>3092</v>
      </c>
      <c r="CF207" s="465">
        <v>3572</v>
      </c>
      <c r="CG207" s="465">
        <v>3984</v>
      </c>
      <c r="CH207" s="466">
        <v>4396</v>
      </c>
      <c r="CI207" s="3"/>
      <c r="CJ207" s="861">
        <v>1724</v>
      </c>
      <c r="CK207" s="861">
        <v>1894</v>
      </c>
      <c r="CL207" s="861">
        <v>2420</v>
      </c>
      <c r="CM207" s="861">
        <v>3234</v>
      </c>
      <c r="CN207" s="861">
        <v>3663</v>
      </c>
      <c r="CR207" s="23" t="s">
        <v>703</v>
      </c>
      <c r="CS207" s="321">
        <v>384234</v>
      </c>
      <c r="CT207" s="321">
        <v>443018</v>
      </c>
      <c r="CU207" s="321">
        <v>534400</v>
      </c>
      <c r="CV207" s="321">
        <v>684032</v>
      </c>
      <c r="CW207" s="321">
        <v>762054</v>
      </c>
      <c r="CX207" s="14"/>
      <c r="CY207" s="23" t="s">
        <v>703</v>
      </c>
      <c r="CZ207" s="321">
        <v>384234</v>
      </c>
      <c r="DA207" s="321">
        <v>443018</v>
      </c>
      <c r="DB207" s="321">
        <v>534400</v>
      </c>
      <c r="DC207" s="321">
        <v>684032</v>
      </c>
      <c r="DD207" s="321">
        <v>762054</v>
      </c>
    </row>
    <row r="208" spans="1:108" ht="12.95" customHeight="1">
      <c r="C208" s="21"/>
      <c r="D208" s="1417" t="s">
        <v>2633</v>
      </c>
      <c r="E208" s="1417"/>
      <c r="F208" s="1417"/>
      <c r="G208" s="1417"/>
      <c r="H208" s="1417"/>
      <c r="I208" s="1417"/>
      <c r="J208" s="1417"/>
      <c r="K208" s="1417"/>
      <c r="L208" s="1417"/>
      <c r="M208" s="1417"/>
      <c r="BC208" s="3" t="s">
        <v>2207</v>
      </c>
      <c r="BN208" s="23" t="s">
        <v>46</v>
      </c>
      <c r="BS208">
        <v>7</v>
      </c>
      <c r="BT208" s="32" t="s">
        <v>199</v>
      </c>
      <c r="CB208" s="350" t="s">
        <v>173</v>
      </c>
      <c r="CC208" s="464">
        <v>2642</v>
      </c>
      <c r="CD208" s="465">
        <v>2830</v>
      </c>
      <c r="CE208" s="464">
        <v>3396</v>
      </c>
      <c r="CF208" s="465">
        <v>3926</v>
      </c>
      <c r="CG208" s="465">
        <v>4380</v>
      </c>
      <c r="CH208" s="466">
        <v>4832</v>
      </c>
      <c r="CI208" s="3"/>
      <c r="CJ208" s="861">
        <v>1879</v>
      </c>
      <c r="CK208" s="861">
        <v>2089</v>
      </c>
      <c r="CL208" s="861">
        <v>2740</v>
      </c>
      <c r="CM208" s="861">
        <v>3743</v>
      </c>
      <c r="CN208" s="861">
        <v>3960</v>
      </c>
      <c r="CR208" s="23" t="s">
        <v>109</v>
      </c>
      <c r="CS208" s="323">
        <v>384234</v>
      </c>
      <c r="CT208" s="323">
        <v>443018</v>
      </c>
      <c r="CU208" s="323">
        <v>534400</v>
      </c>
      <c r="CV208" s="323">
        <v>684032</v>
      </c>
      <c r="CW208" s="323">
        <v>762054</v>
      </c>
      <c r="CX208" s="14"/>
      <c r="CY208" s="23" t="s">
        <v>109</v>
      </c>
      <c r="CZ208" s="323">
        <v>384234</v>
      </c>
      <c r="DA208" s="323">
        <v>443018</v>
      </c>
      <c r="DB208" s="323">
        <v>534400</v>
      </c>
      <c r="DC208" s="323">
        <v>684032</v>
      </c>
      <c r="DD208" s="323">
        <v>762054</v>
      </c>
    </row>
    <row r="209" spans="1:108" ht="12.95" customHeight="1">
      <c r="BC209" t="s">
        <v>1065</v>
      </c>
      <c r="BN209" s="23" t="s">
        <v>47</v>
      </c>
      <c r="BS209">
        <v>7</v>
      </c>
      <c r="BT209" s="32" t="s">
        <v>200</v>
      </c>
      <c r="CB209" s="350" t="s">
        <v>197</v>
      </c>
      <c r="CC209" s="464">
        <v>1724</v>
      </c>
      <c r="CD209" s="465">
        <v>1846</v>
      </c>
      <c r="CE209" s="464">
        <v>2216</v>
      </c>
      <c r="CF209" s="465">
        <v>2560</v>
      </c>
      <c r="CG209" s="465">
        <v>2856</v>
      </c>
      <c r="CH209" s="466">
        <v>3152</v>
      </c>
      <c r="CI209" s="3"/>
      <c r="CJ209" s="861">
        <v>1130</v>
      </c>
      <c r="CK209" s="861">
        <v>1209</v>
      </c>
      <c r="CL209" s="861">
        <v>1566</v>
      </c>
      <c r="CM209" s="861">
        <v>2194</v>
      </c>
      <c r="CN209" s="861">
        <v>2549</v>
      </c>
      <c r="CR209" s="23" t="s">
        <v>110</v>
      </c>
      <c r="CS209" s="321">
        <v>307732</v>
      </c>
      <c r="CT209" s="321">
        <v>354812</v>
      </c>
      <c r="CU209" s="321">
        <v>428000</v>
      </c>
      <c r="CV209" s="321">
        <v>547840</v>
      </c>
      <c r="CW209" s="321">
        <v>610328</v>
      </c>
      <c r="CX209" s="14"/>
      <c r="CY209" s="23" t="s">
        <v>110</v>
      </c>
      <c r="CZ209" s="321">
        <v>307732</v>
      </c>
      <c r="DA209" s="321">
        <v>354812</v>
      </c>
      <c r="DB209" s="321">
        <v>428000</v>
      </c>
      <c r="DC209" s="321">
        <v>547840</v>
      </c>
      <c r="DD209" s="321">
        <v>610328</v>
      </c>
    </row>
    <row r="210" spans="1:108" ht="12.95" customHeight="1">
      <c r="A210" s="2" t="s">
        <v>590</v>
      </c>
      <c r="C210" s="2" t="s">
        <v>387</v>
      </c>
      <c r="BC210" t="s">
        <v>659</v>
      </c>
      <c r="BN210" s="23" t="s">
        <v>48</v>
      </c>
      <c r="BS210">
        <v>5</v>
      </c>
      <c r="BT210" s="32" t="s">
        <v>201</v>
      </c>
      <c r="CB210" s="350" t="s">
        <v>198</v>
      </c>
      <c r="CC210" s="464">
        <v>1680</v>
      </c>
      <c r="CD210" s="465">
        <v>1800</v>
      </c>
      <c r="CE210" s="464">
        <v>2160</v>
      </c>
      <c r="CF210" s="465">
        <v>2496</v>
      </c>
      <c r="CG210" s="465">
        <v>2784</v>
      </c>
      <c r="CH210" s="466">
        <v>3072</v>
      </c>
      <c r="CI210" s="3"/>
      <c r="CJ210" s="861">
        <v>1195</v>
      </c>
      <c r="CK210" s="861">
        <v>1197</v>
      </c>
      <c r="CL210" s="861">
        <v>1522</v>
      </c>
      <c r="CM210" s="861">
        <v>2133</v>
      </c>
      <c r="CN210" s="861">
        <v>2556</v>
      </c>
      <c r="CR210" s="23" t="s">
        <v>45</v>
      </c>
      <c r="CS210" s="323">
        <v>331890</v>
      </c>
      <c r="CT210" s="323">
        <v>382666</v>
      </c>
      <c r="CU210" s="323">
        <v>461600</v>
      </c>
      <c r="CV210" s="323">
        <v>590848</v>
      </c>
      <c r="CW210" s="323">
        <v>658242</v>
      </c>
      <c r="CX210" s="14"/>
      <c r="CY210" s="23" t="s">
        <v>45</v>
      </c>
      <c r="CZ210" s="323">
        <v>331890</v>
      </c>
      <c r="DA210" s="323">
        <v>382666</v>
      </c>
      <c r="DB210" s="323">
        <v>461600</v>
      </c>
      <c r="DC210" s="323">
        <v>590848</v>
      </c>
      <c r="DD210" s="323">
        <v>658242</v>
      </c>
    </row>
    <row r="211" spans="1:108" ht="12.95" customHeight="1">
      <c r="C211" s="21"/>
      <c r="D211" s="1417" t="s">
        <v>1041</v>
      </c>
      <c r="E211" s="1417"/>
      <c r="F211" s="1417"/>
      <c r="G211" s="1417"/>
      <c r="H211" s="1417"/>
      <c r="I211" s="1417"/>
      <c r="J211" s="1417"/>
      <c r="K211" s="1417"/>
      <c r="L211" s="1417"/>
      <c r="M211" s="1417"/>
      <c r="BN211" s="23" t="s">
        <v>129</v>
      </c>
      <c r="BS211">
        <v>7</v>
      </c>
      <c r="BT211" s="32" t="s">
        <v>130</v>
      </c>
      <c r="CB211" s="350" t="s">
        <v>199</v>
      </c>
      <c r="CC211" s="464">
        <v>1644</v>
      </c>
      <c r="CD211" s="465">
        <v>1762</v>
      </c>
      <c r="CE211" s="464">
        <v>2114</v>
      </c>
      <c r="CF211" s="465">
        <v>2442</v>
      </c>
      <c r="CG211" s="465">
        <v>2724</v>
      </c>
      <c r="CH211" s="466">
        <v>3006</v>
      </c>
      <c r="CI211" s="3"/>
      <c r="CJ211" s="861">
        <v>926</v>
      </c>
      <c r="CK211" s="861">
        <v>1030</v>
      </c>
      <c r="CL211" s="861">
        <v>1351</v>
      </c>
      <c r="CM211" s="861">
        <v>1778</v>
      </c>
      <c r="CN211" s="861">
        <v>2229</v>
      </c>
      <c r="CR211" s="23" t="s">
        <v>46</v>
      </c>
      <c r="CS211" s="321">
        <v>352022</v>
      </c>
      <c r="CT211" s="321">
        <v>405878</v>
      </c>
      <c r="CU211" s="321">
        <v>489600</v>
      </c>
      <c r="CV211" s="321">
        <v>626688</v>
      </c>
      <c r="CW211" s="321">
        <v>698170</v>
      </c>
      <c r="CX211" s="14"/>
      <c r="CY211" s="23" t="s">
        <v>46</v>
      </c>
      <c r="CZ211" s="321">
        <v>352022</v>
      </c>
      <c r="DA211" s="321">
        <v>405878</v>
      </c>
      <c r="DB211" s="321">
        <v>489600</v>
      </c>
      <c r="DC211" s="321">
        <v>626688</v>
      </c>
      <c r="DD211" s="321">
        <v>698170</v>
      </c>
    </row>
    <row r="212" spans="1:108" ht="12.95" customHeight="1">
      <c r="C212" s="21"/>
      <c r="D212" s="3" t="s">
        <v>2232</v>
      </c>
      <c r="Q212" s="1332">
        <v>0</v>
      </c>
      <c r="R212" s="1332"/>
      <c r="T212" s="1797">
        <f>IFERROR(Q212/AG440,0)</f>
        <v>0</v>
      </c>
      <c r="U212" s="1798"/>
      <c r="BC212" t="s">
        <v>306</v>
      </c>
      <c r="BI212" t="s">
        <v>1184</v>
      </c>
      <c r="BN212" s="23" t="s">
        <v>49</v>
      </c>
      <c r="BS212">
        <v>4</v>
      </c>
      <c r="BT212" s="32" t="s">
        <v>202</v>
      </c>
      <c r="CB212" s="350" t="s">
        <v>200</v>
      </c>
      <c r="CC212" s="464">
        <v>1644</v>
      </c>
      <c r="CD212" s="465">
        <v>1762</v>
      </c>
      <c r="CE212" s="464">
        <v>2114</v>
      </c>
      <c r="CF212" s="465">
        <v>2442</v>
      </c>
      <c r="CG212" s="465">
        <v>2724</v>
      </c>
      <c r="CH212" s="466">
        <v>3006</v>
      </c>
      <c r="CI212" s="3"/>
      <c r="CJ212" s="861">
        <v>777</v>
      </c>
      <c r="CK212" s="861">
        <v>854</v>
      </c>
      <c r="CL212" s="861">
        <v>1120</v>
      </c>
      <c r="CM212" s="861">
        <v>1569</v>
      </c>
      <c r="CN212" s="861">
        <v>1708</v>
      </c>
      <c r="CR212" s="23" t="s">
        <v>47</v>
      </c>
      <c r="CS212" s="323">
        <v>352022</v>
      </c>
      <c r="CT212" s="323">
        <v>405878</v>
      </c>
      <c r="CU212" s="323">
        <v>489600</v>
      </c>
      <c r="CV212" s="323">
        <v>626688</v>
      </c>
      <c r="CW212" s="323">
        <v>698170</v>
      </c>
      <c r="CX212" s="14"/>
      <c r="CY212" s="23" t="s">
        <v>47</v>
      </c>
      <c r="CZ212" s="323">
        <v>352022</v>
      </c>
      <c r="DA212" s="323">
        <v>405878</v>
      </c>
      <c r="DB212" s="323">
        <v>489600</v>
      </c>
      <c r="DC212" s="323">
        <v>626688</v>
      </c>
      <c r="DD212" s="323">
        <v>698170</v>
      </c>
    </row>
    <row r="213" spans="1:108" ht="12.95" customHeight="1">
      <c r="D213" s="1145" t="s">
        <v>2471</v>
      </c>
      <c r="BC213" t="s">
        <v>526</v>
      </c>
      <c r="BI213" s="3" t="s">
        <v>2229</v>
      </c>
      <c r="BN213" s="23" t="s">
        <v>50</v>
      </c>
      <c r="BS213">
        <v>6</v>
      </c>
      <c r="BT213" s="32" t="s">
        <v>203</v>
      </c>
      <c r="CB213" s="350" t="s">
        <v>201</v>
      </c>
      <c r="CC213" s="464">
        <v>1644</v>
      </c>
      <c r="CD213" s="465">
        <v>1762</v>
      </c>
      <c r="CE213" s="464">
        <v>2114</v>
      </c>
      <c r="CF213" s="465">
        <v>2442</v>
      </c>
      <c r="CG213" s="465">
        <v>2724</v>
      </c>
      <c r="CH213" s="466">
        <v>3006</v>
      </c>
      <c r="CI213" s="3"/>
      <c r="CJ213" s="861">
        <v>1082</v>
      </c>
      <c r="CK213" s="861">
        <v>1089</v>
      </c>
      <c r="CL213" s="861">
        <v>1429</v>
      </c>
      <c r="CM213" s="861">
        <v>1967</v>
      </c>
      <c r="CN213" s="861">
        <v>2272</v>
      </c>
      <c r="CR213" s="23" t="s">
        <v>48</v>
      </c>
      <c r="CS213" s="321">
        <v>307732</v>
      </c>
      <c r="CT213" s="321">
        <v>354812</v>
      </c>
      <c r="CU213" s="321">
        <v>428000</v>
      </c>
      <c r="CV213" s="321">
        <v>547840</v>
      </c>
      <c r="CW213" s="321">
        <v>610328</v>
      </c>
      <c r="CX213" s="14"/>
      <c r="CY213" s="23" t="s">
        <v>48</v>
      </c>
      <c r="CZ213" s="321">
        <v>307732</v>
      </c>
      <c r="DA213" s="321">
        <v>354812</v>
      </c>
      <c r="DB213" s="321">
        <v>428000</v>
      </c>
      <c r="DC213" s="321">
        <v>547840</v>
      </c>
      <c r="DD213" s="321">
        <v>610328</v>
      </c>
    </row>
    <row r="214" spans="1:108" ht="12.95" customHeight="1">
      <c r="D214" s="1800" t="s">
        <v>591</v>
      </c>
      <c r="E214" s="1800"/>
      <c r="F214" s="1800"/>
      <c r="G214" s="1800"/>
      <c r="H214" s="1800"/>
      <c r="I214" s="1800"/>
      <c r="J214" s="1800"/>
      <c r="K214" s="1800"/>
      <c r="L214" s="1800"/>
      <c r="M214" s="1800"/>
      <c r="N214" s="1800"/>
      <c r="O214" s="1800"/>
      <c r="P214" s="1800"/>
      <c r="Q214" s="1800"/>
      <c r="R214" s="1800"/>
      <c r="S214" s="1800"/>
      <c r="T214" s="1800"/>
      <c r="U214" s="1800"/>
      <c r="V214" s="1800"/>
      <c r="W214" s="1800"/>
      <c r="X214" s="1800"/>
      <c r="Y214" s="1800"/>
      <c r="Z214" s="1800"/>
      <c r="AU214" s="21"/>
      <c r="AV214" s="21"/>
      <c r="AW214" s="21"/>
      <c r="AX214" s="21"/>
      <c r="AY214" s="21"/>
      <c r="BC214" t="s">
        <v>530</v>
      </c>
      <c r="BI214" s="3" t="s">
        <v>2221</v>
      </c>
      <c r="BN214" s="23" t="s">
        <v>325</v>
      </c>
      <c r="BS214">
        <v>6</v>
      </c>
      <c r="BT214" s="32" t="s">
        <v>204</v>
      </c>
      <c r="CB214" s="350" t="s">
        <v>130</v>
      </c>
      <c r="CC214" s="464">
        <v>1780</v>
      </c>
      <c r="CD214" s="465">
        <v>1906</v>
      </c>
      <c r="CE214" s="464">
        <v>2286</v>
      </c>
      <c r="CF214" s="465">
        <v>2642</v>
      </c>
      <c r="CG214" s="465">
        <v>2946</v>
      </c>
      <c r="CH214" s="466">
        <v>3252</v>
      </c>
      <c r="CI214" s="3"/>
      <c r="CJ214" s="861">
        <v>987</v>
      </c>
      <c r="CK214" s="861">
        <v>1123</v>
      </c>
      <c r="CL214" s="861">
        <v>1439</v>
      </c>
      <c r="CM214" s="861">
        <v>1891</v>
      </c>
      <c r="CN214" s="861">
        <v>2416</v>
      </c>
      <c r="CR214" s="23" t="s">
        <v>129</v>
      </c>
      <c r="CS214" s="323">
        <v>352022</v>
      </c>
      <c r="CT214" s="323">
        <v>405878</v>
      </c>
      <c r="CU214" s="323">
        <v>489600</v>
      </c>
      <c r="CV214" s="323">
        <v>626688</v>
      </c>
      <c r="CW214" s="323">
        <v>698170</v>
      </c>
      <c r="CX214" s="14"/>
      <c r="CY214" s="23" t="s">
        <v>129</v>
      </c>
      <c r="CZ214" s="323">
        <v>352022</v>
      </c>
      <c r="DA214" s="323">
        <v>405878</v>
      </c>
      <c r="DB214" s="323">
        <v>489600</v>
      </c>
      <c r="DC214" s="323">
        <v>626688</v>
      </c>
      <c r="DD214" s="323">
        <v>698170</v>
      </c>
    </row>
    <row r="215" spans="1:108" ht="12.95" customHeight="1">
      <c r="D215" s="3" t="s">
        <v>1653</v>
      </c>
      <c r="Z215" s="40"/>
      <c r="AB215" s="1799"/>
      <c r="AC215" s="1799"/>
      <c r="AD215" s="1799"/>
      <c r="AE215" s="1799"/>
      <c r="AF215" s="1799"/>
      <c r="AG215" s="1799"/>
      <c r="AH215" s="1799"/>
      <c r="AI215" s="1799"/>
      <c r="AJ215" s="1799"/>
      <c r="AK215" s="1799"/>
      <c r="AL215" s="1799"/>
      <c r="AM215" s="21"/>
      <c r="AN215" s="21"/>
      <c r="AO215" s="21"/>
      <c r="AP215" s="21"/>
      <c r="AQ215" s="21"/>
      <c r="AR215" s="21"/>
      <c r="AS215" s="21"/>
      <c r="AT215" s="21"/>
      <c r="AU215" s="21"/>
      <c r="AV215" s="21"/>
      <c r="AW215" s="21"/>
      <c r="AX215" s="21"/>
      <c r="AY215" s="21"/>
      <c r="BC215" t="s">
        <v>527</v>
      </c>
      <c r="BI215" s="3" t="s">
        <v>2222</v>
      </c>
      <c r="CB215" s="350" t="s">
        <v>202</v>
      </c>
      <c r="CC215" s="467">
        <v>2620</v>
      </c>
      <c r="CD215" s="468">
        <v>2806</v>
      </c>
      <c r="CE215" s="467">
        <v>3370</v>
      </c>
      <c r="CF215" s="468">
        <v>3892</v>
      </c>
      <c r="CG215" s="468">
        <v>4342</v>
      </c>
      <c r="CH215" s="469">
        <v>4792</v>
      </c>
      <c r="CI215" s="3"/>
      <c r="CJ215" s="861">
        <v>1871</v>
      </c>
      <c r="CK215" s="861">
        <v>2147</v>
      </c>
      <c r="CL215" s="861">
        <v>2569</v>
      </c>
      <c r="CM215" s="861">
        <v>3505</v>
      </c>
      <c r="CN215" s="861">
        <v>4080</v>
      </c>
      <c r="CR215" s="23" t="s">
        <v>49</v>
      </c>
      <c r="CS215" s="321">
        <v>404366</v>
      </c>
      <c r="CT215" s="321">
        <v>466230</v>
      </c>
      <c r="CU215" s="321">
        <v>562400</v>
      </c>
      <c r="CV215" s="321">
        <v>719872</v>
      </c>
      <c r="CW215" s="321">
        <v>801982</v>
      </c>
      <c r="CX215" s="14"/>
      <c r="CY215" s="23" t="s">
        <v>49</v>
      </c>
      <c r="CZ215" s="321">
        <v>404366</v>
      </c>
      <c r="DA215" s="321">
        <v>466230</v>
      </c>
      <c r="DB215" s="321">
        <v>562400</v>
      </c>
      <c r="DC215" s="321">
        <v>719872</v>
      </c>
      <c r="DD215" s="321">
        <v>801982</v>
      </c>
    </row>
    <row r="216" spans="1:108" ht="12.95" customHeight="1">
      <c r="D216" s="3" t="s">
        <v>1651</v>
      </c>
      <c r="Z216" s="40"/>
      <c r="AB216" s="1799"/>
      <c r="AC216" s="1799"/>
      <c r="AD216" s="1799"/>
      <c r="AE216" s="1799"/>
      <c r="AF216" s="1799"/>
      <c r="AG216" s="1799"/>
      <c r="AH216" s="1799"/>
      <c r="AI216" s="1799"/>
      <c r="AJ216" s="1799"/>
      <c r="AK216" s="1799"/>
      <c r="AL216" s="1799"/>
      <c r="AM216" s="21"/>
      <c r="AN216" s="21"/>
      <c r="AO216" s="21"/>
      <c r="AP216" s="21"/>
      <c r="AQ216" s="21"/>
      <c r="AR216" s="21"/>
      <c r="AS216" s="21"/>
      <c r="AT216" s="21"/>
      <c r="AU216" s="21"/>
      <c r="AV216" s="21"/>
      <c r="AW216" s="21"/>
      <c r="AX216" s="21"/>
      <c r="AY216" s="21"/>
      <c r="BC216" t="s">
        <v>566</v>
      </c>
      <c r="BI216" t="s">
        <v>2220</v>
      </c>
      <c r="CB216" s="350" t="s">
        <v>203</v>
      </c>
      <c r="CC216" s="470">
        <v>2204</v>
      </c>
      <c r="CD216" s="471">
        <v>2362</v>
      </c>
      <c r="CE216" s="470">
        <v>2832</v>
      </c>
      <c r="CF216" s="471">
        <v>3272</v>
      </c>
      <c r="CG216" s="471">
        <v>3652</v>
      </c>
      <c r="CH216" s="472">
        <v>4030</v>
      </c>
      <c r="CI216" s="3"/>
      <c r="CJ216" s="861">
        <v>1602</v>
      </c>
      <c r="CK216" s="861">
        <v>1613</v>
      </c>
      <c r="CL216" s="861">
        <v>2116</v>
      </c>
      <c r="CM216" s="861">
        <v>2944</v>
      </c>
      <c r="CN216" s="861">
        <v>3299</v>
      </c>
      <c r="CR216" s="23" t="s">
        <v>50</v>
      </c>
      <c r="CS216" s="323">
        <v>331890</v>
      </c>
      <c r="CT216" s="323">
        <v>382666</v>
      </c>
      <c r="CU216" s="323">
        <v>461600</v>
      </c>
      <c r="CV216" s="323">
        <v>590848</v>
      </c>
      <c r="CW216" s="323">
        <v>658242</v>
      </c>
      <c r="CX216" s="14"/>
      <c r="CY216" s="23" t="s">
        <v>50</v>
      </c>
      <c r="CZ216" s="323">
        <v>331890</v>
      </c>
      <c r="DA216" s="323">
        <v>382666</v>
      </c>
      <c r="DB216" s="323">
        <v>461600</v>
      </c>
      <c r="DC216" s="323">
        <v>590848</v>
      </c>
      <c r="DD216" s="323">
        <v>658242</v>
      </c>
    </row>
    <row r="217" spans="1:108" ht="12.95" customHeight="1" thickBo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528</v>
      </c>
      <c r="BI217" t="s">
        <v>2224</v>
      </c>
      <c r="CB217" s="350" t="s">
        <v>204</v>
      </c>
      <c r="CC217" s="473">
        <v>1680</v>
      </c>
      <c r="CD217" s="474">
        <v>1800</v>
      </c>
      <c r="CE217" s="473">
        <v>2160</v>
      </c>
      <c r="CF217" s="474">
        <v>2496</v>
      </c>
      <c r="CG217" s="474">
        <v>2784</v>
      </c>
      <c r="CH217" s="475">
        <v>3072</v>
      </c>
      <c r="CI217" s="3"/>
      <c r="CJ217" s="861">
        <v>1195</v>
      </c>
      <c r="CK217" s="861">
        <v>1197</v>
      </c>
      <c r="CL217" s="861">
        <v>1522</v>
      </c>
      <c r="CM217" s="861">
        <v>2133</v>
      </c>
      <c r="CN217" s="861">
        <v>2556</v>
      </c>
      <c r="CR217" s="23" t="s">
        <v>325</v>
      </c>
      <c r="CS217" s="321">
        <v>331890</v>
      </c>
      <c r="CT217" s="321">
        <v>382666</v>
      </c>
      <c r="CU217" s="321">
        <v>461600</v>
      </c>
      <c r="CV217" s="321">
        <v>590848</v>
      </c>
      <c r="CW217" s="321">
        <v>658242</v>
      </c>
      <c r="CX217" s="14"/>
      <c r="CY217" s="23" t="s">
        <v>325</v>
      </c>
      <c r="CZ217" s="321">
        <v>331890</v>
      </c>
      <c r="DA217" s="321">
        <v>382666</v>
      </c>
      <c r="DB217" s="321">
        <v>461600</v>
      </c>
      <c r="DC217" s="321">
        <v>590848</v>
      </c>
      <c r="DD217" s="321">
        <v>658242</v>
      </c>
    </row>
    <row r="218" spans="1:108" ht="12.95" customHeight="1">
      <c r="A218" s="2" t="s">
        <v>592</v>
      </c>
      <c r="C218" s="2" t="s">
        <v>2235</v>
      </c>
      <c r="D218" s="28"/>
      <c r="AC218" s="2" t="s">
        <v>2460</v>
      </c>
      <c r="BC218" t="s">
        <v>529</v>
      </c>
    </row>
    <row r="219" spans="1:108" ht="12.95" customHeight="1">
      <c r="A219" s="2"/>
      <c r="C219" s="2"/>
      <c r="D219" s="3" t="s">
        <v>2461</v>
      </c>
      <c r="AZ219" s="3"/>
      <c r="BA219" s="3"/>
      <c r="BC219" t="s">
        <v>376</v>
      </c>
    </row>
    <row r="220" spans="1:108" ht="12.95" customHeight="1">
      <c r="A220" s="2"/>
      <c r="C220" s="2"/>
      <c r="D220" s="1417" t="s">
        <v>2207</v>
      </c>
      <c r="E220" s="1417"/>
      <c r="F220" s="1417"/>
      <c r="G220" s="1417"/>
      <c r="H220" s="1417"/>
      <c r="I220" s="1417"/>
      <c r="J220" s="1417"/>
      <c r="K220" s="1417"/>
      <c r="L220" s="1417"/>
      <c r="M220" s="1417"/>
      <c r="N220" s="1417"/>
      <c r="O220" s="1417"/>
      <c r="P220" s="1417"/>
      <c r="Q220" s="1417"/>
      <c r="R220" s="1417"/>
      <c r="S220" s="1417"/>
      <c r="T220" s="1417"/>
      <c r="U220" s="1417"/>
      <c r="V220" s="1417"/>
      <c r="W220" s="1417"/>
      <c r="X220" s="1417"/>
      <c r="Y220" s="1417"/>
      <c r="Z220" s="1417"/>
      <c r="AC220" s="1811" t="s">
        <v>2462</v>
      </c>
      <c r="AD220" s="1811"/>
      <c r="AE220" s="1811"/>
      <c r="AF220" s="1811"/>
      <c r="AG220" s="1811"/>
      <c r="AH220" s="1811"/>
      <c r="AI220" s="1811"/>
      <c r="AJ220" s="1811"/>
      <c r="AK220" s="1811"/>
      <c r="AL220" s="1811"/>
      <c r="AM220" s="1811"/>
      <c r="AN220" s="1811"/>
      <c r="AO220" s="1811"/>
      <c r="AP220" s="1811"/>
      <c r="AQ220" s="1811"/>
      <c r="BA220" s="3"/>
      <c r="BC220" t="s">
        <v>299</v>
      </c>
    </row>
    <row r="221" spans="1:108" ht="12.95" customHeight="1">
      <c r="A221" s="2"/>
      <c r="B221" s="14"/>
      <c r="C221" s="2"/>
      <c r="BA221" s="3"/>
    </row>
    <row r="222" spans="1:108" ht="12.95" customHeight="1">
      <c r="A222" s="1422" t="s">
        <v>540</v>
      </c>
      <c r="B222" s="1422"/>
      <c r="C222" s="1422"/>
      <c r="D222" s="1422"/>
      <c r="E222" s="1422"/>
      <c r="F222" s="1422"/>
      <c r="G222" s="1422"/>
      <c r="H222" s="1422"/>
      <c r="I222" s="1422"/>
      <c r="J222" s="1422"/>
      <c r="K222" s="1422"/>
      <c r="L222" s="1422"/>
      <c r="M222" s="1422"/>
      <c r="N222" s="1422"/>
      <c r="O222" s="1422"/>
      <c r="P222" s="1422"/>
      <c r="Q222" s="1422"/>
      <c r="R222" s="1422"/>
      <c r="S222" s="1422"/>
      <c r="T222" s="1422"/>
      <c r="U222" s="1422"/>
      <c r="V222" s="1422"/>
      <c r="W222" s="1422"/>
      <c r="X222" s="1422"/>
      <c r="Y222" s="1422"/>
      <c r="Z222" s="1422"/>
      <c r="AA222" s="1422"/>
      <c r="AB222" s="1422"/>
      <c r="AC222" s="1422"/>
      <c r="AD222" s="1422"/>
      <c r="AE222" s="1422"/>
      <c r="AF222" s="1422"/>
      <c r="AG222" s="1422"/>
      <c r="AH222" s="1422"/>
      <c r="AI222" s="1422"/>
      <c r="AJ222" s="1422"/>
      <c r="AK222" s="1422"/>
      <c r="AL222" s="1422"/>
      <c r="AM222" s="1422"/>
      <c r="AN222" s="1422"/>
      <c r="AO222" s="1422"/>
      <c r="AP222" s="1422"/>
      <c r="AQ222" s="1422"/>
      <c r="AR222" s="1422"/>
      <c r="AS222" s="1422"/>
      <c r="AT222" s="1422"/>
      <c r="AU222" s="95"/>
      <c r="AV222" s="95"/>
      <c r="AW222" s="95"/>
      <c r="AX222" s="95"/>
      <c r="AY222" s="95"/>
      <c r="AZ222" s="3"/>
      <c r="BA222" s="3"/>
      <c r="BP222" s="34"/>
    </row>
    <row r="223" spans="1:108" ht="12.95" customHeight="1">
      <c r="A223" s="1422"/>
      <c r="B223" s="1422"/>
      <c r="C223" s="1422"/>
      <c r="D223" s="1422"/>
      <c r="E223" s="1422"/>
      <c r="F223" s="1422"/>
      <c r="G223" s="1422"/>
      <c r="H223" s="1422"/>
      <c r="I223" s="1422"/>
      <c r="J223" s="1422"/>
      <c r="K223" s="1422"/>
      <c r="L223" s="1422"/>
      <c r="M223" s="1422"/>
      <c r="N223" s="1422"/>
      <c r="O223" s="1422"/>
      <c r="P223" s="1422"/>
      <c r="Q223" s="1422"/>
      <c r="R223" s="1422"/>
      <c r="S223" s="1422"/>
      <c r="T223" s="1422"/>
      <c r="U223" s="1422"/>
      <c r="V223" s="1422"/>
      <c r="W223" s="1422"/>
      <c r="X223" s="1422"/>
      <c r="Y223" s="1422"/>
      <c r="Z223" s="1422"/>
      <c r="AA223" s="1422"/>
      <c r="AB223" s="1422"/>
      <c r="AC223" s="1422"/>
      <c r="AD223" s="1422"/>
      <c r="AE223" s="1422"/>
      <c r="AF223" s="1422"/>
      <c r="AG223" s="1422"/>
      <c r="AH223" s="1422"/>
      <c r="AI223" s="1422"/>
      <c r="AJ223" s="1422"/>
      <c r="AK223" s="1422"/>
      <c r="AL223" s="1422"/>
      <c r="AM223" s="1422"/>
      <c r="AN223" s="1422"/>
      <c r="AO223" s="1422"/>
      <c r="AP223" s="1422"/>
      <c r="AQ223" s="1422"/>
      <c r="AR223" s="1422"/>
      <c r="AS223" s="1422"/>
      <c r="AT223" s="1422"/>
      <c r="BA223" s="3"/>
      <c r="BB223" s="3"/>
      <c r="BQ223" s="34"/>
    </row>
    <row r="224" spans="1:108" ht="12.95" customHeight="1">
      <c r="AZ224" s="4"/>
      <c r="BA224" s="3"/>
      <c r="BB224" s="3"/>
      <c r="BQ224" s="34"/>
    </row>
    <row r="225" spans="1:59" ht="12.95" customHeight="1">
      <c r="A225" s="2" t="s">
        <v>318</v>
      </c>
      <c r="B225" s="2"/>
      <c r="C225" s="2" t="s">
        <v>2083</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row>
    <row r="226" spans="1:59" ht="12.95" customHeight="1">
      <c r="B226" s="4"/>
      <c r="D226" s="4" t="s">
        <v>607</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332" t="s">
        <v>591</v>
      </c>
      <c r="AJ226" s="1332"/>
      <c r="AL226" s="3"/>
      <c r="AM226" s="3"/>
      <c r="AN226" s="3"/>
      <c r="AO226" s="3"/>
      <c r="AP226" s="3"/>
      <c r="AQ226" s="3"/>
      <c r="AR226" s="3"/>
      <c r="AS226" s="3"/>
      <c r="AT226" s="3"/>
      <c r="AU226" s="3"/>
      <c r="AV226" s="3"/>
      <c r="AW226" s="3"/>
      <c r="AX226" s="3"/>
      <c r="AY226" s="3"/>
      <c r="AZ226" s="4"/>
      <c r="BB226" s="204" t="s">
        <v>538</v>
      </c>
      <c r="BG226" s="241">
        <f>IF(AND(AND($M$249="for profit",$M$257="for profit",$M$265="nonprofit")),2,0)</f>
        <v>0</v>
      </c>
    </row>
    <row r="227" spans="1:59" ht="12.95" customHeight="1">
      <c r="B227" s="4"/>
      <c r="D227" s="4" t="s">
        <v>554</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332" t="s">
        <v>545</v>
      </c>
      <c r="AJ227" s="1332"/>
      <c r="AL227" s="3"/>
      <c r="AM227" s="3"/>
      <c r="AN227" s="3"/>
      <c r="AO227" s="3"/>
      <c r="AP227" s="3"/>
      <c r="AQ227" s="3"/>
      <c r="AR227" s="3"/>
      <c r="AS227" s="3"/>
      <c r="AT227" s="3"/>
      <c r="AU227" s="3"/>
      <c r="AV227" s="3"/>
      <c r="AW227" s="3"/>
      <c r="AX227" s="3"/>
      <c r="AY227" s="3"/>
      <c r="BA227" s="3"/>
      <c r="BB227" s="204" t="s">
        <v>538</v>
      </c>
      <c r="BG227" s="241">
        <f>IF(AND(AND($M$249="for profit",$M$257="nonprofit",$M$265="for profit")),2,0)</f>
        <v>0</v>
      </c>
    </row>
    <row r="228" spans="1:59" ht="12.95" customHeight="1">
      <c r="B228" s="4"/>
      <c r="D228" s="4" t="s">
        <v>166</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332" t="s">
        <v>591</v>
      </c>
      <c r="AJ228" s="1332"/>
      <c r="AL228" s="3"/>
      <c r="AM228" s="3"/>
      <c r="AN228" s="3"/>
      <c r="AO228" s="3"/>
      <c r="AP228" s="3"/>
      <c r="AQ228" s="3"/>
      <c r="AR228" s="3"/>
      <c r="AS228" s="3"/>
      <c r="AT228" s="3"/>
      <c r="AU228" s="3"/>
      <c r="AV228" s="3"/>
      <c r="AW228" s="3"/>
      <c r="AX228" s="3"/>
      <c r="AY228" s="3"/>
      <c r="AZ228" s="4"/>
      <c r="BA228" s="3"/>
      <c r="BB228" s="204" t="s">
        <v>538</v>
      </c>
      <c r="BG228" s="241">
        <f>IF(AND(AND($M$249="nonprofit",$M$257="for profit",$M$265="for profit")),2,0)</f>
        <v>0</v>
      </c>
    </row>
    <row r="229" spans="1:59" ht="12.95" customHeight="1">
      <c r="B229" s="4"/>
      <c r="D229" s="4" t="s">
        <v>293</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332" t="s">
        <v>591</v>
      </c>
      <c r="AJ229" s="1332"/>
      <c r="AL229" s="3"/>
      <c r="AM229" s="3"/>
      <c r="AN229" s="3"/>
      <c r="AO229" s="3"/>
      <c r="AP229" s="3"/>
      <c r="AQ229" s="3"/>
      <c r="AR229" s="3"/>
      <c r="AS229" s="3"/>
      <c r="AT229" s="3"/>
      <c r="AU229" s="3"/>
      <c r="AV229" s="3"/>
      <c r="AW229" s="3"/>
      <c r="AX229" s="3"/>
      <c r="AY229" s="3"/>
      <c r="BA229" s="3"/>
      <c r="BB229" s="204" t="s">
        <v>538</v>
      </c>
      <c r="BG229" s="241">
        <f>IF(AND(AND($M$249="for profit",$M$257="nonprofit",$M$265="(select one)")),2,0)</f>
        <v>0</v>
      </c>
    </row>
    <row r="230" spans="1:5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04" t="s">
        <v>538</v>
      </c>
      <c r="BG230" s="240">
        <f>IF(AND(AND($M$249="nonprofit",$M$257="for profit",$M$265="(select one)")),2,0)</f>
        <v>2</v>
      </c>
    </row>
    <row r="231" spans="1:59" ht="12.95" customHeight="1">
      <c r="A231" s="2" t="s">
        <v>576</v>
      </c>
      <c r="B231" s="4"/>
      <c r="C231" s="2" t="s">
        <v>2084</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04"/>
      <c r="BG231" s="204"/>
    </row>
    <row r="232" spans="1:59" ht="12.95" customHeight="1">
      <c r="D232" s="4" t="s">
        <v>470</v>
      </c>
      <c r="E232" s="4"/>
      <c r="F232" s="4"/>
      <c r="G232" s="4"/>
      <c r="H232" s="4"/>
      <c r="I232" s="4"/>
      <c r="J232" s="4"/>
      <c r="K232" s="4"/>
      <c r="M232" s="1792" t="str">
        <f>H16</f>
        <v>Affordable Housing Access, Inc.</v>
      </c>
      <c r="N232" s="1792"/>
      <c r="O232" s="1792"/>
      <c r="P232" s="1792"/>
      <c r="Q232" s="1792"/>
      <c r="R232" s="1792"/>
      <c r="S232" s="1792"/>
      <c r="T232" s="1792"/>
      <c r="U232" s="1792"/>
      <c r="V232" s="1792"/>
      <c r="W232" s="1792"/>
      <c r="X232" s="1792"/>
      <c r="Y232" s="1792"/>
      <c r="Z232" s="1792"/>
      <c r="AA232" s="1792"/>
      <c r="AB232" s="1792"/>
      <c r="AC232" s="1792"/>
      <c r="AD232" s="1792"/>
      <c r="AE232" s="1792"/>
      <c r="AF232" s="1792"/>
      <c r="AG232" s="1792"/>
      <c r="AH232" s="1792"/>
      <c r="AI232" s="1792"/>
      <c r="AJ232" s="1792"/>
      <c r="AK232" s="1792"/>
      <c r="AZ232" s="4"/>
      <c r="BA232" s="3"/>
      <c r="BB232" s="205" t="s">
        <v>538</v>
      </c>
      <c r="BG232" s="241">
        <f>IF(AND(AND($M$249="nonprofit",$M$257="nonprofit",$M$265="for profit")),2,0)</f>
        <v>0</v>
      </c>
    </row>
    <row r="233" spans="1:59" ht="12.95" customHeight="1">
      <c r="D233" s="4" t="s">
        <v>85</v>
      </c>
      <c r="E233" s="4"/>
      <c r="F233" s="4"/>
      <c r="G233" s="4"/>
      <c r="H233" s="4"/>
      <c r="I233" s="4"/>
      <c r="J233" s="4"/>
      <c r="K233" s="4"/>
      <c r="M233" s="1417" t="s">
        <v>2616</v>
      </c>
      <c r="N233" s="1417"/>
      <c r="O233" s="1417"/>
      <c r="P233" s="1417"/>
      <c r="Q233" s="1417"/>
      <c r="R233" s="1417"/>
      <c r="S233" s="1417"/>
      <c r="T233" s="1417"/>
      <c r="U233" s="1417"/>
      <c r="V233" s="1417"/>
      <c r="W233" s="1417"/>
      <c r="X233" s="1417"/>
      <c r="Y233" s="1417"/>
      <c r="Z233" s="1417"/>
      <c r="AA233" s="1417"/>
      <c r="AB233" s="1417"/>
      <c r="AC233" s="1417"/>
      <c r="AD233" s="1417"/>
      <c r="AE233" s="1417"/>
      <c r="BB233" s="205" t="s">
        <v>538</v>
      </c>
      <c r="BG233" s="241">
        <f>IF(AND(AND($M$249="nonprofit",$M$257="for profit",$M$265="nonprofit")),2,0)</f>
        <v>0</v>
      </c>
    </row>
    <row r="234" spans="1:59" ht="12.95" customHeight="1">
      <c r="D234" s="4" t="s">
        <v>580</v>
      </c>
      <c r="E234" s="4"/>
      <c r="M234" s="1417" t="s">
        <v>2617</v>
      </c>
      <c r="N234" s="1417"/>
      <c r="O234" s="1417"/>
      <c r="P234" s="1417"/>
      <c r="Q234" s="1417"/>
      <c r="R234" s="1417"/>
      <c r="S234" s="1417"/>
      <c r="T234" s="1417"/>
      <c r="V234" s="33" t="s">
        <v>86</v>
      </c>
      <c r="W234" s="1546" t="s">
        <v>2618</v>
      </c>
      <c r="X234" s="1437"/>
      <c r="Y234" s="4" t="s">
        <v>583</v>
      </c>
      <c r="AC234" s="1417"/>
      <c r="AD234" s="1417"/>
      <c r="AE234" s="1417"/>
      <c r="AU234" s="4"/>
      <c r="AV234" s="4"/>
      <c r="AW234" s="4"/>
      <c r="AX234" s="4"/>
      <c r="AY234" s="4"/>
      <c r="AZ234" s="4"/>
      <c r="BB234" s="205" t="s">
        <v>538</v>
      </c>
      <c r="BG234" s="240">
        <f>IF(AND(AND($M$249="for profit",$M$257="nonprofit",$M$265="nonprofit")),2,0)</f>
        <v>0</v>
      </c>
    </row>
    <row r="235" spans="1:59" ht="12.95" customHeight="1">
      <c r="D235" s="4" t="s">
        <v>87</v>
      </c>
      <c r="E235" s="4"/>
      <c r="F235" s="4"/>
      <c r="G235" s="4"/>
      <c r="H235" s="4"/>
      <c r="I235" s="4"/>
      <c r="J235" s="4"/>
      <c r="K235" s="19"/>
      <c r="M235" s="1416" t="s">
        <v>2619</v>
      </c>
      <c r="N235" s="1417"/>
      <c r="O235" s="1417"/>
      <c r="P235" s="1417"/>
      <c r="Q235" s="1417"/>
      <c r="R235" s="1417"/>
      <c r="S235" s="1417"/>
      <c r="T235" s="1417"/>
      <c r="U235" s="1417"/>
      <c r="V235" s="1417"/>
      <c r="W235" s="1417"/>
      <c r="X235" s="1417"/>
      <c r="Y235" s="1417"/>
      <c r="Z235" s="1417"/>
      <c r="AA235" s="1417"/>
      <c r="AB235" s="1417"/>
      <c r="AC235" s="1417"/>
      <c r="AD235" s="1417"/>
      <c r="AE235" s="1417"/>
      <c r="AI235" s="4"/>
      <c r="AJ235" s="4"/>
      <c r="AK235" s="4"/>
      <c r="AL235" s="4"/>
      <c r="AM235" s="4"/>
      <c r="AN235" s="4"/>
      <c r="AO235" s="4"/>
      <c r="AP235" s="4"/>
      <c r="AQ235" s="4"/>
      <c r="AR235" s="4"/>
      <c r="AS235" s="4"/>
      <c r="AT235" s="4"/>
      <c r="BB235" s="205"/>
      <c r="BG235" s="204"/>
    </row>
    <row r="236" spans="1:59" ht="12.95" customHeight="1">
      <c r="D236" s="4" t="s">
        <v>88</v>
      </c>
      <c r="E236" s="4"/>
      <c r="F236" s="4"/>
      <c r="M236" s="1764" t="s">
        <v>2620</v>
      </c>
      <c r="N236" s="1346"/>
      <c r="O236" s="1346"/>
      <c r="P236" s="1346"/>
      <c r="Q236" s="1346"/>
      <c r="R236" s="1346"/>
      <c r="S236" s="4" t="s">
        <v>205</v>
      </c>
      <c r="T236" s="4"/>
      <c r="U236" s="1437"/>
      <c r="V236" s="1437"/>
      <c r="W236" s="1437"/>
      <c r="X236" s="4" t="s">
        <v>89</v>
      </c>
      <c r="Z236" s="1346"/>
      <c r="AA236" s="1346"/>
      <c r="AB236" s="1346"/>
      <c r="AC236" s="1346"/>
      <c r="AD236" s="1346"/>
      <c r="AE236" s="1346"/>
      <c r="AU236" s="4"/>
      <c r="AV236" s="4"/>
      <c r="AW236" s="4"/>
      <c r="AX236" s="4"/>
      <c r="AY236" s="4"/>
      <c r="AZ236" s="4"/>
      <c r="BB236" s="204" t="s">
        <v>537</v>
      </c>
      <c r="BG236" s="241">
        <f>IF(AND(AND($M$249="nonprofit",$M$257="nonprofit",$M$265="(select one)")),1,0)</f>
        <v>0</v>
      </c>
    </row>
    <row r="237" spans="1:59" ht="12.95" customHeight="1">
      <c r="D237" s="4" t="s">
        <v>90</v>
      </c>
      <c r="E237" s="4"/>
      <c r="F237" s="4"/>
      <c r="M237" s="1786" t="s">
        <v>2621</v>
      </c>
      <c r="N237" s="1786"/>
      <c r="O237" s="1786"/>
      <c r="P237" s="1786"/>
      <c r="Q237" s="1786"/>
      <c r="R237" s="1786"/>
      <c r="S237" s="1786"/>
      <c r="T237" s="1786"/>
      <c r="U237" s="1786"/>
      <c r="V237" s="1786"/>
      <c r="W237" s="1786"/>
      <c r="X237" s="1786"/>
      <c r="Y237" s="1786"/>
      <c r="Z237" s="1786"/>
      <c r="AA237" s="1786"/>
      <c r="AB237" s="1786"/>
      <c r="AC237" s="1786"/>
      <c r="AD237" s="1786"/>
      <c r="AE237" s="1786"/>
      <c r="AF237" s="4"/>
      <c r="AG237" s="4"/>
      <c r="AH237" s="4"/>
      <c r="AI237" s="4"/>
      <c r="AJ237" s="4"/>
      <c r="AK237" s="4"/>
      <c r="AL237" s="4"/>
      <c r="AM237" s="4"/>
      <c r="AN237" s="4"/>
      <c r="AO237" s="4"/>
      <c r="AP237" s="4"/>
      <c r="AQ237" s="4"/>
      <c r="AR237" s="4"/>
      <c r="AS237" s="4"/>
      <c r="AT237" s="4"/>
      <c r="AU237" s="3"/>
      <c r="AV237" s="3"/>
      <c r="AW237" s="3"/>
      <c r="AX237" s="3"/>
      <c r="AY237" s="3"/>
      <c r="BB237" s="204" t="s">
        <v>537</v>
      </c>
      <c r="BG237" s="241">
        <f>IF(AND(AND($M$249="nonprofit",$M$257="nonprofit",$M$265="nonprofit")),1,0)</f>
        <v>0</v>
      </c>
    </row>
    <row r="238" spans="1:59" ht="12.95" customHeight="1">
      <c r="A238" s="2" t="s">
        <v>586</v>
      </c>
      <c r="C238" s="2" t="s">
        <v>525</v>
      </c>
      <c r="M238" s="1348" t="s">
        <v>376</v>
      </c>
      <c r="N238" s="1348"/>
      <c r="O238" s="1348"/>
      <c r="P238" s="1348"/>
      <c r="Q238" s="1348"/>
      <c r="R238" s="1348"/>
      <c r="S238" s="1348"/>
      <c r="T238" s="1348"/>
      <c r="U238" s="204" t="s">
        <v>906</v>
      </c>
      <c r="V238" s="204"/>
      <c r="W238" s="204"/>
      <c r="X238" s="204"/>
      <c r="Y238" s="204"/>
      <c r="Z238" s="204"/>
      <c r="AA238" s="1778"/>
      <c r="AB238" s="1778"/>
      <c r="AC238" s="1778"/>
      <c r="AD238" s="1778"/>
      <c r="AE238" s="1778"/>
      <c r="AF238" s="1778"/>
      <c r="AG238" s="1778"/>
      <c r="AH238" s="1778"/>
      <c r="AI238" s="1778"/>
      <c r="AJ238" s="1778"/>
      <c r="AK238" s="1778"/>
      <c r="AL238" s="3"/>
      <c r="AM238" s="3"/>
      <c r="AN238" s="3"/>
      <c r="AO238" s="3"/>
      <c r="AP238" s="3"/>
      <c r="AQ238" s="3"/>
      <c r="AR238" s="3"/>
      <c r="AS238" s="3"/>
      <c r="AT238" s="3"/>
      <c r="AU238" s="3"/>
      <c r="AV238" s="3"/>
      <c r="AW238" s="3"/>
      <c r="AX238" s="3"/>
      <c r="AY238" s="3"/>
      <c r="BB238" s="204" t="s">
        <v>537</v>
      </c>
      <c r="BG238" s="241">
        <f>IF(AND(AND($M$249="nonprofit",$M$257="(select one)",$M$265="(select one)")),1,0)</f>
        <v>0</v>
      </c>
    </row>
    <row r="239" spans="1:59" ht="12.95" customHeight="1">
      <c r="D239" t="s">
        <v>531</v>
      </c>
      <c r="M239" s="1371"/>
      <c r="N239" s="1371"/>
      <c r="O239" s="1371"/>
      <c r="P239" s="1371"/>
      <c r="Q239" s="1371"/>
      <c r="R239" s="1371"/>
      <c r="S239" s="1371"/>
      <c r="T239" s="1371"/>
      <c r="U239" s="1371"/>
      <c r="V239" s="1371"/>
      <c r="W239" s="1371"/>
      <c r="X239" s="1371"/>
      <c r="Y239" s="1371"/>
      <c r="Z239" s="1371"/>
      <c r="AA239" s="1371"/>
      <c r="AB239" s="1371"/>
      <c r="AC239" s="1371"/>
      <c r="AD239" s="1371"/>
      <c r="AE239" s="1371"/>
      <c r="AF239" s="4"/>
      <c r="AG239" s="4"/>
      <c r="AH239" s="4"/>
      <c r="AI239" s="4"/>
      <c r="AJ239" s="4"/>
      <c r="AK239" s="3"/>
      <c r="AL239" s="3"/>
      <c r="AM239" s="3"/>
      <c r="AN239" s="3"/>
      <c r="AO239" s="3"/>
      <c r="AP239" s="3"/>
      <c r="AQ239" s="3"/>
      <c r="AR239" s="3"/>
      <c r="AS239" s="3"/>
      <c r="AT239" s="3"/>
      <c r="BB239" s="204" t="s">
        <v>877</v>
      </c>
      <c r="BG239" s="241">
        <f>IF(AND(AND($M$249="for profit",$M$257="for profit",$M$265="(select one)")),3,0)</f>
        <v>0</v>
      </c>
    </row>
    <row r="240" spans="1:59" ht="12.95" customHeight="1">
      <c r="D240" s="4"/>
      <c r="BB240" s="204" t="s">
        <v>877</v>
      </c>
      <c r="BG240" s="241">
        <f>IF(AND(AND($M$249="for profit",$M$257="for profit",$M$265="for profit")),3,0)</f>
        <v>0</v>
      </c>
    </row>
    <row r="241" spans="1:67" ht="12.95" customHeight="1">
      <c r="A241" s="2" t="s">
        <v>589</v>
      </c>
      <c r="C241" s="2" t="s">
        <v>1183</v>
      </c>
      <c r="D241" s="4"/>
      <c r="L241" s="8"/>
      <c r="M241" s="8"/>
      <c r="N241" s="8"/>
      <c r="AU241" s="3"/>
      <c r="AV241" s="3"/>
      <c r="AW241" s="3"/>
      <c r="AX241" s="3"/>
      <c r="AY241" s="3"/>
      <c r="BB241" s="204" t="s">
        <v>877</v>
      </c>
      <c r="BG241" s="241">
        <f>IF(AND(AND($M$249="for profit",$M$257="(select one)",$M$265="(select one)")),3,0)</f>
        <v>0</v>
      </c>
    </row>
    <row r="242" spans="1:67"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row>
    <row r="243" spans="1:67" ht="12.95" customHeight="1">
      <c r="A243" s="19"/>
      <c r="B243" s="4"/>
      <c r="C243" s="56" t="s">
        <v>473</v>
      </c>
      <c r="D243" s="4" t="s">
        <v>532</v>
      </c>
      <c r="E243" s="4"/>
      <c r="F243" s="4"/>
      <c r="G243" s="4"/>
      <c r="H243" s="4"/>
      <c r="I243" s="4"/>
      <c r="J243" s="4"/>
      <c r="K243" s="4"/>
      <c r="L243" s="4"/>
      <c r="M243" s="1420" t="s">
        <v>2622</v>
      </c>
      <c r="N243" s="1420"/>
      <c r="O243" s="1420"/>
      <c r="P243" s="1420"/>
      <c r="Q243" s="1420"/>
      <c r="R243" s="1420"/>
      <c r="S243" s="1420"/>
      <c r="T243" s="1420"/>
      <c r="U243" s="1420"/>
      <c r="V243" s="1420"/>
      <c r="W243" s="1420"/>
      <c r="X243" s="1420"/>
      <c r="Y243" s="1420"/>
      <c r="Z243" s="1420"/>
      <c r="AA243" s="1420"/>
      <c r="AB243" s="1420"/>
      <c r="AC243" s="1420"/>
      <c r="AD243" s="1420"/>
      <c r="AE243" s="1420"/>
      <c r="AF243" s="1420" t="s">
        <v>2623</v>
      </c>
      <c r="AG243" s="1420"/>
      <c r="AH243" s="1420"/>
      <c r="AI243" s="1420"/>
      <c r="AJ243" s="1420"/>
      <c r="AK243" s="1420"/>
      <c r="AU243" s="4"/>
      <c r="AV243" s="4"/>
      <c r="AW243" s="4"/>
      <c r="AX243" s="4"/>
      <c r="AY243" s="4"/>
      <c r="BG243">
        <f>SUM(BG226:BG241)</f>
        <v>2</v>
      </c>
    </row>
    <row r="244" spans="1:67" ht="12.95" customHeight="1">
      <c r="A244" s="19"/>
      <c r="B244" s="4"/>
      <c r="C244" s="4"/>
      <c r="D244" s="4" t="s">
        <v>85</v>
      </c>
      <c r="E244" s="4"/>
      <c r="F244" s="4"/>
      <c r="G244" s="4"/>
      <c r="H244" s="4"/>
      <c r="I244" s="4"/>
      <c r="J244" s="4"/>
      <c r="K244" s="4"/>
      <c r="L244" s="4"/>
      <c r="M244" s="1417" t="s">
        <v>2616</v>
      </c>
      <c r="N244" s="1417"/>
      <c r="O244" s="1417"/>
      <c r="P244" s="1417"/>
      <c r="Q244" s="1417"/>
      <c r="R244" s="1417"/>
      <c r="S244" s="1417"/>
      <c r="T244" s="1417"/>
      <c r="U244" s="1417"/>
      <c r="V244" s="1417"/>
      <c r="W244" s="1417"/>
      <c r="X244" s="1417"/>
      <c r="Y244" s="1417"/>
      <c r="Z244" s="1417"/>
      <c r="AA244" s="1417"/>
      <c r="AB244" s="1417"/>
      <c r="AC244" s="1417"/>
      <c r="AD244" s="1417"/>
      <c r="AE244" s="1417"/>
      <c r="AF244" s="3" t="s">
        <v>1179</v>
      </c>
      <c r="AL244" s="4"/>
      <c r="AM244" s="4"/>
      <c r="AN244" s="4"/>
      <c r="AO244" s="4"/>
      <c r="AP244" s="4"/>
      <c r="AQ244" s="4"/>
      <c r="AR244" s="4"/>
      <c r="AS244" s="4"/>
      <c r="AT244" s="4"/>
      <c r="BB244" t="s">
        <v>306</v>
      </c>
      <c r="BG244">
        <v>1</v>
      </c>
      <c r="BH244" t="s">
        <v>534</v>
      </c>
    </row>
    <row r="245" spans="1:67" ht="12.95" customHeight="1">
      <c r="A245" s="19"/>
      <c r="B245" s="4"/>
      <c r="C245" s="4"/>
      <c r="D245" s="4" t="s">
        <v>580</v>
      </c>
      <c r="E245" s="4"/>
      <c r="M245" s="1416" t="s">
        <v>2617</v>
      </c>
      <c r="N245" s="1417"/>
      <c r="O245" s="1417"/>
      <c r="P245" s="1417"/>
      <c r="Q245" s="1417"/>
      <c r="R245" s="1417"/>
      <c r="S245" s="1417"/>
      <c r="T245" s="1417"/>
      <c r="V245" s="33" t="s">
        <v>86</v>
      </c>
      <c r="W245" s="1546" t="s">
        <v>2618</v>
      </c>
      <c r="X245" s="1437"/>
      <c r="Y245" s="4" t="s">
        <v>583</v>
      </c>
      <c r="AC245" s="1417">
        <v>92660</v>
      </c>
      <c r="AD245" s="1417"/>
      <c r="AE245" s="1417"/>
      <c r="AF245" s="3" t="s">
        <v>1180</v>
      </c>
      <c r="AU245" s="4"/>
      <c r="AV245" s="4"/>
      <c r="AW245" s="4"/>
      <c r="AX245" s="4"/>
      <c r="AY245" s="4"/>
      <c r="BB245" s="4" t="s">
        <v>279</v>
      </c>
      <c r="BG245">
        <v>2</v>
      </c>
      <c r="BH245" t="s">
        <v>566</v>
      </c>
      <c r="BO245" s="239" t="str">
        <f>VLOOKUP(BG243,BG244:BH247,2,FALSE)</f>
        <v>Joint Venture</v>
      </c>
    </row>
    <row r="246" spans="1:67" ht="12.95" customHeight="1">
      <c r="A246" s="19"/>
      <c r="B246" s="4"/>
      <c r="C246" s="4"/>
      <c r="D246" s="4" t="s">
        <v>87</v>
      </c>
      <c r="E246" s="4"/>
      <c r="F246" s="4"/>
      <c r="G246" s="4"/>
      <c r="H246" s="4"/>
      <c r="I246" s="4"/>
      <c r="J246" s="4"/>
      <c r="K246" s="4"/>
      <c r="L246" s="19"/>
      <c r="M246" s="1416" t="s">
        <v>2619</v>
      </c>
      <c r="N246" s="1417"/>
      <c r="O246" s="1417"/>
      <c r="P246" s="1417"/>
      <c r="Q246" s="1417"/>
      <c r="R246" s="1417"/>
      <c r="S246" s="1417"/>
      <c r="T246" s="1417"/>
      <c r="U246" s="1417"/>
      <c r="V246" s="1417"/>
      <c r="W246" s="1417"/>
      <c r="X246" s="1417"/>
      <c r="Y246" s="1417"/>
      <c r="Z246" s="1417"/>
      <c r="AA246" s="1417"/>
      <c r="AB246" s="1417"/>
      <c r="AC246" s="1417"/>
      <c r="AD246" s="1417"/>
      <c r="AE246" s="1417"/>
      <c r="AH246" s="1780">
        <v>1E-3</v>
      </c>
      <c r="AI246" s="1780"/>
      <c r="AJ246" s="1780"/>
      <c r="AK246" s="1780"/>
      <c r="AL246" s="4"/>
      <c r="AM246" s="4"/>
      <c r="AN246" s="4"/>
      <c r="AO246" s="4"/>
      <c r="AP246" s="4"/>
      <c r="AQ246" s="4"/>
      <c r="AR246" s="4"/>
      <c r="AS246" s="4"/>
      <c r="AT246" s="4"/>
      <c r="BB246" s="4" t="s">
        <v>172</v>
      </c>
      <c r="BG246">
        <v>3</v>
      </c>
      <c r="BH246" t="s">
        <v>536</v>
      </c>
      <c r="BN246" s="34"/>
    </row>
    <row r="247" spans="1:67" ht="12.95" customHeight="1">
      <c r="A247" s="19"/>
      <c r="B247" s="4"/>
      <c r="C247" s="4"/>
      <c r="D247" s="4" t="s">
        <v>88</v>
      </c>
      <c r="E247" s="4"/>
      <c r="F247" s="4"/>
      <c r="M247" s="1346" t="s">
        <v>2620</v>
      </c>
      <c r="N247" s="1346"/>
      <c r="O247" s="1346"/>
      <c r="P247" s="1346"/>
      <c r="Q247" s="1346"/>
      <c r="R247" s="1346"/>
      <c r="S247" s="4" t="s">
        <v>205</v>
      </c>
      <c r="T247" s="4"/>
      <c r="U247" s="1437"/>
      <c r="V247" s="1437"/>
      <c r="W247" s="1437"/>
      <c r="X247" s="4" t="s">
        <v>89</v>
      </c>
      <c r="Z247" s="1346"/>
      <c r="AA247" s="1346"/>
      <c r="AB247" s="1346"/>
      <c r="AC247" s="1346"/>
      <c r="AD247" s="1346"/>
      <c r="AE247" s="1346"/>
      <c r="AU247" s="4"/>
      <c r="AV247" s="4"/>
      <c r="AW247" s="4"/>
      <c r="AX247" s="4"/>
      <c r="AY247" s="4"/>
      <c r="BG247">
        <v>0</v>
      </c>
      <c r="BH247" s="3" t="str">
        <f>""</f>
        <v/>
      </c>
      <c r="BN247" s="34"/>
    </row>
    <row r="248" spans="1:67" ht="12.95" customHeight="1">
      <c r="A248" s="19"/>
      <c r="B248" s="4"/>
      <c r="C248" s="4"/>
      <c r="D248" s="4" t="s">
        <v>90</v>
      </c>
      <c r="E248" s="4"/>
      <c r="F248" s="4"/>
      <c r="M248" s="1786" t="s">
        <v>2752</v>
      </c>
      <c r="N248" s="1786"/>
      <c r="O248" s="1786"/>
      <c r="P248" s="1786"/>
      <c r="Q248" s="1786"/>
      <c r="R248" s="1786"/>
      <c r="S248" s="1786"/>
      <c r="T248" s="1786"/>
      <c r="U248" s="1786"/>
      <c r="V248" s="1786"/>
      <c r="W248" s="1786"/>
      <c r="X248" s="1786"/>
      <c r="Y248" s="1786"/>
      <c r="Z248" s="1786"/>
      <c r="AA248" s="1786"/>
      <c r="AB248" s="1786"/>
      <c r="AC248" s="1786"/>
      <c r="AD248" s="1786"/>
      <c r="AE248" s="1786"/>
      <c r="AG248" s="4"/>
      <c r="AH248" s="4"/>
      <c r="AI248" s="4"/>
      <c r="AJ248" s="4"/>
      <c r="AK248" s="4"/>
      <c r="AL248" s="4"/>
      <c r="AM248" s="4"/>
      <c r="AN248" s="4"/>
      <c r="AO248" s="4"/>
      <c r="AP248" s="4"/>
      <c r="AQ248" s="4"/>
      <c r="AR248" s="4"/>
      <c r="AS248" s="4"/>
      <c r="AT248" s="4"/>
      <c r="BN248" s="34"/>
    </row>
    <row r="249" spans="1:67" ht="12.95" customHeight="1">
      <c r="A249" s="13"/>
      <c r="B249" s="4"/>
      <c r="C249" s="56"/>
      <c r="D249" s="4" t="s">
        <v>535</v>
      </c>
      <c r="E249" s="4"/>
      <c r="F249" s="4"/>
      <c r="G249" s="4"/>
      <c r="H249" s="4"/>
      <c r="I249" s="4"/>
      <c r="J249" s="4"/>
      <c r="K249" s="4"/>
      <c r="L249" s="4"/>
      <c r="M249" s="1348" t="s">
        <v>534</v>
      </c>
      <c r="N249" s="1348"/>
      <c r="O249" s="1348"/>
      <c r="P249" s="1348"/>
      <c r="Q249" s="1348"/>
      <c r="R249" s="1348"/>
      <c r="S249" s="1348"/>
      <c r="T249" s="1348"/>
      <c r="U249" s="204" t="s">
        <v>906</v>
      </c>
      <c r="V249" s="204"/>
      <c r="W249" s="204"/>
      <c r="X249" s="204"/>
      <c r="Y249" s="204"/>
      <c r="Z249" s="204"/>
      <c r="AA249" s="1777" t="s">
        <v>2608</v>
      </c>
      <c r="AB249" s="1778"/>
      <c r="AC249" s="1778"/>
      <c r="AD249" s="1778"/>
      <c r="AE249" s="1778"/>
      <c r="AF249" s="1778"/>
      <c r="AG249" s="1778"/>
      <c r="AH249" s="1778"/>
      <c r="AI249" s="1778"/>
      <c r="AJ249" s="1778"/>
      <c r="AK249" s="1778"/>
      <c r="BN249" s="34"/>
    </row>
    <row r="250" spans="1:67" ht="12.95" customHeight="1">
      <c r="A250" s="19"/>
      <c r="B250" s="4"/>
      <c r="C250" s="4"/>
      <c r="D250" s="4"/>
      <c r="E250" s="4"/>
      <c r="F250" s="4"/>
      <c r="G250" s="4"/>
      <c r="H250" s="4"/>
      <c r="I250" s="4"/>
      <c r="J250" s="4"/>
      <c r="K250" s="4"/>
      <c r="L250" s="4"/>
      <c r="AG250" s="4"/>
      <c r="AH250" s="4"/>
      <c r="AI250" s="4"/>
      <c r="AJ250" s="4"/>
      <c r="BN250" s="34"/>
    </row>
    <row r="251" spans="1:67" ht="12.95" customHeight="1">
      <c r="A251" s="2"/>
      <c r="B251" s="4"/>
      <c r="C251" s="56" t="s">
        <v>98</v>
      </c>
      <c r="D251" s="4" t="s">
        <v>955</v>
      </c>
      <c r="E251" s="4"/>
      <c r="F251" s="4"/>
      <c r="G251" s="4"/>
      <c r="H251" s="4"/>
      <c r="I251" s="4"/>
      <c r="J251" s="4"/>
      <c r="K251" s="4"/>
      <c r="L251" s="4"/>
      <c r="M251" s="1420" t="s">
        <v>2634</v>
      </c>
      <c r="N251" s="1420"/>
      <c r="O251" s="1420"/>
      <c r="P251" s="1420"/>
      <c r="Q251" s="1420"/>
      <c r="R251" s="1420"/>
      <c r="S251" s="1420"/>
      <c r="T251" s="1420"/>
      <c r="U251" s="1420"/>
      <c r="V251" s="1420"/>
      <c r="W251" s="1420"/>
      <c r="X251" s="1420"/>
      <c r="Y251" s="1420"/>
      <c r="Z251" s="1420"/>
      <c r="AA251" s="1420"/>
      <c r="AB251" s="1420"/>
      <c r="AC251" s="1420"/>
      <c r="AD251" s="1420"/>
      <c r="AE251" s="1420"/>
      <c r="AF251" s="1420" t="s">
        <v>2636</v>
      </c>
      <c r="AG251" s="1420"/>
      <c r="AH251" s="1420"/>
      <c r="AI251" s="1420"/>
      <c r="AJ251" s="1420"/>
      <c r="AK251" s="1420"/>
      <c r="AU251" s="4"/>
      <c r="AV251" s="4"/>
      <c r="AW251" s="4"/>
      <c r="AX251" s="4"/>
      <c r="AY251" s="4"/>
      <c r="BN251" s="34"/>
    </row>
    <row r="252" spans="1:67" ht="12.95" customHeight="1">
      <c r="A252" s="19"/>
      <c r="B252" s="4"/>
      <c r="C252" s="4"/>
      <c r="D252" s="4" t="s">
        <v>85</v>
      </c>
      <c r="E252" s="4"/>
      <c r="F252" s="4"/>
      <c r="G252" s="4"/>
      <c r="H252" s="4"/>
      <c r="I252" s="4"/>
      <c r="J252" s="4"/>
      <c r="K252" s="4"/>
      <c r="L252" s="4"/>
      <c r="M252" s="1437" t="s">
        <v>2635</v>
      </c>
      <c r="N252" s="1437"/>
      <c r="O252" s="1437"/>
      <c r="P252" s="1437"/>
      <c r="Q252" s="1437"/>
      <c r="R252" s="1437"/>
      <c r="S252" s="1437"/>
      <c r="T252" s="1437"/>
      <c r="U252" s="1437"/>
      <c r="V252" s="1437"/>
      <c r="W252" s="1437"/>
      <c r="X252" s="1437"/>
      <c r="Y252" s="1437"/>
      <c r="Z252" s="1437"/>
      <c r="AA252" s="1437"/>
      <c r="AB252" s="1437"/>
      <c r="AC252" s="1437"/>
      <c r="AD252" s="1437"/>
      <c r="AE252" s="1437"/>
      <c r="AF252" s="3" t="s">
        <v>1179</v>
      </c>
      <c r="AL252" s="4"/>
      <c r="AM252" s="4"/>
      <c r="AN252" s="4"/>
      <c r="AO252" s="4"/>
      <c r="AP252" s="4"/>
      <c r="AQ252" s="4"/>
      <c r="AR252" s="4"/>
      <c r="AS252" s="4"/>
      <c r="AT252" s="4"/>
      <c r="BN252" s="34"/>
    </row>
    <row r="253" spans="1:67" ht="12.95" customHeight="1">
      <c r="A253" s="19"/>
      <c r="B253" s="4"/>
      <c r="C253" s="4"/>
      <c r="D253" s="4" t="s">
        <v>580</v>
      </c>
      <c r="E253" s="4"/>
      <c r="M253" s="1416" t="s">
        <v>2637</v>
      </c>
      <c r="N253" s="1417"/>
      <c r="O253" s="1417"/>
      <c r="P253" s="1417"/>
      <c r="Q253" s="1417"/>
      <c r="R253" s="1417"/>
      <c r="S253" s="1417"/>
      <c r="T253" s="1417"/>
      <c r="V253" s="33" t="s">
        <v>86</v>
      </c>
      <c r="W253" s="1546" t="s">
        <v>2618</v>
      </c>
      <c r="X253" s="1437"/>
      <c r="Y253" s="4" t="s">
        <v>583</v>
      </c>
      <c r="AC253" s="1417">
        <v>92612</v>
      </c>
      <c r="AD253" s="1417"/>
      <c r="AE253" s="1417"/>
      <c r="AF253" s="3" t="s">
        <v>1180</v>
      </c>
      <c r="AU253" s="4"/>
      <c r="AV253" s="4"/>
      <c r="AW253" s="4"/>
      <c r="AX253" s="4"/>
      <c r="AY253" s="4"/>
      <c r="BN253" s="34"/>
    </row>
    <row r="254" spans="1:67" ht="12.95" customHeight="1">
      <c r="A254" s="19"/>
      <c r="B254" s="4"/>
      <c r="C254" s="4"/>
      <c r="D254" s="4" t="s">
        <v>87</v>
      </c>
      <c r="E254" s="4"/>
      <c r="F254" s="4"/>
      <c r="G254" s="4"/>
      <c r="H254" s="4"/>
      <c r="I254" s="4"/>
      <c r="J254" s="4"/>
      <c r="K254" s="4"/>
      <c r="L254" s="19"/>
      <c r="M254" s="1416" t="s">
        <v>2638</v>
      </c>
      <c r="N254" s="1417"/>
      <c r="O254" s="1417"/>
      <c r="P254" s="1417"/>
      <c r="Q254" s="1417"/>
      <c r="R254" s="1417"/>
      <c r="S254" s="1417"/>
      <c r="T254" s="1417"/>
      <c r="U254" s="1417"/>
      <c r="V254" s="1417"/>
      <c r="W254" s="1417"/>
      <c r="X254" s="1417"/>
      <c r="Y254" s="1417"/>
      <c r="Z254" s="1417"/>
      <c r="AA254" s="1417"/>
      <c r="AB254" s="1417"/>
      <c r="AC254" s="1417"/>
      <c r="AD254" s="1417"/>
      <c r="AE254" s="1417"/>
      <c r="AH254" s="1780">
        <v>8.9999999999999993E-3</v>
      </c>
      <c r="AI254" s="1780"/>
      <c r="AJ254" s="1780"/>
      <c r="AK254" s="1780"/>
      <c r="AL254" s="4"/>
      <c r="AM254" s="4"/>
      <c r="AN254" s="4"/>
      <c r="AO254" s="4"/>
      <c r="AP254" s="4"/>
      <c r="AQ254" s="4"/>
      <c r="AR254" s="4"/>
      <c r="AS254" s="4"/>
      <c r="AT254" s="4"/>
    </row>
    <row r="255" spans="1:67" ht="12.95" customHeight="1">
      <c r="A255" s="19"/>
      <c r="B255" s="4"/>
      <c r="C255" s="4"/>
      <c r="D255" s="4" t="s">
        <v>88</v>
      </c>
      <c r="E255" s="4"/>
      <c r="F255" s="4"/>
      <c r="M255" s="1346" t="s">
        <v>2639</v>
      </c>
      <c r="N255" s="1346"/>
      <c r="O255" s="1346"/>
      <c r="P255" s="1346"/>
      <c r="Q255" s="1346"/>
      <c r="R255" s="1346"/>
      <c r="S255" s="4" t="s">
        <v>205</v>
      </c>
      <c r="T255" s="4"/>
      <c r="U255" s="1437"/>
      <c r="V255" s="1437"/>
      <c r="W255" s="1437"/>
      <c r="X255" s="4" t="s">
        <v>89</v>
      </c>
      <c r="Z255" s="1346"/>
      <c r="AA255" s="1346"/>
      <c r="AB255" s="1346"/>
      <c r="AC255" s="1346"/>
      <c r="AD255" s="1346"/>
      <c r="AE255" s="1346"/>
      <c r="AU255" s="4"/>
      <c r="AV255" s="4"/>
      <c r="AW255" s="4"/>
      <c r="AX255" s="4"/>
      <c r="AY255" s="4"/>
      <c r="BN255" s="34"/>
    </row>
    <row r="256" spans="1:67" ht="12.95" customHeight="1">
      <c r="A256" s="19"/>
      <c r="B256" s="4"/>
      <c r="C256" s="4"/>
      <c r="D256" s="4" t="s">
        <v>90</v>
      </c>
      <c r="E256" s="4"/>
      <c r="F256" s="4"/>
      <c r="M256" s="1786" t="s">
        <v>2640</v>
      </c>
      <c r="N256" s="1786"/>
      <c r="O256" s="1786"/>
      <c r="P256" s="1786"/>
      <c r="Q256" s="1786"/>
      <c r="R256" s="1786"/>
      <c r="S256" s="1786"/>
      <c r="T256" s="1786"/>
      <c r="U256" s="1786"/>
      <c r="V256" s="1786"/>
      <c r="W256" s="1786"/>
      <c r="X256" s="1786"/>
      <c r="Y256" s="1786"/>
      <c r="Z256" s="1786"/>
      <c r="AA256" s="1786"/>
      <c r="AB256" s="1786"/>
      <c r="AC256" s="1786"/>
      <c r="AD256" s="1786"/>
      <c r="AE256" s="1786"/>
      <c r="AG256" s="4"/>
      <c r="AH256" s="4"/>
      <c r="AI256" s="4"/>
      <c r="AJ256" s="4"/>
      <c r="AK256" s="4"/>
      <c r="AL256" s="4"/>
      <c r="AM256" s="4"/>
      <c r="AN256" s="4"/>
      <c r="AO256" s="4"/>
      <c r="AP256" s="4"/>
      <c r="AQ256" s="4"/>
      <c r="AR256" s="4"/>
      <c r="AS256" s="4"/>
      <c r="AT256" s="4"/>
      <c r="AU256" s="3"/>
      <c r="AV256" s="3"/>
      <c r="AW256" s="3"/>
      <c r="AX256" s="3"/>
      <c r="AY256" s="3"/>
      <c r="BN256" s="34"/>
    </row>
    <row r="257" spans="1:51" ht="12.95" customHeight="1">
      <c r="A257" s="13"/>
      <c r="B257" s="4"/>
      <c r="C257" s="56"/>
      <c r="D257" s="4" t="s">
        <v>535</v>
      </c>
      <c r="E257" s="4"/>
      <c r="F257" s="4"/>
      <c r="G257" s="4"/>
      <c r="H257" s="4"/>
      <c r="I257" s="4"/>
      <c r="J257" s="4"/>
      <c r="K257" s="4"/>
      <c r="L257" s="4"/>
      <c r="M257" s="1348" t="s">
        <v>536</v>
      </c>
      <c r="N257" s="1348"/>
      <c r="O257" s="1348"/>
      <c r="P257" s="1348"/>
      <c r="Q257" s="1348"/>
      <c r="R257" s="1348"/>
      <c r="S257" s="1348"/>
      <c r="T257" s="1348"/>
      <c r="U257" s="204" t="s">
        <v>906</v>
      </c>
      <c r="V257" s="204"/>
      <c r="W257" s="204"/>
      <c r="X257" s="204"/>
      <c r="Y257" s="204"/>
      <c r="Z257" s="204"/>
      <c r="AA257" s="1777" t="s">
        <v>2641</v>
      </c>
      <c r="AB257" s="1778"/>
      <c r="AC257" s="1778"/>
      <c r="AD257" s="1778"/>
      <c r="AE257" s="1778"/>
      <c r="AF257" s="1778"/>
      <c r="AG257" s="1778"/>
      <c r="AH257" s="1778"/>
      <c r="AI257" s="1778"/>
      <c r="AJ257" s="1778"/>
      <c r="AK257" s="1778"/>
      <c r="AL257" s="3"/>
      <c r="AM257" s="3"/>
      <c r="AN257" s="3"/>
      <c r="AO257" s="3"/>
      <c r="AP257" s="3"/>
      <c r="AQ257" s="3"/>
      <c r="AR257" s="3"/>
      <c r="AS257" s="3"/>
      <c r="AT257" s="3"/>
      <c r="AU257" s="3"/>
      <c r="AV257" s="3"/>
      <c r="AW257" s="3"/>
      <c r="AX257" s="3"/>
      <c r="AY257" s="3"/>
    </row>
    <row r="258" spans="1:51"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row>
    <row r="259" spans="1:51" ht="12.95" customHeight="1">
      <c r="A259" s="13"/>
      <c r="B259" s="4"/>
      <c r="C259" s="56" t="s">
        <v>876</v>
      </c>
      <c r="D259" s="4" t="s">
        <v>532</v>
      </c>
      <c r="E259" s="4"/>
      <c r="F259" s="4"/>
      <c r="G259" s="4"/>
      <c r="H259" s="4"/>
      <c r="I259" s="4"/>
      <c r="J259" s="4"/>
      <c r="K259" s="4"/>
      <c r="L259" s="4"/>
      <c r="M259" s="1419" t="s">
        <v>591</v>
      </c>
      <c r="N259" s="1420"/>
      <c r="O259" s="1420"/>
      <c r="P259" s="1420"/>
      <c r="Q259" s="1420"/>
      <c r="R259" s="1420"/>
      <c r="S259" s="1420"/>
      <c r="T259" s="1420"/>
      <c r="U259" s="1420"/>
      <c r="V259" s="1420"/>
      <c r="W259" s="1420"/>
      <c r="X259" s="1420"/>
      <c r="Y259" s="1420"/>
      <c r="Z259" s="1420"/>
      <c r="AA259" s="1420"/>
      <c r="AB259" s="1420"/>
      <c r="AC259" s="1420"/>
      <c r="AD259" s="1420"/>
      <c r="AE259" s="1420"/>
      <c r="AF259" s="1420" t="s">
        <v>306</v>
      </c>
      <c r="AG259" s="1420"/>
      <c r="AH259" s="1420"/>
      <c r="AI259" s="1420"/>
      <c r="AJ259" s="1420"/>
      <c r="AK259" s="1420"/>
      <c r="AL259" s="3"/>
      <c r="AM259" s="3"/>
      <c r="AN259" s="3"/>
      <c r="AO259" s="3"/>
      <c r="AP259" s="3"/>
      <c r="AQ259" s="3"/>
      <c r="AR259" s="3"/>
      <c r="AS259" s="3"/>
      <c r="AT259" s="3"/>
      <c r="AU259" s="3"/>
      <c r="AV259" s="3"/>
      <c r="AW259" s="3"/>
      <c r="AX259" s="3"/>
      <c r="AY259" s="3"/>
    </row>
    <row r="260" spans="1:51" ht="12.95" customHeight="1">
      <c r="A260" s="13"/>
      <c r="B260" s="4"/>
      <c r="C260" s="4"/>
      <c r="D260" s="4" t="s">
        <v>85</v>
      </c>
      <c r="E260" s="4"/>
      <c r="F260" s="4"/>
      <c r="G260" s="4"/>
      <c r="H260" s="4"/>
      <c r="I260" s="4"/>
      <c r="J260" s="4"/>
      <c r="K260" s="4"/>
      <c r="L260" s="4"/>
      <c r="M260" s="1416" t="s">
        <v>591</v>
      </c>
      <c r="N260" s="1417"/>
      <c r="O260" s="1417"/>
      <c r="P260" s="1417"/>
      <c r="Q260" s="1417"/>
      <c r="R260" s="1417"/>
      <c r="S260" s="1417"/>
      <c r="T260" s="1417"/>
      <c r="U260" s="1417"/>
      <c r="V260" s="1417"/>
      <c r="W260" s="1417"/>
      <c r="X260" s="1417"/>
      <c r="Y260" s="1417"/>
      <c r="Z260" s="1417"/>
      <c r="AA260" s="1417"/>
      <c r="AB260" s="1417"/>
      <c r="AC260" s="1417"/>
      <c r="AD260" s="1417"/>
      <c r="AE260" s="1417"/>
      <c r="AF260" s="3" t="s">
        <v>1179</v>
      </c>
      <c r="AL260" s="3"/>
      <c r="AM260" s="3"/>
      <c r="AN260" s="3"/>
      <c r="AO260" s="3"/>
      <c r="AP260" s="3"/>
      <c r="AQ260" s="3"/>
      <c r="AR260" s="3"/>
      <c r="AS260" s="3"/>
      <c r="AT260" s="3"/>
      <c r="AU260" s="3"/>
      <c r="AV260" s="3"/>
      <c r="AW260" s="3"/>
      <c r="AX260" s="3"/>
      <c r="AY260" s="3"/>
    </row>
    <row r="261" spans="1:51" ht="12.95" customHeight="1">
      <c r="A261" s="13"/>
      <c r="B261" s="4"/>
      <c r="C261" s="4"/>
      <c r="D261" s="4" t="s">
        <v>580</v>
      </c>
      <c r="E261" s="4"/>
      <c r="M261" s="1416" t="s">
        <v>591</v>
      </c>
      <c r="N261" s="1417"/>
      <c r="O261" s="1417"/>
      <c r="P261" s="1417"/>
      <c r="Q261" s="1417"/>
      <c r="R261" s="1417"/>
      <c r="S261" s="1417"/>
      <c r="T261" s="1417"/>
      <c r="V261" s="33" t="s">
        <v>86</v>
      </c>
      <c r="W261" s="1437"/>
      <c r="X261" s="1437"/>
      <c r="Y261" s="4" t="s">
        <v>583</v>
      </c>
      <c r="AC261" s="1417"/>
      <c r="AD261" s="1417"/>
      <c r="AE261" s="1417"/>
      <c r="AF261" s="3" t="s">
        <v>1180</v>
      </c>
      <c r="AL261" s="3"/>
      <c r="AM261" s="3"/>
      <c r="AN261" s="3"/>
      <c r="AO261" s="3"/>
      <c r="AP261" s="3"/>
      <c r="AQ261" s="3"/>
      <c r="AR261" s="3"/>
      <c r="AS261" s="3"/>
      <c r="AT261" s="3"/>
      <c r="AU261" s="3"/>
      <c r="AV261" s="3"/>
      <c r="AW261" s="3"/>
      <c r="AX261" s="3"/>
      <c r="AY261" s="3"/>
    </row>
    <row r="262" spans="1:51" ht="12.95" customHeight="1">
      <c r="A262" s="13"/>
      <c r="B262" s="4"/>
      <c r="C262" s="4"/>
      <c r="D262" s="4" t="s">
        <v>87</v>
      </c>
      <c r="E262" s="4"/>
      <c r="F262" s="4"/>
      <c r="G262" s="4"/>
      <c r="H262" s="4"/>
      <c r="I262" s="4"/>
      <c r="J262" s="4"/>
      <c r="K262" s="4"/>
      <c r="L262" s="19"/>
      <c r="M262" s="1416" t="s">
        <v>591</v>
      </c>
      <c r="N262" s="1417"/>
      <c r="O262" s="1417"/>
      <c r="P262" s="1417"/>
      <c r="Q262" s="1417"/>
      <c r="R262" s="1417"/>
      <c r="S262" s="1417"/>
      <c r="T262" s="1417"/>
      <c r="U262" s="1417"/>
      <c r="V262" s="1417"/>
      <c r="W262" s="1417"/>
      <c r="X262" s="1417"/>
      <c r="Y262" s="1417"/>
      <c r="Z262" s="1417"/>
      <c r="AA262" s="1417"/>
      <c r="AB262" s="1417"/>
      <c r="AC262" s="1417"/>
      <c r="AD262" s="1417"/>
      <c r="AE262" s="1417"/>
      <c r="AH262" s="1780"/>
      <c r="AI262" s="1780"/>
      <c r="AJ262" s="1780"/>
      <c r="AK262" s="1780"/>
      <c r="AL262" s="3"/>
      <c r="AM262" s="3"/>
      <c r="AN262" s="3"/>
      <c r="AO262" s="3"/>
      <c r="AP262" s="3"/>
      <c r="AQ262" s="3"/>
      <c r="AR262" s="3"/>
      <c r="AS262" s="3"/>
      <c r="AT262" s="3"/>
      <c r="AU262" s="3"/>
      <c r="AV262" s="3"/>
      <c r="AW262" s="3"/>
      <c r="AX262" s="3"/>
      <c r="AY262" s="3"/>
    </row>
    <row r="263" spans="1:51" ht="12.95" customHeight="1">
      <c r="A263" s="13"/>
      <c r="B263" s="4"/>
      <c r="C263" s="4"/>
      <c r="D263" s="4" t="s">
        <v>88</v>
      </c>
      <c r="E263" s="4"/>
      <c r="F263" s="4"/>
      <c r="M263" s="1764" t="s">
        <v>591</v>
      </c>
      <c r="N263" s="1346"/>
      <c r="O263" s="1346"/>
      <c r="P263" s="1346"/>
      <c r="Q263" s="1346"/>
      <c r="R263" s="1346"/>
      <c r="S263" s="4" t="s">
        <v>205</v>
      </c>
      <c r="T263" s="4"/>
      <c r="U263" s="1437"/>
      <c r="V263" s="1437"/>
      <c r="W263" s="1437"/>
      <c r="X263" s="4" t="s">
        <v>89</v>
      </c>
      <c r="Z263" s="1346"/>
      <c r="AA263" s="1346"/>
      <c r="AB263" s="1346"/>
      <c r="AC263" s="1346"/>
      <c r="AD263" s="1346"/>
      <c r="AE263" s="1346"/>
      <c r="AL263" s="3"/>
      <c r="AM263" s="3"/>
      <c r="AN263" s="3"/>
      <c r="AO263" s="3"/>
      <c r="AP263" s="3"/>
      <c r="AQ263" s="3"/>
      <c r="AR263" s="3"/>
      <c r="AS263" s="3"/>
      <c r="AT263" s="3"/>
      <c r="AU263" s="3"/>
      <c r="AV263" s="3"/>
      <c r="AW263" s="3"/>
      <c r="AX263" s="3"/>
      <c r="AY263" s="3"/>
    </row>
    <row r="264" spans="1:51" ht="12.95" customHeight="1">
      <c r="A264" s="13"/>
      <c r="B264" s="4"/>
      <c r="C264" s="4"/>
      <c r="D264" s="4" t="s">
        <v>90</v>
      </c>
      <c r="E264" s="4"/>
      <c r="F264" s="4"/>
      <c r="M264" s="1786" t="s">
        <v>591</v>
      </c>
      <c r="N264" s="1786"/>
      <c r="O264" s="1786"/>
      <c r="P264" s="1786"/>
      <c r="Q264" s="1786"/>
      <c r="R264" s="1786"/>
      <c r="S264" s="1786"/>
      <c r="T264" s="1786"/>
      <c r="U264" s="1786"/>
      <c r="V264" s="1786"/>
      <c r="W264" s="1786"/>
      <c r="X264" s="1786"/>
      <c r="Y264" s="1786"/>
      <c r="Z264" s="1786"/>
      <c r="AA264" s="1806"/>
      <c r="AB264" s="1806"/>
      <c r="AC264" s="1806"/>
      <c r="AD264" s="1806"/>
      <c r="AE264" s="1806"/>
      <c r="AG264" s="4"/>
      <c r="AH264" s="4"/>
      <c r="AI264" s="4"/>
      <c r="AJ264" s="4"/>
      <c r="AK264" s="4"/>
      <c r="AL264" s="3"/>
      <c r="AM264" s="3"/>
      <c r="AN264" s="3"/>
      <c r="AO264" s="3"/>
      <c r="AP264" s="3"/>
      <c r="AQ264" s="3"/>
      <c r="AR264" s="3"/>
      <c r="AS264" s="3"/>
      <c r="AT264" s="3"/>
      <c r="AU264" s="3"/>
      <c r="AV264" s="3"/>
      <c r="AW264" s="3"/>
      <c r="AX264" s="3"/>
      <c r="AY264" s="3"/>
    </row>
    <row r="265" spans="1:51" ht="12.95" customHeight="1">
      <c r="A265" s="13"/>
      <c r="B265" s="4"/>
      <c r="C265" s="56"/>
      <c r="D265" s="4" t="s">
        <v>535</v>
      </c>
      <c r="E265" s="4"/>
      <c r="F265" s="4"/>
      <c r="G265" s="4"/>
      <c r="H265" s="4"/>
      <c r="I265" s="4"/>
      <c r="J265" s="4"/>
      <c r="K265" s="4"/>
      <c r="L265" s="4"/>
      <c r="M265" s="1348" t="s">
        <v>306</v>
      </c>
      <c r="N265" s="1348"/>
      <c r="O265" s="1348"/>
      <c r="P265" s="1348"/>
      <c r="Q265" s="1348"/>
      <c r="R265" s="1348"/>
      <c r="S265" s="1348"/>
      <c r="T265" s="1348"/>
      <c r="U265" s="204" t="s">
        <v>906</v>
      </c>
      <c r="V265" s="204"/>
      <c r="W265" s="204"/>
      <c r="X265" s="204"/>
      <c r="Y265" s="204"/>
      <c r="Z265" s="204"/>
      <c r="AA265" s="1779"/>
      <c r="AB265" s="1779"/>
      <c r="AC265" s="1779"/>
      <c r="AD265" s="1779"/>
      <c r="AE265" s="1779"/>
      <c r="AF265" s="1779"/>
      <c r="AG265" s="1779"/>
      <c r="AH265" s="1779"/>
      <c r="AI265" s="1779"/>
      <c r="AJ265" s="1779"/>
      <c r="AK265" s="1779"/>
      <c r="AL265" s="3"/>
      <c r="AM265" s="3"/>
      <c r="AN265" s="3"/>
      <c r="AO265" s="3"/>
      <c r="AP265" s="3"/>
      <c r="AQ265" s="3"/>
      <c r="AR265" s="3"/>
      <c r="AS265" s="3"/>
      <c r="AT265" s="3"/>
    </row>
    <row r="266" spans="1:51"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row>
    <row r="267" spans="1:51" ht="12.95" customHeight="1">
      <c r="A267" s="57" t="s">
        <v>590</v>
      </c>
      <c r="B267" s="4"/>
      <c r="C267" s="2" t="s">
        <v>294</v>
      </c>
      <c r="D267" s="4"/>
      <c r="E267" s="4"/>
      <c r="F267" s="4"/>
      <c r="G267" s="4"/>
      <c r="H267" s="4"/>
      <c r="I267" s="4"/>
      <c r="J267" s="4"/>
      <c r="K267" s="4"/>
      <c r="L267" s="4"/>
      <c r="M267" s="35"/>
      <c r="N267" s="35"/>
      <c r="O267" s="35"/>
      <c r="P267" s="35"/>
      <c r="Q267" s="35"/>
      <c r="T267" s="1781" t="str">
        <f>IFERROR(BO245,"")</f>
        <v>Joint Venture</v>
      </c>
      <c r="U267" s="1781"/>
      <c r="V267" s="1781"/>
      <c r="W267" s="1781"/>
      <c r="X267" s="1781"/>
      <c r="Z267" s="307" t="s">
        <v>954</v>
      </c>
      <c r="AA267" s="308"/>
      <c r="AB267" s="308"/>
      <c r="AC267" s="308"/>
      <c r="AD267" s="105"/>
      <c r="AE267" s="105"/>
      <c r="AF267" s="105"/>
      <c r="AG267" s="105"/>
      <c r="AH267" s="105"/>
      <c r="AI267" s="105"/>
      <c r="AJ267" s="105"/>
      <c r="AK267" s="309"/>
      <c r="AL267" s="58"/>
    </row>
    <row r="268" spans="1:51" ht="12.95" customHeight="1">
      <c r="A268" s="2"/>
      <c r="B268" s="4"/>
      <c r="C268" s="2"/>
      <c r="I268" s="4"/>
      <c r="J268" s="4"/>
      <c r="K268" s="4"/>
      <c r="L268" s="4"/>
      <c r="M268" s="35"/>
      <c r="N268" s="35"/>
      <c r="O268" s="35"/>
      <c r="P268" s="35"/>
      <c r="Q268" s="35"/>
      <c r="T268" s="4"/>
      <c r="U268" s="4"/>
      <c r="V268" s="4"/>
      <c r="W268" s="35"/>
      <c r="Z268" s="310" t="s">
        <v>807</v>
      </c>
      <c r="AF268" s="4"/>
      <c r="AG268" s="4"/>
      <c r="AH268" s="4"/>
      <c r="AI268" s="4"/>
      <c r="AJ268" s="4"/>
      <c r="AL268" s="65"/>
    </row>
    <row r="269" spans="1:51" ht="12.95" customHeight="1">
      <c r="A269" s="2" t="s">
        <v>592</v>
      </c>
      <c r="B269" s="4"/>
      <c r="C269" s="2" t="s">
        <v>171</v>
      </c>
      <c r="D269" s="4"/>
      <c r="E269" s="4"/>
      <c r="F269" s="4"/>
      <c r="G269" s="4"/>
      <c r="H269" s="4"/>
      <c r="I269" s="4"/>
      <c r="J269" s="4"/>
      <c r="K269" s="4"/>
      <c r="L269" s="4"/>
      <c r="M269" s="4"/>
      <c r="N269" s="4"/>
      <c r="O269" s="4"/>
      <c r="P269" s="4"/>
      <c r="Q269" s="4"/>
      <c r="R269" s="4"/>
      <c r="S269" s="4"/>
      <c r="T269" s="4"/>
      <c r="U269" s="4"/>
      <c r="V269" s="4"/>
      <c r="W269" s="4"/>
      <c r="Z269" s="311" t="s">
        <v>953</v>
      </c>
      <c r="AA269" s="48"/>
      <c r="AB269" s="48"/>
      <c r="AC269" s="48"/>
      <c r="AD269" s="48"/>
      <c r="AE269" s="48"/>
      <c r="AF269" s="104"/>
      <c r="AG269" s="104"/>
      <c r="AH269" s="104"/>
      <c r="AI269" s="104"/>
      <c r="AJ269" s="104"/>
      <c r="AK269" s="48"/>
      <c r="AL269" s="49"/>
    </row>
    <row r="270" spans="1:51" ht="12.95" customHeight="1">
      <c r="A270" s="4"/>
      <c r="B270" s="36">
        <v>0</v>
      </c>
      <c r="D270" s="1417" t="s">
        <v>279</v>
      </c>
      <c r="E270" s="1417"/>
      <c r="F270" s="1417"/>
      <c r="G270" s="1417"/>
      <c r="H270" s="1417"/>
      <c r="J270" t="s">
        <v>278</v>
      </c>
      <c r="X270" s="1691"/>
      <c r="Y270" s="1691"/>
      <c r="Z270" s="1691"/>
      <c r="AA270" s="1691"/>
      <c r="AB270" s="1691"/>
      <c r="AC270" s="1691"/>
      <c r="AU270" s="3"/>
      <c r="AV270" s="3"/>
      <c r="AW270" s="3"/>
      <c r="AX270" s="3"/>
      <c r="AY270" s="3"/>
    </row>
    <row r="271" spans="1:51" ht="12.95" customHeight="1">
      <c r="A271" s="4"/>
      <c r="B271" s="19"/>
      <c r="D271" s="37" t="s">
        <v>280</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row>
    <row r="272" spans="1:51"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row>
    <row r="273" spans="1:51" ht="12.95" customHeight="1">
      <c r="A273" s="2" t="s">
        <v>467</v>
      </c>
      <c r="B273" s="2"/>
      <c r="C273" s="2" t="s">
        <v>622</v>
      </c>
      <c r="D273" s="4"/>
      <c r="E273" s="4"/>
      <c r="F273" s="4"/>
      <c r="G273" s="4"/>
      <c r="H273" s="4"/>
      <c r="I273" s="4"/>
      <c r="J273" s="4"/>
      <c r="K273" s="4"/>
      <c r="L273" s="4"/>
      <c r="M273" s="4"/>
      <c r="N273" s="4"/>
      <c r="O273" s="4"/>
      <c r="P273" s="4"/>
      <c r="Q273" s="4"/>
      <c r="R273" s="4"/>
      <c r="S273" s="4"/>
      <c r="T273" s="4"/>
      <c r="AU273" s="3"/>
      <c r="AV273" s="3"/>
      <c r="AW273" s="3"/>
      <c r="AX273" s="3"/>
      <c r="AY273" s="3"/>
    </row>
    <row r="274" spans="1:51" ht="12.95" customHeight="1">
      <c r="D274" s="4" t="s">
        <v>295</v>
      </c>
      <c r="E274" s="4"/>
      <c r="F274" s="4"/>
      <c r="G274" s="4"/>
      <c r="H274" s="4"/>
      <c r="I274" s="4"/>
      <c r="J274" s="4"/>
      <c r="K274" s="4"/>
      <c r="L274" s="1419" t="s">
        <v>2642</v>
      </c>
      <c r="M274" s="1420"/>
      <c r="N274" s="1420"/>
      <c r="O274" s="1420"/>
      <c r="P274" s="1420"/>
      <c r="Q274" s="1420"/>
      <c r="R274" s="1420"/>
      <c r="S274" s="1420"/>
      <c r="T274" s="1420"/>
      <c r="U274" s="1420"/>
      <c r="V274" s="1420"/>
      <c r="W274" s="1420"/>
      <c r="X274" s="1420"/>
      <c r="Y274" s="1420"/>
      <c r="Z274" s="1420"/>
      <c r="AA274" s="1420"/>
      <c r="AB274" s="1420"/>
      <c r="AC274" s="1420"/>
      <c r="AD274" s="1420"/>
      <c r="AE274" s="1420"/>
      <c r="AF274" s="1420"/>
      <c r="AG274" s="1420"/>
      <c r="AH274" s="1420"/>
      <c r="AI274" s="1420"/>
      <c r="AJ274" s="1420"/>
      <c r="AK274" s="3"/>
      <c r="AL274" s="3"/>
      <c r="AM274" s="3"/>
      <c r="AN274" s="3"/>
      <c r="AO274" s="3"/>
      <c r="AP274" s="3"/>
      <c r="AQ274" s="3"/>
      <c r="AR274" s="3"/>
      <c r="AS274" s="3"/>
      <c r="AT274" s="3"/>
      <c r="AU274" s="3"/>
      <c r="AV274" s="3"/>
      <c r="AW274" s="3"/>
      <c r="AX274" s="3"/>
      <c r="AY274" s="3"/>
    </row>
    <row r="275" spans="1:51" ht="12.95" customHeight="1">
      <c r="D275" s="4" t="s">
        <v>85</v>
      </c>
      <c r="E275" s="4"/>
      <c r="F275" s="4"/>
      <c r="G275" s="4"/>
      <c r="H275" s="4"/>
      <c r="I275" s="4"/>
      <c r="J275" s="4"/>
      <c r="K275" s="4"/>
      <c r="L275" s="1416" t="s">
        <v>2731</v>
      </c>
      <c r="M275" s="1417"/>
      <c r="N275" s="1417"/>
      <c r="O275" s="1417"/>
      <c r="P275" s="1417"/>
      <c r="Q275" s="1417"/>
      <c r="R275" s="1417"/>
      <c r="S275" s="1417"/>
      <c r="T275" s="1417"/>
      <c r="U275" s="1417"/>
      <c r="V275" s="1417"/>
      <c r="W275" s="1417"/>
      <c r="X275" s="1417"/>
      <c r="Y275" s="1417"/>
      <c r="Z275" s="1417"/>
      <c r="AA275" s="1417"/>
      <c r="AB275" s="1417"/>
      <c r="AC275" s="1417"/>
      <c r="AD275" s="1417"/>
      <c r="AK275" s="3"/>
      <c r="AL275" s="3"/>
      <c r="AM275" s="3"/>
      <c r="AN275" s="3"/>
      <c r="AO275" s="3"/>
      <c r="AP275" s="3"/>
      <c r="AQ275" s="3"/>
      <c r="AR275" s="3"/>
      <c r="AS275" s="3"/>
      <c r="AT275" s="3"/>
      <c r="AU275" s="3"/>
      <c r="AV275" s="3"/>
      <c r="AW275" s="3"/>
      <c r="AX275" s="3"/>
      <c r="AY275" s="3"/>
    </row>
    <row r="276" spans="1:51" ht="12.95" customHeight="1">
      <c r="D276" s="4" t="s">
        <v>580</v>
      </c>
      <c r="E276" s="4"/>
      <c r="L276" s="1417" t="s">
        <v>67</v>
      </c>
      <c r="M276" s="1417"/>
      <c r="N276" s="1417"/>
      <c r="O276" s="1417"/>
      <c r="P276" s="1417"/>
      <c r="Q276" s="1417"/>
      <c r="R276" s="1417"/>
      <c r="S276" s="1417"/>
      <c r="U276" s="33" t="s">
        <v>86</v>
      </c>
      <c r="V276" s="1546" t="s">
        <v>2618</v>
      </c>
      <c r="W276" s="1437"/>
      <c r="X276" s="4" t="s">
        <v>583</v>
      </c>
      <c r="AB276" s="1417">
        <v>92507</v>
      </c>
      <c r="AC276" s="1417"/>
      <c r="AD276" s="1417"/>
      <c r="AK276" s="3"/>
      <c r="AL276" s="3"/>
      <c r="AM276" s="3"/>
      <c r="AN276" s="3"/>
      <c r="AO276" s="3"/>
      <c r="AP276" s="3"/>
      <c r="AQ276" s="3"/>
      <c r="AR276" s="3"/>
      <c r="AS276" s="3"/>
      <c r="AT276" s="3"/>
      <c r="AU276" s="3"/>
      <c r="AV276" s="3"/>
      <c r="AW276" s="3"/>
      <c r="AX276" s="3"/>
      <c r="AY276" s="3"/>
    </row>
    <row r="277" spans="1:51" ht="12.95" customHeight="1">
      <c r="D277" s="4" t="s">
        <v>87</v>
      </c>
      <c r="E277" s="4"/>
      <c r="F277" s="4"/>
      <c r="G277" s="4"/>
      <c r="H277" s="4"/>
      <c r="I277" s="4"/>
      <c r="J277" s="4"/>
      <c r="K277" s="19"/>
      <c r="L277" s="1417" t="s">
        <v>2643</v>
      </c>
      <c r="M277" s="1417"/>
      <c r="N277" s="1417"/>
      <c r="O277" s="1417"/>
      <c r="P277" s="1417"/>
      <c r="Q277" s="1417"/>
      <c r="R277" s="1417"/>
      <c r="S277" s="1417"/>
      <c r="T277" s="1417"/>
      <c r="U277" s="1417"/>
      <c r="V277" s="1417"/>
      <c r="W277" s="1417"/>
      <c r="X277" s="1417"/>
      <c r="Y277" s="1417"/>
      <c r="Z277" s="1417"/>
      <c r="AA277" s="1417"/>
      <c r="AB277" s="1417"/>
      <c r="AC277" s="1417"/>
      <c r="AD277" s="1417"/>
      <c r="AI277" s="4"/>
      <c r="AJ277" s="4"/>
      <c r="AK277" s="3"/>
      <c r="AL277" s="3"/>
      <c r="AM277" s="3"/>
      <c r="AN277" s="3"/>
      <c r="AO277" s="3"/>
      <c r="AP277" s="3"/>
      <c r="AQ277" s="3"/>
      <c r="AR277" s="3"/>
      <c r="AS277" s="3"/>
      <c r="AT277" s="3"/>
    </row>
    <row r="278" spans="1:51" ht="12.95" customHeight="1">
      <c r="D278" s="4" t="s">
        <v>88</v>
      </c>
      <c r="E278" s="4"/>
      <c r="F278" s="4"/>
      <c r="L278" s="1346" t="s">
        <v>2644</v>
      </c>
      <c r="M278" s="1346"/>
      <c r="N278" s="1346"/>
      <c r="O278" s="1346"/>
      <c r="P278" s="1346"/>
      <c r="Q278" s="1346"/>
      <c r="R278" s="4" t="s">
        <v>205</v>
      </c>
      <c r="S278" s="4"/>
      <c r="T278" s="1437"/>
      <c r="U278" s="1437"/>
      <c r="V278" s="1437"/>
      <c r="W278" s="4" t="s">
        <v>89</v>
      </c>
      <c r="Y278" s="1346"/>
      <c r="Z278" s="1346"/>
      <c r="AA278" s="1346"/>
      <c r="AB278" s="1346"/>
      <c r="AC278" s="1346"/>
      <c r="AD278" s="1346"/>
    </row>
    <row r="279" spans="1:51" ht="12.95" customHeight="1">
      <c r="D279" s="4" t="s">
        <v>90</v>
      </c>
      <c r="E279" s="4"/>
      <c r="F279" s="4"/>
      <c r="L279" s="1786" t="s">
        <v>2645</v>
      </c>
      <c r="M279" s="1786"/>
      <c r="N279" s="1786"/>
      <c r="O279" s="1786"/>
      <c r="P279" s="1786"/>
      <c r="Q279" s="1786"/>
      <c r="R279" s="1786"/>
      <c r="S279" s="1786"/>
      <c r="T279" s="1786"/>
      <c r="U279" s="1786"/>
      <c r="V279" s="1786"/>
      <c r="W279" s="1786"/>
      <c r="X279" s="1786"/>
      <c r="Y279" s="1786"/>
      <c r="Z279" s="1786"/>
      <c r="AA279" s="1786"/>
      <c r="AB279" s="1786"/>
      <c r="AC279" s="1786"/>
      <c r="AD279" s="1786"/>
      <c r="AF279" s="4"/>
      <c r="AG279" s="4"/>
      <c r="AH279" s="4"/>
      <c r="AI279" s="4"/>
      <c r="AJ279" s="4"/>
      <c r="AU279" s="3"/>
      <c r="AV279" s="3"/>
      <c r="AW279" s="3"/>
      <c r="AX279" s="3"/>
      <c r="AY279" s="3"/>
    </row>
    <row r="280" spans="1:51" ht="12.95" customHeight="1">
      <c r="D280" s="3" t="s">
        <v>623</v>
      </c>
      <c r="E280" s="3"/>
      <c r="F280" s="3"/>
      <c r="G280" s="3"/>
      <c r="H280" s="3"/>
      <c r="I280" s="3"/>
      <c r="L280" s="1546" t="s">
        <v>2646</v>
      </c>
      <c r="M280" s="1546"/>
      <c r="N280" s="1546"/>
      <c r="O280" s="1546"/>
      <c r="P280" s="1546"/>
      <c r="Q280" s="1546"/>
      <c r="R280" s="1546"/>
      <c r="S280" s="1546"/>
      <c r="T280" s="1546"/>
      <c r="U280" s="1546"/>
      <c r="V280" s="1546"/>
      <c r="W280" s="1546"/>
      <c r="X280" s="1546"/>
      <c r="Y280" s="1546"/>
      <c r="Z280" s="1546"/>
      <c r="AA280" s="1546"/>
      <c r="AB280" s="1546"/>
      <c r="AC280" s="1546"/>
      <c r="AD280" s="1546"/>
      <c r="AK280" s="3"/>
      <c r="AL280" s="3"/>
      <c r="AM280" s="3"/>
      <c r="AN280" s="3"/>
      <c r="AO280" s="3"/>
      <c r="AP280" s="3"/>
      <c r="AQ280" s="3"/>
      <c r="AR280" s="3"/>
      <c r="AS280" s="3"/>
      <c r="AT280" s="3"/>
    </row>
    <row r="281" spans="1:51" ht="12.95" customHeight="1">
      <c r="L281" s="22" t="s">
        <v>624</v>
      </c>
      <c r="AU281" s="95"/>
      <c r="AV281" s="95"/>
      <c r="AW281" s="95"/>
      <c r="AX281" s="95"/>
      <c r="AY281" s="95"/>
    </row>
    <row r="282" spans="1:51" ht="12.95" customHeight="1">
      <c r="A282" s="1422" t="s">
        <v>541</v>
      </c>
      <c r="B282" s="1422"/>
      <c r="C282" s="1422"/>
      <c r="D282" s="1422"/>
      <c r="E282" s="1422"/>
      <c r="F282" s="1422"/>
      <c r="G282" s="1422"/>
      <c r="H282" s="1422"/>
      <c r="I282" s="1422"/>
      <c r="J282" s="1422"/>
      <c r="K282" s="1422"/>
      <c r="L282" s="1422"/>
      <c r="M282" s="1422"/>
      <c r="N282" s="1422"/>
      <c r="O282" s="1422"/>
      <c r="P282" s="1422"/>
      <c r="Q282" s="1422"/>
      <c r="R282" s="1422"/>
      <c r="S282" s="1422"/>
      <c r="T282" s="1422"/>
      <c r="U282" s="1422"/>
      <c r="V282" s="1422"/>
      <c r="W282" s="1422"/>
      <c r="X282" s="1422"/>
      <c r="Y282" s="1422"/>
      <c r="Z282" s="1422"/>
      <c r="AA282" s="1422"/>
      <c r="AB282" s="1422"/>
      <c r="AC282" s="1422"/>
      <c r="AD282" s="1422"/>
      <c r="AE282" s="1422"/>
      <c r="AF282" s="1422"/>
      <c r="AG282" s="1422"/>
      <c r="AH282" s="1422"/>
      <c r="AI282" s="1422"/>
      <c r="AJ282" s="1422"/>
      <c r="AK282" s="1422"/>
      <c r="AL282" s="1422"/>
      <c r="AM282" s="1422"/>
      <c r="AN282" s="1422"/>
      <c r="AO282" s="1422"/>
      <c r="AP282" s="1422"/>
      <c r="AQ282" s="1422"/>
      <c r="AR282" s="1422"/>
      <c r="AS282" s="1422"/>
      <c r="AT282" s="1422"/>
      <c r="AU282" s="95"/>
      <c r="AV282" s="95"/>
      <c r="AW282" s="95"/>
      <c r="AX282" s="95"/>
      <c r="AY282" s="95"/>
    </row>
    <row r="283" spans="1:51" ht="12.95" customHeight="1">
      <c r="A283" s="1422"/>
      <c r="B283" s="1422"/>
      <c r="C283" s="1422"/>
      <c r="D283" s="1422"/>
      <c r="E283" s="1422"/>
      <c r="F283" s="1422"/>
      <c r="G283" s="1422"/>
      <c r="H283" s="1422"/>
      <c r="I283" s="1422"/>
      <c r="J283" s="1422"/>
      <c r="K283" s="1422"/>
      <c r="L283" s="1422"/>
      <c r="M283" s="1422"/>
      <c r="N283" s="1422"/>
      <c r="O283" s="1422"/>
      <c r="P283" s="1422"/>
      <c r="Q283" s="1422"/>
      <c r="R283" s="1422"/>
      <c r="S283" s="1422"/>
      <c r="T283" s="1422"/>
      <c r="U283" s="1422"/>
      <c r="V283" s="1422"/>
      <c r="W283" s="1422"/>
      <c r="X283" s="1422"/>
      <c r="Y283" s="1422"/>
      <c r="Z283" s="1422"/>
      <c r="AA283" s="1422"/>
      <c r="AB283" s="1422"/>
      <c r="AC283" s="1422"/>
      <c r="AD283" s="1422"/>
      <c r="AE283" s="1422"/>
      <c r="AF283" s="1422"/>
      <c r="AG283" s="1422"/>
      <c r="AH283" s="1422"/>
      <c r="AI283" s="1422"/>
      <c r="AJ283" s="1422"/>
      <c r="AK283" s="1422"/>
      <c r="AL283" s="1422"/>
      <c r="AM283" s="1422"/>
      <c r="AN283" s="1422"/>
      <c r="AO283" s="1422"/>
      <c r="AP283" s="1422"/>
      <c r="AQ283" s="1422"/>
      <c r="AR283" s="1422"/>
      <c r="AS283" s="1422"/>
      <c r="AT283" s="1422"/>
      <c r="AU283" s="25"/>
      <c r="AV283" s="25"/>
      <c r="AW283" s="25"/>
      <c r="AX283" s="25"/>
      <c r="AY283" s="25"/>
    </row>
    <row r="284" spans="1:51"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row>
    <row r="285" spans="1:51" ht="12.95" customHeight="1">
      <c r="A285" s="2" t="s">
        <v>318</v>
      </c>
      <c r="C285" s="2" t="s">
        <v>625</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row>
    <row r="286" spans="1:51"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row>
    <row r="287" spans="1:51" ht="12.95" customHeight="1">
      <c r="B287" s="3" t="s">
        <v>626</v>
      </c>
      <c r="C287" s="3"/>
      <c r="D287" s="3"/>
      <c r="E287" s="3"/>
      <c r="F287" s="3"/>
      <c r="H287" s="1416" t="s">
        <v>2753</v>
      </c>
      <c r="I287" s="1371"/>
      <c r="J287" s="1371"/>
      <c r="K287" s="1371"/>
      <c r="L287" s="1371"/>
      <c r="M287" s="1371"/>
      <c r="N287" s="1371"/>
      <c r="O287" s="1371"/>
      <c r="P287" s="1371"/>
      <c r="Q287" s="1371"/>
      <c r="R287" s="1371"/>
      <c r="T287" s="3" t="s">
        <v>567</v>
      </c>
      <c r="V287" s="3"/>
      <c r="W287" s="3"/>
      <c r="X287" s="3"/>
      <c r="Y287" s="3"/>
      <c r="AA287" s="1371" t="s">
        <v>2649</v>
      </c>
      <c r="AB287" s="1371"/>
      <c r="AC287" s="1371"/>
      <c r="AD287" s="1371"/>
      <c r="AE287" s="1371"/>
      <c r="AF287" s="1371"/>
      <c r="AG287" s="1371"/>
      <c r="AH287" s="1371"/>
      <c r="AI287" s="1371"/>
      <c r="AJ287" s="1371"/>
      <c r="AK287" s="1371"/>
    </row>
    <row r="288" spans="1:51" ht="12.95" customHeight="1">
      <c r="B288" s="3" t="s">
        <v>471</v>
      </c>
      <c r="C288" s="3"/>
      <c r="D288" s="3"/>
      <c r="E288" s="3"/>
      <c r="F288" s="3"/>
      <c r="H288" s="1348" t="s">
        <v>2647</v>
      </c>
      <c r="I288" s="1348"/>
      <c r="J288" s="1348"/>
      <c r="K288" s="1348"/>
      <c r="L288" s="1348"/>
      <c r="M288" s="1348"/>
      <c r="N288" s="1348"/>
      <c r="O288" s="1348"/>
      <c r="P288" s="1348"/>
      <c r="Q288" s="1348"/>
      <c r="R288" s="1348"/>
      <c r="T288" s="3" t="s">
        <v>471</v>
      </c>
      <c r="V288" s="3"/>
      <c r="W288" s="3"/>
      <c r="X288" s="3"/>
      <c r="Y288" s="3"/>
      <c r="AA288" s="1348" t="s">
        <v>2650</v>
      </c>
      <c r="AB288" s="1348"/>
      <c r="AC288" s="1348"/>
      <c r="AD288" s="1348"/>
      <c r="AE288" s="1348"/>
      <c r="AF288" s="1348"/>
      <c r="AG288" s="1348"/>
      <c r="AH288" s="1348"/>
      <c r="AI288" s="1348"/>
      <c r="AJ288" s="1348"/>
      <c r="AK288" s="1348"/>
    </row>
    <row r="289" spans="2:37" ht="12.95" customHeight="1">
      <c r="B289" s="3" t="s">
        <v>472</v>
      </c>
      <c r="C289" s="3"/>
      <c r="D289" s="3"/>
      <c r="E289" s="3"/>
      <c r="F289" s="3"/>
      <c r="H289" s="1348" t="s">
        <v>2648</v>
      </c>
      <c r="I289" s="1348"/>
      <c r="J289" s="1348"/>
      <c r="K289" s="1348"/>
      <c r="L289" s="1348"/>
      <c r="M289" s="1348"/>
      <c r="N289" s="1348"/>
      <c r="O289" s="1348"/>
      <c r="P289" s="1348"/>
      <c r="Q289" s="1348"/>
      <c r="R289" s="1348"/>
      <c r="T289" s="3" t="s">
        <v>75</v>
      </c>
      <c r="V289" s="3"/>
      <c r="W289" s="3"/>
      <c r="X289" s="3"/>
      <c r="Y289" s="3"/>
      <c r="AA289" s="1348" t="s">
        <v>2651</v>
      </c>
      <c r="AB289" s="1348"/>
      <c r="AC289" s="1348"/>
      <c r="AD289" s="1348"/>
      <c r="AE289" s="1348"/>
      <c r="AF289" s="1348"/>
      <c r="AG289" s="1348"/>
      <c r="AH289" s="1348"/>
      <c r="AI289" s="1348"/>
      <c r="AJ289" s="1348"/>
      <c r="AK289" s="1348"/>
    </row>
    <row r="290" spans="2:37" ht="12.95" customHeight="1">
      <c r="B290" s="3" t="s">
        <v>87</v>
      </c>
      <c r="C290" s="3"/>
      <c r="D290" s="3"/>
      <c r="E290" s="3"/>
      <c r="F290" s="3"/>
      <c r="H290" s="1348" t="s">
        <v>2638</v>
      </c>
      <c r="I290" s="1348"/>
      <c r="J290" s="1348"/>
      <c r="K290" s="1348"/>
      <c r="L290" s="1348"/>
      <c r="M290" s="1348"/>
      <c r="N290" s="1348"/>
      <c r="O290" s="1348"/>
      <c r="P290" s="1348"/>
      <c r="Q290" s="1348"/>
      <c r="R290" s="1348"/>
      <c r="T290" s="3" t="s">
        <v>87</v>
      </c>
      <c r="V290" s="3"/>
      <c r="W290" s="3"/>
      <c r="X290" s="3"/>
      <c r="Y290" s="3"/>
      <c r="AA290" s="1348" t="s">
        <v>2652</v>
      </c>
      <c r="AB290" s="1348"/>
      <c r="AC290" s="1348"/>
      <c r="AD290" s="1348"/>
      <c r="AE290" s="1348"/>
      <c r="AF290" s="1348"/>
      <c r="AG290" s="1348"/>
      <c r="AH290" s="1348"/>
      <c r="AI290" s="1348"/>
      <c r="AJ290" s="1348"/>
      <c r="AK290" s="1348"/>
    </row>
    <row r="291" spans="2:37" ht="12.95" customHeight="1">
      <c r="B291" s="3" t="s">
        <v>88</v>
      </c>
      <c r="C291" s="3"/>
      <c r="D291" s="3"/>
      <c r="E291" s="3"/>
      <c r="F291" s="3"/>
      <c r="G291" s="3"/>
      <c r="H291" s="1424">
        <v>4157578639</v>
      </c>
      <c r="I291" s="1424"/>
      <c r="J291" s="1424"/>
      <c r="K291" s="1424"/>
      <c r="L291" s="1424"/>
      <c r="M291" s="1424"/>
      <c r="N291" s="4" t="s">
        <v>205</v>
      </c>
      <c r="O291" s="4"/>
      <c r="P291" s="1417"/>
      <c r="Q291" s="1417"/>
      <c r="R291" s="1417"/>
      <c r="S291" s="3"/>
      <c r="T291" s="3" t="s">
        <v>88</v>
      </c>
      <c r="V291" s="3"/>
      <c r="W291" s="3"/>
      <c r="X291" s="3"/>
      <c r="Y291" s="3"/>
      <c r="AA291" s="1424" t="s">
        <v>2653</v>
      </c>
      <c r="AB291" s="1424"/>
      <c r="AC291" s="1424"/>
      <c r="AD291" s="1424"/>
      <c r="AE291" s="1424"/>
      <c r="AF291" s="1424"/>
      <c r="AG291" s="4" t="s">
        <v>205</v>
      </c>
      <c r="AH291" s="4"/>
      <c r="AI291" s="1417"/>
      <c r="AJ291" s="1417"/>
      <c r="AK291" s="1417"/>
    </row>
    <row r="292" spans="2:37" ht="12.95" customHeight="1">
      <c r="B292" s="3" t="s">
        <v>89</v>
      </c>
      <c r="C292" s="3"/>
      <c r="D292" s="3"/>
      <c r="E292" s="3"/>
      <c r="F292" s="3"/>
      <c r="G292" s="3"/>
      <c r="H292" s="1764" t="s">
        <v>591</v>
      </c>
      <c r="I292" s="1346"/>
      <c r="J292" s="1346"/>
      <c r="K292" s="1346"/>
      <c r="L292" s="1346"/>
      <c r="M292" s="1346"/>
      <c r="N292" s="4"/>
      <c r="O292" s="4"/>
      <c r="P292" s="35"/>
      <c r="Q292" s="35"/>
      <c r="R292" s="35"/>
      <c r="S292" s="3"/>
      <c r="T292" s="3" t="s">
        <v>89</v>
      </c>
      <c r="V292" s="3"/>
      <c r="W292" s="3"/>
      <c r="X292" s="3"/>
      <c r="Y292" s="3"/>
      <c r="AA292" s="1764" t="s">
        <v>591</v>
      </c>
      <c r="AB292" s="1346"/>
      <c r="AC292" s="1346"/>
      <c r="AD292" s="1346"/>
      <c r="AE292" s="1346"/>
      <c r="AF292" s="1346"/>
      <c r="AG292" s="4"/>
      <c r="AH292" s="4"/>
      <c r="AI292" s="35"/>
      <c r="AJ292" s="35"/>
      <c r="AK292" s="35"/>
    </row>
    <row r="293" spans="2:37" ht="12.95" customHeight="1">
      <c r="B293" s="3" t="s">
        <v>76</v>
      </c>
      <c r="C293" s="3"/>
      <c r="D293" s="3"/>
      <c r="E293" s="3"/>
      <c r="F293" s="3"/>
      <c r="G293" s="3"/>
      <c r="H293" s="1348" t="s">
        <v>2640</v>
      </c>
      <c r="I293" s="1348"/>
      <c r="J293" s="1348"/>
      <c r="K293" s="1348"/>
      <c r="L293" s="1348"/>
      <c r="M293" s="1348"/>
      <c r="N293" s="1371"/>
      <c r="O293" s="1371"/>
      <c r="P293" s="1371"/>
      <c r="Q293" s="1371"/>
      <c r="R293" s="1371"/>
      <c r="S293" s="3"/>
      <c r="T293" s="3" t="s">
        <v>76</v>
      </c>
      <c r="V293" s="3"/>
      <c r="W293" s="3"/>
      <c r="X293" s="3"/>
      <c r="Y293" s="3"/>
      <c r="AA293" s="1348" t="s">
        <v>2654</v>
      </c>
      <c r="AB293" s="1348"/>
      <c r="AC293" s="1348"/>
      <c r="AD293" s="1348"/>
      <c r="AE293" s="1348"/>
      <c r="AF293" s="1348"/>
      <c r="AG293" s="1371"/>
      <c r="AH293" s="1371"/>
      <c r="AI293" s="1371"/>
      <c r="AJ293" s="1371"/>
      <c r="AK293" s="1371"/>
    </row>
    <row r="294" spans="2:37"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row>
    <row r="295" spans="2:37" ht="12.95" customHeight="1">
      <c r="B295" s="3" t="s">
        <v>322</v>
      </c>
      <c r="C295" s="3"/>
      <c r="D295" s="3"/>
      <c r="E295" s="3"/>
      <c r="F295" s="3"/>
      <c r="H295" s="1371" t="s">
        <v>2655</v>
      </c>
      <c r="I295" s="1371"/>
      <c r="J295" s="1371"/>
      <c r="K295" s="1371"/>
      <c r="L295" s="1371"/>
      <c r="M295" s="1371"/>
      <c r="N295" s="1371"/>
      <c r="O295" s="1371"/>
      <c r="P295" s="1371"/>
      <c r="Q295" s="1371"/>
      <c r="R295" s="1371"/>
      <c r="T295" s="3" t="s">
        <v>363</v>
      </c>
      <c r="V295" s="3"/>
      <c r="W295" s="3"/>
      <c r="X295" s="3"/>
      <c r="Y295" s="3"/>
      <c r="AA295" s="1371" t="s">
        <v>2661</v>
      </c>
      <c r="AB295" s="1371"/>
      <c r="AC295" s="1371"/>
      <c r="AD295" s="1371"/>
      <c r="AE295" s="1371"/>
      <c r="AF295" s="1371"/>
      <c r="AG295" s="1371"/>
      <c r="AH295" s="1371"/>
      <c r="AI295" s="1371"/>
      <c r="AJ295" s="1371"/>
      <c r="AK295" s="1371"/>
    </row>
    <row r="296" spans="2:37" ht="12.95" customHeight="1">
      <c r="B296" s="3" t="s">
        <v>471</v>
      </c>
      <c r="C296" s="3"/>
      <c r="D296" s="3"/>
      <c r="E296" s="3"/>
      <c r="F296" s="3"/>
      <c r="H296" s="1348" t="s">
        <v>2656</v>
      </c>
      <c r="I296" s="1348"/>
      <c r="J296" s="1348"/>
      <c r="K296" s="1348"/>
      <c r="L296" s="1348"/>
      <c r="M296" s="1348"/>
      <c r="N296" s="1348"/>
      <c r="O296" s="1348"/>
      <c r="P296" s="1348"/>
      <c r="Q296" s="1348"/>
      <c r="R296" s="1348"/>
      <c r="T296" s="3" t="s">
        <v>471</v>
      </c>
      <c r="V296" s="3"/>
      <c r="W296" s="3"/>
      <c r="X296" s="3"/>
      <c r="Y296" s="3"/>
      <c r="AA296" s="1348" t="s">
        <v>2662</v>
      </c>
      <c r="AB296" s="1348"/>
      <c r="AC296" s="1348"/>
      <c r="AD296" s="1348"/>
      <c r="AE296" s="1348"/>
      <c r="AF296" s="1348"/>
      <c r="AG296" s="1348"/>
      <c r="AH296" s="1348"/>
      <c r="AI296" s="1348"/>
      <c r="AJ296" s="1348"/>
      <c r="AK296" s="1348"/>
    </row>
    <row r="297" spans="2:37" ht="12.95" customHeight="1">
      <c r="B297" s="3" t="s">
        <v>472</v>
      </c>
      <c r="C297" s="3"/>
      <c r="D297" s="3"/>
      <c r="E297" s="3"/>
      <c r="F297" s="3"/>
      <c r="H297" s="1348" t="s">
        <v>2657</v>
      </c>
      <c r="I297" s="1348"/>
      <c r="J297" s="1348"/>
      <c r="K297" s="1348"/>
      <c r="L297" s="1348"/>
      <c r="M297" s="1348"/>
      <c r="N297" s="1348"/>
      <c r="O297" s="1348"/>
      <c r="P297" s="1348"/>
      <c r="Q297" s="1348"/>
      <c r="R297" s="1348"/>
      <c r="T297" s="3" t="s">
        <v>75</v>
      </c>
      <c r="V297" s="3"/>
      <c r="W297" s="3"/>
      <c r="X297" s="3"/>
      <c r="Y297" s="3"/>
      <c r="AA297" s="1348" t="s">
        <v>2663</v>
      </c>
      <c r="AB297" s="1348"/>
      <c r="AC297" s="1348"/>
      <c r="AD297" s="1348"/>
      <c r="AE297" s="1348"/>
      <c r="AF297" s="1348"/>
      <c r="AG297" s="1348"/>
      <c r="AH297" s="1348"/>
      <c r="AI297" s="1348"/>
      <c r="AJ297" s="1348"/>
      <c r="AK297" s="1348"/>
    </row>
    <row r="298" spans="2:37" ht="12.95" customHeight="1">
      <c r="B298" s="3" t="s">
        <v>87</v>
      </c>
      <c r="C298" s="3"/>
      <c r="D298" s="3"/>
      <c r="E298" s="3"/>
      <c r="F298" s="3"/>
      <c r="H298" s="1348" t="s">
        <v>2658</v>
      </c>
      <c r="I298" s="1348"/>
      <c r="J298" s="1348"/>
      <c r="K298" s="1348"/>
      <c r="L298" s="1348"/>
      <c r="M298" s="1348"/>
      <c r="N298" s="1348"/>
      <c r="O298" s="1348"/>
      <c r="P298" s="1348"/>
      <c r="Q298" s="1348"/>
      <c r="R298" s="1348"/>
      <c r="T298" s="3" t="s">
        <v>87</v>
      </c>
      <c r="V298" s="3"/>
      <c r="W298" s="3"/>
      <c r="X298" s="3"/>
      <c r="Y298" s="3"/>
      <c r="AA298" s="1348" t="s">
        <v>2664</v>
      </c>
      <c r="AB298" s="1348"/>
      <c r="AC298" s="1348"/>
      <c r="AD298" s="1348"/>
      <c r="AE298" s="1348"/>
      <c r="AF298" s="1348"/>
      <c r="AG298" s="1348"/>
      <c r="AH298" s="1348"/>
      <c r="AI298" s="1348"/>
      <c r="AJ298" s="1348"/>
      <c r="AK298" s="1348"/>
    </row>
    <row r="299" spans="2:37" ht="12.95" customHeight="1">
      <c r="B299" s="3" t="s">
        <v>88</v>
      </c>
      <c r="C299" s="3"/>
      <c r="D299" s="3"/>
      <c r="E299" s="3"/>
      <c r="F299" s="3"/>
      <c r="G299" s="3"/>
      <c r="H299" s="1424" t="s">
        <v>2659</v>
      </c>
      <c r="I299" s="1424"/>
      <c r="J299" s="1424"/>
      <c r="K299" s="1424"/>
      <c r="L299" s="1424"/>
      <c r="M299" s="1424"/>
      <c r="N299" s="4" t="s">
        <v>205</v>
      </c>
      <c r="O299" s="4"/>
      <c r="P299" s="1417"/>
      <c r="Q299" s="1417"/>
      <c r="R299" s="1417"/>
      <c r="S299" s="3"/>
      <c r="T299" s="3" t="s">
        <v>88</v>
      </c>
      <c r="V299" s="3"/>
      <c r="W299" s="3"/>
      <c r="X299" s="3"/>
      <c r="Y299" s="3"/>
      <c r="AA299" s="1424" t="s">
        <v>2665</v>
      </c>
      <c r="AB299" s="1424"/>
      <c r="AC299" s="1424"/>
      <c r="AD299" s="1424"/>
      <c r="AE299" s="1424"/>
      <c r="AF299" s="1424"/>
      <c r="AG299" s="4" t="s">
        <v>205</v>
      </c>
      <c r="AH299" s="4"/>
      <c r="AI299" s="1417"/>
      <c r="AJ299" s="1417"/>
      <c r="AK299" s="1417"/>
    </row>
    <row r="300" spans="2:37" ht="12.95" customHeight="1">
      <c r="B300" s="3" t="s">
        <v>89</v>
      </c>
      <c r="C300" s="3"/>
      <c r="D300" s="3"/>
      <c r="E300" s="3"/>
      <c r="F300" s="3"/>
      <c r="G300" s="3"/>
      <c r="H300" s="1764" t="s">
        <v>591</v>
      </c>
      <c r="I300" s="1346"/>
      <c r="J300" s="1346"/>
      <c r="K300" s="1346"/>
      <c r="L300" s="1346"/>
      <c r="M300" s="1346"/>
      <c r="N300" s="4"/>
      <c r="O300" s="4"/>
      <c r="P300" s="35"/>
      <c r="Q300" s="35"/>
      <c r="R300" s="35"/>
      <c r="S300" s="3"/>
      <c r="T300" s="3" t="s">
        <v>89</v>
      </c>
      <c r="V300" s="3"/>
      <c r="W300" s="3"/>
      <c r="X300" s="3"/>
      <c r="Y300" s="3"/>
      <c r="AA300" s="1764" t="s">
        <v>591</v>
      </c>
      <c r="AB300" s="1346"/>
      <c r="AC300" s="1346"/>
      <c r="AD300" s="1346"/>
      <c r="AE300" s="1346"/>
      <c r="AF300" s="1346"/>
      <c r="AG300" s="4"/>
      <c r="AH300" s="4"/>
      <c r="AI300" s="35"/>
      <c r="AJ300" s="35"/>
      <c r="AK300" s="35"/>
    </row>
    <row r="301" spans="2:37" ht="12.95" customHeight="1">
      <c r="B301" s="3" t="s">
        <v>76</v>
      </c>
      <c r="C301" s="3"/>
      <c r="D301" s="3"/>
      <c r="E301" s="3"/>
      <c r="F301" s="3"/>
      <c r="G301" s="3"/>
      <c r="H301" s="1348" t="s">
        <v>2660</v>
      </c>
      <c r="I301" s="1348"/>
      <c r="J301" s="1348"/>
      <c r="K301" s="1348"/>
      <c r="L301" s="1348"/>
      <c r="M301" s="1348"/>
      <c r="N301" s="1371"/>
      <c r="O301" s="1371"/>
      <c r="P301" s="1371"/>
      <c r="Q301" s="1371"/>
      <c r="R301" s="1371"/>
      <c r="S301" s="3"/>
      <c r="T301" s="3" t="s">
        <v>76</v>
      </c>
      <c r="V301" s="3"/>
      <c r="W301" s="3"/>
      <c r="X301" s="3"/>
      <c r="Y301" s="3"/>
      <c r="AA301" s="1348" t="s">
        <v>2666</v>
      </c>
      <c r="AB301" s="1348"/>
      <c r="AC301" s="1348"/>
      <c r="AD301" s="1348"/>
      <c r="AE301" s="1348"/>
      <c r="AF301" s="1348"/>
      <c r="AG301" s="1371"/>
      <c r="AH301" s="1371"/>
      <c r="AI301" s="1371"/>
      <c r="AJ301" s="1371"/>
      <c r="AK301" s="1371"/>
    </row>
    <row r="302" spans="2:37" ht="12.95" customHeight="1"/>
    <row r="303" spans="2:37" ht="12.95" customHeight="1">
      <c r="B303" s="3" t="s">
        <v>77</v>
      </c>
      <c r="C303" s="3"/>
      <c r="D303" s="3"/>
      <c r="E303" s="3"/>
      <c r="F303" s="3"/>
      <c r="H303" s="1371" t="s">
        <v>2667</v>
      </c>
      <c r="I303" s="1371"/>
      <c r="J303" s="1371"/>
      <c r="K303" s="1371"/>
      <c r="L303" s="1371"/>
      <c r="M303" s="1371"/>
      <c r="N303" s="1371"/>
      <c r="O303" s="1371"/>
      <c r="P303" s="1371"/>
      <c r="Q303" s="1371"/>
      <c r="R303" s="1371"/>
      <c r="T303" s="4" t="s">
        <v>878</v>
      </c>
      <c r="V303" s="3"/>
      <c r="W303" s="3"/>
      <c r="X303" s="3"/>
      <c r="Y303" s="3"/>
      <c r="AA303" s="1371" t="s">
        <v>591</v>
      </c>
      <c r="AB303" s="1371"/>
      <c r="AC303" s="1371"/>
      <c r="AD303" s="1371"/>
      <c r="AE303" s="1371"/>
      <c r="AF303" s="1371"/>
      <c r="AG303" s="1371"/>
      <c r="AH303" s="1371"/>
      <c r="AI303" s="1371"/>
      <c r="AJ303" s="1371"/>
      <c r="AK303" s="1371"/>
    </row>
    <row r="304" spans="2:37" ht="12.95" customHeight="1">
      <c r="B304" s="3" t="s">
        <v>471</v>
      </c>
      <c r="C304" s="3"/>
      <c r="D304" s="3"/>
      <c r="E304" s="3"/>
      <c r="F304" s="3"/>
      <c r="H304" s="1348" t="s">
        <v>2668</v>
      </c>
      <c r="I304" s="1348"/>
      <c r="J304" s="1348"/>
      <c r="K304" s="1348"/>
      <c r="L304" s="1348"/>
      <c r="M304" s="1348"/>
      <c r="N304" s="1348"/>
      <c r="O304" s="1348"/>
      <c r="P304" s="1348"/>
      <c r="Q304" s="1348"/>
      <c r="R304" s="1348"/>
      <c r="T304" s="3" t="s">
        <v>471</v>
      </c>
      <c r="V304" s="3"/>
      <c r="W304" s="3"/>
      <c r="X304" s="3"/>
      <c r="Y304" s="3"/>
      <c r="AA304" s="1348" t="s">
        <v>591</v>
      </c>
      <c r="AB304" s="1348"/>
      <c r="AC304" s="1348"/>
      <c r="AD304" s="1348"/>
      <c r="AE304" s="1348"/>
      <c r="AF304" s="1348"/>
      <c r="AG304" s="1348"/>
      <c r="AH304" s="1348"/>
      <c r="AI304" s="1348"/>
      <c r="AJ304" s="1348"/>
      <c r="AK304" s="1348"/>
    </row>
    <row r="305" spans="2:37" ht="12.95" customHeight="1">
      <c r="B305" s="3" t="s">
        <v>472</v>
      </c>
      <c r="C305" s="3"/>
      <c r="D305" s="3"/>
      <c r="E305" s="3"/>
      <c r="F305" s="3"/>
      <c r="H305" s="1348" t="s">
        <v>2669</v>
      </c>
      <c r="I305" s="1348"/>
      <c r="J305" s="1348"/>
      <c r="K305" s="1348"/>
      <c r="L305" s="1348"/>
      <c r="M305" s="1348"/>
      <c r="N305" s="1348"/>
      <c r="O305" s="1348"/>
      <c r="P305" s="1348"/>
      <c r="Q305" s="1348"/>
      <c r="R305" s="1348"/>
      <c r="T305" s="3" t="s">
        <v>75</v>
      </c>
      <c r="V305" s="3"/>
      <c r="W305" s="3"/>
      <c r="X305" s="3"/>
      <c r="Y305" s="3"/>
      <c r="AA305" s="1348" t="s">
        <v>591</v>
      </c>
      <c r="AB305" s="1348"/>
      <c r="AC305" s="1348"/>
      <c r="AD305" s="1348"/>
      <c r="AE305" s="1348"/>
      <c r="AF305" s="1348"/>
      <c r="AG305" s="1348"/>
      <c r="AH305" s="1348"/>
      <c r="AI305" s="1348"/>
      <c r="AJ305" s="1348"/>
      <c r="AK305" s="1348"/>
    </row>
    <row r="306" spans="2:37" ht="12.95" customHeight="1">
      <c r="B306" s="3" t="s">
        <v>87</v>
      </c>
      <c r="C306" s="3"/>
      <c r="D306" s="3"/>
      <c r="E306" s="3"/>
      <c r="F306" s="3"/>
      <c r="H306" s="1348" t="s">
        <v>2670</v>
      </c>
      <c r="I306" s="1348"/>
      <c r="J306" s="1348"/>
      <c r="K306" s="1348"/>
      <c r="L306" s="1348"/>
      <c r="M306" s="1348"/>
      <c r="N306" s="1348"/>
      <c r="O306" s="1348"/>
      <c r="P306" s="1348"/>
      <c r="Q306" s="1348"/>
      <c r="R306" s="1348"/>
      <c r="T306" s="3" t="s">
        <v>87</v>
      </c>
      <c r="V306" s="3"/>
      <c r="W306" s="3"/>
      <c r="X306" s="3"/>
      <c r="Y306" s="3"/>
      <c r="AA306" s="1348" t="s">
        <v>591</v>
      </c>
      <c r="AB306" s="1348"/>
      <c r="AC306" s="1348"/>
      <c r="AD306" s="1348"/>
      <c r="AE306" s="1348"/>
      <c r="AF306" s="1348"/>
      <c r="AG306" s="1348"/>
      <c r="AH306" s="1348"/>
      <c r="AI306" s="1348"/>
      <c r="AJ306" s="1348"/>
      <c r="AK306" s="1348"/>
    </row>
    <row r="307" spans="2:37" ht="12.95" customHeight="1">
      <c r="B307" s="3" t="s">
        <v>88</v>
      </c>
      <c r="C307" s="3"/>
      <c r="D307" s="3"/>
      <c r="E307" s="3"/>
      <c r="F307" s="3"/>
      <c r="G307" s="3"/>
      <c r="H307" s="1424" t="s">
        <v>2671</v>
      </c>
      <c r="I307" s="1424"/>
      <c r="J307" s="1424"/>
      <c r="K307" s="1424"/>
      <c r="L307" s="1424"/>
      <c r="M307" s="1424"/>
      <c r="N307" s="4" t="s">
        <v>205</v>
      </c>
      <c r="O307" s="4"/>
      <c r="P307" s="1417"/>
      <c r="Q307" s="1417"/>
      <c r="R307" s="1417"/>
      <c r="S307" s="3"/>
      <c r="T307" s="3" t="s">
        <v>88</v>
      </c>
      <c r="V307" s="3"/>
      <c r="W307" s="3"/>
      <c r="X307" s="3"/>
      <c r="Y307" s="3"/>
      <c r="AA307" s="1423" t="s">
        <v>591</v>
      </c>
      <c r="AB307" s="1424"/>
      <c r="AC307" s="1424"/>
      <c r="AD307" s="1424"/>
      <c r="AE307" s="1424"/>
      <c r="AF307" s="1424"/>
      <c r="AG307" s="4" t="s">
        <v>205</v>
      </c>
      <c r="AH307" s="4"/>
      <c r="AI307" s="1417"/>
      <c r="AJ307" s="1417"/>
      <c r="AK307" s="1417"/>
    </row>
    <row r="308" spans="2:37" ht="12.95" customHeight="1">
      <c r="B308" s="3" t="s">
        <v>89</v>
      </c>
      <c r="C308" s="3"/>
      <c r="D308" s="3"/>
      <c r="E308" s="3"/>
      <c r="F308" s="3"/>
      <c r="G308" s="3"/>
      <c r="H308" s="1764" t="s">
        <v>591</v>
      </c>
      <c r="I308" s="1346"/>
      <c r="J308" s="1346"/>
      <c r="K308" s="1346"/>
      <c r="L308" s="1346"/>
      <c r="M308" s="1346"/>
      <c r="N308" s="4"/>
      <c r="O308" s="4"/>
      <c r="P308" s="35"/>
      <c r="Q308" s="35"/>
      <c r="R308" s="35"/>
      <c r="S308" s="3"/>
      <c r="T308" s="3" t="s">
        <v>89</v>
      </c>
      <c r="V308" s="3"/>
      <c r="W308" s="3"/>
      <c r="X308" s="3"/>
      <c r="Y308" s="3"/>
      <c r="AA308" s="1764" t="s">
        <v>591</v>
      </c>
      <c r="AB308" s="1346"/>
      <c r="AC308" s="1346"/>
      <c r="AD308" s="1346"/>
      <c r="AE308" s="1346"/>
      <c r="AF308" s="1346"/>
      <c r="AG308" s="4"/>
      <c r="AH308" s="4"/>
      <c r="AI308" s="35"/>
      <c r="AJ308" s="35"/>
      <c r="AK308" s="35"/>
    </row>
    <row r="309" spans="2:37" ht="12.95" customHeight="1">
      <c r="B309" s="3" t="s">
        <v>76</v>
      </c>
      <c r="C309" s="3"/>
      <c r="D309" s="3"/>
      <c r="E309" s="3"/>
      <c r="F309" s="3"/>
      <c r="G309" s="3"/>
      <c r="H309" s="1348" t="s">
        <v>2672</v>
      </c>
      <c r="I309" s="1348"/>
      <c r="J309" s="1348"/>
      <c r="K309" s="1348"/>
      <c r="L309" s="1348"/>
      <c r="M309" s="1348"/>
      <c r="N309" s="1371"/>
      <c r="O309" s="1371"/>
      <c r="P309" s="1371"/>
      <c r="Q309" s="1371"/>
      <c r="R309" s="1371"/>
      <c r="S309" s="3"/>
      <c r="T309" s="3" t="s">
        <v>76</v>
      </c>
      <c r="V309" s="3"/>
      <c r="W309" s="3"/>
      <c r="X309" s="3"/>
      <c r="Y309" s="3"/>
      <c r="AA309" s="1348" t="s">
        <v>591</v>
      </c>
      <c r="AB309" s="1348"/>
      <c r="AC309" s="1348"/>
      <c r="AD309" s="1348"/>
      <c r="AE309" s="1348"/>
      <c r="AF309" s="1348"/>
      <c r="AG309" s="1371"/>
      <c r="AH309" s="1371"/>
      <c r="AI309" s="1371"/>
      <c r="AJ309" s="1371"/>
      <c r="AK309" s="1371"/>
    </row>
    <row r="310" spans="2:37"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row>
    <row r="311" spans="2:37" ht="12.95" customHeight="1">
      <c r="B311" s="4" t="s">
        <v>907</v>
      </c>
      <c r="C311" s="3"/>
      <c r="D311" s="3"/>
      <c r="E311" s="3"/>
      <c r="F311" s="3"/>
      <c r="H311" s="1371" t="s">
        <v>2667</v>
      </c>
      <c r="I311" s="1371"/>
      <c r="J311" s="1371"/>
      <c r="K311" s="1371"/>
      <c r="L311" s="1371"/>
      <c r="M311" s="1371"/>
      <c r="N311" s="1371"/>
      <c r="O311" s="1371"/>
      <c r="P311" s="1371"/>
      <c r="Q311" s="1371"/>
      <c r="R311" s="1371"/>
      <c r="S311" s="3"/>
      <c r="T311" s="3" t="s">
        <v>364</v>
      </c>
      <c r="V311" s="3"/>
      <c r="W311" s="3"/>
      <c r="X311" s="3"/>
      <c r="Y311" s="3"/>
      <c r="AA311" s="1371" t="s">
        <v>2673</v>
      </c>
      <c r="AB311" s="1371"/>
      <c r="AC311" s="1371"/>
      <c r="AD311" s="1371"/>
      <c r="AE311" s="1371"/>
      <c r="AF311" s="1371"/>
      <c r="AG311" s="1371"/>
      <c r="AH311" s="1371"/>
      <c r="AI311" s="1371"/>
      <c r="AJ311" s="1371"/>
      <c r="AK311" s="1371"/>
    </row>
    <row r="312" spans="2:37" ht="12.95" customHeight="1">
      <c r="B312" s="3" t="s">
        <v>471</v>
      </c>
      <c r="C312" s="3"/>
      <c r="D312" s="3"/>
      <c r="E312" s="3"/>
      <c r="F312" s="3"/>
      <c r="H312" s="1348" t="s">
        <v>2668</v>
      </c>
      <c r="I312" s="1348"/>
      <c r="J312" s="1348"/>
      <c r="K312" s="1348"/>
      <c r="L312" s="1348"/>
      <c r="M312" s="1348"/>
      <c r="N312" s="1348"/>
      <c r="O312" s="1348"/>
      <c r="P312" s="1348"/>
      <c r="Q312" s="1348"/>
      <c r="R312" s="1348"/>
      <c r="S312" s="3"/>
      <c r="T312" s="3" t="s">
        <v>471</v>
      </c>
      <c r="V312" s="3"/>
      <c r="W312" s="3"/>
      <c r="X312" s="3"/>
      <c r="Y312" s="3"/>
      <c r="AA312" s="1348" t="s">
        <v>2674</v>
      </c>
      <c r="AB312" s="1348"/>
      <c r="AC312" s="1348"/>
      <c r="AD312" s="1348"/>
      <c r="AE312" s="1348"/>
      <c r="AF312" s="1348"/>
      <c r="AG312" s="1348"/>
      <c r="AH312" s="1348"/>
      <c r="AI312" s="1348"/>
      <c r="AJ312" s="1348"/>
      <c r="AK312" s="1348"/>
    </row>
    <row r="313" spans="2:37" ht="12.95" customHeight="1">
      <c r="B313" s="3" t="s">
        <v>472</v>
      </c>
      <c r="C313" s="3"/>
      <c r="D313" s="3"/>
      <c r="E313" s="3"/>
      <c r="F313" s="3"/>
      <c r="H313" s="1348" t="s">
        <v>2669</v>
      </c>
      <c r="I313" s="1348"/>
      <c r="J313" s="1348"/>
      <c r="K313" s="1348"/>
      <c r="L313" s="1348"/>
      <c r="M313" s="1348"/>
      <c r="N313" s="1348"/>
      <c r="O313" s="1348"/>
      <c r="P313" s="1348"/>
      <c r="Q313" s="1348"/>
      <c r="R313" s="1348"/>
      <c r="S313" s="3"/>
      <c r="T313" s="3" t="s">
        <v>75</v>
      </c>
      <c r="V313" s="3"/>
      <c r="W313" s="3"/>
      <c r="X313" s="3"/>
      <c r="Y313" s="3"/>
      <c r="AA313" s="1348" t="s">
        <v>2675</v>
      </c>
      <c r="AB313" s="1348"/>
      <c r="AC313" s="1348"/>
      <c r="AD313" s="1348"/>
      <c r="AE313" s="1348"/>
      <c r="AF313" s="1348"/>
      <c r="AG313" s="1348"/>
      <c r="AH313" s="1348"/>
      <c r="AI313" s="1348"/>
      <c r="AJ313" s="1348"/>
      <c r="AK313" s="1348"/>
    </row>
    <row r="314" spans="2:37" ht="12.95" customHeight="1">
      <c r="B314" s="3" t="s">
        <v>87</v>
      </c>
      <c r="C314" s="3"/>
      <c r="D314" s="3"/>
      <c r="E314" s="3"/>
      <c r="F314" s="3"/>
      <c r="H314" s="1348" t="s">
        <v>2670</v>
      </c>
      <c r="I314" s="1348"/>
      <c r="J314" s="1348"/>
      <c r="K314" s="1348"/>
      <c r="L314" s="1348"/>
      <c r="M314" s="1348"/>
      <c r="N314" s="1348"/>
      <c r="O314" s="1348"/>
      <c r="P314" s="1348"/>
      <c r="Q314" s="1348"/>
      <c r="R314" s="1348"/>
      <c r="S314" s="3"/>
      <c r="T314" s="3" t="s">
        <v>87</v>
      </c>
      <c r="V314" s="3"/>
      <c r="W314" s="3"/>
      <c r="X314" s="3"/>
      <c r="Y314" s="3"/>
      <c r="AA314" s="1348" t="s">
        <v>2676</v>
      </c>
      <c r="AB314" s="1348"/>
      <c r="AC314" s="1348"/>
      <c r="AD314" s="1348"/>
      <c r="AE314" s="1348"/>
      <c r="AF314" s="1348"/>
      <c r="AG314" s="1348"/>
      <c r="AH314" s="1348"/>
      <c r="AI314" s="1348"/>
      <c r="AJ314" s="1348"/>
      <c r="AK314" s="1348"/>
    </row>
    <row r="315" spans="2:37" ht="12.95" customHeight="1">
      <c r="B315" s="3" t="s">
        <v>88</v>
      </c>
      <c r="C315" s="3"/>
      <c r="D315" s="3"/>
      <c r="E315" s="3"/>
      <c r="F315" s="3"/>
      <c r="G315" s="3"/>
      <c r="H315" s="1424" t="s">
        <v>2671</v>
      </c>
      <c r="I315" s="1424"/>
      <c r="J315" s="1424"/>
      <c r="K315" s="1424"/>
      <c r="L315" s="1424"/>
      <c r="M315" s="1424"/>
      <c r="N315" s="4" t="s">
        <v>205</v>
      </c>
      <c r="O315" s="4"/>
      <c r="P315" s="1417"/>
      <c r="Q315" s="1417"/>
      <c r="R315" s="1417"/>
      <c r="S315" s="3"/>
      <c r="T315" s="3" t="s">
        <v>88</v>
      </c>
      <c r="V315" s="3"/>
      <c r="W315" s="3"/>
      <c r="X315" s="3"/>
      <c r="Y315" s="3"/>
      <c r="AA315" s="1423" t="s">
        <v>2677</v>
      </c>
      <c r="AB315" s="1424"/>
      <c r="AC315" s="1424"/>
      <c r="AD315" s="1424"/>
      <c r="AE315" s="1424"/>
      <c r="AF315" s="1424"/>
      <c r="AG315" s="4" t="s">
        <v>205</v>
      </c>
      <c r="AH315" s="4"/>
      <c r="AI315" s="1417"/>
      <c r="AJ315" s="1417"/>
      <c r="AK315" s="1417"/>
    </row>
    <row r="316" spans="2:37" ht="12.95" customHeight="1">
      <c r="B316" s="3" t="s">
        <v>89</v>
      </c>
      <c r="C316" s="3"/>
      <c r="D316" s="3"/>
      <c r="E316" s="3"/>
      <c r="F316" s="3"/>
      <c r="G316" s="3"/>
      <c r="H316" s="1764" t="s">
        <v>591</v>
      </c>
      <c r="I316" s="1346"/>
      <c r="J316" s="1346"/>
      <c r="K316" s="1346"/>
      <c r="L316" s="1346"/>
      <c r="M316" s="1346"/>
      <c r="N316" s="4"/>
      <c r="O316" s="4"/>
      <c r="P316" s="35"/>
      <c r="Q316" s="35"/>
      <c r="R316" s="35"/>
      <c r="S316" s="3"/>
      <c r="T316" s="3" t="s">
        <v>89</v>
      </c>
      <c r="V316" s="3"/>
      <c r="W316" s="3"/>
      <c r="X316" s="3"/>
      <c r="Y316" s="3"/>
      <c r="AA316" s="1764" t="s">
        <v>591</v>
      </c>
      <c r="AB316" s="1346"/>
      <c r="AC316" s="1346"/>
      <c r="AD316" s="1346"/>
      <c r="AE316" s="1346"/>
      <c r="AF316" s="1346"/>
      <c r="AG316" s="4"/>
      <c r="AH316" s="4"/>
      <c r="AI316" s="35"/>
      <c r="AJ316" s="35"/>
      <c r="AK316" s="35"/>
    </row>
    <row r="317" spans="2:37" ht="12.95" customHeight="1">
      <c r="B317" s="3" t="s">
        <v>76</v>
      </c>
      <c r="C317" s="3"/>
      <c r="D317" s="3"/>
      <c r="E317" s="3"/>
      <c r="F317" s="3"/>
      <c r="G317" s="3"/>
      <c r="H317" s="1348" t="s">
        <v>2672</v>
      </c>
      <c r="I317" s="1348"/>
      <c r="J317" s="1348"/>
      <c r="K317" s="1348"/>
      <c r="L317" s="1348"/>
      <c r="M317" s="1348"/>
      <c r="N317" s="1371"/>
      <c r="O317" s="1371"/>
      <c r="P317" s="1371"/>
      <c r="Q317" s="1371"/>
      <c r="R317" s="1371"/>
      <c r="S317" s="3"/>
      <c r="T317" s="3" t="s">
        <v>76</v>
      </c>
      <c r="V317" s="3"/>
      <c r="W317" s="3"/>
      <c r="X317" s="3"/>
      <c r="Y317" s="3"/>
      <c r="AA317" s="1348" t="s">
        <v>2678</v>
      </c>
      <c r="AB317" s="1348"/>
      <c r="AC317" s="1348"/>
      <c r="AD317" s="1348"/>
      <c r="AE317" s="1348"/>
      <c r="AF317" s="1348"/>
      <c r="AG317" s="1371"/>
      <c r="AH317" s="1371"/>
      <c r="AI317" s="1371"/>
      <c r="AJ317" s="1371"/>
      <c r="AK317" s="1371"/>
    </row>
    <row r="318" spans="2:37" ht="12.95" customHeight="1"/>
    <row r="319" spans="2:37" ht="12.95" customHeight="1">
      <c r="B319" s="4" t="s">
        <v>908</v>
      </c>
      <c r="C319" s="3"/>
      <c r="D319" s="3"/>
      <c r="E319" s="3"/>
      <c r="F319" s="3"/>
      <c r="H319" s="1371" t="s">
        <v>2642</v>
      </c>
      <c r="I319" s="1371"/>
      <c r="J319" s="1371"/>
      <c r="K319" s="1371"/>
      <c r="L319" s="1371"/>
      <c r="M319" s="1371"/>
      <c r="N319" s="1371"/>
      <c r="O319" s="1371"/>
      <c r="P319" s="1371"/>
      <c r="Q319" s="1371"/>
      <c r="R319" s="1371"/>
      <c r="T319" s="3" t="s">
        <v>365</v>
      </c>
      <c r="V319" s="3"/>
      <c r="W319" s="3"/>
      <c r="X319" s="3"/>
      <c r="Y319" s="3"/>
      <c r="AA319" s="1371" t="s">
        <v>2667</v>
      </c>
      <c r="AB319" s="1371"/>
      <c r="AC319" s="1371"/>
      <c r="AD319" s="1371"/>
      <c r="AE319" s="1371"/>
      <c r="AF319" s="1371"/>
      <c r="AG319" s="1371"/>
      <c r="AH319" s="1371"/>
      <c r="AI319" s="1371"/>
      <c r="AJ319" s="1371"/>
      <c r="AK319" s="1371"/>
    </row>
    <row r="320" spans="2:37" ht="12.95" customHeight="1">
      <c r="B320" s="3" t="s">
        <v>471</v>
      </c>
      <c r="C320" s="3"/>
      <c r="D320" s="3"/>
      <c r="E320" s="3"/>
      <c r="F320" s="3"/>
      <c r="H320" s="1348" t="s">
        <v>2679</v>
      </c>
      <c r="I320" s="1348"/>
      <c r="J320" s="1348"/>
      <c r="K320" s="1348"/>
      <c r="L320" s="1348"/>
      <c r="M320" s="1348"/>
      <c r="N320" s="1348"/>
      <c r="O320" s="1348"/>
      <c r="P320" s="1348"/>
      <c r="Q320" s="1348"/>
      <c r="R320" s="1348"/>
      <c r="T320" s="3" t="s">
        <v>471</v>
      </c>
      <c r="V320" s="3"/>
      <c r="W320" s="3"/>
      <c r="X320" s="3"/>
      <c r="Y320" s="3"/>
      <c r="AA320" s="1348" t="s">
        <v>2681</v>
      </c>
      <c r="AB320" s="1348"/>
      <c r="AC320" s="1348"/>
      <c r="AD320" s="1348"/>
      <c r="AE320" s="1348"/>
      <c r="AF320" s="1348"/>
      <c r="AG320" s="1348"/>
      <c r="AH320" s="1348"/>
      <c r="AI320" s="1348"/>
      <c r="AJ320" s="1348"/>
      <c r="AK320" s="1348"/>
    </row>
    <row r="321" spans="2:37" ht="12.95" customHeight="1">
      <c r="B321" s="3" t="s">
        <v>472</v>
      </c>
      <c r="C321" s="3"/>
      <c r="D321" s="3"/>
      <c r="E321" s="3"/>
      <c r="F321" s="3"/>
      <c r="H321" s="1348" t="s">
        <v>2680</v>
      </c>
      <c r="I321" s="1348"/>
      <c r="J321" s="1348"/>
      <c r="K321" s="1348"/>
      <c r="L321" s="1348"/>
      <c r="M321" s="1348"/>
      <c r="N321" s="1348"/>
      <c r="O321" s="1348"/>
      <c r="P321" s="1348"/>
      <c r="Q321" s="1348"/>
      <c r="R321" s="1348"/>
      <c r="T321" s="3" t="s">
        <v>75</v>
      </c>
      <c r="V321" s="3"/>
      <c r="W321" s="3"/>
      <c r="X321" s="3"/>
      <c r="Y321" s="3"/>
      <c r="AA321" s="1348" t="s">
        <v>2682</v>
      </c>
      <c r="AB321" s="1348"/>
      <c r="AC321" s="1348"/>
      <c r="AD321" s="1348"/>
      <c r="AE321" s="1348"/>
      <c r="AF321" s="1348"/>
      <c r="AG321" s="1348"/>
      <c r="AH321" s="1348"/>
      <c r="AI321" s="1348"/>
      <c r="AJ321" s="1348"/>
      <c r="AK321" s="1348"/>
    </row>
    <row r="322" spans="2:37" ht="12.95" customHeight="1">
      <c r="B322" s="3" t="s">
        <v>87</v>
      </c>
      <c r="C322" s="3"/>
      <c r="D322" s="3"/>
      <c r="E322" s="3"/>
      <c r="F322" s="3"/>
      <c r="H322" s="1348" t="s">
        <v>2643</v>
      </c>
      <c r="I322" s="1348"/>
      <c r="J322" s="1348"/>
      <c r="K322" s="1348"/>
      <c r="L322" s="1348"/>
      <c r="M322" s="1348"/>
      <c r="N322" s="1348"/>
      <c r="O322" s="1348"/>
      <c r="P322" s="1348"/>
      <c r="Q322" s="1348"/>
      <c r="R322" s="1348"/>
      <c r="T322" s="3" t="s">
        <v>87</v>
      </c>
      <c r="V322" s="3"/>
      <c r="W322" s="3"/>
      <c r="X322" s="3"/>
      <c r="Y322" s="3"/>
      <c r="AA322" s="1348" t="s">
        <v>2683</v>
      </c>
      <c r="AB322" s="1348"/>
      <c r="AC322" s="1348"/>
      <c r="AD322" s="1348"/>
      <c r="AE322" s="1348"/>
      <c r="AF322" s="1348"/>
      <c r="AG322" s="1348"/>
      <c r="AH322" s="1348"/>
      <c r="AI322" s="1348"/>
      <c r="AJ322" s="1348"/>
      <c r="AK322" s="1348"/>
    </row>
    <row r="323" spans="2:37" ht="12.95" customHeight="1">
      <c r="B323" s="3" t="s">
        <v>88</v>
      </c>
      <c r="C323" s="3"/>
      <c r="D323" s="3"/>
      <c r="E323" s="3"/>
      <c r="F323" s="3"/>
      <c r="G323" s="3"/>
      <c r="H323" s="1424">
        <v>9515386244</v>
      </c>
      <c r="I323" s="1424"/>
      <c r="J323" s="1424"/>
      <c r="K323" s="1424"/>
      <c r="L323" s="1424"/>
      <c r="M323" s="1424"/>
      <c r="N323" s="4" t="s">
        <v>205</v>
      </c>
      <c r="O323" s="4"/>
      <c r="P323" s="1417"/>
      <c r="Q323" s="1417"/>
      <c r="R323" s="1417"/>
      <c r="S323" s="3"/>
      <c r="T323" s="3" t="s">
        <v>88</v>
      </c>
      <c r="V323" s="3"/>
      <c r="W323" s="3"/>
      <c r="X323" s="3"/>
      <c r="Y323" s="3"/>
      <c r="AA323" s="1424" t="s">
        <v>2684</v>
      </c>
      <c r="AB323" s="1424"/>
      <c r="AC323" s="1424"/>
      <c r="AD323" s="1424"/>
      <c r="AE323" s="1424"/>
      <c r="AF323" s="1424"/>
      <c r="AG323" s="4" t="s">
        <v>205</v>
      </c>
      <c r="AH323" s="4"/>
      <c r="AI323" s="1417"/>
      <c r="AJ323" s="1417"/>
      <c r="AK323" s="1417"/>
    </row>
    <row r="324" spans="2:37" ht="12.95" customHeight="1">
      <c r="B324" s="3" t="s">
        <v>89</v>
      </c>
      <c r="C324" s="3"/>
      <c r="D324" s="3"/>
      <c r="E324" s="3"/>
      <c r="F324" s="3"/>
      <c r="G324" s="3"/>
      <c r="H324" s="1764" t="s">
        <v>591</v>
      </c>
      <c r="I324" s="1346"/>
      <c r="J324" s="1346"/>
      <c r="K324" s="1346"/>
      <c r="L324" s="1346"/>
      <c r="M324" s="1346"/>
      <c r="N324" s="4"/>
      <c r="O324" s="4"/>
      <c r="P324" s="35"/>
      <c r="Q324" s="35"/>
      <c r="R324" s="35"/>
      <c r="S324" s="3"/>
      <c r="T324" s="3" t="s">
        <v>89</v>
      </c>
      <c r="V324" s="3"/>
      <c r="W324" s="3"/>
      <c r="X324" s="3"/>
      <c r="Y324" s="3"/>
      <c r="AA324" s="1764" t="s">
        <v>591</v>
      </c>
      <c r="AB324" s="1346"/>
      <c r="AC324" s="1346"/>
      <c r="AD324" s="1346"/>
      <c r="AE324" s="1346"/>
      <c r="AF324" s="1346"/>
      <c r="AG324" s="4"/>
      <c r="AH324" s="4"/>
      <c r="AI324" s="35"/>
      <c r="AJ324" s="35"/>
      <c r="AK324" s="35"/>
    </row>
    <row r="325" spans="2:37" ht="12.95" customHeight="1">
      <c r="B325" s="3" t="s">
        <v>76</v>
      </c>
      <c r="C325" s="3"/>
      <c r="D325" s="3"/>
      <c r="E325" s="3"/>
      <c r="F325" s="3"/>
      <c r="G325" s="3"/>
      <c r="H325" s="1348" t="s">
        <v>2645</v>
      </c>
      <c r="I325" s="1348"/>
      <c r="J325" s="1348"/>
      <c r="K325" s="1348"/>
      <c r="L325" s="1348"/>
      <c r="M325" s="1348"/>
      <c r="N325" s="1371"/>
      <c r="O325" s="1371"/>
      <c r="P325" s="1371"/>
      <c r="Q325" s="1371"/>
      <c r="R325" s="1371"/>
      <c r="S325" s="3"/>
      <c r="T325" s="3" t="s">
        <v>76</v>
      </c>
      <c r="V325" s="3"/>
      <c r="W325" s="3"/>
      <c r="X325" s="3"/>
      <c r="Y325" s="3"/>
      <c r="AA325" s="1348" t="s">
        <v>2685</v>
      </c>
      <c r="AB325" s="1348"/>
      <c r="AC325" s="1348"/>
      <c r="AD325" s="1348"/>
      <c r="AE325" s="1348"/>
      <c r="AF325" s="1348"/>
      <c r="AG325" s="1371"/>
      <c r="AH325" s="1371"/>
      <c r="AI325" s="1371"/>
      <c r="AJ325" s="1371"/>
      <c r="AK325" s="1371"/>
    </row>
    <row r="326" spans="2:37" ht="12.95" customHeight="1">
      <c r="B326" s="3"/>
      <c r="C326" s="3"/>
      <c r="D326" s="3"/>
      <c r="E326" s="3"/>
      <c r="F326" s="3"/>
      <c r="G326" s="3"/>
      <c r="P326" s="163"/>
      <c r="Q326" s="163"/>
      <c r="R326" s="163"/>
      <c r="S326" s="163"/>
      <c r="T326" s="163"/>
      <c r="U326" s="163"/>
      <c r="V326" s="4"/>
      <c r="W326" s="4"/>
      <c r="X326" s="35"/>
      <c r="Y326" s="35"/>
      <c r="Z326" s="35"/>
    </row>
    <row r="327" spans="2:37" ht="12.95" customHeight="1">
      <c r="B327" s="3" t="s">
        <v>366</v>
      </c>
      <c r="C327" s="3"/>
      <c r="D327" s="3"/>
      <c r="E327" s="3"/>
      <c r="F327" s="3"/>
      <c r="H327" s="1371" t="s">
        <v>2667</v>
      </c>
      <c r="I327" s="1371"/>
      <c r="J327" s="1371"/>
      <c r="K327" s="1371"/>
      <c r="L327" s="1371"/>
      <c r="M327" s="1371"/>
      <c r="N327" s="1371"/>
      <c r="O327" s="1371"/>
      <c r="P327" s="1371"/>
      <c r="Q327" s="1371"/>
      <c r="R327" s="1371"/>
      <c r="T327" s="3" t="s">
        <v>367</v>
      </c>
      <c r="V327" s="3"/>
      <c r="W327" s="3"/>
      <c r="X327" s="3"/>
      <c r="Y327" s="3"/>
      <c r="AA327" s="1371" t="s">
        <v>591</v>
      </c>
      <c r="AB327" s="1371"/>
      <c r="AC327" s="1371"/>
      <c r="AD327" s="1371"/>
      <c r="AE327" s="1371"/>
      <c r="AF327" s="1371"/>
      <c r="AG327" s="1371"/>
      <c r="AH327" s="1371"/>
      <c r="AI327" s="1371"/>
      <c r="AJ327" s="1371"/>
      <c r="AK327" s="1371"/>
    </row>
    <row r="328" spans="2:37" ht="12.95" customHeight="1">
      <c r="B328" s="3" t="s">
        <v>471</v>
      </c>
      <c r="C328" s="3"/>
      <c r="D328" s="3"/>
      <c r="E328" s="3"/>
      <c r="F328" s="3"/>
      <c r="H328" s="1348" t="s">
        <v>2681</v>
      </c>
      <c r="I328" s="1348"/>
      <c r="J328" s="1348"/>
      <c r="K328" s="1348"/>
      <c r="L328" s="1348"/>
      <c r="M328" s="1348"/>
      <c r="N328" s="1348"/>
      <c r="O328" s="1348"/>
      <c r="P328" s="1348"/>
      <c r="Q328" s="1348"/>
      <c r="R328" s="1348"/>
      <c r="T328" s="3" t="s">
        <v>471</v>
      </c>
      <c r="V328" s="3"/>
      <c r="W328" s="3"/>
      <c r="X328" s="3"/>
      <c r="Y328" s="3"/>
      <c r="AA328" s="1348" t="s">
        <v>591</v>
      </c>
      <c r="AB328" s="1348"/>
      <c r="AC328" s="1348"/>
      <c r="AD328" s="1348"/>
      <c r="AE328" s="1348"/>
      <c r="AF328" s="1348"/>
      <c r="AG328" s="1348"/>
      <c r="AH328" s="1348"/>
      <c r="AI328" s="1348"/>
      <c r="AJ328" s="1348"/>
      <c r="AK328" s="1348"/>
    </row>
    <row r="329" spans="2:37" ht="12.95" customHeight="1">
      <c r="B329" s="3" t="s">
        <v>472</v>
      </c>
      <c r="C329" s="3"/>
      <c r="D329" s="3"/>
      <c r="E329" s="3"/>
      <c r="F329" s="3"/>
      <c r="H329" s="1348" t="s">
        <v>2682</v>
      </c>
      <c r="I329" s="1348"/>
      <c r="J329" s="1348"/>
      <c r="K329" s="1348"/>
      <c r="L329" s="1348"/>
      <c r="M329" s="1348"/>
      <c r="N329" s="1348"/>
      <c r="O329" s="1348"/>
      <c r="P329" s="1348"/>
      <c r="Q329" s="1348"/>
      <c r="R329" s="1348"/>
      <c r="T329" s="3" t="s">
        <v>75</v>
      </c>
      <c r="V329" s="3"/>
      <c r="W329" s="3"/>
      <c r="X329" s="3"/>
      <c r="Y329" s="3"/>
      <c r="AA329" s="1348" t="s">
        <v>591</v>
      </c>
      <c r="AB329" s="1348"/>
      <c r="AC329" s="1348"/>
      <c r="AD329" s="1348"/>
      <c r="AE329" s="1348"/>
      <c r="AF329" s="1348"/>
      <c r="AG329" s="1348"/>
      <c r="AH329" s="1348"/>
      <c r="AI329" s="1348"/>
      <c r="AJ329" s="1348"/>
      <c r="AK329" s="1348"/>
    </row>
    <row r="330" spans="2:37" ht="12.95" customHeight="1">
      <c r="B330" s="3" t="s">
        <v>87</v>
      </c>
      <c r="C330" s="3"/>
      <c r="D330" s="3"/>
      <c r="E330" s="3"/>
      <c r="F330" s="3"/>
      <c r="H330" s="1348" t="s">
        <v>2683</v>
      </c>
      <c r="I330" s="1348"/>
      <c r="J330" s="1348"/>
      <c r="K330" s="1348"/>
      <c r="L330" s="1348"/>
      <c r="M330" s="1348"/>
      <c r="N330" s="1348"/>
      <c r="O330" s="1348"/>
      <c r="P330" s="1348"/>
      <c r="Q330" s="1348"/>
      <c r="R330" s="1348"/>
      <c r="T330" s="3" t="s">
        <v>87</v>
      </c>
      <c r="V330" s="3"/>
      <c r="W330" s="3"/>
      <c r="X330" s="3"/>
      <c r="Y330" s="3"/>
      <c r="AA330" s="1348" t="s">
        <v>591</v>
      </c>
      <c r="AB330" s="1348"/>
      <c r="AC330" s="1348"/>
      <c r="AD330" s="1348"/>
      <c r="AE330" s="1348"/>
      <c r="AF330" s="1348"/>
      <c r="AG330" s="1348"/>
      <c r="AH330" s="1348"/>
      <c r="AI330" s="1348"/>
      <c r="AJ330" s="1348"/>
      <c r="AK330" s="1348"/>
    </row>
    <row r="331" spans="2:37" ht="12.95" customHeight="1">
      <c r="B331" s="3" t="s">
        <v>88</v>
      </c>
      <c r="C331" s="3"/>
      <c r="D331" s="3"/>
      <c r="E331" s="3"/>
      <c r="F331" s="3"/>
      <c r="G331" s="3"/>
      <c r="H331" s="1424" t="s">
        <v>2684</v>
      </c>
      <c r="I331" s="1424"/>
      <c r="J331" s="1424"/>
      <c r="K331" s="1424"/>
      <c r="L331" s="1424"/>
      <c r="M331" s="1424"/>
      <c r="N331" s="4" t="s">
        <v>205</v>
      </c>
      <c r="O331" s="4"/>
      <c r="P331" s="1417"/>
      <c r="Q331" s="1417"/>
      <c r="R331" s="1417"/>
      <c r="S331" s="3"/>
      <c r="T331" s="3" t="s">
        <v>88</v>
      </c>
      <c r="V331" s="3"/>
      <c r="W331" s="3"/>
      <c r="X331" s="3"/>
      <c r="Y331" s="3"/>
      <c r="AA331" s="1423" t="s">
        <v>591</v>
      </c>
      <c r="AB331" s="1424"/>
      <c r="AC331" s="1424"/>
      <c r="AD331" s="1424"/>
      <c r="AE331" s="1424"/>
      <c r="AF331" s="1424"/>
      <c r="AG331" s="4" t="s">
        <v>205</v>
      </c>
      <c r="AH331" s="4"/>
      <c r="AI331" s="1417"/>
      <c r="AJ331" s="1417"/>
      <c r="AK331" s="1417"/>
    </row>
    <row r="332" spans="2:37" ht="12.95" customHeight="1">
      <c r="B332" s="3" t="s">
        <v>89</v>
      </c>
      <c r="C332" s="3"/>
      <c r="D332" s="3"/>
      <c r="E332" s="3"/>
      <c r="F332" s="3"/>
      <c r="G332" s="3"/>
      <c r="H332" s="1764" t="s">
        <v>591</v>
      </c>
      <c r="I332" s="1346"/>
      <c r="J332" s="1346"/>
      <c r="K332" s="1346"/>
      <c r="L332" s="1346"/>
      <c r="M332" s="1346"/>
      <c r="N332" s="4"/>
      <c r="O332" s="4"/>
      <c r="P332" s="35"/>
      <c r="Q332" s="35"/>
      <c r="R332" s="35"/>
      <c r="S332" s="3"/>
      <c r="T332" s="3" t="s">
        <v>89</v>
      </c>
      <c r="V332" s="3"/>
      <c r="W332" s="3"/>
      <c r="X332" s="3"/>
      <c r="Y332" s="3"/>
      <c r="AA332" s="1764" t="s">
        <v>591</v>
      </c>
      <c r="AB332" s="1346"/>
      <c r="AC332" s="1346"/>
      <c r="AD332" s="1346"/>
      <c r="AE332" s="1346"/>
      <c r="AF332" s="1346"/>
      <c r="AG332" s="4"/>
      <c r="AH332" s="4"/>
      <c r="AI332" s="35"/>
      <c r="AJ332" s="35"/>
      <c r="AK332" s="35"/>
    </row>
    <row r="333" spans="2:37" ht="12.95" customHeight="1">
      <c r="B333" s="3" t="s">
        <v>76</v>
      </c>
      <c r="C333" s="3"/>
      <c r="D333" s="3"/>
      <c r="E333" s="3"/>
      <c r="F333" s="3"/>
      <c r="G333" s="3"/>
      <c r="H333" s="1348" t="s">
        <v>2685</v>
      </c>
      <c r="I333" s="1348"/>
      <c r="J333" s="1348"/>
      <c r="K333" s="1348"/>
      <c r="L333" s="1348"/>
      <c r="M333" s="1348"/>
      <c r="N333" s="1371"/>
      <c r="O333" s="1371"/>
      <c r="P333" s="1371"/>
      <c r="Q333" s="1371"/>
      <c r="R333" s="1371"/>
      <c r="S333" s="3"/>
      <c r="T333" s="3" t="s">
        <v>76</v>
      </c>
      <c r="V333" s="3"/>
      <c r="W333" s="3"/>
      <c r="X333" s="3"/>
      <c r="Y333" s="3"/>
      <c r="AA333" s="1348" t="s">
        <v>591</v>
      </c>
      <c r="AB333" s="1348"/>
      <c r="AC333" s="1348"/>
      <c r="AD333" s="1348"/>
      <c r="AE333" s="1348"/>
      <c r="AF333" s="1348"/>
      <c r="AG333" s="1371"/>
      <c r="AH333" s="1371"/>
      <c r="AI333" s="1371"/>
      <c r="AJ333" s="1371"/>
      <c r="AK333" s="1371"/>
    </row>
    <row r="334" spans="2:37" ht="12.95" customHeight="1">
      <c r="B334" s="3"/>
      <c r="C334" s="3"/>
      <c r="D334" s="3"/>
      <c r="E334" s="3"/>
      <c r="F334" s="3"/>
      <c r="G334" s="3"/>
      <c r="P334" s="163"/>
      <c r="Q334" s="163"/>
      <c r="R334" s="163"/>
      <c r="S334" s="163"/>
      <c r="T334" s="163"/>
      <c r="U334" s="163"/>
      <c r="V334" s="4"/>
      <c r="W334" s="4"/>
      <c r="X334" s="35"/>
      <c r="Y334" s="35"/>
      <c r="Z334" s="35"/>
    </row>
    <row r="335" spans="2:37" ht="12.95" customHeight="1">
      <c r="B335" s="3" t="s">
        <v>328</v>
      </c>
      <c r="C335" s="3"/>
      <c r="D335" s="3"/>
      <c r="E335" s="3"/>
      <c r="F335" s="3"/>
      <c r="H335" s="1371" t="s">
        <v>2624</v>
      </c>
      <c r="I335" s="1371"/>
      <c r="J335" s="1371"/>
      <c r="K335" s="1371"/>
      <c r="L335" s="1371"/>
      <c r="M335" s="1371"/>
      <c r="N335" s="1371"/>
      <c r="O335" s="1371"/>
      <c r="P335" s="1371"/>
      <c r="Q335" s="1371"/>
      <c r="R335" s="1371"/>
      <c r="T335" s="204" t="s">
        <v>886</v>
      </c>
      <c r="V335" s="3"/>
      <c r="W335" s="3"/>
      <c r="X335" s="3"/>
      <c r="Y335" s="3"/>
      <c r="AA335" s="1371" t="s">
        <v>2692</v>
      </c>
      <c r="AB335" s="1371"/>
      <c r="AC335" s="1371"/>
      <c r="AD335" s="1371"/>
      <c r="AE335" s="1371"/>
      <c r="AF335" s="1371"/>
      <c r="AG335" s="1371"/>
      <c r="AH335" s="1371"/>
      <c r="AI335" s="1371"/>
      <c r="AJ335" s="1371"/>
      <c r="AK335" s="1371"/>
    </row>
    <row r="336" spans="2:37" ht="12.95" customHeight="1">
      <c r="B336" s="3" t="s">
        <v>471</v>
      </c>
      <c r="C336" s="3"/>
      <c r="D336" s="3"/>
      <c r="E336" s="3"/>
      <c r="F336" s="3"/>
      <c r="H336" s="1348" t="s">
        <v>2686</v>
      </c>
      <c r="I336" s="1348"/>
      <c r="J336" s="1348"/>
      <c r="K336" s="1348"/>
      <c r="L336" s="1348"/>
      <c r="M336" s="1348"/>
      <c r="N336" s="1348"/>
      <c r="O336" s="1348"/>
      <c r="P336" s="1348"/>
      <c r="Q336" s="1348"/>
      <c r="R336" s="1348"/>
      <c r="T336" s="3" t="s">
        <v>471</v>
      </c>
      <c r="V336" s="3"/>
      <c r="W336" s="3"/>
      <c r="X336" s="3"/>
      <c r="Y336" s="3"/>
      <c r="AA336" s="1348" t="s">
        <v>2693</v>
      </c>
      <c r="AB336" s="1348"/>
      <c r="AC336" s="1348"/>
      <c r="AD336" s="1348"/>
      <c r="AE336" s="1348"/>
      <c r="AF336" s="1348"/>
      <c r="AG336" s="1348"/>
      <c r="AH336" s="1348"/>
      <c r="AI336" s="1348"/>
      <c r="AJ336" s="1348"/>
      <c r="AK336" s="1348"/>
    </row>
    <row r="337" spans="1:66" ht="12.95" customHeight="1">
      <c r="B337" s="3" t="s">
        <v>75</v>
      </c>
      <c r="C337" s="3"/>
      <c r="D337" s="3"/>
      <c r="E337" s="3"/>
      <c r="F337" s="3"/>
      <c r="H337" s="1348" t="s">
        <v>2687</v>
      </c>
      <c r="I337" s="1348"/>
      <c r="J337" s="1348"/>
      <c r="K337" s="1348"/>
      <c r="L337" s="1348"/>
      <c r="M337" s="1348"/>
      <c r="N337" s="1348"/>
      <c r="O337" s="1348"/>
      <c r="P337" s="1348"/>
      <c r="Q337" s="1348"/>
      <c r="R337" s="1348"/>
      <c r="T337" s="3" t="s">
        <v>75</v>
      </c>
      <c r="V337" s="3"/>
      <c r="W337" s="3"/>
      <c r="X337" s="3"/>
      <c r="Y337" s="3"/>
      <c r="AA337" s="1348" t="s">
        <v>2694</v>
      </c>
      <c r="AB337" s="1348"/>
      <c r="AC337" s="1348"/>
      <c r="AD337" s="1348"/>
      <c r="AE337" s="1348"/>
      <c r="AF337" s="1348"/>
      <c r="AG337" s="1348"/>
      <c r="AH337" s="1348"/>
      <c r="AI337" s="1348"/>
      <c r="AJ337" s="1348"/>
      <c r="AK337" s="1348"/>
    </row>
    <row r="338" spans="1:66" ht="12.95" customHeight="1">
      <c r="B338" s="3" t="s">
        <v>87</v>
      </c>
      <c r="C338" s="3"/>
      <c r="D338" s="3"/>
      <c r="E338" s="3"/>
      <c r="F338" s="3"/>
      <c r="G338" s="3"/>
      <c r="H338" s="1348" t="s">
        <v>2688</v>
      </c>
      <c r="I338" s="1348"/>
      <c r="J338" s="1348"/>
      <c r="K338" s="1348"/>
      <c r="L338" s="1348"/>
      <c r="M338" s="1348"/>
      <c r="N338" s="1348"/>
      <c r="O338" s="1348"/>
      <c r="P338" s="1348"/>
      <c r="Q338" s="1348"/>
      <c r="R338" s="1348"/>
      <c r="T338" s="3" t="s">
        <v>87</v>
      </c>
      <c r="V338" s="3"/>
      <c r="W338" s="3"/>
      <c r="X338" s="3"/>
      <c r="Y338" s="3"/>
      <c r="AA338" s="1348" t="s">
        <v>2695</v>
      </c>
      <c r="AB338" s="1348"/>
      <c r="AC338" s="1348"/>
      <c r="AD338" s="1348"/>
      <c r="AE338" s="1348"/>
      <c r="AF338" s="1348"/>
      <c r="AG338" s="1348"/>
      <c r="AH338" s="1348"/>
      <c r="AI338" s="1348"/>
      <c r="AJ338" s="1348"/>
      <c r="AK338" s="1348"/>
    </row>
    <row r="339" spans="1:66" ht="12.95" customHeight="1">
      <c r="B339" s="3" t="s">
        <v>88</v>
      </c>
      <c r="C339" s="3"/>
      <c r="D339" s="3"/>
      <c r="E339" s="3"/>
      <c r="F339" s="3"/>
      <c r="G339" s="3"/>
      <c r="H339" s="1423" t="s">
        <v>2690</v>
      </c>
      <c r="I339" s="1424"/>
      <c r="J339" s="1424"/>
      <c r="K339" s="1424"/>
      <c r="L339" s="1424"/>
      <c r="M339" s="1424"/>
      <c r="N339" s="4" t="s">
        <v>205</v>
      </c>
      <c r="O339" s="4"/>
      <c r="P339" s="1417"/>
      <c r="Q339" s="1417"/>
      <c r="R339" s="1417"/>
      <c r="S339" s="3"/>
      <c r="T339" s="3" t="s">
        <v>88</v>
      </c>
      <c r="V339" s="3"/>
      <c r="W339" s="3"/>
      <c r="X339" s="3"/>
      <c r="Y339" s="3"/>
      <c r="AA339" s="1424" t="s">
        <v>2696</v>
      </c>
      <c r="AB339" s="1424"/>
      <c r="AC339" s="1424"/>
      <c r="AD339" s="1424"/>
      <c r="AE339" s="1424"/>
      <c r="AF339" s="1424"/>
      <c r="AG339" s="4" t="s">
        <v>205</v>
      </c>
      <c r="AH339" s="4"/>
      <c r="AI339" s="1417"/>
      <c r="AJ339" s="1417"/>
      <c r="AK339" s="1417"/>
    </row>
    <row r="340" spans="1:66" ht="12.95" customHeight="1">
      <c r="B340" s="3" t="s">
        <v>89</v>
      </c>
      <c r="C340" s="3"/>
      <c r="D340" s="3"/>
      <c r="E340" s="3"/>
      <c r="F340" s="3"/>
      <c r="G340" s="3"/>
      <c r="H340" s="1764" t="s">
        <v>591</v>
      </c>
      <c r="I340" s="1346"/>
      <c r="J340" s="1346"/>
      <c r="K340" s="1346"/>
      <c r="L340" s="1346"/>
      <c r="M340" s="1346"/>
      <c r="N340" s="4"/>
      <c r="O340" s="4"/>
      <c r="P340" s="35"/>
      <c r="Q340" s="35"/>
      <c r="R340" s="35"/>
      <c r="S340" s="3"/>
      <c r="T340" s="3" t="s">
        <v>89</v>
      </c>
      <c r="V340" s="3"/>
      <c r="W340" s="3"/>
      <c r="X340" s="3"/>
      <c r="Y340" s="3"/>
      <c r="AA340" s="1764" t="s">
        <v>591</v>
      </c>
      <c r="AB340" s="1346"/>
      <c r="AC340" s="1346"/>
      <c r="AD340" s="1346"/>
      <c r="AE340" s="1346"/>
      <c r="AF340" s="1346"/>
      <c r="AG340" s="4"/>
      <c r="AH340" s="4"/>
      <c r="AI340" s="35"/>
      <c r="AJ340" s="35"/>
      <c r="AK340" s="35"/>
    </row>
    <row r="341" spans="1:66" ht="12.95" customHeight="1">
      <c r="B341" s="3" t="s">
        <v>76</v>
      </c>
      <c r="C341" s="3"/>
      <c r="D341" s="3"/>
      <c r="E341" s="3"/>
      <c r="F341" s="3"/>
      <c r="G341" s="3"/>
      <c r="H341" s="1348" t="s">
        <v>2691</v>
      </c>
      <c r="I341" s="1348"/>
      <c r="J341" s="1348"/>
      <c r="K341" s="1348"/>
      <c r="L341" s="1348"/>
      <c r="M341" s="1348"/>
      <c r="N341" s="1371"/>
      <c r="O341" s="1371"/>
      <c r="P341" s="1371"/>
      <c r="Q341" s="1371"/>
      <c r="R341" s="1371"/>
      <c r="S341" s="3"/>
      <c r="T341" s="3" t="s">
        <v>76</v>
      </c>
      <c r="V341" s="3"/>
      <c r="W341" s="3"/>
      <c r="X341" s="3"/>
      <c r="Y341" s="3"/>
      <c r="AA341" s="1348" t="s">
        <v>2697</v>
      </c>
      <c r="AB341" s="1348"/>
      <c r="AC341" s="1348"/>
      <c r="AD341" s="1348"/>
      <c r="AE341" s="1348"/>
      <c r="AF341" s="1348"/>
      <c r="AG341" s="1371"/>
      <c r="AH341" s="1371"/>
      <c r="AI341" s="1371"/>
      <c r="AJ341" s="1371"/>
      <c r="AK341" s="1371"/>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591</v>
      </c>
    </row>
    <row r="343" spans="1:66" ht="12.95" customHeight="1">
      <c r="B343" s="3"/>
      <c r="C343" s="4"/>
      <c r="D343" s="4"/>
      <c r="E343" s="4"/>
      <c r="F343" s="4"/>
      <c r="I343" s="204" t="s">
        <v>887</v>
      </c>
      <c r="P343" s="1371" t="s">
        <v>591</v>
      </c>
      <c r="Q343" s="1371"/>
      <c r="R343" s="1371"/>
      <c r="S343" s="1371"/>
      <c r="T343" s="1371"/>
      <c r="U343" s="1371"/>
      <c r="V343" s="1371"/>
      <c r="W343" s="1371"/>
      <c r="X343" s="1371"/>
      <c r="Y343" s="1371"/>
      <c r="Z343" s="1371"/>
      <c r="AA343" s="1371"/>
      <c r="AB343" s="1371"/>
      <c r="AC343" s="1371"/>
      <c r="AD343" s="1371"/>
      <c r="AE343" s="1371"/>
      <c r="BN343" t="s">
        <v>669</v>
      </c>
    </row>
    <row r="344" spans="1:66" ht="12.95" customHeight="1">
      <c r="B344" s="4"/>
      <c r="C344" s="4"/>
      <c r="D344" s="4"/>
      <c r="E344" s="4"/>
      <c r="F344" s="4"/>
      <c r="I344" s="4" t="s">
        <v>471</v>
      </c>
      <c r="P344" s="1348" t="s">
        <v>591</v>
      </c>
      <c r="Q344" s="1348"/>
      <c r="R344" s="1348"/>
      <c r="S344" s="1348"/>
      <c r="T344" s="1348"/>
      <c r="U344" s="1348"/>
      <c r="V344" s="1348"/>
      <c r="W344" s="1348"/>
      <c r="X344" s="1348"/>
      <c r="Y344" s="1348"/>
      <c r="Z344" s="1348"/>
      <c r="AA344" s="1348"/>
      <c r="AB344" s="1348"/>
      <c r="AC344" s="1348"/>
      <c r="AD344" s="1348"/>
      <c r="AE344" s="1348"/>
      <c r="BN344" t="s">
        <v>545</v>
      </c>
    </row>
    <row r="345" spans="1:66" ht="12.95" customHeight="1">
      <c r="B345" s="4"/>
      <c r="C345" s="4"/>
      <c r="D345" s="4"/>
      <c r="E345" s="4"/>
      <c r="F345" s="4"/>
      <c r="I345" s="4" t="s">
        <v>75</v>
      </c>
      <c r="P345" s="1348" t="s">
        <v>591</v>
      </c>
      <c r="Q345" s="1348"/>
      <c r="R345" s="1348"/>
      <c r="S345" s="1348"/>
      <c r="T345" s="1348"/>
      <c r="U345" s="1348"/>
      <c r="V345" s="1348"/>
      <c r="W345" s="1348"/>
      <c r="X345" s="1348"/>
      <c r="Y345" s="1348"/>
      <c r="Z345" s="1348"/>
      <c r="AA345" s="1348"/>
      <c r="AB345" s="1348"/>
      <c r="AC345" s="1348"/>
      <c r="AD345" s="1348"/>
      <c r="AE345" s="1348"/>
    </row>
    <row r="346" spans="1:66" ht="12.95" customHeight="1">
      <c r="B346" s="4"/>
      <c r="C346" s="4"/>
      <c r="D346" s="4"/>
      <c r="E346" s="4"/>
      <c r="F346" s="4"/>
      <c r="G346" s="4"/>
      <c r="I346" s="4" t="s">
        <v>87</v>
      </c>
      <c r="P346" s="1348" t="s">
        <v>591</v>
      </c>
      <c r="Q346" s="1348"/>
      <c r="R346" s="1348"/>
      <c r="S346" s="1348"/>
      <c r="T346" s="1348"/>
      <c r="U346" s="1348"/>
      <c r="V346" s="1348"/>
      <c r="W346" s="1348"/>
      <c r="X346" s="1348"/>
      <c r="Y346" s="1348"/>
      <c r="Z346" s="1348"/>
      <c r="AA346" s="1348"/>
      <c r="AB346" s="1348"/>
      <c r="AC346" s="1348"/>
      <c r="AD346" s="1348"/>
      <c r="AE346" s="1348"/>
    </row>
    <row r="347" spans="1:66" ht="12.95" customHeight="1">
      <c r="B347" s="4"/>
      <c r="C347" s="4"/>
      <c r="D347" s="4"/>
      <c r="E347" s="4"/>
      <c r="F347" s="4"/>
      <c r="G347" s="4"/>
      <c r="H347" s="302"/>
      <c r="I347" s="4" t="s">
        <v>88</v>
      </c>
      <c r="P347" s="1764" t="s">
        <v>591</v>
      </c>
      <c r="Q347" s="1346"/>
      <c r="R347" s="1346"/>
      <c r="S347" s="1346"/>
      <c r="T347" s="1346"/>
      <c r="U347" s="1346"/>
      <c r="V347" s="1346"/>
      <c r="W347" s="1346"/>
      <c r="X347" s="1346"/>
      <c r="Y347" s="1346"/>
      <c r="Z347" s="1346"/>
      <c r="AA347" s="4" t="s">
        <v>205</v>
      </c>
      <c r="AB347" s="4"/>
      <c r="AC347" s="1437"/>
      <c r="AD347" s="1437"/>
      <c r="AE347" s="1437"/>
      <c r="AF347" s="302"/>
      <c r="AG347" s="4"/>
      <c r="AH347" s="4"/>
      <c r="AI347" s="4"/>
      <c r="AJ347" s="4"/>
      <c r="AK347" s="4"/>
    </row>
    <row r="348" spans="1:66" ht="12.95" customHeight="1">
      <c r="B348" s="4"/>
      <c r="C348" s="4"/>
      <c r="D348" s="4"/>
      <c r="E348" s="4"/>
      <c r="F348" s="4"/>
      <c r="G348" s="4"/>
      <c r="H348" s="302"/>
      <c r="I348" s="4" t="s">
        <v>89</v>
      </c>
      <c r="P348" s="1764" t="s">
        <v>591</v>
      </c>
      <c r="Q348" s="1346"/>
      <c r="R348" s="1346"/>
      <c r="S348" s="1346"/>
      <c r="T348" s="1346"/>
      <c r="U348" s="1346"/>
      <c r="V348" s="1346"/>
      <c r="W348" s="1346"/>
      <c r="X348" s="1346"/>
      <c r="Y348" s="1346"/>
      <c r="Z348" s="1346"/>
      <c r="AF348" s="302"/>
      <c r="AG348" s="4"/>
      <c r="AH348" s="4"/>
      <c r="AI348" s="35"/>
      <c r="AJ348" s="35"/>
      <c r="AK348" s="35"/>
    </row>
    <row r="349" spans="1:66" ht="12.95" customHeight="1">
      <c r="B349" s="4"/>
      <c r="C349" s="4"/>
      <c r="D349" s="4"/>
      <c r="E349" s="4"/>
      <c r="F349" s="4"/>
      <c r="G349" s="4"/>
      <c r="I349" s="4" t="s">
        <v>76</v>
      </c>
      <c r="P349" s="1371" t="s">
        <v>591</v>
      </c>
      <c r="Q349" s="1371"/>
      <c r="R349" s="1371"/>
      <c r="S349" s="1371"/>
      <c r="T349" s="1371"/>
      <c r="U349" s="1371"/>
      <c r="V349" s="1371"/>
      <c r="W349" s="1371"/>
      <c r="X349" s="1371"/>
      <c r="Y349" s="1371"/>
      <c r="Z349" s="1371"/>
      <c r="AA349" s="1371"/>
      <c r="AB349" s="1371"/>
      <c r="AC349" s="1371"/>
      <c r="AD349" s="1371"/>
      <c r="AE349" s="1371"/>
    </row>
    <row r="350" spans="1:66" ht="12.95" customHeight="1">
      <c r="T350" s="8"/>
      <c r="U350" s="8"/>
      <c r="V350" s="8"/>
      <c r="W350" s="8"/>
      <c r="X350" s="8"/>
      <c r="Y350" s="8"/>
      <c r="Z350" s="8"/>
      <c r="AU350" s="95"/>
      <c r="AV350" s="95"/>
      <c r="AW350" s="95"/>
      <c r="AX350" s="95"/>
      <c r="AY350" s="95"/>
    </row>
    <row r="351" spans="1:66" ht="12.95" customHeight="1">
      <c r="A351" s="1422" t="s">
        <v>542</v>
      </c>
      <c r="B351" s="1422"/>
      <c r="C351" s="1422"/>
      <c r="D351" s="1422"/>
      <c r="E351" s="1422"/>
      <c r="F351" s="1422"/>
      <c r="G351" s="1422"/>
      <c r="H351" s="1422"/>
      <c r="I351" s="1422"/>
      <c r="J351" s="1422"/>
      <c r="K351" s="1422"/>
      <c r="L351" s="1422"/>
      <c r="M351" s="1422"/>
      <c r="N351" s="1422"/>
      <c r="O351" s="1422"/>
      <c r="P351" s="1422"/>
      <c r="Q351" s="1422"/>
      <c r="R351" s="1422"/>
      <c r="S351" s="1422"/>
      <c r="T351" s="1422"/>
      <c r="U351" s="1422"/>
      <c r="V351" s="1422"/>
      <c r="W351" s="1422"/>
      <c r="X351" s="1422"/>
      <c r="Y351" s="1422"/>
      <c r="Z351" s="1422"/>
      <c r="AA351" s="1422"/>
      <c r="AB351" s="1422"/>
      <c r="AC351" s="1422"/>
      <c r="AD351" s="1422"/>
      <c r="AE351" s="1422"/>
      <c r="AF351" s="1422"/>
      <c r="AG351" s="1422"/>
      <c r="AH351" s="1422"/>
      <c r="AI351" s="1422"/>
      <c r="AJ351" s="1422"/>
      <c r="AK351" s="1422"/>
      <c r="AL351" s="1422"/>
      <c r="AM351" s="1422"/>
      <c r="AN351" s="1422"/>
      <c r="AO351" s="1422"/>
      <c r="AP351" s="1422"/>
      <c r="AQ351" s="1422"/>
      <c r="AR351" s="1422"/>
      <c r="AS351" s="1422"/>
      <c r="AT351" s="1422"/>
      <c r="AU351" s="95"/>
      <c r="AV351" s="95"/>
      <c r="AW351" s="95"/>
      <c r="AX351" s="95"/>
      <c r="AY351" s="95"/>
    </row>
    <row r="352" spans="1:66" ht="12.95" customHeight="1">
      <c r="A352" s="1422"/>
      <c r="B352" s="1422"/>
      <c r="C352" s="1422"/>
      <c r="D352" s="1422"/>
      <c r="E352" s="1422"/>
      <c r="F352" s="1422"/>
      <c r="G352" s="1422"/>
      <c r="H352" s="1422"/>
      <c r="I352" s="1422"/>
      <c r="J352" s="1422"/>
      <c r="K352" s="1422"/>
      <c r="L352" s="1422"/>
      <c r="M352" s="1422"/>
      <c r="N352" s="1422"/>
      <c r="O352" s="1422"/>
      <c r="P352" s="1422"/>
      <c r="Q352" s="1422"/>
      <c r="R352" s="1422"/>
      <c r="S352" s="1422"/>
      <c r="T352" s="1422"/>
      <c r="U352" s="1422"/>
      <c r="V352" s="1422"/>
      <c r="W352" s="1422"/>
      <c r="X352" s="1422"/>
      <c r="Y352" s="1422"/>
      <c r="Z352" s="1422"/>
      <c r="AA352" s="1422"/>
      <c r="AB352" s="1422"/>
      <c r="AC352" s="1422"/>
      <c r="AD352" s="1422"/>
      <c r="AE352" s="1422"/>
      <c r="AF352" s="1422"/>
      <c r="AG352" s="1422"/>
      <c r="AH352" s="1422"/>
      <c r="AI352" s="1422"/>
      <c r="AJ352" s="1422"/>
      <c r="AK352" s="1422"/>
      <c r="AL352" s="1422"/>
      <c r="AM352" s="1422"/>
      <c r="AN352" s="1422"/>
      <c r="AO352" s="1422"/>
      <c r="AP352" s="1422"/>
      <c r="AQ352" s="1422"/>
      <c r="AR352" s="1422"/>
      <c r="AS352" s="1422"/>
      <c r="AT352" s="1422"/>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318</v>
      </c>
      <c r="B354" s="2"/>
      <c r="C354" s="2" t="s">
        <v>782</v>
      </c>
    </row>
    <row r="355" spans="1:46" ht="12.95" customHeight="1">
      <c r="D355" s="3" t="s">
        <v>2099</v>
      </c>
      <c r="M355" s="1332" t="s">
        <v>545</v>
      </c>
      <c r="N355" s="1332"/>
      <c r="P355" t="s">
        <v>1650</v>
      </c>
      <c r="AJ355" s="1332" t="s">
        <v>591</v>
      </c>
      <c r="AK355" s="1332"/>
    </row>
    <row r="356" spans="1:46" ht="12.95" customHeight="1">
      <c r="D356" s="3" t="s">
        <v>1639</v>
      </c>
      <c r="M356" s="1332" t="s">
        <v>591</v>
      </c>
      <c r="N356" s="1332"/>
      <c r="P356" s="3" t="s">
        <v>1719</v>
      </c>
      <c r="AJ356" s="1447">
        <v>0</v>
      </c>
      <c r="AK356" s="1447"/>
    </row>
    <row r="357" spans="1:46" ht="12.95" customHeight="1">
      <c r="D357" s="3" t="s">
        <v>704</v>
      </c>
      <c r="M357" s="1332" t="s">
        <v>591</v>
      </c>
      <c r="N357" s="1332"/>
      <c r="P357" t="s">
        <v>1649</v>
      </c>
      <c r="AJ357" s="1332" t="s">
        <v>591</v>
      </c>
      <c r="AK357" s="1332"/>
    </row>
    <row r="358" spans="1:46" ht="12.95" customHeight="1">
      <c r="D358" s="3" t="s">
        <v>705</v>
      </c>
      <c r="M358" s="1332" t="s">
        <v>591</v>
      </c>
      <c r="N358" s="1332"/>
      <c r="Q358" s="4"/>
    </row>
    <row r="359" spans="1:46" ht="12.95" customHeight="1">
      <c r="Q359" s="4"/>
    </row>
    <row r="360" spans="1:46" ht="12.95" customHeight="1">
      <c r="Q360" s="4"/>
    </row>
    <row r="361" spans="1:46" ht="12.95" customHeight="1">
      <c r="A361" s="2" t="s">
        <v>576</v>
      </c>
      <c r="B361" s="2"/>
      <c r="C361" s="2" t="s">
        <v>552</v>
      </c>
      <c r="D361" s="2"/>
    </row>
    <row r="362" spans="1:46" ht="12.95" customHeight="1">
      <c r="D362" s="39" t="s">
        <v>184</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185</v>
      </c>
      <c r="E363" s="40"/>
      <c r="F363" s="40"/>
      <c r="G363" s="40"/>
      <c r="H363" s="40"/>
      <c r="I363" s="40"/>
      <c r="J363" s="40"/>
      <c r="K363" s="40"/>
      <c r="L363" s="40"/>
      <c r="M363" s="40"/>
      <c r="N363" s="1332" t="s">
        <v>591</v>
      </c>
      <c r="O363" s="1332"/>
      <c r="P363" s="40"/>
      <c r="Q363" s="40"/>
      <c r="R363" s="40"/>
      <c r="S363" s="40"/>
      <c r="T363" s="40"/>
      <c r="U363" s="40"/>
      <c r="V363" s="40"/>
      <c r="W363" s="40"/>
      <c r="X363" s="40"/>
      <c r="Y363" s="40"/>
      <c r="Z363" s="40"/>
      <c r="AC363" s="40"/>
      <c r="AD363" s="40"/>
      <c r="AE363" s="40"/>
    </row>
    <row r="364" spans="1:46" ht="12.95" customHeight="1">
      <c r="E364" t="s">
        <v>369</v>
      </c>
      <c r="Y364" s="1332" t="s">
        <v>591</v>
      </c>
      <c r="Z364" s="1332"/>
    </row>
    <row r="365" spans="1:46" ht="12.95" customHeight="1">
      <c r="D365" s="4" t="s">
        <v>978</v>
      </c>
      <c r="Q365" s="1371"/>
      <c r="R365" s="1371"/>
      <c r="S365" s="1371"/>
      <c r="T365" s="1371"/>
      <c r="U365" s="1371"/>
      <c r="V365" s="1371"/>
      <c r="W365" s="1371"/>
      <c r="X365" s="1371"/>
      <c r="Y365" s="1371"/>
      <c r="Z365" s="1371"/>
      <c r="AA365" s="1371"/>
      <c r="AB365" s="1371"/>
      <c r="AC365" s="1371"/>
      <c r="AD365" s="1371"/>
      <c r="AE365" s="1371"/>
      <c r="AF365" s="1371"/>
      <c r="AG365" s="1371"/>
    </row>
    <row r="366" spans="1:46" ht="12.95" customHeight="1">
      <c r="D366" t="s">
        <v>186</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187</v>
      </c>
      <c r="E367" s="40"/>
      <c r="F367" s="40"/>
      <c r="G367" s="40"/>
      <c r="H367" s="40"/>
      <c r="I367" s="40"/>
      <c r="J367" s="1332" t="s">
        <v>591</v>
      </c>
      <c r="K367" s="1332"/>
      <c r="L367" s="40"/>
      <c r="M367" s="40"/>
      <c r="N367" s="40"/>
      <c r="O367" s="40"/>
      <c r="P367" s="40"/>
      <c r="Q367" s="40"/>
      <c r="R367" s="40"/>
      <c r="S367" s="40"/>
      <c r="T367" s="40"/>
      <c r="U367" s="40"/>
      <c r="V367" s="40"/>
      <c r="W367" s="40"/>
      <c r="X367" s="40"/>
      <c r="Y367" s="40"/>
      <c r="Z367" s="40"/>
      <c r="AC367" s="40"/>
      <c r="AD367" s="40"/>
      <c r="AE367" s="40"/>
    </row>
    <row r="368" spans="1:46" ht="12.95" customHeight="1">
      <c r="E368" s="1415" t="s">
        <v>706</v>
      </c>
      <c r="F368" s="1415"/>
      <c r="G368" s="1415"/>
      <c r="H368" s="1415"/>
      <c r="I368" s="1415"/>
      <c r="J368" s="1415"/>
      <c r="K368" s="1415"/>
      <c r="L368" s="1415"/>
      <c r="M368" s="1415"/>
      <c r="N368" s="1415"/>
      <c r="O368" s="1415"/>
      <c r="P368" s="1415"/>
      <c r="Q368" s="1415"/>
      <c r="R368" s="1415"/>
      <c r="S368" s="1415"/>
      <c r="T368" s="1415"/>
      <c r="U368" s="1415"/>
      <c r="V368" s="1415"/>
      <c r="W368" s="1415"/>
      <c r="X368" s="1415"/>
      <c r="Y368" s="1415"/>
      <c r="Z368" s="1415"/>
      <c r="AA368" s="1415"/>
      <c r="AB368" s="1415"/>
      <c r="AC368" s="1415"/>
      <c r="AD368" s="1415"/>
      <c r="AE368" s="1415"/>
      <c r="AF368" s="1415"/>
      <c r="AG368" s="1415"/>
      <c r="AH368" s="1415"/>
    </row>
    <row r="369" spans="1:34" ht="12.95" customHeight="1">
      <c r="E369" s="1415"/>
      <c r="F369" s="1415"/>
      <c r="G369" s="1415"/>
      <c r="H369" s="1415"/>
      <c r="I369" s="1415"/>
      <c r="J369" s="1415"/>
      <c r="K369" s="1415"/>
      <c r="L369" s="1415"/>
      <c r="M369" s="1415"/>
      <c r="N369" s="1415"/>
      <c r="O369" s="1415"/>
      <c r="P369" s="1415"/>
      <c r="Q369" s="1415"/>
      <c r="R369" s="1415"/>
      <c r="S369" s="1415"/>
      <c r="T369" s="1415"/>
      <c r="U369" s="1415"/>
      <c r="V369" s="1415"/>
      <c r="W369" s="1415"/>
      <c r="X369" s="1415"/>
      <c r="Y369" s="1415"/>
      <c r="Z369" s="1415"/>
      <c r="AA369" s="1415"/>
      <c r="AB369" s="1415"/>
      <c r="AC369" s="1415"/>
      <c r="AD369" s="1415"/>
      <c r="AE369" s="1415"/>
      <c r="AF369" s="1415"/>
      <c r="AG369" s="1415"/>
      <c r="AH369" s="1415"/>
    </row>
    <row r="370" spans="1:34" ht="12.95" customHeight="1">
      <c r="E370" s="4" t="s">
        <v>448</v>
      </c>
      <c r="F370" s="4"/>
      <c r="G370" s="4"/>
      <c r="H370" s="4"/>
      <c r="I370" s="4"/>
      <c r="J370" s="4"/>
      <c r="K370" s="4"/>
      <c r="L370" s="4"/>
      <c r="N370" s="1663"/>
      <c r="O370" s="1663"/>
      <c r="P370" s="1663"/>
      <c r="Q370" s="1663"/>
      <c r="R370" s="4"/>
      <c r="U370" s="4" t="s">
        <v>449</v>
      </c>
      <c r="V370" s="4"/>
      <c r="W370" s="4"/>
      <c r="X370" s="4"/>
      <c r="Y370" s="4"/>
      <c r="Z370" s="4"/>
      <c r="AA370" s="4"/>
      <c r="AB370" s="4"/>
      <c r="AC370" s="1663"/>
      <c r="AD370" s="1663"/>
      <c r="AE370" s="1663"/>
      <c r="AF370" s="1663"/>
    </row>
    <row r="371" spans="1:34" ht="12.95" customHeight="1">
      <c r="E371" s="4" t="s">
        <v>450</v>
      </c>
      <c r="F371" s="4"/>
      <c r="G371" s="4"/>
      <c r="H371" s="4"/>
      <c r="I371" s="4"/>
      <c r="J371" s="4"/>
      <c r="K371" s="4"/>
      <c r="L371" s="4"/>
      <c r="N371" s="1663"/>
      <c r="O371" s="1663"/>
      <c r="P371" s="1663"/>
      <c r="Q371" s="1663"/>
      <c r="R371" s="4"/>
      <c r="U371" s="4" t="s">
        <v>0</v>
      </c>
      <c r="V371" s="4"/>
      <c r="W371" s="4"/>
      <c r="X371" s="4"/>
      <c r="Y371" s="4"/>
      <c r="Z371" s="4"/>
      <c r="AA371" s="4"/>
      <c r="AB371" s="4"/>
      <c r="AC371" s="1663"/>
      <c r="AD371" s="1663"/>
      <c r="AE371" s="1663"/>
      <c r="AF371" s="1663"/>
    </row>
    <row r="372" spans="1:34" ht="12.95" customHeight="1">
      <c r="E372" s="4" t="s">
        <v>1</v>
      </c>
      <c r="F372" s="4"/>
      <c r="G372" s="4"/>
      <c r="H372" s="4"/>
      <c r="I372" s="4"/>
      <c r="J372" s="4"/>
      <c r="K372" s="4"/>
      <c r="L372" s="4"/>
      <c r="N372" s="1663"/>
      <c r="O372" s="1663"/>
      <c r="P372" s="1663"/>
      <c r="Q372" s="1663"/>
      <c r="R372" s="4"/>
      <c r="V372" s="4"/>
      <c r="W372" s="4"/>
      <c r="X372" s="4"/>
      <c r="Y372" s="4"/>
      <c r="Z372" s="4"/>
      <c r="AA372" s="4"/>
      <c r="AB372" s="4"/>
    </row>
    <row r="373" spans="1:34" ht="12.95" customHeight="1">
      <c r="E373" s="4" t="s">
        <v>2</v>
      </c>
      <c r="F373" s="4"/>
      <c r="G373" s="4"/>
      <c r="H373" s="4"/>
      <c r="I373" s="4"/>
      <c r="J373" s="4"/>
      <c r="K373" s="4"/>
      <c r="L373" s="4"/>
      <c r="N373" s="1814"/>
      <c r="O373" s="1814"/>
      <c r="P373" s="1814"/>
      <c r="Q373" s="1814"/>
      <c r="R373" s="1814"/>
      <c r="S373" s="1814"/>
      <c r="T373" s="1814"/>
      <c r="U373" s="1814"/>
      <c r="V373" s="1814"/>
      <c r="W373" s="1814"/>
      <c r="X373" s="1814"/>
      <c r="Y373" s="1814"/>
      <c r="Z373" s="1814"/>
      <c r="AA373" s="1814"/>
      <c r="AB373" s="1814"/>
      <c r="AC373" s="1814"/>
      <c r="AD373" s="1814"/>
      <c r="AE373" s="1814"/>
      <c r="AF373" s="1814"/>
    </row>
    <row r="374" spans="1:34" ht="12.95" customHeight="1">
      <c r="E374" s="4"/>
      <c r="F374" s="4"/>
      <c r="G374" s="4"/>
      <c r="H374" s="4"/>
      <c r="I374" s="4"/>
      <c r="J374" s="4"/>
      <c r="K374" s="4"/>
      <c r="L374" s="4"/>
      <c r="N374" s="1815"/>
      <c r="O374" s="1815"/>
      <c r="P374" s="1815"/>
      <c r="Q374" s="1815"/>
      <c r="R374" s="1815"/>
      <c r="S374" s="1815"/>
      <c r="T374" s="1815"/>
      <c r="U374" s="1815"/>
      <c r="V374" s="1815"/>
      <c r="W374" s="1815"/>
      <c r="X374" s="1815"/>
      <c r="Y374" s="1815"/>
      <c r="Z374" s="1815"/>
      <c r="AA374" s="1815"/>
      <c r="AB374" s="1815"/>
      <c r="AC374" s="1815"/>
      <c r="AD374" s="1815"/>
      <c r="AE374" s="1815"/>
      <c r="AF374" s="1815"/>
    </row>
    <row r="375" spans="1:34" ht="12.95" customHeight="1">
      <c r="C375" s="512"/>
      <c r="E375" s="4"/>
      <c r="F375" s="4"/>
      <c r="G375" s="4"/>
      <c r="H375" s="4"/>
      <c r="I375" s="4"/>
      <c r="J375" s="4"/>
      <c r="K375" s="4"/>
      <c r="L375" s="4"/>
    </row>
    <row r="376" spans="1:34" ht="12.95" customHeight="1">
      <c r="D376" s="2" t="s">
        <v>975</v>
      </c>
      <c r="E376" s="2"/>
      <c r="F376" s="4"/>
      <c r="G376" s="4"/>
      <c r="H376" s="4"/>
      <c r="I376" s="4"/>
      <c r="J376" s="4"/>
      <c r="K376" s="4"/>
      <c r="L376" s="4"/>
    </row>
    <row r="377" spans="1:34" ht="12.95" customHeight="1">
      <c r="E377" s="4" t="s">
        <v>2085</v>
      </c>
      <c r="F377" s="4"/>
      <c r="G377" s="4"/>
      <c r="H377" s="4"/>
      <c r="I377" s="4"/>
      <c r="J377" s="4"/>
      <c r="K377" s="4"/>
      <c r="L377" s="4"/>
      <c r="N377" t="s">
        <v>2080</v>
      </c>
      <c r="R377" s="27" t="s">
        <v>304</v>
      </c>
      <c r="S377" s="1816"/>
      <c r="T377" s="1816"/>
      <c r="U377" s="1" t="s">
        <v>305</v>
      </c>
      <c r="V377" s="1816"/>
      <c r="W377" s="1816"/>
      <c r="Y377" t="s">
        <v>2080</v>
      </c>
      <c r="AC377" s="27" t="s">
        <v>304</v>
      </c>
      <c r="AD377" s="1816"/>
      <c r="AE377" s="1816"/>
      <c r="AF377" s="1" t="s">
        <v>305</v>
      </c>
      <c r="AG377" s="1816"/>
      <c r="AH377" s="1816"/>
    </row>
    <row r="378" spans="1:34" ht="12.95" customHeight="1">
      <c r="E378" s="4" t="s">
        <v>987</v>
      </c>
      <c r="F378" s="4"/>
      <c r="G378" s="4"/>
      <c r="H378" s="4"/>
      <c r="I378" s="4"/>
      <c r="J378" s="4"/>
      <c r="K378" s="4"/>
      <c r="L378" s="4"/>
      <c r="N378" s="1816"/>
      <c r="O378" s="1816"/>
      <c r="P378" s="1816"/>
    </row>
    <row r="379" spans="1:34" ht="12.95" customHeight="1">
      <c r="E379" s="204" t="s">
        <v>2086</v>
      </c>
      <c r="F379" s="4"/>
      <c r="G379" s="4"/>
      <c r="H379" s="4"/>
      <c r="I379" s="4"/>
      <c r="J379" s="4"/>
      <c r="K379" s="4"/>
      <c r="L379" s="4"/>
      <c r="AG379" s="1805" t="s">
        <v>591</v>
      </c>
      <c r="AH379" s="1805"/>
    </row>
    <row r="380" spans="1:34" ht="12.95" customHeight="1">
      <c r="E380" s="4"/>
      <c r="F380" s="4"/>
      <c r="G380" s="4" t="s">
        <v>2087</v>
      </c>
      <c r="H380" s="4"/>
      <c r="I380" s="4"/>
      <c r="J380" s="4"/>
      <c r="K380" s="4"/>
      <c r="L380" s="4"/>
      <c r="AG380" s="1805" t="s">
        <v>591</v>
      </c>
      <c r="AH380" s="1805"/>
    </row>
    <row r="381" spans="1:34" ht="12.95" customHeight="1">
      <c r="E381" s="4"/>
      <c r="F381" s="4"/>
      <c r="G381" s="320" t="s">
        <v>988</v>
      </c>
      <c r="H381" s="4"/>
      <c r="I381" s="4"/>
      <c r="J381" s="4"/>
      <c r="K381" s="4"/>
      <c r="L381" s="4"/>
      <c r="V381" s="1332" t="s">
        <v>591</v>
      </c>
      <c r="W381" s="1332"/>
      <c r="Y381" s="22" t="s">
        <v>980</v>
      </c>
    </row>
    <row r="382" spans="1:34" ht="12.95" customHeight="1">
      <c r="E382" s="4" t="s">
        <v>981</v>
      </c>
      <c r="F382" s="4"/>
      <c r="G382" s="4"/>
      <c r="H382" s="4"/>
      <c r="I382" s="4"/>
      <c r="J382" s="4"/>
      <c r="K382" s="4"/>
      <c r="L382" s="4"/>
      <c r="V382" s="1332" t="s">
        <v>591</v>
      </c>
      <c r="W382" s="1332"/>
      <c r="Y382" s="4" t="s">
        <v>982</v>
      </c>
    </row>
    <row r="383" spans="1:34" ht="12.95" customHeight="1"/>
    <row r="384" spans="1:34" ht="12.95" customHeight="1">
      <c r="A384" s="2" t="s">
        <v>78</v>
      </c>
      <c r="B384" s="2"/>
    </row>
    <row r="385" spans="4:36" ht="12.95" customHeight="1">
      <c r="D385" t="s">
        <v>427</v>
      </c>
      <c r="J385" s="1371" t="s">
        <v>591</v>
      </c>
      <c r="K385" s="1371"/>
      <c r="L385" s="1371"/>
      <c r="M385" s="1371"/>
      <c r="N385" s="1371"/>
      <c r="O385" s="1371"/>
      <c r="P385" s="1371"/>
      <c r="Q385" s="1371"/>
      <c r="R385" s="1371"/>
      <c r="S385" s="1371"/>
      <c r="T385" s="1371"/>
      <c r="U385" s="1371"/>
      <c r="V385" s="8" t="s">
        <v>83</v>
      </c>
      <c r="W385" s="8"/>
      <c r="X385" s="8"/>
      <c r="Y385" s="8"/>
      <c r="Z385" s="8"/>
      <c r="AA385" s="8"/>
      <c r="AB385" s="8"/>
      <c r="AC385" s="1371" t="s">
        <v>591</v>
      </c>
      <c r="AD385" s="1371"/>
      <c r="AE385" s="1371"/>
      <c r="AF385" s="1371"/>
      <c r="AG385" s="1371"/>
      <c r="AH385" s="1371"/>
      <c r="AI385" s="1371"/>
      <c r="AJ385" s="1371"/>
    </row>
    <row r="386" spans="4:36" ht="12.95" customHeight="1">
      <c r="D386" s="3" t="s">
        <v>1182</v>
      </c>
      <c r="J386" s="1348" t="s">
        <v>591</v>
      </c>
      <c r="K386" s="1348"/>
      <c r="L386" s="1348"/>
      <c r="M386" s="1348"/>
      <c r="N386" s="1348"/>
      <c r="O386" s="1348"/>
      <c r="P386" s="1348"/>
      <c r="Q386" s="1348"/>
      <c r="R386" s="1348"/>
      <c r="S386" s="1348"/>
      <c r="T386" s="1348"/>
      <c r="U386" s="1348"/>
      <c r="V386" s="3" t="s">
        <v>1182</v>
      </c>
      <c r="W386" s="8"/>
      <c r="X386" s="8"/>
      <c r="Y386" s="8"/>
      <c r="Z386" s="8"/>
      <c r="AA386" s="8"/>
      <c r="AB386" s="8"/>
      <c r="AC386" s="1371" t="s">
        <v>591</v>
      </c>
      <c r="AD386" s="1371"/>
      <c r="AE386" s="1371"/>
      <c r="AF386" s="1371"/>
      <c r="AG386" s="1371"/>
      <c r="AH386" s="1371"/>
      <c r="AI386" s="1371"/>
      <c r="AJ386" s="1371"/>
    </row>
    <row r="387" spans="4:36" ht="12.95" customHeight="1">
      <c r="D387" s="3" t="s">
        <v>441</v>
      </c>
      <c r="J387" s="1348" t="s">
        <v>591</v>
      </c>
      <c r="K387" s="1348"/>
      <c r="L387" s="1348"/>
      <c r="M387" s="1348"/>
      <c r="N387" s="1348"/>
      <c r="O387" s="1348"/>
      <c r="P387" s="1348"/>
      <c r="Q387" s="1348"/>
      <c r="R387" s="1348"/>
      <c r="S387" s="1348"/>
      <c r="T387" s="1348"/>
      <c r="U387" s="1348"/>
      <c r="V387" s="3" t="s">
        <v>441</v>
      </c>
      <c r="W387" s="8"/>
      <c r="X387" s="8"/>
      <c r="Y387" s="8"/>
      <c r="Z387" s="8"/>
      <c r="AA387" s="8"/>
      <c r="AB387" s="8"/>
      <c r="AC387" s="1371" t="s">
        <v>591</v>
      </c>
      <c r="AD387" s="1371"/>
      <c r="AE387" s="1371"/>
      <c r="AF387" s="1371"/>
      <c r="AG387" s="1371"/>
      <c r="AH387" s="1371"/>
      <c r="AI387" s="1371"/>
      <c r="AJ387" s="1371"/>
    </row>
    <row r="388" spans="4:36" ht="12.95" customHeight="1">
      <c r="D388" t="s">
        <v>1178</v>
      </c>
      <c r="J388" s="1402" t="s">
        <v>591</v>
      </c>
      <c r="K388" s="1402"/>
      <c r="L388" s="1402"/>
      <c r="M388" s="1402"/>
      <c r="N388" s="1402"/>
      <c r="O388" s="1402"/>
      <c r="P388" s="1402"/>
      <c r="Q388" s="1402"/>
      <c r="R388" s="1402"/>
      <c r="S388" s="1402"/>
      <c r="T388" s="1402"/>
      <c r="U388" s="1402"/>
      <c r="V388" s="1371"/>
      <c r="W388" s="1371"/>
      <c r="X388" s="1371"/>
      <c r="Y388" s="1371"/>
      <c r="Z388" s="1371"/>
      <c r="AA388" s="1371"/>
      <c r="AB388" s="1371"/>
      <c r="AC388" s="1371"/>
      <c r="AD388" s="1371"/>
      <c r="AE388" s="1371"/>
      <c r="AF388" s="1371"/>
      <c r="AG388" s="1371"/>
      <c r="AH388" s="1371"/>
      <c r="AI388" s="1371"/>
      <c r="AJ388" s="1371"/>
    </row>
    <row r="389" spans="4:36" ht="12.95" customHeight="1">
      <c r="D389" t="s">
        <v>4</v>
      </c>
      <c r="Q389" s="1751" t="s">
        <v>591</v>
      </c>
      <c r="R389" s="1752"/>
      <c r="S389" s="1752"/>
      <c r="T389" s="1752"/>
      <c r="U389" s="1752"/>
      <c r="V389" t="s">
        <v>308</v>
      </c>
      <c r="AI389" s="1332" t="s">
        <v>669</v>
      </c>
      <c r="AJ389" s="1332"/>
    </row>
    <row r="390" spans="4:36" ht="12.95" customHeight="1">
      <c r="D390" t="s">
        <v>5</v>
      </c>
      <c r="Q390" s="1534" t="s">
        <v>591</v>
      </c>
      <c r="R390" s="1821"/>
      <c r="S390" s="1821"/>
      <c r="T390" s="1821"/>
      <c r="U390" s="1821"/>
      <c r="W390" s="21" t="s">
        <v>74</v>
      </c>
      <c r="AG390" s="1830" t="s">
        <v>591</v>
      </c>
      <c r="AH390" s="1818"/>
      <c r="AI390" s="1818"/>
      <c r="AJ390" s="1818"/>
    </row>
    <row r="391" spans="4:36" ht="12.95" customHeight="1">
      <c r="D391" t="s">
        <v>426</v>
      </c>
      <c r="Q391" s="1531" t="s">
        <v>591</v>
      </c>
      <c r="R391" s="1831"/>
      <c r="S391" s="1831"/>
      <c r="T391" s="1831"/>
      <c r="U391" s="1831"/>
      <c r="V391" s="3" t="s">
        <v>1181</v>
      </c>
      <c r="AG391" s="1819" t="s">
        <v>591</v>
      </c>
      <c r="AH391" s="1820"/>
      <c r="AI391" s="1820"/>
      <c r="AJ391" s="1820"/>
    </row>
    <row r="392" spans="4:36" ht="12.95" customHeight="1">
      <c r="D392" t="s">
        <v>88</v>
      </c>
      <c r="I392" s="1423" t="s">
        <v>591</v>
      </c>
      <c r="J392" s="1424"/>
      <c r="K392" s="1424"/>
      <c r="L392" s="1424"/>
      <c r="M392" s="1424"/>
      <c r="N392" s="1424"/>
      <c r="Q392" s="4" t="s">
        <v>205</v>
      </c>
      <c r="S392" s="1829"/>
      <c r="T392" s="1829"/>
      <c r="U392" s="1829"/>
      <c r="V392" t="s">
        <v>73</v>
      </c>
      <c r="AI392" s="1332" t="s">
        <v>669</v>
      </c>
      <c r="AJ392" s="1332"/>
    </row>
    <row r="393" spans="4:36" ht="12.95" customHeight="1">
      <c r="D393" t="s">
        <v>309</v>
      </c>
      <c r="Q393" s="1408"/>
      <c r="R393" s="1408"/>
      <c r="S393" s="1408"/>
      <c r="T393" s="1408"/>
      <c r="U393" s="1408"/>
      <c r="V393" t="s">
        <v>310</v>
      </c>
      <c r="AG393" s="1818"/>
      <c r="AH393" s="1818"/>
      <c r="AI393" s="1818"/>
      <c r="AJ393" s="1818"/>
    </row>
    <row r="394" spans="4:36" ht="12.95" customHeight="1">
      <c r="D394" t="s">
        <v>311</v>
      </c>
      <c r="Q394" s="1756"/>
      <c r="R394" s="1756"/>
      <c r="S394" s="1756"/>
      <c r="T394" s="1756"/>
      <c r="U394" s="1756"/>
      <c r="V394" t="s">
        <v>1163</v>
      </c>
      <c r="AG394" s="1818"/>
      <c r="AH394" s="1818"/>
      <c r="AI394" s="1818"/>
      <c r="AJ394" s="1818"/>
    </row>
    <row r="395" spans="4:36" ht="12.95" customHeight="1">
      <c r="D395" t="s">
        <v>1162</v>
      </c>
      <c r="AG395" s="1818"/>
      <c r="AH395" s="1818"/>
      <c r="AI395" s="1818"/>
      <c r="AJ395" s="1818"/>
    </row>
    <row r="396" spans="4:36" ht="12.95" customHeight="1">
      <c r="AG396" s="456"/>
      <c r="AH396" s="456"/>
      <c r="AI396" s="456"/>
      <c r="AJ396" s="456"/>
    </row>
    <row r="397" spans="4:36" ht="12.95" customHeight="1">
      <c r="D397" s="3" t="s">
        <v>2143</v>
      </c>
      <c r="AG397" s="456"/>
      <c r="AH397" s="456"/>
      <c r="AI397" s="1332" t="s">
        <v>545</v>
      </c>
      <c r="AJ397" s="1332"/>
    </row>
    <row r="398" spans="4:36" ht="12.95" customHeight="1">
      <c r="D398" s="3" t="s">
        <v>1667</v>
      </c>
      <c r="T398" s="1750"/>
      <c r="U398" s="1750"/>
      <c r="V398" s="1750"/>
      <c r="W398" s="1750"/>
      <c r="X398" s="1750"/>
      <c r="Y398" s="1750"/>
      <c r="Z398" s="1750"/>
      <c r="AA398" s="1750"/>
      <c r="AB398" s="1750"/>
      <c r="AC398" s="1750"/>
      <c r="AD398" s="1750"/>
      <c r="AE398" s="1750"/>
      <c r="AF398" s="1750"/>
      <c r="AG398" s="1750"/>
      <c r="AH398" s="1750"/>
      <c r="AI398" s="1750"/>
      <c r="AJ398" s="1750"/>
    </row>
    <row r="399" spans="4:36" ht="12.95" customHeight="1">
      <c r="D399" s="3" t="s">
        <v>1666</v>
      </c>
      <c r="T399" s="1750"/>
      <c r="U399" s="1750"/>
      <c r="V399" s="1750"/>
      <c r="W399" s="1750"/>
      <c r="X399" s="1750"/>
      <c r="Y399" s="1750"/>
      <c r="Z399" s="1750"/>
      <c r="AA399" s="1750"/>
      <c r="AB399" s="1750"/>
      <c r="AC399" s="1750"/>
      <c r="AD399" s="1750"/>
      <c r="AE399" s="1750"/>
      <c r="AF399" s="1750"/>
      <c r="AG399" s="1750"/>
      <c r="AH399" s="1750"/>
      <c r="AI399" s="1750"/>
      <c r="AJ399" s="1750"/>
    </row>
    <row r="400" spans="4:36" ht="12.95" customHeight="1">
      <c r="AG400" s="456"/>
      <c r="AH400" s="456"/>
      <c r="AI400" s="456"/>
      <c r="AJ400" s="456"/>
    </row>
    <row r="401" spans="1:36" ht="12.95" customHeight="1">
      <c r="D401" s="3" t="s">
        <v>1660</v>
      </c>
      <c r="S401" s="1750" t="s">
        <v>545</v>
      </c>
      <c r="T401" s="1750"/>
      <c r="U401" s="1750"/>
      <c r="V401" t="s">
        <v>1661</v>
      </c>
      <c r="AG401" s="1823">
        <v>99</v>
      </c>
      <c r="AH401" s="1823"/>
      <c r="AI401" s="1823"/>
      <c r="AJ401" s="1823"/>
    </row>
    <row r="402" spans="1:36" ht="12.95" customHeight="1">
      <c r="D402" s="3" t="s">
        <v>1658</v>
      </c>
      <c r="S402" s="1750" t="s">
        <v>545</v>
      </c>
      <c r="T402" s="1750"/>
      <c r="U402" s="1750"/>
      <c r="V402" t="s">
        <v>1663</v>
      </c>
      <c r="AE402" s="1817">
        <v>150000</v>
      </c>
      <c r="AF402" s="1817"/>
      <c r="AG402" s="1817"/>
      <c r="AH402" s="1817"/>
      <c r="AI402" s="1817"/>
      <c r="AJ402" s="1817"/>
    </row>
    <row r="403" spans="1:36" ht="12.95" customHeight="1">
      <c r="D403" s="3" t="s">
        <v>1659</v>
      </c>
      <c r="K403" s="1799" t="s">
        <v>591</v>
      </c>
      <c r="L403" s="1799"/>
      <c r="M403" s="1799"/>
      <c r="N403" s="1799"/>
      <c r="O403" s="1799"/>
      <c r="P403" s="1799"/>
      <c r="Q403" s="1799"/>
      <c r="R403" s="1799"/>
      <c r="S403" s="1799"/>
      <c r="T403" s="1799"/>
      <c r="U403" s="1799"/>
      <c r="V403" s="1799"/>
      <c r="W403" s="1799"/>
      <c r="X403" s="1799"/>
      <c r="Y403" s="1799"/>
      <c r="Z403" s="1799"/>
      <c r="AA403" s="1799"/>
      <c r="AB403" s="1799"/>
      <c r="AC403" s="1799"/>
      <c r="AD403" s="1799"/>
      <c r="AE403" s="1799"/>
      <c r="AF403" s="1799"/>
      <c r="AG403" s="1799"/>
      <c r="AH403" s="1799"/>
      <c r="AI403" s="1799"/>
      <c r="AJ403" s="1799"/>
    </row>
    <row r="404" spans="1:36" ht="12.95" customHeight="1">
      <c r="D404" s="3" t="s">
        <v>1662</v>
      </c>
      <c r="K404" s="1799" t="s">
        <v>2698</v>
      </c>
      <c r="L404" s="1799"/>
      <c r="M404" s="1799"/>
      <c r="N404" s="1799"/>
      <c r="O404" s="1799"/>
      <c r="P404" s="1799"/>
      <c r="Q404" s="1799"/>
      <c r="R404" s="1799"/>
      <c r="S404" s="1799"/>
      <c r="T404" s="1799"/>
      <c r="U404" s="1799"/>
      <c r="V404" s="1799"/>
      <c r="W404" s="1799"/>
      <c r="X404" s="1799"/>
      <c r="Y404" s="1799"/>
      <c r="Z404" s="1799"/>
      <c r="AA404" s="1799"/>
      <c r="AB404" s="1799"/>
      <c r="AC404" s="1799"/>
      <c r="AD404" s="1799"/>
      <c r="AE404" s="1799"/>
      <c r="AF404" s="1799"/>
      <c r="AG404" s="1799"/>
      <c r="AH404" s="1799"/>
      <c r="AI404" s="1799"/>
      <c r="AJ404" s="1799"/>
    </row>
    <row r="405" spans="1:36" ht="12.95" customHeight="1">
      <c r="D405" s="3" t="s">
        <v>1665</v>
      </c>
      <c r="E405" s="477"/>
      <c r="F405" s="477"/>
      <c r="G405" s="477"/>
      <c r="H405" s="477"/>
      <c r="I405" s="477"/>
      <c r="J405" s="477"/>
      <c r="K405" s="477"/>
      <c r="L405" s="477"/>
      <c r="M405" s="477"/>
      <c r="N405" s="477"/>
      <c r="O405" s="477"/>
      <c r="P405" s="477"/>
      <c r="Q405" s="477"/>
      <c r="R405" s="477"/>
      <c r="S405" s="1828" t="s">
        <v>2699</v>
      </c>
      <c r="T405" s="1828"/>
      <c r="U405" s="1828"/>
      <c r="V405" s="1828"/>
      <c r="W405" s="1828"/>
      <c r="X405" s="1828"/>
      <c r="Y405" s="1828"/>
      <c r="Z405" s="1828"/>
      <c r="AA405" s="1828"/>
      <c r="AB405" s="1828"/>
      <c r="AC405" s="1828"/>
      <c r="AD405" s="1828"/>
      <c r="AE405" s="1828"/>
      <c r="AF405" s="1828"/>
      <c r="AG405" s="1828"/>
      <c r="AH405" s="1828"/>
      <c r="AI405" s="1828"/>
      <c r="AJ405" s="1828"/>
    </row>
    <row r="406" spans="1:36" ht="12.95" customHeight="1">
      <c r="D406" s="1267" t="s">
        <v>1664</v>
      </c>
      <c r="E406" s="1267"/>
      <c r="F406" s="1267"/>
      <c r="G406" s="1267"/>
      <c r="H406" s="1267"/>
      <c r="I406" s="1267"/>
      <c r="J406" s="1267"/>
      <c r="K406" s="1267"/>
      <c r="L406" s="1267"/>
      <c r="M406" s="1267"/>
      <c r="N406" s="1267"/>
      <c r="O406" s="1267"/>
      <c r="P406" s="1267"/>
      <c r="Q406" s="1267"/>
      <c r="R406" s="1267"/>
      <c r="S406" s="1267"/>
      <c r="T406" s="1267"/>
      <c r="U406" s="1267"/>
      <c r="V406" s="1267"/>
      <c r="W406" s="1267"/>
      <c r="X406" s="1267"/>
      <c r="Y406" s="1267"/>
      <c r="Z406" s="1267"/>
      <c r="AA406" s="1267"/>
      <c r="AB406" s="1267"/>
      <c r="AC406" s="1267"/>
      <c r="AD406" s="1267"/>
      <c r="AE406" s="1267"/>
      <c r="AF406" s="1267"/>
      <c r="AG406" s="1267"/>
      <c r="AH406" s="1267"/>
      <c r="AI406" s="1267"/>
      <c r="AJ406" s="1267"/>
    </row>
    <row r="407" spans="1:36" ht="12.95" customHeight="1">
      <c r="D407" s="1267"/>
      <c r="E407" s="1267"/>
      <c r="F407" s="1267"/>
      <c r="G407" s="1267"/>
      <c r="H407" s="1267"/>
      <c r="I407" s="1267"/>
      <c r="J407" s="1267"/>
      <c r="K407" s="1267"/>
      <c r="L407" s="1267"/>
      <c r="M407" s="1267"/>
      <c r="N407" s="1267"/>
      <c r="O407" s="1267"/>
      <c r="P407" s="1267"/>
      <c r="Q407" s="1267"/>
      <c r="R407" s="1267"/>
      <c r="S407" s="1267"/>
      <c r="T407" s="1267"/>
      <c r="U407" s="1267"/>
      <c r="V407" s="1267"/>
      <c r="W407" s="1267"/>
      <c r="X407" s="1267"/>
      <c r="Y407" s="1267"/>
      <c r="Z407" s="1267"/>
      <c r="AA407" s="1267"/>
      <c r="AB407" s="1267"/>
      <c r="AC407" s="1267"/>
      <c r="AD407" s="1267"/>
      <c r="AE407" s="1267"/>
      <c r="AF407" s="1267"/>
      <c r="AG407" s="1267"/>
      <c r="AH407" s="1267"/>
      <c r="AI407" s="1267"/>
      <c r="AJ407" s="1267"/>
    </row>
    <row r="408" spans="1:36" ht="12.95" customHeight="1">
      <c r="AG408" s="456"/>
      <c r="AH408" s="456"/>
      <c r="AI408" s="456"/>
      <c r="AJ408" s="456"/>
    </row>
    <row r="409" spans="1:36" ht="12.95" customHeight="1">
      <c r="A409" s="2" t="s">
        <v>589</v>
      </c>
      <c r="B409" s="2"/>
      <c r="C409" s="2" t="s">
        <v>111</v>
      </c>
    </row>
    <row r="410" spans="1:36" ht="12.95" customHeight="1">
      <c r="B410" s="2"/>
      <c r="C410" s="2"/>
      <c r="D410" s="2" t="s">
        <v>1204</v>
      </c>
      <c r="I410" s="1416" t="s">
        <v>2632</v>
      </c>
      <c r="J410" s="1416"/>
      <c r="K410" s="1416"/>
      <c r="L410" s="1416"/>
      <c r="M410" s="1416"/>
      <c r="N410" s="1416"/>
      <c r="O410" s="1416"/>
      <c r="P410" s="1416"/>
      <c r="Q410" s="1416"/>
      <c r="R410" s="1416"/>
      <c r="S410" s="1416"/>
      <c r="T410" s="1416"/>
      <c r="U410" s="1416"/>
      <c r="V410" s="1416"/>
      <c r="W410" s="1416"/>
      <c r="X410" s="1416"/>
      <c r="Y410" s="1416"/>
      <c r="Z410" s="1416"/>
      <c r="AA410" s="1416"/>
      <c r="AB410" s="1416"/>
      <c r="AC410" s="1416"/>
      <c r="AD410" s="1416"/>
      <c r="AE410" s="1416"/>
    </row>
    <row r="411" spans="1:36" ht="12.95" customHeight="1">
      <c r="E411" t="s">
        <v>106</v>
      </c>
      <c r="R411" s="1332" t="s">
        <v>545</v>
      </c>
      <c r="S411" s="1332"/>
      <c r="AC411" s="27" t="s">
        <v>570</v>
      </c>
      <c r="AD411" s="1663">
        <v>4</v>
      </c>
      <c r="AE411" s="1663"/>
    </row>
    <row r="412" spans="1:36" ht="12.95" customHeight="1">
      <c r="E412" t="s">
        <v>107</v>
      </c>
      <c r="R412" s="1332" t="s">
        <v>591</v>
      </c>
      <c r="S412" s="1332"/>
      <c r="AC412" s="27" t="s">
        <v>570</v>
      </c>
      <c r="AD412" s="1663"/>
      <c r="AE412" s="1663"/>
    </row>
    <row r="413" spans="1:36" ht="12.95" customHeight="1">
      <c r="E413" t="s">
        <v>108</v>
      </c>
      <c r="S413" s="1332" t="s">
        <v>591</v>
      </c>
      <c r="T413" s="1332"/>
    </row>
    <row r="414" spans="1:36" ht="12.95" customHeight="1">
      <c r="E414" t="s">
        <v>169</v>
      </c>
      <c r="H414" s="1757" t="s">
        <v>2700</v>
      </c>
      <c r="I414" s="1757"/>
      <c r="J414" s="1757"/>
      <c r="K414" s="1757"/>
      <c r="L414" s="1757"/>
      <c r="M414" s="1757"/>
      <c r="N414" s="1757"/>
      <c r="O414" s="1757"/>
      <c r="P414" s="1757"/>
      <c r="Q414" s="1757"/>
      <c r="R414" s="1757"/>
      <c r="S414" s="1757"/>
      <c r="T414" s="1757"/>
      <c r="U414" s="1757"/>
      <c r="V414" s="1757"/>
      <c r="W414" s="1757"/>
      <c r="X414" s="1757"/>
      <c r="Y414" s="1757"/>
      <c r="Z414" s="1757"/>
      <c r="AA414" s="1757"/>
      <c r="AB414" s="1757"/>
      <c r="AC414" s="1757"/>
      <c r="AD414" s="1757"/>
      <c r="AE414" s="1757"/>
    </row>
    <row r="415" spans="1:36" ht="12.95" customHeight="1">
      <c r="H415" s="1758"/>
      <c r="I415" s="1758"/>
      <c r="J415" s="1758"/>
      <c r="K415" s="1758"/>
      <c r="L415" s="1758"/>
      <c r="M415" s="1758"/>
      <c r="N415" s="1758"/>
      <c r="O415" s="1758"/>
      <c r="P415" s="1758"/>
      <c r="Q415" s="1758"/>
      <c r="R415" s="1758"/>
      <c r="S415" s="1758"/>
      <c r="T415" s="1758"/>
      <c r="U415" s="1758"/>
      <c r="V415" s="1758"/>
      <c r="W415" s="1758"/>
      <c r="X415" s="1758"/>
      <c r="Y415" s="1758"/>
      <c r="Z415" s="1758"/>
      <c r="AA415" s="1758"/>
      <c r="AB415" s="1758"/>
      <c r="AC415" s="1758"/>
      <c r="AD415" s="1758"/>
      <c r="AE415" s="1758"/>
    </row>
    <row r="416" spans="1:36" ht="12.95" customHeight="1"/>
    <row r="417" spans="1:39" ht="12.95" customHeight="1">
      <c r="A417" s="2" t="s">
        <v>590</v>
      </c>
      <c r="B417" s="2"/>
      <c r="C417" s="2"/>
      <c r="D417" s="2" t="s">
        <v>114</v>
      </c>
      <c r="AF417" s="2" t="s">
        <v>957</v>
      </c>
    </row>
    <row r="418" spans="1:39" ht="12.95" customHeight="1">
      <c r="E418" s="1816"/>
      <c r="F418" s="1816"/>
      <c r="G418" s="1816"/>
      <c r="H418" s="13" t="s">
        <v>115</v>
      </c>
      <c r="I418" s="1816"/>
      <c r="J418" s="1816"/>
      <c r="K418" s="1816"/>
      <c r="L418" t="s">
        <v>116</v>
      </c>
      <c r="N418" s="27" t="s">
        <v>575</v>
      </c>
      <c r="P418" s="1760">
        <v>1.62</v>
      </c>
      <c r="Q418" s="1760"/>
      <c r="R418" s="1760"/>
      <c r="S418" t="s">
        <v>117</v>
      </c>
      <c r="W418" s="1827">
        <f>IF(E418&gt;0,(E418*I418),(P418*43560))</f>
        <v>70567.200000000012</v>
      </c>
      <c r="X418" s="1827"/>
      <c r="Y418" s="1827"/>
      <c r="Z418" t="s">
        <v>118</v>
      </c>
      <c r="AF418" s="1761">
        <f>IFERROR(IF(P418&gt;0,(AG437/P418),(AG437/(W418/43560))),0)</f>
        <v>64.197530864197532</v>
      </c>
      <c r="AG418" s="1761"/>
      <c r="AH418" s="1761"/>
      <c r="AM418" s="3"/>
    </row>
    <row r="419" spans="1:39" ht="12.95" customHeight="1">
      <c r="E419" t="s">
        <v>51</v>
      </c>
    </row>
    <row r="420" spans="1:39" ht="12.95" customHeight="1">
      <c r="E420" s="1824"/>
      <c r="F420" s="1824"/>
      <c r="G420" s="1824"/>
      <c r="H420" s="1824"/>
      <c r="I420" s="1824"/>
      <c r="J420" s="1824"/>
      <c r="K420" s="1824"/>
      <c r="L420" s="1824"/>
      <c r="M420" s="1824"/>
      <c r="N420" s="1824"/>
      <c r="O420" s="1824"/>
      <c r="P420" s="1824"/>
      <c r="Q420" s="1824"/>
      <c r="R420" s="1824"/>
      <c r="S420" s="1824"/>
      <c r="T420" s="1824"/>
      <c r="U420" s="1824"/>
      <c r="V420" s="1824"/>
      <c r="W420" s="1824"/>
      <c r="X420" s="1824"/>
      <c r="Y420" s="1824"/>
      <c r="Z420" s="1824"/>
      <c r="AA420" s="1824"/>
      <c r="AB420" s="1824"/>
      <c r="AC420" s="1824"/>
      <c r="AD420" s="1824"/>
      <c r="AE420" s="1824"/>
      <c r="AF420" s="1824"/>
      <c r="AG420" s="1824"/>
      <c r="AH420" s="1824"/>
      <c r="AI420" s="1824"/>
      <c r="AJ420" s="1824"/>
    </row>
    <row r="421" spans="1:39" ht="12.95" customHeight="1">
      <c r="E421" s="118" t="s">
        <v>1736</v>
      </c>
      <c r="F421" s="1013"/>
      <c r="G421" s="1013"/>
      <c r="H421" s="1013"/>
      <c r="I421" s="1759">
        <v>1.62</v>
      </c>
      <c r="J421" s="1759"/>
      <c r="K421" s="1759"/>
      <c r="L421" s="1013"/>
      <c r="M421" s="118"/>
      <c r="N421" s="1013"/>
      <c r="O421" s="1013"/>
      <c r="P421" s="1441">
        <f>(DU755+DU778+DU800)/I421</f>
        <v>145.67901234567901</v>
      </c>
      <c r="Q421" s="1441"/>
      <c r="R421" s="1441"/>
      <c r="S421" s="118" t="s">
        <v>1737</v>
      </c>
      <c r="T421" s="1013"/>
      <c r="U421" s="1013"/>
      <c r="V421" s="1013"/>
      <c r="W421" s="1013"/>
      <c r="X421" s="1013"/>
      <c r="Y421" s="1013"/>
      <c r="Z421" s="1013"/>
      <c r="AA421" s="1013"/>
      <c r="AB421" s="1013"/>
      <c r="AC421" s="1013"/>
      <c r="AD421" s="1013"/>
      <c r="AE421" s="1013"/>
      <c r="AF421" s="1013"/>
      <c r="AG421" s="1013"/>
      <c r="AH421" s="1013"/>
      <c r="AI421" s="1013"/>
      <c r="AJ421" s="1013"/>
    </row>
    <row r="422" spans="1:39" ht="12.95" customHeight="1"/>
    <row r="423" spans="1:39" ht="12.95" customHeight="1">
      <c r="A423" s="2" t="s">
        <v>592</v>
      </c>
      <c r="B423" s="2"/>
      <c r="C423" s="2"/>
      <c r="D423" s="2" t="s">
        <v>120</v>
      </c>
    </row>
    <row r="424" spans="1:39" ht="12.95" customHeight="1">
      <c r="E424" t="s">
        <v>121</v>
      </c>
      <c r="P424" s="1332">
        <v>1</v>
      </c>
      <c r="Q424" s="1332"/>
      <c r="S424" t="s">
        <v>188</v>
      </c>
      <c r="AE424" s="1332">
        <v>1</v>
      </c>
      <c r="AF424" s="1332"/>
    </row>
    <row r="425" spans="1:39" ht="12.95" customHeight="1">
      <c r="E425" t="s">
        <v>189</v>
      </c>
      <c r="P425" s="1332">
        <v>0</v>
      </c>
      <c r="Q425" s="1332"/>
      <c r="S425" t="s">
        <v>131</v>
      </c>
      <c r="AE425" s="1332" t="s">
        <v>591</v>
      </c>
      <c r="AF425" s="1332"/>
    </row>
    <row r="426" spans="1:39" ht="12.95" customHeight="1">
      <c r="F426" s="28" t="s">
        <v>132</v>
      </c>
    </row>
    <row r="427" spans="1:39" ht="12.95" customHeight="1">
      <c r="F427" s="1804"/>
      <c r="G427" s="1804"/>
      <c r="H427" s="1804"/>
      <c r="I427" s="1804"/>
      <c r="J427" s="1804"/>
      <c r="K427" s="1804"/>
      <c r="L427" s="1804"/>
      <c r="M427" s="1804"/>
      <c r="N427" s="1804"/>
      <c r="O427" s="1804"/>
      <c r="P427" s="1804"/>
      <c r="Q427" s="1804"/>
      <c r="R427" s="1804"/>
      <c r="S427" s="1804"/>
      <c r="T427" s="1804"/>
      <c r="U427" s="1804"/>
      <c r="V427" s="1804"/>
      <c r="W427" s="1804"/>
      <c r="X427" s="1804"/>
      <c r="Y427" s="1804"/>
      <c r="Z427" s="1804"/>
      <c r="AA427" s="1804"/>
      <c r="AB427" s="1804"/>
      <c r="AC427" s="1804"/>
      <c r="AD427" s="1804"/>
      <c r="AE427" s="1804"/>
      <c r="AF427" s="1804"/>
      <c r="AG427" s="1804"/>
      <c r="AH427" s="1804"/>
    </row>
    <row r="428" spans="1:39" ht="12.95" customHeight="1">
      <c r="F428" s="1775"/>
      <c r="G428" s="1775"/>
      <c r="H428" s="1775"/>
      <c r="I428" s="1775"/>
      <c r="J428" s="1775"/>
      <c r="K428" s="1775"/>
      <c r="L428" s="1775"/>
      <c r="M428" s="1775"/>
      <c r="N428" s="1775"/>
      <c r="O428" s="1775"/>
      <c r="P428" s="1775"/>
      <c r="Q428" s="1775"/>
      <c r="R428" s="1775"/>
      <c r="S428" s="1775"/>
      <c r="T428" s="1775"/>
      <c r="U428" s="1775"/>
      <c r="V428" s="1775"/>
      <c r="W428" s="1775"/>
      <c r="X428" s="1775"/>
      <c r="Y428" s="1775"/>
      <c r="Z428" s="1775"/>
      <c r="AA428" s="1775"/>
      <c r="AB428" s="1775"/>
      <c r="AC428" s="1775"/>
      <c r="AD428" s="1775"/>
      <c r="AE428" s="1775"/>
      <c r="AF428" s="1775"/>
      <c r="AG428" s="1775"/>
      <c r="AH428" s="1775"/>
    </row>
    <row r="429" spans="1:39" ht="12.95" customHeight="1">
      <c r="E429" t="s">
        <v>608</v>
      </c>
      <c r="P429" s="1"/>
      <c r="Q429" s="1332" t="s">
        <v>545</v>
      </c>
      <c r="R429" s="1332"/>
    </row>
    <row r="430" spans="1:39" ht="12.95" customHeight="1">
      <c r="F430" t="s">
        <v>609</v>
      </c>
      <c r="P430" s="1"/>
      <c r="Q430" s="1"/>
      <c r="AF430" s="1332" t="s">
        <v>591</v>
      </c>
      <c r="AG430" s="1825"/>
    </row>
    <row r="431" spans="1:39" ht="12.95" customHeight="1"/>
    <row r="432" spans="1:39" ht="12.95" customHeight="1">
      <c r="A432" s="2"/>
      <c r="B432" s="2"/>
      <c r="C432" s="2"/>
      <c r="E432" s="4" t="s">
        <v>307</v>
      </c>
      <c r="Z432" s="1332" t="s">
        <v>669</v>
      </c>
      <c r="AA432" s="1332"/>
    </row>
    <row r="433" spans="1:55"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55" ht="12.95" customHeight="1">
      <c r="F434" t="s">
        <v>707</v>
      </c>
      <c r="G434" s="40"/>
      <c r="I434" s="40"/>
      <c r="J434" s="40"/>
      <c r="K434" s="40"/>
      <c r="L434" s="40"/>
      <c r="M434" s="40"/>
      <c r="N434" s="40"/>
      <c r="O434" s="28"/>
      <c r="P434" s="40"/>
      <c r="Q434" s="40"/>
      <c r="R434" s="40"/>
      <c r="S434" s="40"/>
      <c r="T434" s="40"/>
      <c r="U434" s="40"/>
      <c r="V434" s="40"/>
      <c r="W434" s="40"/>
      <c r="Z434" s="1332" t="s">
        <v>591</v>
      </c>
      <c r="AA434" s="1332"/>
    </row>
    <row r="435" spans="1:55" ht="12.95" customHeight="1"/>
    <row r="436" spans="1:55" ht="12.95" customHeight="1">
      <c r="A436" s="2" t="s">
        <v>467</v>
      </c>
      <c r="B436" s="2"/>
      <c r="C436" s="2"/>
      <c r="D436" s="2" t="s">
        <v>764</v>
      </c>
      <c r="AF436" s="48"/>
    </row>
    <row r="437" spans="1:55" ht="12.95" customHeight="1">
      <c r="D437" s="1625" t="s">
        <v>43</v>
      </c>
      <c r="E437" s="1626"/>
      <c r="F437" s="1626"/>
      <c r="G437" s="1626"/>
      <c r="H437" s="1626"/>
      <c r="I437" s="1626"/>
      <c r="J437" s="1626"/>
      <c r="K437" s="1626"/>
      <c r="L437" s="1626"/>
      <c r="M437" s="1626"/>
      <c r="N437" s="1626"/>
      <c r="O437" s="1626"/>
      <c r="P437" s="1626"/>
      <c r="Q437" s="1626"/>
      <c r="R437" s="1626"/>
      <c r="S437" s="1626"/>
      <c r="T437" s="1626"/>
      <c r="U437" s="1626"/>
      <c r="V437" s="1626"/>
      <c r="W437" s="1626"/>
      <c r="X437" s="1626"/>
      <c r="Y437" s="1626"/>
      <c r="Z437" s="1626"/>
      <c r="AA437" s="1626"/>
      <c r="AB437" s="1626"/>
      <c r="AC437" s="1626"/>
      <c r="AD437" s="1626"/>
      <c r="AE437" s="1626"/>
      <c r="AF437" s="1762"/>
      <c r="AG437" s="1822">
        <v>104</v>
      </c>
      <c r="AH437" s="1822"/>
      <c r="AI437" s="1822"/>
      <c r="AJ437" s="1822"/>
    </row>
    <row r="438" spans="1:55" ht="12.95" customHeight="1">
      <c r="D438" s="1742" t="s">
        <v>1222</v>
      </c>
      <c r="E438" s="1743"/>
      <c r="F438" s="1743"/>
      <c r="G438" s="1743"/>
      <c r="H438" s="1743"/>
      <c r="I438" s="1743"/>
      <c r="J438" s="1743"/>
      <c r="K438" s="1743"/>
      <c r="L438" s="1743"/>
      <c r="M438" s="1743"/>
      <c r="N438" s="1743"/>
      <c r="O438" s="1743"/>
      <c r="P438" s="1743"/>
      <c r="Q438" s="1743"/>
      <c r="R438" s="1743"/>
      <c r="S438" s="1743"/>
      <c r="T438" s="1743"/>
      <c r="U438" s="1743"/>
      <c r="V438" s="1743"/>
      <c r="W438" s="1743"/>
      <c r="X438" s="1743"/>
      <c r="Y438" s="1743"/>
      <c r="Z438" s="1743"/>
      <c r="AA438" s="1743"/>
      <c r="AB438" s="1743"/>
      <c r="AC438" s="1743"/>
      <c r="AD438" s="1743"/>
      <c r="AE438" s="1743"/>
      <c r="AF438" s="1744"/>
      <c r="AG438" s="1826">
        <v>0</v>
      </c>
      <c r="AH438" s="1613"/>
      <c r="AI438" s="1613"/>
      <c r="AJ438" s="1613"/>
    </row>
    <row r="439" spans="1:55" ht="12.95" customHeight="1">
      <c r="D439" s="1742" t="s">
        <v>1031</v>
      </c>
      <c r="E439" s="1743"/>
      <c r="F439" s="1743"/>
      <c r="G439" s="1743"/>
      <c r="H439" s="1743"/>
      <c r="I439" s="1743"/>
      <c r="J439" s="1743"/>
      <c r="K439" s="1743"/>
      <c r="L439" s="1743"/>
      <c r="M439" s="1743"/>
      <c r="N439" s="1743"/>
      <c r="O439" s="1743"/>
      <c r="P439" s="1743"/>
      <c r="Q439" s="1743"/>
      <c r="R439" s="1743"/>
      <c r="S439" s="1743"/>
      <c r="T439" s="1743"/>
      <c r="U439" s="1743"/>
      <c r="V439" s="1743"/>
      <c r="W439" s="1743"/>
      <c r="X439" s="1743"/>
      <c r="Y439" s="1743"/>
      <c r="Z439" s="1743"/>
      <c r="AA439" s="1743"/>
      <c r="AB439" s="1743"/>
      <c r="AC439" s="1743"/>
      <c r="AD439" s="1743"/>
      <c r="AE439" s="1743"/>
      <c r="AF439" s="1744"/>
      <c r="AG439" s="1822">
        <v>103</v>
      </c>
      <c r="AH439" s="1822"/>
      <c r="AI439" s="1822"/>
      <c r="AJ439" s="1822"/>
    </row>
    <row r="440" spans="1:55" ht="12.95" customHeight="1">
      <c r="D440" s="1742" t="s">
        <v>1032</v>
      </c>
      <c r="E440" s="1743"/>
      <c r="F440" s="1743"/>
      <c r="G440" s="1743"/>
      <c r="H440" s="1743"/>
      <c r="I440" s="1743"/>
      <c r="J440" s="1743"/>
      <c r="K440" s="1743"/>
      <c r="L440" s="1743"/>
      <c r="M440" s="1743"/>
      <c r="N440" s="1743"/>
      <c r="O440" s="1743"/>
      <c r="P440" s="1743"/>
      <c r="Q440" s="1743"/>
      <c r="R440" s="1743"/>
      <c r="S440" s="1743"/>
      <c r="T440" s="1743"/>
      <c r="U440" s="1743"/>
      <c r="V440" s="1743"/>
      <c r="W440" s="1743"/>
      <c r="X440" s="1743"/>
      <c r="Y440" s="1743"/>
      <c r="Z440" s="1743"/>
      <c r="AA440" s="1743"/>
      <c r="AB440" s="1743"/>
      <c r="AC440" s="1743"/>
      <c r="AD440" s="1743"/>
      <c r="AE440" s="1743"/>
      <c r="AF440" s="1744"/>
      <c r="AG440" s="1822">
        <v>103</v>
      </c>
      <c r="AH440" s="1822"/>
      <c r="AI440" s="1822"/>
      <c r="AJ440" s="1822"/>
    </row>
    <row r="441" spans="1:55" ht="12.95" customHeight="1">
      <c r="D441" s="1742" t="s">
        <v>1034</v>
      </c>
      <c r="E441" s="1743"/>
      <c r="F441" s="1743"/>
      <c r="G441" s="1743"/>
      <c r="H441" s="1743"/>
      <c r="I441" s="1743"/>
      <c r="J441" s="1743"/>
      <c r="K441" s="1743"/>
      <c r="L441" s="1743"/>
      <c r="M441" s="1743"/>
      <c r="N441" s="1743"/>
      <c r="O441" s="1743"/>
      <c r="P441" s="1743"/>
      <c r="Q441" s="1743"/>
      <c r="R441" s="1743"/>
      <c r="S441" s="1743"/>
      <c r="T441" s="1743"/>
      <c r="U441" s="1743"/>
      <c r="V441" s="1743"/>
      <c r="W441" s="1743"/>
      <c r="X441" s="1743"/>
      <c r="Y441" s="1743"/>
      <c r="Z441" s="1743"/>
      <c r="AA441" s="1743"/>
      <c r="AB441" s="1743"/>
      <c r="AC441" s="1743"/>
      <c r="AD441" s="1743"/>
      <c r="AE441" s="1743"/>
      <c r="AF441" s="1744"/>
      <c r="AG441" s="1807">
        <f>IF(ISERROR(AG440/AG439),0,AG440/AG439)</f>
        <v>1</v>
      </c>
      <c r="AH441" s="1807"/>
      <c r="AI441" s="1807"/>
      <c r="AJ441" s="1807"/>
    </row>
    <row r="442" spans="1:55" ht="12.95" customHeight="1">
      <c r="D442" s="1742" t="s">
        <v>1033</v>
      </c>
      <c r="E442" s="1743"/>
      <c r="F442" s="1743"/>
      <c r="G442" s="1743"/>
      <c r="H442" s="1743"/>
      <c r="I442" s="1743"/>
      <c r="J442" s="1743"/>
      <c r="K442" s="1743"/>
      <c r="L442" s="1743"/>
      <c r="M442" s="1743"/>
      <c r="N442" s="1743"/>
      <c r="O442" s="1743"/>
      <c r="P442" s="1743"/>
      <c r="Q442" s="1743"/>
      <c r="R442" s="1743"/>
      <c r="S442" s="1743"/>
      <c r="T442" s="1743"/>
      <c r="U442" s="1743"/>
      <c r="V442" s="1743"/>
      <c r="W442" s="1743"/>
      <c r="X442" s="1743"/>
      <c r="Y442" s="1743"/>
      <c r="Z442" s="1743"/>
      <c r="AA442" s="1743"/>
      <c r="AB442" s="1743"/>
      <c r="AC442" s="1743"/>
      <c r="AD442" s="1743"/>
      <c r="AE442" s="1743"/>
      <c r="AF442" s="1744"/>
      <c r="AG442" s="1695">
        <v>90602</v>
      </c>
      <c r="AH442" s="1695"/>
      <c r="AI442" s="1695"/>
      <c r="AJ442" s="1695"/>
    </row>
    <row r="443" spans="1:55" ht="12.95" customHeight="1">
      <c r="D443" s="1742" t="s">
        <v>1035</v>
      </c>
      <c r="E443" s="1743"/>
      <c r="F443" s="1743"/>
      <c r="G443" s="1743"/>
      <c r="H443" s="1743"/>
      <c r="I443" s="1743"/>
      <c r="J443" s="1743"/>
      <c r="K443" s="1743"/>
      <c r="L443" s="1743"/>
      <c r="M443" s="1743"/>
      <c r="N443" s="1743"/>
      <c r="O443" s="1743"/>
      <c r="P443" s="1743"/>
      <c r="Q443" s="1743"/>
      <c r="R443" s="1743"/>
      <c r="S443" s="1743"/>
      <c r="T443" s="1743"/>
      <c r="U443" s="1743"/>
      <c r="V443" s="1743"/>
      <c r="W443" s="1743"/>
      <c r="X443" s="1743"/>
      <c r="Y443" s="1743"/>
      <c r="Z443" s="1743"/>
      <c r="AA443" s="1743"/>
      <c r="AB443" s="1743"/>
      <c r="AC443" s="1743"/>
      <c r="AD443" s="1743"/>
      <c r="AE443" s="1743"/>
      <c r="AF443" s="1744"/>
      <c r="AG443" s="1695">
        <v>90602</v>
      </c>
      <c r="AH443" s="1695"/>
      <c r="AI443" s="1695"/>
      <c r="AJ443" s="1695"/>
    </row>
    <row r="444" spans="1:55" ht="12.95" customHeight="1">
      <c r="D444" s="1742" t="s">
        <v>1036</v>
      </c>
      <c r="E444" s="1743"/>
      <c r="F444" s="1743"/>
      <c r="G444" s="1743"/>
      <c r="H444" s="1743"/>
      <c r="I444" s="1743"/>
      <c r="J444" s="1743"/>
      <c r="K444" s="1743"/>
      <c r="L444" s="1743"/>
      <c r="M444" s="1743"/>
      <c r="N444" s="1743"/>
      <c r="O444" s="1743"/>
      <c r="P444" s="1743"/>
      <c r="Q444" s="1743"/>
      <c r="R444" s="1743"/>
      <c r="S444" s="1743"/>
      <c r="T444" s="1743"/>
      <c r="U444" s="1743"/>
      <c r="V444" s="1743"/>
      <c r="W444" s="1743"/>
      <c r="X444" s="1743"/>
      <c r="Y444" s="1743"/>
      <c r="Z444" s="1743"/>
      <c r="AA444" s="1743"/>
      <c r="AB444" s="1743"/>
      <c r="AC444" s="1743"/>
      <c r="AD444" s="1743"/>
      <c r="AE444" s="1743"/>
      <c r="AF444" s="1744"/>
      <c r="AG444" s="1807">
        <f>IF(ISERROR(AG443/AG442),0,AG443/AG442)</f>
        <v>1</v>
      </c>
      <c r="AH444" s="1807"/>
      <c r="AI444" s="1807"/>
      <c r="AJ444" s="1807"/>
    </row>
    <row r="445" spans="1:55" ht="12.95" customHeight="1">
      <c r="D445" s="1742" t="s">
        <v>1037</v>
      </c>
      <c r="E445" s="1743"/>
      <c r="F445" s="1743"/>
      <c r="G445" s="1743"/>
      <c r="H445" s="1743"/>
      <c r="I445" s="1743"/>
      <c r="J445" s="1743"/>
      <c r="K445" s="1743"/>
      <c r="L445" s="1743"/>
      <c r="M445" s="1743"/>
      <c r="N445" s="1743"/>
      <c r="O445" s="1743"/>
      <c r="P445" s="1743"/>
      <c r="Q445" s="1743"/>
      <c r="R445" s="1743"/>
      <c r="S445" s="1743"/>
      <c r="T445" s="1743"/>
      <c r="U445" s="1743"/>
      <c r="V445" s="1743"/>
      <c r="W445" s="1743"/>
      <c r="X445" s="1743"/>
      <c r="Y445" s="1743"/>
      <c r="Z445" s="1743"/>
      <c r="AA445" s="1743"/>
      <c r="AB445" s="1743"/>
      <c r="AC445" s="1743"/>
      <c r="AD445" s="1743"/>
      <c r="AE445" s="1743"/>
      <c r="AF445" s="1744"/>
      <c r="AG445" s="1807">
        <f>MIN(IF(AG441&gt;AG444,AG444,AG441),1)</f>
        <v>1</v>
      </c>
      <c r="AH445" s="1807"/>
      <c r="AI445" s="1807"/>
      <c r="AJ445" s="1807"/>
    </row>
    <row r="446" spans="1:55" ht="12.95" customHeight="1">
      <c r="D446" s="1742" t="s">
        <v>2088</v>
      </c>
      <c r="E446" s="1626"/>
      <c r="F446" s="1626"/>
      <c r="G446" s="1626"/>
      <c r="H446" s="1626"/>
      <c r="I446" s="1626"/>
      <c r="J446" s="1626"/>
      <c r="K446" s="1626"/>
      <c r="L446" s="1626"/>
      <c r="M446" s="1626"/>
      <c r="N446" s="1626"/>
      <c r="O446" s="1626"/>
      <c r="P446" s="1626"/>
      <c r="Q446" s="1626"/>
      <c r="R446" s="1626"/>
      <c r="S446" s="1626"/>
      <c r="T446" s="1626"/>
      <c r="U446" s="1626"/>
      <c r="V446" s="1626"/>
      <c r="W446" s="1626"/>
      <c r="X446" s="1626"/>
      <c r="Y446" s="1626"/>
      <c r="Z446" s="1626"/>
      <c r="AA446" s="1626"/>
      <c r="AB446" s="1626"/>
      <c r="AC446" s="1626"/>
      <c r="AD446" s="1626"/>
      <c r="AE446" s="1626"/>
      <c r="AF446" s="1762"/>
      <c r="AG446" s="1695">
        <v>3728</v>
      </c>
      <c r="AH446" s="1695"/>
      <c r="AI446" s="1695"/>
      <c r="AJ446" s="1695"/>
      <c r="AZ446" s="34"/>
      <c r="BA446" s="34"/>
      <c r="BB446" s="34"/>
      <c r="BC446" s="34"/>
    </row>
    <row r="447" spans="1:55" ht="12.95" customHeight="1">
      <c r="D447" s="1625" t="s">
        <v>569</v>
      </c>
      <c r="E447" s="1626"/>
      <c r="F447" s="1626"/>
      <c r="G447" s="1626"/>
      <c r="H447" s="1626"/>
      <c r="I447" s="1626"/>
      <c r="J447" s="1626"/>
      <c r="K447" s="1626"/>
      <c r="L447" s="1626"/>
      <c r="M447" s="1626"/>
      <c r="N447" s="1626"/>
      <c r="O447" s="1626"/>
      <c r="P447" s="1626"/>
      <c r="Q447" s="1626"/>
      <c r="R447" s="1626"/>
      <c r="S447" s="1626"/>
      <c r="T447" s="1626"/>
      <c r="U447" s="1626"/>
      <c r="V447" s="1626"/>
      <c r="W447" s="1626"/>
      <c r="X447" s="1626"/>
      <c r="Y447" s="1626"/>
      <c r="Z447" s="1626"/>
      <c r="AA447" s="1626"/>
      <c r="AB447" s="1626"/>
      <c r="AC447" s="1626"/>
      <c r="AD447" s="1626"/>
      <c r="AE447" s="1626"/>
      <c r="AF447" s="1762"/>
      <c r="AG447" s="1695">
        <v>0</v>
      </c>
      <c r="AH447" s="1695"/>
      <c r="AI447" s="1695"/>
      <c r="AJ447" s="1695"/>
      <c r="AZ447" s="3"/>
      <c r="BA447" s="3"/>
      <c r="BB447" s="3"/>
      <c r="BC447" s="3"/>
    </row>
    <row r="448" spans="1:55" ht="12.95" customHeight="1">
      <c r="D448" s="1742" t="s">
        <v>1205</v>
      </c>
      <c r="E448" s="1626"/>
      <c r="F448" s="1626"/>
      <c r="G448" s="1626"/>
      <c r="H448" s="1626"/>
      <c r="I448" s="1626"/>
      <c r="J448" s="1626"/>
      <c r="K448" s="1626"/>
      <c r="L448" s="1626"/>
      <c r="M448" s="1626"/>
      <c r="N448" s="1626"/>
      <c r="O448" s="1626"/>
      <c r="P448" s="1626"/>
      <c r="Q448" s="1626"/>
      <c r="R448" s="1626"/>
      <c r="S448" s="1626"/>
      <c r="T448" s="1626"/>
      <c r="U448" s="1626"/>
      <c r="V448" s="1626"/>
      <c r="W448" s="1626"/>
      <c r="X448" s="1626"/>
      <c r="Y448" s="1626"/>
      <c r="Z448" s="1626"/>
      <c r="AA448" s="1626"/>
      <c r="AB448" s="1626"/>
      <c r="AC448" s="1626"/>
      <c r="AD448" s="1626"/>
      <c r="AE448" s="1626"/>
      <c r="AF448" s="1762"/>
      <c r="AG448" s="1695">
        <v>5597</v>
      </c>
      <c r="AH448" s="1695"/>
      <c r="AI448" s="1695"/>
      <c r="AJ448" s="1695"/>
      <c r="AZ448" s="3"/>
      <c r="BA448" s="3"/>
      <c r="BB448" s="3"/>
      <c r="BC448" s="3"/>
    </row>
    <row r="449" spans="1:55" ht="12.95" customHeight="1">
      <c r="D449" s="1742" t="s">
        <v>1038</v>
      </c>
      <c r="E449" s="1626"/>
      <c r="F449" s="1626"/>
      <c r="G449" s="1626"/>
      <c r="H449" s="1626"/>
      <c r="I449" s="1626"/>
      <c r="J449" s="1626"/>
      <c r="K449" s="1626"/>
      <c r="L449" s="1626"/>
      <c r="M449" s="1626"/>
      <c r="N449" s="1626"/>
      <c r="O449" s="1626"/>
      <c r="P449" s="1626"/>
      <c r="Q449" s="1626"/>
      <c r="R449" s="1626"/>
      <c r="S449" s="1626"/>
      <c r="T449" s="1626"/>
      <c r="U449" s="1626"/>
      <c r="V449" s="1626"/>
      <c r="W449" s="1626"/>
      <c r="X449" s="1626"/>
      <c r="Y449" s="1626"/>
      <c r="Z449" s="1626"/>
      <c r="AA449" s="1626"/>
      <c r="AB449" s="1626"/>
      <c r="AC449" s="1626"/>
      <c r="AD449" s="1626"/>
      <c r="AE449" s="1626"/>
      <c r="AF449" s="1762"/>
      <c r="AG449" s="1695">
        <v>0</v>
      </c>
      <c r="AH449" s="1695"/>
      <c r="AI449" s="1695"/>
      <c r="AJ449" s="1695"/>
      <c r="BB449" s="3"/>
      <c r="BC449" s="3"/>
    </row>
    <row r="450" spans="1:55" ht="12.95" customHeight="1">
      <c r="D450" s="1768" t="s">
        <v>1039</v>
      </c>
      <c r="E450" s="1769"/>
      <c r="F450" s="1769"/>
      <c r="G450" s="1769"/>
      <c r="H450" s="1769"/>
      <c r="I450" s="1769"/>
      <c r="J450" s="1769"/>
      <c r="K450" s="1769"/>
      <c r="L450" s="1769"/>
      <c r="M450" s="1769"/>
      <c r="N450" s="1769"/>
      <c r="O450" s="1769"/>
      <c r="P450" s="1769"/>
      <c r="Q450" s="1769"/>
      <c r="R450" s="1769"/>
      <c r="S450" s="1769"/>
      <c r="T450" s="1769"/>
      <c r="U450" s="1769"/>
      <c r="V450" s="1769"/>
      <c r="W450" s="1769"/>
      <c r="X450" s="1769"/>
      <c r="Y450" s="1769"/>
      <c r="Z450" s="1769"/>
      <c r="AA450" s="1769"/>
      <c r="AB450" s="1769"/>
      <c r="AC450" s="1769"/>
      <c r="AD450" s="1769"/>
      <c r="AE450" s="1769"/>
      <c r="AF450" s="1770"/>
      <c r="AG450" s="1847">
        <f>AG442+AG446+AG448+AG449</f>
        <v>99927</v>
      </c>
      <c r="AH450" s="1847"/>
      <c r="AI450" s="1847"/>
      <c r="AJ450" s="1847"/>
      <c r="AZ450" s="3"/>
      <c r="BA450" s="3"/>
      <c r="BB450" s="3"/>
      <c r="BC450" s="3"/>
    </row>
    <row r="451" spans="1:55" ht="12.95" customHeight="1">
      <c r="D451" s="1745" t="s">
        <v>1206</v>
      </c>
      <c r="E451" s="1745"/>
      <c r="F451" s="1745"/>
      <c r="G451" s="1745"/>
      <c r="H451" s="1745"/>
      <c r="I451" s="1745"/>
      <c r="J451" s="1745"/>
      <c r="K451" s="1745"/>
      <c r="L451" s="1745"/>
      <c r="M451" s="1745"/>
      <c r="N451" s="1745"/>
      <c r="O451" s="1745"/>
      <c r="P451" s="1745"/>
      <c r="Q451" s="1745"/>
      <c r="R451" s="1745"/>
      <c r="S451" s="1745"/>
      <c r="T451" s="1745"/>
      <c r="U451" s="1745"/>
      <c r="V451" s="1745"/>
      <c r="W451" s="1745"/>
      <c r="X451" s="1745"/>
      <c r="Y451" s="1745"/>
      <c r="Z451" s="1745"/>
      <c r="AA451" s="1745"/>
      <c r="AB451" s="1745"/>
      <c r="AC451" s="1745"/>
      <c r="AD451" s="1745"/>
      <c r="AE451" s="1745"/>
      <c r="AF451" s="1745"/>
      <c r="AG451" s="1745"/>
      <c r="AH451" s="1745"/>
      <c r="AI451" s="1745"/>
      <c r="AJ451" s="1745"/>
      <c r="AZ451" s="3"/>
      <c r="BA451" s="3"/>
      <c r="BB451" s="3"/>
      <c r="BC451" s="3"/>
    </row>
    <row r="452" spans="1:55" ht="12.95" customHeight="1">
      <c r="D452" s="1746"/>
      <c r="E452" s="1746"/>
      <c r="F452" s="1746"/>
      <c r="G452" s="1746"/>
      <c r="H452" s="1746"/>
      <c r="I452" s="1746"/>
      <c r="J452" s="1746"/>
      <c r="K452" s="1746"/>
      <c r="L452" s="1746"/>
      <c r="M452" s="1746"/>
      <c r="N452" s="1746"/>
      <c r="O452" s="1746"/>
      <c r="P452" s="1746"/>
      <c r="Q452" s="1746"/>
      <c r="R452" s="1746"/>
      <c r="S452" s="1746"/>
      <c r="T452" s="1746"/>
      <c r="U452" s="1746"/>
      <c r="V452" s="1746"/>
      <c r="W452" s="1746"/>
      <c r="X452" s="1746"/>
      <c r="Y452" s="1746"/>
      <c r="Z452" s="1746"/>
      <c r="AA452" s="1746"/>
      <c r="AB452" s="1746"/>
      <c r="AC452" s="1746"/>
      <c r="AD452" s="1746"/>
      <c r="AE452" s="1746"/>
      <c r="AF452" s="1746"/>
      <c r="AG452" s="1746"/>
      <c r="AH452" s="1746"/>
      <c r="AI452" s="1746"/>
      <c r="AJ452" s="1746"/>
      <c r="AZ452" s="3"/>
      <c r="BA452" s="3"/>
      <c r="BB452" s="3"/>
      <c r="BC452" s="3"/>
    </row>
    <row r="453" spans="1:55" ht="12.95" customHeight="1">
      <c r="D453" s="531"/>
      <c r="E453" s="177"/>
      <c r="F453" s="177"/>
      <c r="G453" s="177"/>
      <c r="H453" s="177"/>
      <c r="I453" s="177"/>
      <c r="J453" s="177"/>
      <c r="K453" s="177"/>
      <c r="L453" s="177"/>
      <c r="M453" s="177"/>
      <c r="N453" s="177"/>
      <c r="O453" s="177"/>
      <c r="P453" s="177"/>
      <c r="Q453" s="177"/>
      <c r="R453" s="177"/>
      <c r="S453" s="177"/>
      <c r="T453" s="177"/>
      <c r="U453" s="177"/>
      <c r="V453" s="177"/>
      <c r="W453" s="177"/>
      <c r="X453" s="177"/>
      <c r="Y453" s="177"/>
      <c r="Z453" s="177"/>
      <c r="AA453" s="177"/>
      <c r="AB453" s="177"/>
      <c r="AC453" s="177"/>
      <c r="AD453" s="177"/>
      <c r="AE453" s="177"/>
      <c r="AF453" s="177"/>
      <c r="AG453" s="177"/>
      <c r="AH453" s="177"/>
      <c r="AI453" s="177"/>
      <c r="AJ453" s="183"/>
      <c r="AZ453" s="3"/>
      <c r="BA453" s="3" t="str">
        <f>N575</f>
        <v>Yes</v>
      </c>
      <c r="BB453" s="3"/>
      <c r="BC453" s="3"/>
    </row>
    <row r="454" spans="1:55" ht="12.95" customHeight="1">
      <c r="D454" s="205" t="s">
        <v>814</v>
      </c>
      <c r="E454" s="177"/>
      <c r="F454" s="177"/>
      <c r="G454" s="177"/>
      <c r="H454" s="177"/>
      <c r="I454" s="177"/>
      <c r="J454" s="177"/>
      <c r="K454" s="177"/>
      <c r="L454" s="177"/>
      <c r="M454" s="177"/>
      <c r="N454" s="177"/>
      <c r="O454" s="177"/>
      <c r="P454" s="177"/>
      <c r="Q454" s="177"/>
      <c r="R454" s="177"/>
      <c r="S454" s="177"/>
      <c r="T454" s="177"/>
      <c r="U454" s="177"/>
      <c r="V454" s="177"/>
      <c r="W454" s="177"/>
      <c r="X454" s="177"/>
      <c r="Y454" s="177"/>
      <c r="Z454" s="177"/>
      <c r="AA454" s="177"/>
      <c r="AB454" s="177"/>
      <c r="AC454" s="1813">
        <f>IF(AG437=0,"",'Sources and Uses Budget'!B105/Application!AG437)</f>
        <v>486587.59615384613</v>
      </c>
      <c r="AD454" s="1813"/>
      <c r="AE454" s="1813"/>
      <c r="AF454" s="1813"/>
      <c r="AG454" s="177"/>
      <c r="AH454" s="177"/>
      <c r="AI454" s="177"/>
      <c r="AJ454" s="183"/>
      <c r="AZ454" s="3"/>
      <c r="BA454" s="3" t="str">
        <f>AG575</f>
        <v>Yes</v>
      </c>
      <c r="BB454" s="3"/>
      <c r="BC454" s="3"/>
    </row>
    <row r="455" spans="1:55" ht="12.95" customHeight="1">
      <c r="D455" s="205" t="s">
        <v>815</v>
      </c>
      <c r="E455" s="177"/>
      <c r="F455" s="177"/>
      <c r="G455" s="177"/>
      <c r="H455" s="177"/>
      <c r="I455" s="177"/>
      <c r="J455" s="177"/>
      <c r="K455" s="177"/>
      <c r="L455" s="177"/>
      <c r="M455" s="177"/>
      <c r="N455" s="177"/>
      <c r="O455" s="177"/>
      <c r="P455" s="177"/>
      <c r="Q455" s="177"/>
      <c r="R455" s="177"/>
      <c r="S455" s="177"/>
      <c r="T455" s="177"/>
      <c r="U455" s="177"/>
      <c r="V455" s="177"/>
      <c r="W455" s="177"/>
      <c r="X455" s="177"/>
      <c r="Y455" s="177"/>
      <c r="Z455" s="177"/>
      <c r="AA455" s="177"/>
      <c r="AB455" s="177"/>
      <c r="AC455" s="1813">
        <f>IF(AG437=0,"",'Sources and Uses Budget'!C105/Application!AG437)</f>
        <v>486587.59615384613</v>
      </c>
      <c r="AD455" s="1813"/>
      <c r="AE455" s="1813"/>
      <c r="AF455" s="1813"/>
      <c r="AG455" s="177"/>
      <c r="AH455" s="177"/>
      <c r="AI455" s="177"/>
      <c r="AJ455" s="183"/>
      <c r="AZ455" s="3"/>
      <c r="BA455" s="3"/>
      <c r="BB455" s="3"/>
      <c r="BC455" s="3"/>
    </row>
    <row r="456" spans="1:55" ht="12.95" customHeight="1">
      <c r="D456" s="205" t="s">
        <v>863</v>
      </c>
      <c r="E456" s="177"/>
      <c r="F456" s="177"/>
      <c r="G456" s="177"/>
      <c r="H456" s="177"/>
      <c r="I456" s="177"/>
      <c r="J456" s="177"/>
      <c r="K456" s="177"/>
      <c r="L456" s="177"/>
      <c r="M456" s="177"/>
      <c r="N456" s="177"/>
      <c r="O456" s="177"/>
      <c r="P456" s="177"/>
      <c r="Q456" s="177"/>
      <c r="R456" s="177"/>
      <c r="S456" s="177"/>
      <c r="T456" s="177"/>
      <c r="U456" s="177"/>
      <c r="V456" s="177"/>
      <c r="W456" s="177"/>
      <c r="X456" s="177"/>
      <c r="Y456" s="177"/>
      <c r="Z456" s="177"/>
      <c r="AA456" s="177"/>
      <c r="AB456" s="177"/>
      <c r="AC456" s="1813">
        <f>IF(AG437=0,"",('Sources and Uses Budget'!$S$107+'Sources and Uses Budget'!$T$107)/Application!AG437)</f>
        <v>452462.39423076925</v>
      </c>
      <c r="AD456" s="1813"/>
      <c r="AE456" s="1813"/>
      <c r="AF456" s="1813"/>
      <c r="AG456" s="177"/>
      <c r="AH456" s="177"/>
      <c r="AI456" s="177"/>
      <c r="AJ456" s="183"/>
      <c r="AZ456" s="3"/>
      <c r="BA456" s="3"/>
      <c r="BB456" s="3"/>
      <c r="BC456" s="3"/>
    </row>
    <row r="457" spans="1:55" ht="12.95" customHeight="1">
      <c r="D457" s="177"/>
      <c r="E457" s="177"/>
      <c r="F457" s="1732" t="str">
        <f>IFERROR(IF(AC454&gt;650000,"Please provide a justification of cost per unit in Tab 12 for all projects with per unit costs of greater than $650,000.",""),"")</f>
        <v/>
      </c>
      <c r="G457" s="1732"/>
      <c r="H457" s="1732"/>
      <c r="I457" s="1732"/>
      <c r="J457" s="1732"/>
      <c r="K457" s="1732"/>
      <c r="L457" s="1732"/>
      <c r="M457" s="1732"/>
      <c r="N457" s="1732"/>
      <c r="O457" s="1732"/>
      <c r="P457" s="1732"/>
      <c r="Q457" s="1732"/>
      <c r="R457" s="1732"/>
      <c r="S457" s="1732"/>
      <c r="T457" s="1732"/>
      <c r="U457" s="1732"/>
      <c r="V457" s="1732"/>
      <c r="W457" s="1732"/>
      <c r="X457" s="1732"/>
      <c r="Y457" s="1732"/>
      <c r="Z457" s="1732"/>
      <c r="AA457" s="1732"/>
      <c r="AB457" s="1732"/>
      <c r="AC457" s="515"/>
      <c r="AD457" s="177"/>
      <c r="AE457" s="177"/>
      <c r="AF457" s="177"/>
      <c r="AG457" s="177"/>
      <c r="AH457" s="177"/>
      <c r="AI457" s="177"/>
      <c r="AJ457" s="183"/>
      <c r="AZ457" s="3"/>
      <c r="BA457" s="3"/>
      <c r="BB457" s="3"/>
      <c r="BC457" s="3"/>
    </row>
    <row r="458" spans="1:55" ht="12.95" customHeight="1">
      <c r="A458" s="2"/>
      <c r="D458" s="2"/>
      <c r="E458" s="177"/>
      <c r="F458" s="1732"/>
      <c r="G458" s="1732"/>
      <c r="H458" s="1732"/>
      <c r="I458" s="1732"/>
      <c r="J458" s="1732"/>
      <c r="K458" s="1732"/>
      <c r="L458" s="1732"/>
      <c r="M458" s="1732"/>
      <c r="N458" s="1732"/>
      <c r="O458" s="1732"/>
      <c r="P458" s="1732"/>
      <c r="Q458" s="1732"/>
      <c r="R458" s="1732"/>
      <c r="S458" s="1732"/>
      <c r="T458" s="1732"/>
      <c r="U458" s="1732"/>
      <c r="V458" s="1732"/>
      <c r="W458" s="1732"/>
      <c r="X458" s="1732"/>
      <c r="Y458" s="1732"/>
      <c r="Z458" s="1732"/>
      <c r="AA458" s="1732"/>
      <c r="AB458" s="1732"/>
      <c r="AC458" s="177"/>
      <c r="AD458" s="177"/>
      <c r="AE458" s="177"/>
      <c r="AF458" s="177"/>
      <c r="AG458" s="177"/>
      <c r="AH458" s="177"/>
      <c r="AI458" s="177"/>
      <c r="AJ458" s="183"/>
      <c r="AZ458" s="3"/>
      <c r="BA458" s="3"/>
      <c r="BB458" s="3"/>
      <c r="BC458" s="3"/>
    </row>
    <row r="459" spans="1:55" ht="12.95" customHeight="1">
      <c r="A459" s="2" t="s">
        <v>613</v>
      </c>
      <c r="D459" s="2" t="s">
        <v>247</v>
      </c>
      <c r="E459" s="177"/>
      <c r="F459" s="177"/>
      <c r="G459" s="177"/>
      <c r="H459" s="177"/>
      <c r="I459" s="177"/>
      <c r="J459" s="177"/>
      <c r="K459" s="177"/>
      <c r="L459" s="177"/>
      <c r="M459" s="177"/>
      <c r="N459" s="177"/>
      <c r="O459" s="177"/>
      <c r="P459" s="177"/>
      <c r="Q459" s="177"/>
      <c r="R459" s="177"/>
      <c r="S459" s="177"/>
      <c r="T459" s="177"/>
      <c r="U459" s="177"/>
      <c r="V459" s="177"/>
      <c r="W459" s="177"/>
      <c r="X459" s="177"/>
      <c r="Y459" s="177"/>
      <c r="Z459" s="177"/>
      <c r="AA459" s="177"/>
      <c r="AB459" s="177"/>
      <c r="AC459" s="177"/>
      <c r="AD459" s="177"/>
      <c r="AE459" s="177"/>
      <c r="AF459" s="177"/>
      <c r="AG459" s="177"/>
      <c r="AH459" s="177"/>
      <c r="AI459" s="177"/>
      <c r="AJ459" s="183"/>
      <c r="AZ459" s="3"/>
      <c r="BA459" s="3"/>
      <c r="BB459" s="3"/>
      <c r="BC459" s="3"/>
    </row>
    <row r="460" spans="1:55" ht="12.95" customHeight="1">
      <c r="D460" s="184" t="s">
        <v>1876</v>
      </c>
      <c r="E460" s="177"/>
      <c r="F460" s="177"/>
      <c r="G460" s="177"/>
      <c r="H460" s="177"/>
      <c r="I460" s="177"/>
      <c r="J460" s="177"/>
      <c r="K460" s="177"/>
      <c r="L460" s="177"/>
      <c r="M460" s="177"/>
      <c r="N460" s="177"/>
      <c r="O460" s="177"/>
      <c r="P460" s="177"/>
      <c r="Q460" s="177"/>
      <c r="R460" s="177"/>
      <c r="S460" s="177"/>
      <c r="T460" s="177"/>
      <c r="U460" s="177"/>
      <c r="V460" s="177"/>
      <c r="W460" s="177"/>
      <c r="X460" s="177"/>
      <c r="Y460" s="177"/>
      <c r="Z460" s="177"/>
      <c r="AA460" s="177"/>
      <c r="AB460" s="177"/>
      <c r="AC460" s="177"/>
      <c r="AD460" s="177"/>
      <c r="AE460" s="177"/>
      <c r="AF460" s="177"/>
      <c r="AG460" s="177"/>
      <c r="AH460" s="177"/>
      <c r="AI460" s="177"/>
      <c r="AJ460" s="183"/>
      <c r="AZ460" s="3"/>
      <c r="BA460" s="3"/>
      <c r="BB460" s="3"/>
      <c r="BC460" s="3"/>
    </row>
    <row r="461" spans="1:55" ht="12.95" customHeight="1">
      <c r="D461" s="184" t="s">
        <v>1877</v>
      </c>
      <c r="E461" s="177"/>
      <c r="F461" s="177"/>
      <c r="G461" s="177"/>
      <c r="H461" s="177"/>
      <c r="I461" s="177"/>
      <c r="J461" s="177"/>
      <c r="K461" s="177"/>
      <c r="L461" s="177"/>
      <c r="M461" s="177"/>
      <c r="N461" s="177"/>
      <c r="O461" s="177"/>
      <c r="P461" s="177"/>
      <c r="Q461" s="177"/>
      <c r="R461" s="177"/>
      <c r="S461" s="177"/>
      <c r="T461" s="177"/>
      <c r="U461" s="177"/>
      <c r="V461" s="177"/>
      <c r="W461" s="177"/>
      <c r="X461" s="177"/>
      <c r="Y461" s="177"/>
      <c r="Z461" s="177"/>
      <c r="AA461" s="177"/>
      <c r="AB461" s="177"/>
      <c r="AC461" s="177"/>
      <c r="AD461" s="177"/>
      <c r="AE461" s="177"/>
      <c r="AF461" s="177"/>
      <c r="AG461" s="177"/>
      <c r="AH461" s="177"/>
      <c r="AI461" s="177"/>
      <c r="AJ461" s="183"/>
      <c r="AZ461" s="3"/>
      <c r="BA461" s="3" t="str">
        <f>N583</f>
        <v>Yes</v>
      </c>
      <c r="BB461" s="3"/>
      <c r="BC461" s="3"/>
    </row>
    <row r="462" spans="1:55" ht="12.95" customHeight="1">
      <c r="D462" s="184" t="s">
        <v>1878</v>
      </c>
      <c r="E462" s="177"/>
      <c r="F462" s="177"/>
      <c r="G462" s="177"/>
      <c r="H462" s="177"/>
      <c r="I462" s="177"/>
      <c r="J462" s="177"/>
      <c r="K462" s="177"/>
      <c r="L462" s="177"/>
      <c r="M462" s="177"/>
      <c r="N462" s="177"/>
      <c r="O462" s="177"/>
      <c r="P462" s="177"/>
      <c r="Q462" s="177"/>
      <c r="R462" s="177"/>
      <c r="S462" s="177"/>
      <c r="T462" s="177"/>
      <c r="U462" s="177"/>
      <c r="V462" s="177"/>
      <c r="W462" s="177"/>
      <c r="X462" s="177"/>
      <c r="Y462" s="177"/>
      <c r="Z462" s="177"/>
      <c r="AA462" s="177"/>
      <c r="AB462" s="177"/>
      <c r="AC462" s="177"/>
      <c r="AD462" s="177"/>
      <c r="AE462" s="177"/>
      <c r="AF462" s="177"/>
      <c r="AG462" s="177"/>
      <c r="AH462" s="177"/>
      <c r="AI462" s="177"/>
      <c r="AJ462" s="183"/>
      <c r="AZ462" s="3"/>
      <c r="BA462" s="3" t="str">
        <f>AG583</f>
        <v>Yes</v>
      </c>
      <c r="BB462" s="3"/>
      <c r="BC462" s="3"/>
    </row>
    <row r="463" spans="1:55" ht="12.95" customHeight="1">
      <c r="D463" s="531"/>
      <c r="E463" s="177"/>
      <c r="F463" s="177"/>
      <c r="G463" s="177"/>
      <c r="H463" s="177"/>
      <c r="I463" s="177"/>
      <c r="J463" s="177"/>
      <c r="K463" s="177"/>
      <c r="L463" s="177"/>
      <c r="M463" s="177"/>
      <c r="N463" s="177"/>
      <c r="O463" s="177"/>
      <c r="P463" s="177"/>
      <c r="Q463" s="177"/>
      <c r="R463" s="177"/>
      <c r="S463" s="177"/>
      <c r="T463" s="177"/>
      <c r="U463" s="177"/>
      <c r="V463" s="177"/>
      <c r="W463" s="177"/>
      <c r="X463" s="177"/>
      <c r="Y463" s="177"/>
      <c r="Z463" s="177"/>
      <c r="AA463" s="177"/>
      <c r="AB463" s="177"/>
      <c r="AC463" s="177"/>
      <c r="AD463" s="177"/>
      <c r="AE463" s="177"/>
      <c r="AF463" s="177"/>
      <c r="AG463" s="177"/>
      <c r="AH463" s="177"/>
      <c r="AI463" s="177"/>
      <c r="AJ463" s="183"/>
      <c r="AZ463" s="3"/>
      <c r="BA463" s="3"/>
      <c r="BB463" s="3"/>
      <c r="BC463" s="3"/>
    </row>
    <row r="464" spans="1:55" ht="12.95" customHeight="1">
      <c r="A464" s="3"/>
      <c r="B464" s="3"/>
      <c r="C464" s="3"/>
      <c r="D464" s="185" t="s">
        <v>692</v>
      </c>
      <c r="E464" s="184"/>
      <c r="F464" s="184"/>
      <c r="G464" s="184"/>
      <c r="H464" s="184"/>
      <c r="I464" s="184"/>
      <c r="J464" s="184"/>
      <c r="K464" s="184"/>
      <c r="L464" s="184"/>
      <c r="M464" s="184"/>
      <c r="N464" s="184"/>
      <c r="O464" s="184"/>
      <c r="P464" s="184"/>
      <c r="Q464" s="184"/>
      <c r="R464" s="184"/>
      <c r="S464" s="184"/>
      <c r="T464" s="184"/>
      <c r="U464" s="184"/>
      <c r="V464" s="184"/>
      <c r="W464" s="184"/>
      <c r="X464" s="184"/>
      <c r="Y464" s="184"/>
      <c r="Z464" s="184"/>
      <c r="AA464" s="184"/>
      <c r="AB464" s="184"/>
      <c r="AC464" s="184"/>
      <c r="AD464" s="177"/>
      <c r="AE464" s="177"/>
      <c r="AF464" s="177"/>
      <c r="AG464" s="177"/>
      <c r="AH464" s="177"/>
      <c r="AI464" s="177"/>
      <c r="AJ464" s="183"/>
      <c r="AZ464" s="3"/>
      <c r="BA464" s="3"/>
      <c r="BB464" s="3"/>
      <c r="BC464" s="3"/>
    </row>
    <row r="465" spans="1:55" ht="12.95" customHeight="1">
      <c r="A465" s="3"/>
      <c r="B465" s="3"/>
      <c r="C465" s="3"/>
      <c r="D465" s="1763" t="s">
        <v>2100</v>
      </c>
      <c r="E465" s="1754"/>
      <c r="F465" s="1754"/>
      <c r="G465" s="1754"/>
      <c r="H465" s="1754"/>
      <c r="I465" s="1754"/>
      <c r="J465" s="1754"/>
      <c r="K465" s="1754"/>
      <c r="L465" s="1754"/>
      <c r="M465" s="1754"/>
      <c r="N465" s="1754"/>
      <c r="O465" s="1754"/>
      <c r="P465" s="1754"/>
      <c r="Q465" s="1754"/>
      <c r="R465" s="1754"/>
      <c r="S465" s="1754"/>
      <c r="T465" s="1754"/>
      <c r="U465" s="1754"/>
      <c r="V465" s="1755"/>
      <c r="W465" s="1665">
        <v>0</v>
      </c>
      <c r="X465" s="1666"/>
      <c r="Y465" s="1667"/>
      <c r="Z465" s="184"/>
      <c r="AA465" s="184"/>
      <c r="AB465" s="184"/>
      <c r="AC465" s="184"/>
      <c r="AD465" s="177"/>
      <c r="AE465" s="177"/>
      <c r="AF465" s="177"/>
      <c r="AG465" s="177"/>
      <c r="AH465" s="177"/>
      <c r="AI465" s="177"/>
      <c r="AJ465" s="183"/>
      <c r="AZ465" s="3"/>
      <c r="BA465" s="3"/>
      <c r="BB465" s="3"/>
      <c r="BC465" s="3"/>
    </row>
    <row r="466" spans="1:55" ht="12.95" customHeight="1">
      <c r="A466" s="3"/>
      <c r="B466" s="3"/>
      <c r="C466" s="3"/>
      <c r="D466" s="1753" t="s">
        <v>693</v>
      </c>
      <c r="E466" s="1754"/>
      <c r="F466" s="1754"/>
      <c r="G466" s="1754"/>
      <c r="H466" s="1754"/>
      <c r="I466" s="1754"/>
      <c r="J466" s="1754"/>
      <c r="K466" s="1754"/>
      <c r="L466" s="1754"/>
      <c r="M466" s="1754"/>
      <c r="N466" s="1754"/>
      <c r="O466" s="1754"/>
      <c r="P466" s="1754"/>
      <c r="Q466" s="1754"/>
      <c r="R466" s="1754"/>
      <c r="S466" s="1754"/>
      <c r="T466" s="1754"/>
      <c r="U466" s="1754"/>
      <c r="V466" s="1755"/>
      <c r="W466" s="1665">
        <v>0</v>
      </c>
      <c r="X466" s="1666"/>
      <c r="Y466" s="1667"/>
      <c r="Z466" s="184"/>
      <c r="AA466" s="184"/>
      <c r="AB466" s="184"/>
      <c r="AC466" s="184"/>
      <c r="AD466" s="177"/>
      <c r="AE466" s="177"/>
      <c r="AF466" s="177"/>
      <c r="AG466" s="177"/>
      <c r="AH466" s="177"/>
      <c r="AI466" s="177"/>
      <c r="AJ466" s="183"/>
      <c r="AZ466" s="3"/>
      <c r="BA466" s="3"/>
      <c r="BB466" s="3"/>
      <c r="BC466" s="3"/>
    </row>
    <row r="467" spans="1:55" ht="12.95" customHeight="1">
      <c r="A467" s="3"/>
      <c r="B467" s="3"/>
      <c r="C467" s="3"/>
      <c r="D467" s="1753" t="s">
        <v>694</v>
      </c>
      <c r="E467" s="1754"/>
      <c r="F467" s="1754"/>
      <c r="G467" s="1754"/>
      <c r="H467" s="1754"/>
      <c r="I467" s="1754"/>
      <c r="J467" s="1754"/>
      <c r="K467" s="1754"/>
      <c r="L467" s="1754"/>
      <c r="M467" s="1754"/>
      <c r="N467" s="1754"/>
      <c r="O467" s="1754"/>
      <c r="P467" s="1754"/>
      <c r="Q467" s="1754"/>
      <c r="R467" s="1754"/>
      <c r="S467" s="1754"/>
      <c r="T467" s="1754"/>
      <c r="U467" s="1754"/>
      <c r="V467" s="1755"/>
      <c r="W467" s="1665">
        <v>0</v>
      </c>
      <c r="X467" s="1666"/>
      <c r="Y467" s="1667"/>
      <c r="Z467" s="184"/>
      <c r="AA467" s="184"/>
      <c r="AB467" s="184"/>
      <c r="AC467" s="184"/>
      <c r="AD467" s="177"/>
      <c r="AE467" s="177"/>
      <c r="AF467" s="177"/>
      <c r="AG467" s="177"/>
      <c r="AH467" s="177"/>
      <c r="AI467" s="177"/>
      <c r="AJ467" s="183"/>
      <c r="AZ467" s="3"/>
      <c r="BA467" s="3"/>
      <c r="BB467" s="3"/>
      <c r="BC467" s="3"/>
    </row>
    <row r="468" spans="1:55" ht="12.95" customHeight="1">
      <c r="A468" s="3"/>
      <c r="B468" s="3"/>
      <c r="C468" s="3"/>
      <c r="D468" s="1753" t="s">
        <v>695</v>
      </c>
      <c r="E468" s="1754"/>
      <c r="F468" s="1754"/>
      <c r="G468" s="1754"/>
      <c r="H468" s="1754"/>
      <c r="I468" s="1754"/>
      <c r="J468" s="1754"/>
      <c r="K468" s="1754"/>
      <c r="L468" s="1754"/>
      <c r="M468" s="1754"/>
      <c r="N468" s="1754"/>
      <c r="O468" s="1754"/>
      <c r="P468" s="1754"/>
      <c r="Q468" s="1754"/>
      <c r="R468" s="1754"/>
      <c r="S468" s="1754"/>
      <c r="T468" s="1754"/>
      <c r="U468" s="1754"/>
      <c r="V468" s="1755"/>
      <c r="W468" s="1665">
        <v>0</v>
      </c>
      <c r="X468" s="1666"/>
      <c r="Y468" s="1667"/>
      <c r="Z468" s="184"/>
      <c r="AA468" s="184"/>
      <c r="AB468" s="184"/>
      <c r="AC468" s="184"/>
      <c r="AD468" s="177"/>
      <c r="AE468" s="177"/>
      <c r="AF468" s="177"/>
      <c r="AG468" s="177"/>
      <c r="AH468" s="177"/>
      <c r="AI468" s="177"/>
      <c r="AJ468" s="183"/>
      <c r="AZ468" s="3"/>
      <c r="BA468" s="3"/>
      <c r="BB468" s="3"/>
      <c r="BC468" s="3"/>
    </row>
    <row r="469" spans="1:55" ht="12.95" customHeight="1">
      <c r="A469" s="3"/>
      <c r="B469" s="3"/>
      <c r="C469" s="3"/>
      <c r="D469" s="1753" t="s">
        <v>881</v>
      </c>
      <c r="E469" s="1754"/>
      <c r="F469" s="1754"/>
      <c r="G469" s="1754"/>
      <c r="H469" s="1754"/>
      <c r="I469" s="1754"/>
      <c r="J469" s="1754"/>
      <c r="K469" s="1754"/>
      <c r="L469" s="1754"/>
      <c r="M469" s="1754"/>
      <c r="N469" s="1754"/>
      <c r="O469" s="1754"/>
      <c r="P469" s="1754"/>
      <c r="Q469" s="1754"/>
      <c r="R469" s="1754"/>
      <c r="S469" s="1754"/>
      <c r="T469" s="1754"/>
      <c r="U469" s="1754"/>
      <c r="V469" s="1755"/>
      <c r="W469" s="1665">
        <v>0</v>
      </c>
      <c r="X469" s="1666"/>
      <c r="Y469" s="1667"/>
      <c r="Z469" s="184"/>
      <c r="AA469" s="184"/>
      <c r="AB469" s="184"/>
      <c r="AC469" s="184"/>
      <c r="AD469" s="177"/>
      <c r="AE469" s="177"/>
      <c r="AF469" s="177"/>
      <c r="AG469" s="177"/>
      <c r="AH469" s="177"/>
      <c r="AI469" s="177"/>
      <c r="AJ469" s="183"/>
      <c r="AZ469" s="3"/>
      <c r="BA469" s="3" t="str">
        <f>N591</f>
        <v>Yes</v>
      </c>
      <c r="BB469" s="3"/>
      <c r="BC469" s="3"/>
    </row>
    <row r="470" spans="1:55" ht="12.95" customHeight="1">
      <c r="A470" s="3"/>
      <c r="B470" s="3"/>
      <c r="C470" s="3"/>
      <c r="D470" s="1753" t="s">
        <v>696</v>
      </c>
      <c r="E470" s="1754"/>
      <c r="F470" s="1754"/>
      <c r="G470" s="1754"/>
      <c r="H470" s="1754"/>
      <c r="I470" s="1754"/>
      <c r="J470" s="1754"/>
      <c r="K470" s="1754"/>
      <c r="L470" s="1754"/>
      <c r="M470" s="1754"/>
      <c r="N470" s="1754"/>
      <c r="O470" s="1754"/>
      <c r="P470" s="1754"/>
      <c r="Q470" s="1754"/>
      <c r="R470" s="1754"/>
      <c r="S470" s="1754"/>
      <c r="T470" s="1754"/>
      <c r="U470" s="1754"/>
      <c r="V470" s="1755"/>
      <c r="W470" s="1665">
        <v>0</v>
      </c>
      <c r="X470" s="1666"/>
      <c r="Y470" s="1667"/>
      <c r="Z470" s="184"/>
      <c r="AA470" s="184"/>
      <c r="AB470" s="184"/>
      <c r="AC470" s="184"/>
      <c r="AD470" s="177"/>
      <c r="AE470" s="177"/>
      <c r="AF470" s="177"/>
      <c r="AG470" s="177"/>
      <c r="AH470" s="177"/>
      <c r="AI470" s="177"/>
      <c r="AJ470" s="183"/>
      <c r="AZ470" s="3"/>
      <c r="BA470" s="3" t="str">
        <f>AG591</f>
        <v>No</v>
      </c>
      <c r="BB470" s="3"/>
      <c r="BC470" s="3"/>
    </row>
    <row r="471" spans="1:55" ht="12.95" customHeight="1">
      <c r="A471" s="3"/>
      <c r="B471" s="3"/>
      <c r="C471" s="3"/>
      <c r="D471" s="1753" t="s">
        <v>1012</v>
      </c>
      <c r="E471" s="1754"/>
      <c r="F471" s="1754"/>
      <c r="G471" s="1754"/>
      <c r="H471" s="1754"/>
      <c r="I471" s="1754"/>
      <c r="J471" s="1754"/>
      <c r="K471" s="1754"/>
      <c r="L471" s="1754"/>
      <c r="M471" s="1754"/>
      <c r="N471" s="1754"/>
      <c r="O471" s="1754"/>
      <c r="P471" s="1754"/>
      <c r="Q471" s="1754"/>
      <c r="R471" s="1754"/>
      <c r="S471" s="1754"/>
      <c r="T471" s="1754"/>
      <c r="U471" s="1754"/>
      <c r="V471" s="1755"/>
      <c r="W471" s="1665">
        <v>0</v>
      </c>
      <c r="X471" s="1666"/>
      <c r="Y471" s="1667"/>
      <c r="Z471" s="184"/>
      <c r="AA471" s="184"/>
      <c r="AB471" s="184"/>
      <c r="AC471" s="184"/>
      <c r="AD471" s="177"/>
      <c r="AE471" s="177"/>
      <c r="AF471" s="177"/>
      <c r="AG471" s="177"/>
      <c r="AH471" s="177"/>
      <c r="AI471" s="177"/>
      <c r="AJ471" s="183"/>
      <c r="AZ471" s="3"/>
      <c r="BA471" s="3"/>
      <c r="BB471" s="3"/>
      <c r="BC471" s="3"/>
    </row>
    <row r="472" spans="1:55" ht="12.95" customHeight="1">
      <c r="A472" s="3"/>
      <c r="B472" s="3"/>
      <c r="C472" s="3"/>
      <c r="D472" s="1763" t="s">
        <v>2191</v>
      </c>
      <c r="E472" s="1851"/>
      <c r="F472" s="1851"/>
      <c r="G472" s="1851"/>
      <c r="H472" s="1851"/>
      <c r="I472" s="1851"/>
      <c r="J472" s="1851"/>
      <c r="K472" s="1851"/>
      <c r="L472" s="1851"/>
      <c r="M472" s="1851"/>
      <c r="N472" s="1851"/>
      <c r="O472" s="1851"/>
      <c r="P472" s="1851"/>
      <c r="Q472" s="1851"/>
      <c r="R472" s="1851"/>
      <c r="S472" s="1851"/>
      <c r="T472" s="1851"/>
      <c r="U472" s="1851"/>
      <c r="V472" s="1852"/>
      <c r="W472" s="1665">
        <v>0</v>
      </c>
      <c r="X472" s="1666"/>
      <c r="Y472" s="1667"/>
      <c r="Z472" s="184"/>
      <c r="AA472" s="184"/>
      <c r="AB472" s="184"/>
      <c r="AC472" s="184"/>
      <c r="AD472" s="177"/>
      <c r="AE472" s="177"/>
      <c r="AF472" s="177"/>
      <c r="AG472" s="177"/>
      <c r="AH472" s="177"/>
      <c r="AI472" s="177"/>
      <c r="AJ472" s="183"/>
      <c r="AZ472" s="3"/>
      <c r="BA472" s="3"/>
      <c r="BB472" s="3"/>
      <c r="BC472" s="3"/>
    </row>
    <row r="473" spans="1:55" ht="12.95" customHeight="1">
      <c r="A473" s="3"/>
      <c r="B473" s="3"/>
      <c r="C473" s="3"/>
      <c r="D473" s="1763" t="s">
        <v>1654</v>
      </c>
      <c r="E473" s="1754"/>
      <c r="F473" s="1754"/>
      <c r="G473" s="1754"/>
      <c r="H473" s="1754"/>
      <c r="I473" s="1754"/>
      <c r="J473" s="1754"/>
      <c r="K473" s="1754"/>
      <c r="L473" s="1754"/>
      <c r="M473" s="1754"/>
      <c r="N473" s="1754"/>
      <c r="O473" s="1754"/>
      <c r="P473" s="1754"/>
      <c r="Q473" s="1754"/>
      <c r="R473" s="1754"/>
      <c r="S473" s="1754"/>
      <c r="T473" s="1754"/>
      <c r="U473" s="1754"/>
      <c r="V473" s="1755"/>
      <c r="W473" s="1665">
        <v>26</v>
      </c>
      <c r="X473" s="1666"/>
      <c r="Y473" s="1667"/>
      <c r="Z473" s="184"/>
      <c r="AA473" s="184"/>
      <c r="AB473" s="184"/>
      <c r="AC473" s="184"/>
      <c r="AD473" s="177"/>
      <c r="AE473" s="177"/>
      <c r="AF473" s="177"/>
      <c r="AG473" s="177"/>
      <c r="AH473" s="177"/>
      <c r="AI473" s="177"/>
      <c r="AJ473" s="183"/>
      <c r="AZ473" s="3"/>
      <c r="BA473" s="3"/>
      <c r="BB473" s="3"/>
      <c r="BC473" s="3"/>
    </row>
    <row r="474" spans="1:55" ht="12.95" customHeight="1">
      <c r="A474" s="3"/>
      <c r="B474" s="3"/>
      <c r="C474" s="3"/>
      <c r="D474" s="243" t="s">
        <v>169</v>
      </c>
      <c r="E474" s="244"/>
      <c r="F474" s="245"/>
      <c r="G474" s="1697"/>
      <c r="H474" s="1698"/>
      <c r="I474" s="1698"/>
      <c r="J474" s="1698"/>
      <c r="K474" s="1698"/>
      <c r="L474" s="1698"/>
      <c r="M474" s="1698"/>
      <c r="N474" s="1698"/>
      <c r="O474" s="1698"/>
      <c r="P474" s="1698"/>
      <c r="Q474" s="1698"/>
      <c r="R474" s="1698"/>
      <c r="S474" s="1698"/>
      <c r="T474" s="1698"/>
      <c r="U474" s="1698"/>
      <c r="V474" s="1699"/>
      <c r="W474" s="1665">
        <v>0</v>
      </c>
      <c r="X474" s="1666"/>
      <c r="Y474" s="1667"/>
      <c r="Z474" s="184"/>
      <c r="AA474" s="184"/>
      <c r="AB474" s="184"/>
      <c r="AC474" s="184"/>
      <c r="AD474" s="177"/>
      <c r="AE474" s="177"/>
      <c r="AF474" s="177"/>
      <c r="AG474" s="177"/>
      <c r="AH474" s="177"/>
      <c r="AI474" s="177"/>
      <c r="AJ474" s="183"/>
      <c r="AZ474" s="3"/>
      <c r="BA474" s="3"/>
      <c r="BB474" s="3"/>
      <c r="BC474" s="3"/>
    </row>
    <row r="475" spans="1:55" ht="12.95" customHeight="1">
      <c r="A475" s="3"/>
      <c r="B475" s="3"/>
      <c r="C475" s="3"/>
      <c r="D475" s="246" t="s">
        <v>882</v>
      </c>
      <c r="E475" s="247"/>
      <c r="F475" s="247"/>
      <c r="G475" s="185"/>
      <c r="H475" s="185"/>
      <c r="I475" s="185"/>
      <c r="J475" s="185"/>
      <c r="K475" s="185"/>
      <c r="L475" s="185"/>
      <c r="M475" s="185"/>
      <c r="N475" s="185"/>
      <c r="O475" s="185"/>
      <c r="P475" s="185"/>
      <c r="Q475" s="185"/>
      <c r="R475" s="185"/>
      <c r="S475" s="185"/>
      <c r="T475" s="185"/>
      <c r="U475" s="185"/>
      <c r="V475" s="185"/>
      <c r="W475" s="248"/>
      <c r="X475" s="248"/>
      <c r="Y475" s="249"/>
      <c r="Z475" s="184"/>
      <c r="AA475" s="184"/>
      <c r="AB475" s="184"/>
      <c r="AC475" s="184"/>
      <c r="AD475" s="177"/>
      <c r="AE475" s="177"/>
      <c r="AF475" s="177"/>
      <c r="AG475" s="177"/>
      <c r="AH475" s="177"/>
      <c r="AI475" s="177"/>
      <c r="AJ475" s="183"/>
      <c r="AZ475" s="3"/>
      <c r="BA475" s="3"/>
      <c r="BB475" s="3"/>
      <c r="BC475" s="3"/>
    </row>
    <row r="476" spans="1:55" ht="12.95" customHeight="1">
      <c r="A476" s="3"/>
      <c r="B476" s="3"/>
      <c r="C476" s="3"/>
      <c r="D476" s="250"/>
      <c r="E476" s="251"/>
      <c r="F476" s="251"/>
      <c r="G476" s="251"/>
      <c r="H476" s="251"/>
      <c r="I476" s="251"/>
      <c r="J476" s="251"/>
      <c r="K476" s="251"/>
      <c r="L476" s="251"/>
      <c r="M476" s="251"/>
      <c r="N476" s="251"/>
      <c r="O476" s="251"/>
      <c r="P476" s="251"/>
      <c r="Q476" s="251"/>
      <c r="R476" s="251"/>
      <c r="S476" s="251"/>
      <c r="T476" s="251"/>
      <c r="U476" s="251"/>
      <c r="V476" s="251"/>
      <c r="W476" s="252"/>
      <c r="X476" s="252"/>
      <c r="Y476" s="253"/>
      <c r="Z476" s="184"/>
      <c r="AA476" s="184"/>
      <c r="AB476" s="184"/>
      <c r="AC476" s="184"/>
      <c r="AD476" s="177"/>
      <c r="AE476" s="177"/>
      <c r="AF476" s="177"/>
      <c r="AG476" s="177"/>
      <c r="AH476" s="177"/>
      <c r="AI476" s="177"/>
      <c r="AJ476" s="183"/>
      <c r="AZ476" s="3"/>
      <c r="BA476" s="3"/>
      <c r="BB476" s="3"/>
      <c r="BC476" s="3"/>
    </row>
    <row r="477" spans="1:55" ht="12.95" customHeight="1">
      <c r="A477" s="3"/>
      <c r="B477" s="3"/>
      <c r="C477" s="3"/>
      <c r="D477" s="250"/>
      <c r="E477" s="251"/>
      <c r="F477" s="251"/>
      <c r="G477" s="251"/>
      <c r="H477" s="251"/>
      <c r="I477" s="251"/>
      <c r="J477" s="251"/>
      <c r="K477" s="251"/>
      <c r="L477" s="251"/>
      <c r="M477" s="251"/>
      <c r="N477" s="251"/>
      <c r="O477" s="251"/>
      <c r="P477" s="251"/>
      <c r="Q477" s="251"/>
      <c r="R477" s="251"/>
      <c r="S477" s="251"/>
      <c r="T477" s="251"/>
      <c r="U477" s="251"/>
      <c r="V477" s="251"/>
      <c r="W477" s="252"/>
      <c r="X477" s="252"/>
      <c r="Y477" s="253"/>
      <c r="Z477" s="184"/>
      <c r="AA477" s="184"/>
      <c r="AB477" s="184"/>
      <c r="AC477" s="184"/>
      <c r="AD477" s="177"/>
      <c r="AE477" s="177"/>
      <c r="AF477" s="177"/>
      <c r="AG477" s="177"/>
      <c r="AH477" s="177"/>
      <c r="AI477" s="177"/>
      <c r="AJ477" s="183"/>
      <c r="AZ477" s="3"/>
      <c r="BA477" s="3"/>
      <c r="BB477" s="3"/>
      <c r="BC477" s="3"/>
    </row>
    <row r="478" spans="1:55" ht="12.95" customHeight="1">
      <c r="A478" s="3"/>
      <c r="B478" s="3"/>
      <c r="C478" s="3"/>
      <c r="D478" s="250"/>
      <c r="E478" s="251"/>
      <c r="F478" s="251"/>
      <c r="G478" s="251"/>
      <c r="H478" s="251"/>
      <c r="I478" s="251"/>
      <c r="J478" s="251"/>
      <c r="K478" s="251"/>
      <c r="L478" s="251"/>
      <c r="M478" s="251"/>
      <c r="N478" s="251"/>
      <c r="O478" s="251"/>
      <c r="P478" s="251"/>
      <c r="Q478" s="251"/>
      <c r="R478" s="251"/>
      <c r="S478" s="251"/>
      <c r="T478" s="251"/>
      <c r="U478" s="251"/>
      <c r="V478" s="251"/>
      <c r="W478" s="252"/>
      <c r="X478" s="252"/>
      <c r="Y478" s="253"/>
      <c r="Z478" s="184"/>
      <c r="AA478" s="184"/>
      <c r="AB478" s="184"/>
      <c r="AC478" s="184"/>
      <c r="AD478" s="177"/>
      <c r="AE478" s="177"/>
      <c r="AF478" s="177"/>
      <c r="AG478" s="177"/>
      <c r="AH478" s="177"/>
      <c r="AI478" s="177"/>
      <c r="AJ478" s="183"/>
      <c r="AZ478" s="3"/>
      <c r="BA478" s="3" t="str">
        <f>N599</f>
        <v>No</v>
      </c>
      <c r="BB478" s="3"/>
      <c r="BC478" s="3"/>
    </row>
    <row r="479" spans="1:55" ht="12.95" customHeight="1">
      <c r="AU479" s="95"/>
      <c r="AV479" s="95"/>
      <c r="AW479" s="95"/>
      <c r="AX479" s="95"/>
      <c r="AY479" s="95"/>
      <c r="AZ479" s="3"/>
      <c r="BA479" s="3" t="str">
        <f>AG599</f>
        <v>No</v>
      </c>
      <c r="BB479" s="3"/>
      <c r="BC479" s="3"/>
    </row>
    <row r="480" spans="1:55" ht="12.95" customHeight="1">
      <c r="A480" s="1422" t="s">
        <v>810</v>
      </c>
      <c r="B480" s="1422"/>
      <c r="C480" s="1422"/>
      <c r="D480" s="1422"/>
      <c r="E480" s="1422"/>
      <c r="F480" s="1422"/>
      <c r="G480" s="1422"/>
      <c r="H480" s="1422"/>
      <c r="I480" s="1422"/>
      <c r="J480" s="1422"/>
      <c r="K480" s="1422"/>
      <c r="L480" s="1422"/>
      <c r="M480" s="1422"/>
      <c r="N480" s="1422"/>
      <c r="O480" s="1422"/>
      <c r="P480" s="1422"/>
      <c r="Q480" s="1422"/>
      <c r="R480" s="1422"/>
      <c r="S480" s="1422"/>
      <c r="T480" s="1422"/>
      <c r="U480" s="1422"/>
      <c r="V480" s="1422"/>
      <c r="W480" s="1422"/>
      <c r="X480" s="1422"/>
      <c r="Y480" s="1422"/>
      <c r="Z480" s="1422"/>
      <c r="AA480" s="1422"/>
      <c r="AB480" s="1422"/>
      <c r="AC480" s="1422"/>
      <c r="AD480" s="1422"/>
      <c r="AE480" s="1422"/>
      <c r="AF480" s="1422"/>
      <c r="AG480" s="1422"/>
      <c r="AH480" s="1422"/>
      <c r="AI480" s="1422"/>
      <c r="AJ480" s="1422"/>
      <c r="AK480" s="1422"/>
      <c r="AL480" s="1422"/>
      <c r="AM480" s="1422"/>
      <c r="AN480" s="1422"/>
      <c r="AO480" s="1422"/>
      <c r="AP480" s="1422"/>
      <c r="AQ480" s="1422"/>
      <c r="AR480" s="1422"/>
      <c r="AS480" s="1422"/>
      <c r="AT480" s="1422"/>
      <c r="AU480" s="95"/>
      <c r="AV480" s="95"/>
      <c r="AW480" s="95"/>
      <c r="AX480" s="95"/>
      <c r="AY480" s="95"/>
      <c r="AZ480" s="3"/>
      <c r="BB480" s="3"/>
      <c r="BC480" s="3"/>
    </row>
    <row r="481" spans="1:55" ht="12.95" customHeight="1">
      <c r="A481" s="1422"/>
      <c r="B481" s="1422"/>
      <c r="C481" s="1422"/>
      <c r="D481" s="1422"/>
      <c r="E481" s="1422"/>
      <c r="F481" s="1422"/>
      <c r="G481" s="1422"/>
      <c r="H481" s="1422"/>
      <c r="I481" s="1422"/>
      <c r="J481" s="1422"/>
      <c r="K481" s="1422"/>
      <c r="L481" s="1422"/>
      <c r="M481" s="1422"/>
      <c r="N481" s="1422"/>
      <c r="O481" s="1422"/>
      <c r="P481" s="1422"/>
      <c r="Q481" s="1422"/>
      <c r="R481" s="1422"/>
      <c r="S481" s="1422"/>
      <c r="T481" s="1422"/>
      <c r="U481" s="1422"/>
      <c r="V481" s="1422"/>
      <c r="W481" s="1422"/>
      <c r="X481" s="1422"/>
      <c r="Y481" s="1422"/>
      <c r="Z481" s="1422"/>
      <c r="AA481" s="1422"/>
      <c r="AB481" s="1422"/>
      <c r="AC481" s="1422"/>
      <c r="AD481" s="1422"/>
      <c r="AE481" s="1422"/>
      <c r="AF481" s="1422"/>
      <c r="AG481" s="1422"/>
      <c r="AH481" s="1422"/>
      <c r="AI481" s="1422"/>
      <c r="AJ481" s="1422"/>
      <c r="AK481" s="1422"/>
      <c r="AL481" s="1422"/>
      <c r="AM481" s="1422"/>
      <c r="AN481" s="1422"/>
      <c r="AO481" s="1422"/>
      <c r="AP481" s="1422"/>
      <c r="AQ481" s="1422"/>
      <c r="AR481" s="1422"/>
      <c r="AS481" s="1422"/>
      <c r="AT481" s="1422"/>
      <c r="AZ481" s="3"/>
      <c r="BB481" s="3"/>
      <c r="BC481" s="3"/>
    </row>
    <row r="482" spans="1:55" ht="12.95" customHeight="1">
      <c r="AZ482" s="3"/>
      <c r="BB482" s="3"/>
      <c r="BC482" s="3"/>
    </row>
    <row r="483" spans="1:55" ht="12.95" customHeight="1">
      <c r="A483" s="2" t="s">
        <v>318</v>
      </c>
      <c r="C483" s="2" t="s">
        <v>808</v>
      </c>
      <c r="AZ483" s="3"/>
      <c r="BB483" s="3"/>
      <c r="BC483" s="3"/>
    </row>
    <row r="484" spans="1:55" ht="12.95" customHeight="1">
      <c r="AZ484" s="3"/>
      <c r="BB484" s="3"/>
      <c r="BC484" s="3"/>
    </row>
    <row r="485" spans="1:55" ht="12.95" customHeight="1">
      <c r="B485" s="45"/>
      <c r="C485" s="5"/>
      <c r="D485" s="5"/>
      <c r="E485" s="5"/>
      <c r="F485" s="5"/>
      <c r="G485" s="5"/>
      <c r="H485" s="5"/>
      <c r="I485" s="5"/>
      <c r="J485" s="5"/>
      <c r="K485" s="5"/>
      <c r="L485" s="5"/>
      <c r="M485" s="5"/>
      <c r="N485" s="5"/>
      <c r="O485" s="5"/>
      <c r="P485" s="46"/>
      <c r="Q485" s="1765" t="s">
        <v>392</v>
      </c>
      <c r="R485" s="1766"/>
      <c r="S485" s="1766"/>
      <c r="T485" s="1766"/>
      <c r="U485" s="1766"/>
      <c r="V485" s="1766"/>
      <c r="W485" s="1766"/>
      <c r="X485" s="1766"/>
      <c r="Y485" s="1766"/>
      <c r="Z485" s="1766"/>
      <c r="AA485" s="1766"/>
      <c r="AB485" s="1766"/>
      <c r="AC485" s="1766"/>
      <c r="AD485" s="1766"/>
      <c r="AE485" s="1766"/>
      <c r="AF485" s="1766"/>
      <c r="AG485" s="1766"/>
      <c r="AH485" s="1766"/>
      <c r="AI485" s="1766"/>
      <c r="AJ485" s="1766"/>
      <c r="AK485" s="1767"/>
      <c r="AZ485" s="3"/>
      <c r="BB485" s="3"/>
      <c r="BC485" s="3"/>
    </row>
    <row r="486" spans="1:55" ht="12.95" customHeight="1">
      <c r="B486" s="45" t="s">
        <v>393</v>
      </c>
      <c r="C486" s="5"/>
      <c r="D486" s="5"/>
      <c r="E486" s="5"/>
      <c r="F486" s="5"/>
      <c r="G486" s="5"/>
      <c r="H486" s="5"/>
      <c r="I486" s="5"/>
      <c r="J486" s="5"/>
      <c r="K486" s="5"/>
      <c r="L486" s="5"/>
      <c r="M486" s="5"/>
      <c r="N486" s="5"/>
      <c r="O486" s="5"/>
      <c r="P486" s="5"/>
      <c r="Q486" s="1577" t="s">
        <v>2625</v>
      </c>
      <c r="R486" s="1348"/>
      <c r="S486" s="1348"/>
      <c r="T486" s="1348"/>
      <c r="U486" s="1348"/>
      <c r="V486" s="1348"/>
      <c r="W486" s="1348"/>
      <c r="X486" s="1348"/>
      <c r="Y486" s="1348"/>
      <c r="Z486" s="1348"/>
      <c r="AA486" s="1348"/>
      <c r="AB486" s="1348"/>
      <c r="AC486" s="1348"/>
      <c r="AD486" s="1348"/>
      <c r="AE486" s="1348"/>
      <c r="AF486" s="1348"/>
      <c r="AG486" s="1348"/>
      <c r="AH486" s="1348"/>
      <c r="AI486" s="1348"/>
      <c r="AJ486" s="1348"/>
      <c r="AK486" s="1578"/>
      <c r="AZ486" s="3"/>
      <c r="BB486" s="3"/>
      <c r="BC486" s="3"/>
    </row>
    <row r="487" spans="1:55" ht="12.95" customHeight="1">
      <c r="B487" s="45" t="s">
        <v>394</v>
      </c>
      <c r="C487" s="5"/>
      <c r="D487" s="5"/>
      <c r="E487" s="5"/>
      <c r="F487" s="5"/>
      <c r="G487" s="5"/>
      <c r="H487" s="5"/>
      <c r="I487" s="5"/>
      <c r="J487" s="5"/>
      <c r="K487" s="5"/>
      <c r="L487" s="5"/>
      <c r="M487" s="5"/>
      <c r="N487" s="5"/>
      <c r="O487" s="5"/>
      <c r="P487" s="5"/>
      <c r="Q487" s="1577" t="s">
        <v>2626</v>
      </c>
      <c r="R487" s="1348"/>
      <c r="S487" s="1348"/>
      <c r="T487" s="1348"/>
      <c r="U487" s="1348"/>
      <c r="V487" s="1348"/>
      <c r="W487" s="1348"/>
      <c r="X487" s="1348"/>
      <c r="Y487" s="1348"/>
      <c r="Z487" s="1348"/>
      <c r="AA487" s="1348"/>
      <c r="AB487" s="1348"/>
      <c r="AC487" s="1348"/>
      <c r="AD487" s="1348"/>
      <c r="AE487" s="1348"/>
      <c r="AF487" s="1348"/>
      <c r="AG487" s="1348"/>
      <c r="AH487" s="1348"/>
      <c r="AI487" s="1348"/>
      <c r="AJ487" s="1348"/>
      <c r="AK487" s="1578"/>
      <c r="AZ487" s="3"/>
      <c r="BB487" s="3"/>
      <c r="BC487" s="3"/>
    </row>
    <row r="488" spans="1:55" ht="12.95" customHeight="1">
      <c r="B488" s="45" t="s">
        <v>395</v>
      </c>
      <c r="C488" s="5"/>
      <c r="D488" s="5"/>
      <c r="E488" s="5"/>
      <c r="F488" s="5"/>
      <c r="G488" s="5"/>
      <c r="H488" s="5"/>
      <c r="I488" s="5"/>
      <c r="J488" s="5"/>
      <c r="K488" s="5"/>
      <c r="L488" s="5"/>
      <c r="M488" s="5"/>
      <c r="N488" s="5"/>
      <c r="O488" s="5"/>
      <c r="P488" s="5"/>
      <c r="Q488" s="1577" t="s">
        <v>2626</v>
      </c>
      <c r="R488" s="1348"/>
      <c r="S488" s="1348"/>
      <c r="T488" s="1348"/>
      <c r="U488" s="1348"/>
      <c r="V488" s="1348"/>
      <c r="W488" s="1348"/>
      <c r="X488" s="1348"/>
      <c r="Y488" s="1348"/>
      <c r="Z488" s="1348"/>
      <c r="AA488" s="1348"/>
      <c r="AB488" s="1348"/>
      <c r="AC488" s="1348"/>
      <c r="AD488" s="1348"/>
      <c r="AE488" s="1348"/>
      <c r="AF488" s="1348"/>
      <c r="AG488" s="1348"/>
      <c r="AH488" s="1348"/>
      <c r="AI488" s="1348"/>
      <c r="AJ488" s="1348"/>
      <c r="AK488" s="1578"/>
      <c r="AZ488" s="3"/>
      <c r="BA488" s="3"/>
      <c r="BB488" s="3"/>
      <c r="BC488" s="3"/>
    </row>
    <row r="489" spans="1:55" ht="12.95" customHeight="1">
      <c r="B489" s="1835" t="s">
        <v>396</v>
      </c>
      <c r="C489" s="1836"/>
      <c r="D489" s="1836"/>
      <c r="E489" s="1836"/>
      <c r="F489" s="1836"/>
      <c r="G489" s="1836"/>
      <c r="H489" s="1836"/>
      <c r="I489" s="1836"/>
      <c r="J489" s="1836"/>
      <c r="K489" s="1836"/>
      <c r="L489" s="1836"/>
      <c r="M489" s="1836"/>
      <c r="N489" s="1836"/>
      <c r="O489" s="1836"/>
      <c r="P489" s="1837"/>
      <c r="Q489" s="1841" t="s">
        <v>545</v>
      </c>
      <c r="R489" s="1842"/>
      <c r="S489" s="1771" t="s">
        <v>2627</v>
      </c>
      <c r="T489" s="1772"/>
      <c r="U489" s="1772"/>
      <c r="V489" s="1772"/>
      <c r="W489" s="1772"/>
      <c r="X489" s="1772"/>
      <c r="Y489" s="1772"/>
      <c r="Z489" s="1772"/>
      <c r="AA489" s="1772"/>
      <c r="AB489" s="1772"/>
      <c r="AC489" s="1772"/>
      <c r="AD489" s="1772"/>
      <c r="AE489" s="1772"/>
      <c r="AF489" s="1772"/>
      <c r="AG489" s="1772"/>
      <c r="AH489" s="1772"/>
      <c r="AI489" s="1772"/>
      <c r="AJ489" s="1772"/>
      <c r="AK489" s="1773"/>
      <c r="AZ489" s="3"/>
      <c r="BA489" s="3"/>
      <c r="BB489" s="3"/>
      <c r="BC489" s="3"/>
    </row>
    <row r="490" spans="1:55" ht="12.95" customHeight="1">
      <c r="B490" s="1838"/>
      <c r="C490" s="1839"/>
      <c r="D490" s="1839"/>
      <c r="E490" s="1839"/>
      <c r="F490" s="1839"/>
      <c r="G490" s="1839"/>
      <c r="H490" s="1839"/>
      <c r="I490" s="1839"/>
      <c r="J490" s="1839"/>
      <c r="K490" s="1839"/>
      <c r="L490" s="1839"/>
      <c r="M490" s="1839"/>
      <c r="N490" s="1839"/>
      <c r="O490" s="1839"/>
      <c r="P490" s="1840"/>
      <c r="Q490" s="1843"/>
      <c r="R490" s="1844"/>
      <c r="S490" s="1774"/>
      <c r="T490" s="1775"/>
      <c r="U490" s="1775"/>
      <c r="V490" s="1775"/>
      <c r="W490" s="1775"/>
      <c r="X490" s="1775"/>
      <c r="Y490" s="1775"/>
      <c r="Z490" s="1775"/>
      <c r="AA490" s="1775"/>
      <c r="AB490" s="1775"/>
      <c r="AC490" s="1775"/>
      <c r="AD490" s="1775"/>
      <c r="AE490" s="1775"/>
      <c r="AF490" s="1775"/>
      <c r="AG490" s="1775"/>
      <c r="AH490" s="1775"/>
      <c r="AI490" s="1775"/>
      <c r="AJ490" s="1775"/>
      <c r="AK490" s="1776"/>
      <c r="AZ490" s="3"/>
      <c r="BA490" s="3"/>
      <c r="BB490" s="3"/>
      <c r="BC490" s="3"/>
    </row>
    <row r="491" spans="1:55" ht="12.95" customHeight="1">
      <c r="B491" s="895" t="s">
        <v>1671</v>
      </c>
      <c r="C491" s="873"/>
      <c r="D491" s="873"/>
      <c r="E491" s="873"/>
      <c r="F491" s="873"/>
      <c r="G491" s="873"/>
      <c r="H491" s="873"/>
      <c r="I491" s="873"/>
      <c r="J491" s="873"/>
      <c r="K491" s="873"/>
      <c r="L491" s="873"/>
      <c r="M491" s="873"/>
      <c r="N491" s="873"/>
      <c r="O491" s="873"/>
      <c r="P491" s="873"/>
      <c r="Q491" s="1848" t="s">
        <v>545</v>
      </c>
      <c r="R491" s="1849"/>
      <c r="S491" s="1849"/>
      <c r="T491" s="1849"/>
      <c r="U491" s="1849"/>
      <c r="V491" s="1849"/>
      <c r="W491" s="1849"/>
      <c r="X491" s="1849"/>
      <c r="Y491" s="1849"/>
      <c r="Z491" s="1849"/>
      <c r="AA491" s="1849"/>
      <c r="AB491" s="1849"/>
      <c r="AC491" s="1849"/>
      <c r="AD491" s="1849"/>
      <c r="AE491" s="1849"/>
      <c r="AF491" s="1849"/>
      <c r="AG491" s="1849"/>
      <c r="AH491" s="1849"/>
      <c r="AI491" s="1849"/>
      <c r="AJ491" s="1849"/>
      <c r="AK491" s="1850"/>
      <c r="AZ491" s="3"/>
      <c r="BA491" s="3"/>
      <c r="BB491" s="3"/>
      <c r="BC491" s="3"/>
    </row>
    <row r="492" spans="1:55" ht="12.95" customHeight="1">
      <c r="B492" s="45" t="s">
        <v>397</v>
      </c>
      <c r="C492" s="5"/>
      <c r="D492" s="5"/>
      <c r="E492" s="5"/>
      <c r="F492" s="5"/>
      <c r="G492" s="5"/>
      <c r="H492" s="5"/>
      <c r="I492" s="5"/>
      <c r="J492" s="5"/>
      <c r="K492" s="5"/>
      <c r="L492" s="5"/>
      <c r="M492" s="5"/>
      <c r="N492" s="5"/>
      <c r="O492" s="5"/>
      <c r="P492" s="5"/>
      <c r="Q492" s="1577" t="s">
        <v>2628</v>
      </c>
      <c r="R492" s="1348"/>
      <c r="S492" s="1348"/>
      <c r="T492" s="1348"/>
      <c r="U492" s="1348"/>
      <c r="V492" s="1348"/>
      <c r="W492" s="1348"/>
      <c r="X492" s="1348"/>
      <c r="Y492" s="1348"/>
      <c r="Z492" s="1348"/>
      <c r="AA492" s="1348"/>
      <c r="AB492" s="1348"/>
      <c r="AC492" s="1348"/>
      <c r="AD492" s="1348"/>
      <c r="AE492" s="1348"/>
      <c r="AF492" s="1348"/>
      <c r="AG492" s="1348"/>
      <c r="AH492" s="1348"/>
      <c r="AI492" s="1348"/>
      <c r="AJ492" s="1348"/>
      <c r="AK492" s="1578"/>
      <c r="AZ492" s="3"/>
      <c r="BA492" s="3"/>
      <c r="BB492" s="3"/>
      <c r="BC492" s="3"/>
    </row>
    <row r="493" spans="1:55" ht="12.95" customHeight="1">
      <c r="B493" s="45" t="s">
        <v>398</v>
      </c>
      <c r="C493" s="5"/>
      <c r="D493" s="5"/>
      <c r="E493" s="5"/>
      <c r="F493" s="5"/>
      <c r="G493" s="5"/>
      <c r="H493" s="5"/>
      <c r="I493" s="5"/>
      <c r="J493" s="5"/>
      <c r="K493" s="5"/>
      <c r="L493" s="5"/>
      <c r="M493" s="5"/>
      <c r="N493" s="5"/>
      <c r="O493" s="5"/>
      <c r="P493" s="5"/>
      <c r="Q493" s="1577" t="s">
        <v>2629</v>
      </c>
      <c r="R493" s="1348"/>
      <c r="S493" s="1348"/>
      <c r="T493" s="1348"/>
      <c r="U493" s="1348"/>
      <c r="V493" s="1348"/>
      <c r="W493" s="1348"/>
      <c r="X493" s="1348"/>
      <c r="Y493" s="1348"/>
      <c r="Z493" s="1348"/>
      <c r="AA493" s="1348"/>
      <c r="AB493" s="1348"/>
      <c r="AC493" s="1348"/>
      <c r="AD493" s="1348"/>
      <c r="AE493" s="1348"/>
      <c r="AF493" s="1348"/>
      <c r="AG493" s="1348"/>
      <c r="AH493" s="1348"/>
      <c r="AI493" s="1348"/>
      <c r="AJ493" s="1348"/>
      <c r="AK493" s="1578"/>
      <c r="AZ493" s="3"/>
      <c r="BA493" s="3"/>
      <c r="BB493" s="3"/>
      <c r="BC493" s="3"/>
    </row>
    <row r="494" spans="1:55" ht="12.95" customHeight="1">
      <c r="B494" s="121" t="s">
        <v>1668</v>
      </c>
      <c r="C494" s="5"/>
      <c r="D494" s="5"/>
      <c r="E494" s="5"/>
      <c r="F494" s="5"/>
      <c r="G494" s="5"/>
      <c r="H494" s="5"/>
      <c r="I494" s="5"/>
      <c r="J494" s="5"/>
      <c r="K494" s="5"/>
      <c r="L494" s="5"/>
      <c r="M494" s="5"/>
      <c r="N494" s="5"/>
      <c r="O494" s="5"/>
      <c r="P494" s="5"/>
      <c r="Q494" s="1577">
        <v>154</v>
      </c>
      <c r="R494" s="1348"/>
      <c r="S494" s="1348"/>
      <c r="T494" s="1348"/>
      <c r="U494" s="1348"/>
      <c r="V494" s="1348"/>
      <c r="W494" s="1348"/>
      <c r="X494" s="1348"/>
      <c r="Y494" s="1348"/>
      <c r="Z494" s="1348"/>
      <c r="AA494" s="1348"/>
      <c r="AB494" s="1348"/>
      <c r="AC494" s="1348"/>
      <c r="AD494" s="1348"/>
      <c r="AE494" s="1348"/>
      <c r="AF494" s="1348"/>
      <c r="AG494" s="1348"/>
      <c r="AH494" s="1348"/>
      <c r="AI494" s="1348"/>
      <c r="AJ494" s="1348"/>
      <c r="AK494" s="1578"/>
      <c r="AZ494" s="3"/>
      <c r="BA494" s="3"/>
      <c r="BB494" s="3"/>
      <c r="BC494" s="3"/>
    </row>
    <row r="495" spans="1:55" ht="12.95" customHeight="1">
      <c r="B495" s="121" t="s">
        <v>1669</v>
      </c>
      <c r="C495" s="5"/>
      <c r="D495" s="5"/>
      <c r="E495" s="5"/>
      <c r="F495" s="5"/>
      <c r="G495" s="5"/>
      <c r="H495" s="5"/>
      <c r="I495" s="5"/>
      <c r="J495" s="5"/>
      <c r="K495" s="5"/>
      <c r="L495" s="5"/>
      <c r="M495" s="1446"/>
      <c r="N495" s="1447"/>
      <c r="O495" s="1447"/>
      <c r="P495" s="1448"/>
      <c r="Q495" s="121" t="s">
        <v>1670</v>
      </c>
      <c r="R495" s="5"/>
      <c r="S495" s="5"/>
      <c r="T495" s="5"/>
      <c r="U495" s="5"/>
      <c r="V495" s="5"/>
      <c r="W495" s="5"/>
      <c r="X495" s="5"/>
      <c r="Y495" s="5"/>
      <c r="Z495" s="5"/>
      <c r="AA495" s="5"/>
      <c r="AB495" s="5"/>
      <c r="AC495" s="5"/>
      <c r="AD495" s="5"/>
      <c r="AE495" s="5"/>
      <c r="AF495" s="5"/>
      <c r="AG495" s="5"/>
      <c r="AH495" s="1446">
        <v>154</v>
      </c>
      <c r="AI495" s="1447"/>
      <c r="AJ495" s="1447"/>
      <c r="AK495" s="1448"/>
      <c r="AZ495" s="3"/>
      <c r="BA495" s="3"/>
      <c r="BB495" s="3"/>
      <c r="BC495" s="3"/>
    </row>
    <row r="496" spans="1:55" ht="12.95" customHeight="1">
      <c r="B496" s="512"/>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row>
    <row r="497" spans="1:66" ht="12.95" customHeight="1">
      <c r="A497" s="2" t="s">
        <v>576</v>
      </c>
      <c r="C497" s="2" t="s">
        <v>399</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row>
    <row r="498" spans="1:66" ht="12.95" customHeight="1">
      <c r="B498" s="528"/>
      <c r="C498" s="512"/>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row>
    <row r="499" spans="1:66"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765" t="s">
        <v>400</v>
      </c>
      <c r="AD499" s="1766"/>
      <c r="AE499" s="1766"/>
      <c r="AF499" s="1766"/>
      <c r="AG499" s="1766"/>
      <c r="AH499" s="1766"/>
      <c r="AI499" s="1766"/>
      <c r="AJ499" s="1766"/>
      <c r="AK499" s="1767"/>
      <c r="AZ499" s="3"/>
      <c r="BA499" s="3"/>
      <c r="BB499" s="3"/>
      <c r="BC499" s="3"/>
      <c r="BD499" s="3"/>
      <c r="BE499" s="3"/>
      <c r="BF499" s="3"/>
      <c r="BG499" s="3"/>
      <c r="BH499" s="3"/>
      <c r="BI499" s="3"/>
      <c r="BJ499" s="3"/>
      <c r="BK499" s="3"/>
      <c r="BL499" s="3"/>
      <c r="BM499" s="3"/>
      <c r="BN499" s="3"/>
    </row>
    <row r="500" spans="1:66"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765" t="s">
        <v>401</v>
      </c>
      <c r="AD500" s="1766"/>
      <c r="AE500" s="1766"/>
      <c r="AF500" s="1766"/>
      <c r="AG500" s="50" t="s">
        <v>402</v>
      </c>
      <c r="AH500" s="1766" t="s">
        <v>403</v>
      </c>
      <c r="AI500" s="1766"/>
      <c r="AJ500" s="1766"/>
      <c r="AK500" s="1767"/>
      <c r="AZ500" s="3"/>
      <c r="BA500" s="3"/>
      <c r="BB500" s="3"/>
      <c r="BC500" s="3"/>
      <c r="BD500" s="3"/>
      <c r="BE500" s="3"/>
      <c r="BF500" s="3"/>
      <c r="BG500" s="3"/>
      <c r="BH500" s="3"/>
      <c r="BI500" s="3"/>
      <c r="BJ500" s="3"/>
      <c r="BK500" s="3"/>
      <c r="BL500" s="3"/>
      <c r="BM500" s="3"/>
      <c r="BN500" s="3"/>
    </row>
    <row r="501" spans="1:66" ht="12.95" customHeight="1">
      <c r="B501" s="1672" t="s">
        <v>404</v>
      </c>
      <c r="C501" s="1431"/>
      <c r="D501" s="1431"/>
      <c r="E501" s="1431"/>
      <c r="F501" s="1431"/>
      <c r="G501" s="1431"/>
      <c r="H501" s="1432"/>
      <c r="I501" s="42" t="s">
        <v>405</v>
      </c>
      <c r="J501" s="42"/>
      <c r="K501" s="42"/>
      <c r="L501" s="42"/>
      <c r="M501" s="42"/>
      <c r="N501" s="42"/>
      <c r="O501" s="42"/>
      <c r="P501" s="42"/>
      <c r="Q501" s="42"/>
      <c r="R501" s="42"/>
      <c r="S501" s="42"/>
      <c r="T501" s="42"/>
      <c r="U501" s="42"/>
      <c r="V501" s="42"/>
      <c r="W501" s="42"/>
      <c r="AC501" s="1662">
        <v>2</v>
      </c>
      <c r="AD501" s="1663"/>
      <c r="AE501" s="1663"/>
      <c r="AF501" s="1663"/>
      <c r="AG501" s="13" t="s">
        <v>402</v>
      </c>
      <c r="AH501" s="1402">
        <v>2025</v>
      </c>
      <c r="AI501" s="1402"/>
      <c r="AJ501" s="1402"/>
      <c r="AK501" s="1403"/>
      <c r="AZ501" s="3"/>
      <c r="BA501" s="3"/>
      <c r="BB501" s="3"/>
      <c r="BC501" s="3"/>
      <c r="BD501" s="3"/>
      <c r="BE501" s="3"/>
      <c r="BF501" s="3"/>
      <c r="BG501" s="3"/>
      <c r="BH501" s="3"/>
      <c r="BI501" s="3"/>
      <c r="BJ501" s="3"/>
      <c r="BK501" s="3"/>
      <c r="BL501" s="3"/>
      <c r="BM501" s="3"/>
      <c r="BN501" s="3"/>
    </row>
    <row r="502" spans="1:66" ht="12.95" customHeight="1">
      <c r="B502" s="1673"/>
      <c r="C502" s="1433"/>
      <c r="D502" s="1433"/>
      <c r="E502" s="1433"/>
      <c r="F502" s="1433"/>
      <c r="G502" s="1433"/>
      <c r="H502" s="1434"/>
      <c r="I502" s="48" t="s">
        <v>406</v>
      </c>
      <c r="J502" s="48"/>
      <c r="K502" s="48"/>
      <c r="L502" s="48"/>
      <c r="M502" s="48"/>
      <c r="N502" s="48"/>
      <c r="O502" s="48"/>
      <c r="P502" s="48"/>
      <c r="Q502" s="48"/>
      <c r="R502" s="48"/>
      <c r="S502" s="48"/>
      <c r="T502" s="48"/>
      <c r="U502" s="48"/>
      <c r="V502" s="48"/>
      <c r="W502" s="48"/>
      <c r="X502" s="48"/>
      <c r="Y502" s="48"/>
      <c r="Z502" s="48"/>
      <c r="AA502" s="48"/>
      <c r="AB502" s="48"/>
      <c r="AC502" s="1662">
        <v>3</v>
      </c>
      <c r="AD502" s="1663"/>
      <c r="AE502" s="1663"/>
      <c r="AF502" s="1663"/>
      <c r="AG502" s="38" t="s">
        <v>402</v>
      </c>
      <c r="AH502" s="1402">
        <v>2025</v>
      </c>
      <c r="AI502" s="1402"/>
      <c r="AJ502" s="1402"/>
      <c r="AK502" s="1403"/>
      <c r="AZ502" s="3"/>
      <c r="BA502" s="3"/>
      <c r="BB502" s="3"/>
      <c r="BC502" s="3"/>
      <c r="BD502" s="3"/>
      <c r="BE502" s="3"/>
      <c r="BF502" s="3"/>
      <c r="BG502" s="3"/>
      <c r="BH502" s="3"/>
      <c r="BI502" s="3"/>
      <c r="BJ502" s="3"/>
      <c r="BK502" s="3"/>
      <c r="BL502" s="3"/>
      <c r="BM502" s="3"/>
      <c r="BN502" s="3"/>
    </row>
    <row r="503" spans="1:66" ht="12.95" customHeight="1">
      <c r="B503" s="1672" t="s">
        <v>407</v>
      </c>
      <c r="C503" s="1431"/>
      <c r="D503" s="1431"/>
      <c r="E503" s="1431"/>
      <c r="F503" s="1431"/>
      <c r="G503" s="1431"/>
      <c r="H503" s="1432"/>
      <c r="I503" s="42" t="s">
        <v>408</v>
      </c>
      <c r="J503" s="42"/>
      <c r="K503" s="42"/>
      <c r="L503" s="42"/>
      <c r="M503" s="42"/>
      <c r="N503" s="42"/>
      <c r="O503" s="42"/>
      <c r="P503" s="42"/>
      <c r="Q503" s="42"/>
      <c r="R503" s="42"/>
      <c r="S503" s="42"/>
      <c r="T503" s="42"/>
      <c r="U503" s="42"/>
      <c r="V503" s="42"/>
      <c r="W503" s="42"/>
      <c r="AC503" s="1662">
        <v>3</v>
      </c>
      <c r="AD503" s="1663"/>
      <c r="AE503" s="1663"/>
      <c r="AF503" s="1663"/>
      <c r="AG503" s="13" t="s">
        <v>402</v>
      </c>
      <c r="AH503" s="1402">
        <v>2025</v>
      </c>
      <c r="AI503" s="1402"/>
      <c r="AJ503" s="1402"/>
      <c r="AK503" s="1403"/>
      <c r="AZ503" s="3"/>
      <c r="BA503" s="3"/>
      <c r="BB503" s="3"/>
      <c r="BC503" s="3"/>
      <c r="BD503" s="3"/>
      <c r="BE503" s="3"/>
      <c r="BF503" s="3"/>
      <c r="BG503" s="3"/>
      <c r="BH503" s="3"/>
      <c r="BI503" s="3"/>
      <c r="BJ503" s="3"/>
      <c r="BK503" s="3"/>
      <c r="BL503" s="3"/>
      <c r="BM503" s="3"/>
      <c r="BN503" s="3"/>
    </row>
    <row r="504" spans="1:66" ht="12.95" customHeight="1">
      <c r="B504" s="1673"/>
      <c r="C504" s="1433"/>
      <c r="D504" s="1433"/>
      <c r="E504" s="1433"/>
      <c r="F504" s="1433"/>
      <c r="G504" s="1433"/>
      <c r="H504" s="1434"/>
      <c r="I504" t="s">
        <v>409</v>
      </c>
      <c r="AC504" s="1662" t="s">
        <v>591</v>
      </c>
      <c r="AD504" s="1663"/>
      <c r="AE504" s="1663"/>
      <c r="AF504" s="1663"/>
      <c r="AG504" s="13" t="s">
        <v>402</v>
      </c>
      <c r="AH504" s="1402"/>
      <c r="AI504" s="1402"/>
      <c r="AJ504" s="1402"/>
      <c r="AK504" s="1403"/>
      <c r="AZ504" s="3"/>
      <c r="BA504" s="3"/>
      <c r="BB504" s="3"/>
      <c r="BC504" s="3"/>
      <c r="BD504" s="3"/>
      <c r="BE504" s="3"/>
      <c r="BF504" s="3"/>
      <c r="BG504" s="3"/>
      <c r="BH504" s="3"/>
      <c r="BI504" s="3"/>
      <c r="BJ504" s="3"/>
      <c r="BK504" s="3"/>
      <c r="BL504" s="3"/>
      <c r="BM504" s="3"/>
      <c r="BN504" s="3"/>
    </row>
    <row r="505" spans="1:66" ht="12.95" customHeight="1">
      <c r="B505" s="1673"/>
      <c r="C505" s="1433"/>
      <c r="D505" s="1433"/>
      <c r="E505" s="1433"/>
      <c r="F505" s="1433"/>
      <c r="G505" s="1433"/>
      <c r="H505" s="1434"/>
      <c r="I505" t="s">
        <v>410</v>
      </c>
      <c r="AC505" s="1662">
        <v>3</v>
      </c>
      <c r="AD505" s="1663"/>
      <c r="AE505" s="1663"/>
      <c r="AF505" s="1663"/>
      <c r="AG505" s="13" t="s">
        <v>402</v>
      </c>
      <c r="AH505" s="1402">
        <v>2025</v>
      </c>
      <c r="AI505" s="1402"/>
      <c r="AJ505" s="1402"/>
      <c r="AK505" s="1403"/>
      <c r="AZ505" s="3"/>
      <c r="BA505" s="3"/>
      <c r="BB505" s="3"/>
      <c r="BC505" s="3"/>
      <c r="BD505" s="3"/>
      <c r="BE505" s="3"/>
      <c r="BF505" s="3"/>
      <c r="BG505" s="3"/>
      <c r="BH505" s="3"/>
      <c r="BI505" s="3"/>
      <c r="BJ505" s="3"/>
      <c r="BK505" s="3"/>
      <c r="BL505" s="3"/>
      <c r="BM505" s="3"/>
      <c r="BN505" s="3"/>
    </row>
    <row r="506" spans="1:66" ht="12.95" customHeight="1">
      <c r="B506" s="1673"/>
      <c r="C506" s="1433"/>
      <c r="D506" s="1433"/>
      <c r="E506" s="1433"/>
      <c r="F506" s="1433"/>
      <c r="G506" s="1433"/>
      <c r="H506" s="1434"/>
      <c r="I506" t="s">
        <v>411</v>
      </c>
      <c r="AC506" s="1662">
        <v>12</v>
      </c>
      <c r="AD506" s="1663"/>
      <c r="AE506" s="1663"/>
      <c r="AF506" s="1663"/>
      <c r="AG506" s="13" t="s">
        <v>402</v>
      </c>
      <c r="AH506" s="1402">
        <v>2025</v>
      </c>
      <c r="AI506" s="1402"/>
      <c r="AJ506" s="1402"/>
      <c r="AK506" s="1403"/>
      <c r="AZ506" s="3"/>
      <c r="BA506" s="3"/>
      <c r="BB506" s="3"/>
      <c r="BC506" s="3"/>
      <c r="BD506" s="3"/>
      <c r="BE506" s="3"/>
      <c r="BF506" s="3"/>
      <c r="BG506" s="3"/>
      <c r="BH506" s="3"/>
      <c r="BI506" s="3"/>
      <c r="BJ506" s="3"/>
      <c r="BK506" s="3"/>
      <c r="BL506" s="3"/>
      <c r="BM506" s="3"/>
      <c r="BN506" s="3"/>
    </row>
    <row r="507" spans="1:66" ht="12.95" customHeight="1">
      <c r="B507" s="1673"/>
      <c r="C507" s="1433"/>
      <c r="D507" s="1433"/>
      <c r="E507" s="1433"/>
      <c r="F507" s="1433"/>
      <c r="G507" s="1433"/>
      <c r="H507" s="1434"/>
      <c r="I507" s="3" t="s">
        <v>412</v>
      </c>
      <c r="AC507" s="1337">
        <v>12</v>
      </c>
      <c r="AD507" s="1338"/>
      <c r="AE507" s="1338"/>
      <c r="AF507" s="1338"/>
      <c r="AG507" s="13" t="s">
        <v>402</v>
      </c>
      <c r="AH507" s="1402">
        <v>2025</v>
      </c>
      <c r="AI507" s="1402"/>
      <c r="AJ507" s="1402"/>
      <c r="AK507" s="1403"/>
      <c r="AZ507" s="3"/>
      <c r="BA507" s="3"/>
      <c r="BB507" s="3"/>
      <c r="BC507" s="3"/>
      <c r="BD507" s="3"/>
      <c r="BE507" s="3"/>
      <c r="BF507" s="3"/>
      <c r="BG507" s="3"/>
      <c r="BH507" s="3"/>
      <c r="BI507" s="3"/>
      <c r="BJ507" s="3"/>
      <c r="BK507" s="3"/>
      <c r="BL507" s="3"/>
      <c r="BM507" s="3"/>
      <c r="BN507" s="3"/>
    </row>
    <row r="508" spans="1:66" ht="12.95" customHeight="1">
      <c r="B508" s="1673"/>
      <c r="C508" s="1433"/>
      <c r="D508" s="1433"/>
      <c r="E508" s="1433"/>
      <c r="F508" s="1433"/>
      <c r="G508" s="1433"/>
      <c r="H508" s="1434"/>
      <c r="I508" s="896" t="s">
        <v>169</v>
      </c>
      <c r="J508" s="48"/>
      <c r="K508" s="48"/>
      <c r="L508" s="1749" t="s">
        <v>333</v>
      </c>
      <c r="M508" s="1750"/>
      <c r="N508" s="1750"/>
      <c r="O508" s="1750"/>
      <c r="P508" s="1750"/>
      <c r="Q508" s="1750"/>
      <c r="R508" s="1750"/>
      <c r="S508" s="1750"/>
      <c r="T508" s="1750"/>
      <c r="U508" s="1750"/>
      <c r="V508" s="1750"/>
      <c r="W508" s="1750"/>
      <c r="X508" s="1750"/>
      <c r="Y508" s="1750"/>
      <c r="Z508" s="1750"/>
      <c r="AA508" s="1750"/>
      <c r="AB508" s="1846"/>
      <c r="AC508" s="1662" t="s">
        <v>591</v>
      </c>
      <c r="AD508" s="1663"/>
      <c r="AE508" s="1663"/>
      <c r="AF508" s="1663"/>
      <c r="AG508" s="38" t="s">
        <v>402</v>
      </c>
      <c r="AH508" s="1402"/>
      <c r="AI508" s="1402"/>
      <c r="AJ508" s="1402"/>
      <c r="AK508" s="1403"/>
      <c r="AZ508" s="3"/>
      <c r="BA508" s="3"/>
      <c r="BB508" s="3"/>
      <c r="BC508" s="3"/>
      <c r="BD508" s="3"/>
      <c r="BE508" s="3"/>
      <c r="BF508" s="3"/>
      <c r="BG508" s="3"/>
      <c r="BH508" s="3"/>
      <c r="BI508" s="3"/>
      <c r="BJ508" s="3"/>
      <c r="BK508" s="3"/>
      <c r="BL508" s="3"/>
      <c r="BM508" s="3"/>
      <c r="BN508" s="3"/>
    </row>
    <row r="509" spans="1:66" ht="12.95" customHeight="1">
      <c r="B509" s="871"/>
      <c r="C509" s="130"/>
      <c r="D509" s="130"/>
      <c r="E509" s="130"/>
      <c r="F509" s="130"/>
      <c r="G509" s="130"/>
      <c r="H509" s="872"/>
      <c r="I509" s="3" t="s">
        <v>1675</v>
      </c>
      <c r="AC509" s="1822"/>
      <c r="AD509" s="1822"/>
      <c r="AE509" s="1822"/>
      <c r="AF509" s="1822"/>
      <c r="AG509" s="13"/>
      <c r="AH509" s="1335"/>
      <c r="AI509" s="1335"/>
      <c r="AJ509" s="1335"/>
      <c r="AK509" s="1671"/>
      <c r="AZ509" s="3"/>
      <c r="BA509" s="3"/>
      <c r="BB509" s="3"/>
      <c r="BC509" s="3"/>
      <c r="BD509" s="3"/>
      <c r="BE509" s="3"/>
      <c r="BF509" s="3"/>
      <c r="BG509" s="3"/>
      <c r="BH509" s="3"/>
      <c r="BI509" s="3"/>
      <c r="BJ509" s="3"/>
      <c r="BK509" s="3"/>
      <c r="BL509" s="3"/>
      <c r="BM509" s="3"/>
      <c r="BN509" s="3"/>
    </row>
    <row r="510" spans="1:66" ht="12.95" customHeight="1">
      <c r="B510" s="871"/>
      <c r="C510" s="130"/>
      <c r="D510" s="130"/>
      <c r="E510" s="130"/>
      <c r="F510" s="130"/>
      <c r="G510" s="130"/>
      <c r="H510" s="872"/>
      <c r="I510" t="s">
        <v>1672</v>
      </c>
      <c r="AC510" s="1337"/>
      <c r="AD510" s="1338"/>
      <c r="AE510" s="1338"/>
      <c r="AF510" s="1339"/>
      <c r="AG510" s="13"/>
      <c r="AH510" s="1335"/>
      <c r="AI510" s="1335"/>
      <c r="AJ510" s="1335"/>
      <c r="AK510" s="1671"/>
      <c r="AZ510" s="3"/>
      <c r="BA510" s="3"/>
      <c r="BB510" s="3"/>
      <c r="BC510" s="3"/>
      <c r="BD510" s="3"/>
      <c r="BE510" s="3"/>
      <c r="BF510" s="3"/>
      <c r="BG510" s="3"/>
      <c r="BH510" s="3"/>
      <c r="BI510" s="3"/>
      <c r="BJ510" s="3"/>
      <c r="BK510" s="3"/>
      <c r="BL510" s="3"/>
      <c r="BM510" s="3"/>
      <c r="BN510" s="3"/>
    </row>
    <row r="511" spans="1:66" ht="12.95" customHeight="1">
      <c r="B511" s="871"/>
      <c r="C511" s="130"/>
      <c r="D511" s="130"/>
      <c r="E511" s="130"/>
      <c r="F511" s="130"/>
      <c r="G511" s="130"/>
      <c r="H511" s="872"/>
      <c r="I511" t="s">
        <v>1673</v>
      </c>
      <c r="AC511" s="890"/>
      <c r="AD511" s="891"/>
      <c r="AE511" s="891"/>
      <c r="AF511" s="892"/>
      <c r="AG511" s="13"/>
      <c r="AH511" s="1"/>
      <c r="AI511" s="1"/>
      <c r="AJ511" s="1"/>
      <c r="AK511" s="1006"/>
      <c r="AZ511" s="3"/>
      <c r="BA511" s="3"/>
      <c r="BB511" s="3"/>
      <c r="BC511" s="3"/>
      <c r="BD511" s="3"/>
      <c r="BE511" s="3"/>
      <c r="BF511" s="3"/>
      <c r="BG511" s="3"/>
      <c r="BH511" s="3"/>
      <c r="BI511" s="3"/>
      <c r="BJ511" s="3"/>
      <c r="BK511" s="3"/>
      <c r="BL511" s="3"/>
      <c r="BM511" s="3"/>
      <c r="BN511" s="3"/>
    </row>
    <row r="512" spans="1:66" ht="12.95" customHeight="1">
      <c r="B512" s="871"/>
      <c r="C512" s="130"/>
      <c r="D512" s="130"/>
      <c r="E512" s="130"/>
      <c r="F512" s="130"/>
      <c r="G512" s="130"/>
      <c r="H512" s="872"/>
      <c r="I512" s="897" t="s">
        <v>1674</v>
      </c>
      <c r="J512" s="48"/>
      <c r="K512" s="48"/>
      <c r="L512" s="48"/>
      <c r="M512" s="48"/>
      <c r="N512" s="48"/>
      <c r="O512" s="48"/>
      <c r="P512" s="48"/>
      <c r="Q512" s="48"/>
      <c r="R512" s="48"/>
      <c r="S512" s="48"/>
      <c r="T512" s="48"/>
      <c r="U512" s="48"/>
      <c r="V512" s="48"/>
      <c r="W512" s="48"/>
      <c r="X512" s="48"/>
      <c r="Y512" s="48"/>
      <c r="Z512" s="48"/>
      <c r="AA512" s="48"/>
      <c r="AB512" s="48"/>
      <c r="AC512" s="1832"/>
      <c r="AD512" s="1833"/>
      <c r="AE512" s="1833"/>
      <c r="AF512" s="1834"/>
      <c r="AG512" s="38"/>
      <c r="AH512" s="1747"/>
      <c r="AI512" s="1747"/>
      <c r="AJ512" s="1747"/>
      <c r="AK512" s="1748"/>
      <c r="AZ512" s="3"/>
      <c r="BA512" s="3"/>
      <c r="BB512" s="3"/>
      <c r="BC512" s="3"/>
      <c r="BD512" s="3"/>
      <c r="BE512" s="3"/>
      <c r="BF512" s="3"/>
      <c r="BG512" s="3"/>
      <c r="BH512" s="3"/>
      <c r="BI512" s="3"/>
      <c r="BJ512" s="3"/>
      <c r="BK512" s="3"/>
      <c r="BL512" s="3"/>
      <c r="BM512" s="3"/>
      <c r="BN512" s="3" t="s">
        <v>1184</v>
      </c>
    </row>
    <row r="513" spans="2:66" ht="12.95" customHeight="1">
      <c r="B513" s="871"/>
      <c r="C513" s="130"/>
      <c r="D513" s="130"/>
      <c r="E513" s="130"/>
      <c r="F513" s="130"/>
      <c r="G513" s="130"/>
      <c r="H513" s="872"/>
      <c r="I513" s="3"/>
      <c r="L513" s="8"/>
      <c r="M513" s="8"/>
      <c r="N513" s="8"/>
      <c r="O513" s="8"/>
      <c r="P513" s="8"/>
      <c r="Q513" s="8"/>
      <c r="R513" s="8"/>
      <c r="S513" s="8"/>
      <c r="T513" s="8"/>
      <c r="U513" s="8"/>
      <c r="V513" s="8"/>
      <c r="W513" s="8"/>
      <c r="X513" s="1007"/>
      <c r="Y513" s="1007"/>
      <c r="Z513" s="1007"/>
      <c r="AA513" s="1007"/>
      <c r="AB513" s="1014"/>
      <c r="AC513" s="1664" t="s">
        <v>401</v>
      </c>
      <c r="AD513" s="1637"/>
      <c r="AE513" s="1637"/>
      <c r="AF513" s="1637"/>
      <c r="AG513" s="38" t="s">
        <v>402</v>
      </c>
      <c r="AH513" s="1637" t="s">
        <v>403</v>
      </c>
      <c r="AI513" s="1637"/>
      <c r="AJ513" s="1637"/>
      <c r="AK513" s="1845"/>
      <c r="AZ513" s="3"/>
      <c r="BA513" s="3"/>
      <c r="BB513" s="3"/>
      <c r="BC513" s="3"/>
      <c r="BD513" s="3"/>
      <c r="BE513" s="3"/>
      <c r="BF513" s="3"/>
      <c r="BG513" s="3"/>
      <c r="BH513" s="3"/>
      <c r="BI513" s="3"/>
      <c r="BJ513" s="3"/>
      <c r="BK513" s="3"/>
      <c r="BL513" s="3"/>
      <c r="BM513" s="3"/>
      <c r="BN513" s="3" t="s">
        <v>2105</v>
      </c>
    </row>
    <row r="514" spans="2:66" ht="12.95" customHeight="1">
      <c r="B514" s="1672" t="s">
        <v>413</v>
      </c>
      <c r="C514" s="1431"/>
      <c r="D514" s="1431"/>
      <c r="E514" s="1431"/>
      <c r="F514" s="1431"/>
      <c r="G514" s="1431"/>
      <c r="H514" s="1432"/>
      <c r="I514" s="42" t="s">
        <v>414</v>
      </c>
      <c r="J514" s="42"/>
      <c r="K514" s="42"/>
      <c r="L514" s="42"/>
      <c r="M514" s="42"/>
      <c r="N514" s="42"/>
      <c r="O514" s="42"/>
      <c r="P514" s="42"/>
      <c r="Q514" s="42"/>
      <c r="R514" s="42"/>
      <c r="S514" s="42"/>
      <c r="T514" s="42"/>
      <c r="U514" s="42"/>
      <c r="V514" s="42"/>
      <c r="W514" s="42"/>
      <c r="AC514" s="1662">
        <v>3</v>
      </c>
      <c r="AD514" s="1663"/>
      <c r="AE514" s="1663"/>
      <c r="AF514" s="1663"/>
      <c r="AG514" s="13" t="s">
        <v>402</v>
      </c>
      <c r="AH514" s="1402">
        <v>2025</v>
      </c>
      <c r="AI514" s="1402"/>
      <c r="AJ514" s="1402"/>
      <c r="AK514" s="1403"/>
      <c r="AZ514" s="3"/>
      <c r="BA514" s="3"/>
      <c r="BB514" s="3"/>
      <c r="BC514" s="3"/>
      <c r="BD514" s="3"/>
      <c r="BE514" s="3"/>
      <c r="BF514" s="3"/>
      <c r="BG514" s="3"/>
      <c r="BH514" s="3"/>
      <c r="BI514" s="3"/>
      <c r="BJ514" s="3"/>
      <c r="BK514" s="3"/>
      <c r="BL514" s="3"/>
      <c r="BM514" s="3"/>
      <c r="BN514" s="3" t="s">
        <v>2106</v>
      </c>
    </row>
    <row r="515" spans="2:66" ht="12.95" customHeight="1">
      <c r="B515" s="1673"/>
      <c r="C515" s="1433"/>
      <c r="D515" s="1433"/>
      <c r="E515" s="1433"/>
      <c r="F515" s="1433"/>
      <c r="G515" s="1433"/>
      <c r="H515" s="1434"/>
      <c r="I515" t="s">
        <v>415</v>
      </c>
      <c r="AC515" s="1662">
        <v>3</v>
      </c>
      <c r="AD515" s="1663"/>
      <c r="AE515" s="1663"/>
      <c r="AF515" s="1663"/>
      <c r="AG515" s="13" t="s">
        <v>402</v>
      </c>
      <c r="AH515" s="1402">
        <v>2025</v>
      </c>
      <c r="AI515" s="1402"/>
      <c r="AJ515" s="1402"/>
      <c r="AK515" s="1403"/>
      <c r="AZ515" s="3"/>
      <c r="BA515" s="3"/>
      <c r="BB515" s="3"/>
      <c r="BC515" s="3"/>
      <c r="BD515" s="3"/>
      <c r="BE515" s="3"/>
      <c r="BF515" s="3"/>
      <c r="BG515" s="3"/>
      <c r="BH515" s="3"/>
      <c r="BI515" s="3"/>
      <c r="BJ515" s="3"/>
      <c r="BK515" s="3"/>
      <c r="BL515" s="3"/>
      <c r="BM515" s="3"/>
      <c r="BN515" s="3" t="s">
        <v>2107</v>
      </c>
    </row>
    <row r="516" spans="2:66" ht="12.95" customHeight="1">
      <c r="B516" s="1673"/>
      <c r="C516" s="1433"/>
      <c r="D516" s="1433"/>
      <c r="E516" s="1433"/>
      <c r="F516" s="1433"/>
      <c r="G516" s="1433"/>
      <c r="H516" s="1434"/>
      <c r="I516" s="48" t="s">
        <v>416</v>
      </c>
      <c r="J516" s="48"/>
      <c r="K516" s="48"/>
      <c r="L516" s="48"/>
      <c r="M516" s="48"/>
      <c r="N516" s="48"/>
      <c r="O516" s="48"/>
      <c r="P516" s="48"/>
      <c r="Q516" s="48"/>
      <c r="R516" s="48"/>
      <c r="S516" s="48"/>
      <c r="T516" s="48"/>
      <c r="U516" s="48"/>
      <c r="V516" s="48"/>
      <c r="W516" s="48"/>
      <c r="X516" s="48"/>
      <c r="Y516" s="48"/>
      <c r="Z516" s="48"/>
      <c r="AA516" s="48"/>
      <c r="AB516" s="48"/>
      <c r="AC516" s="1662">
        <v>1</v>
      </c>
      <c r="AD516" s="1663"/>
      <c r="AE516" s="1663"/>
      <c r="AF516" s="1663"/>
      <c r="AG516" s="38" t="s">
        <v>402</v>
      </c>
      <c r="AH516" s="1402">
        <v>2026</v>
      </c>
      <c r="AI516" s="1402"/>
      <c r="AJ516" s="1402"/>
      <c r="AK516" s="1403"/>
      <c r="AZ516" s="3"/>
      <c r="BA516" s="3"/>
      <c r="BB516" s="3"/>
      <c r="BC516" s="3"/>
      <c r="BD516" s="3"/>
      <c r="BE516" s="3"/>
      <c r="BF516" s="3"/>
      <c r="BG516" s="3"/>
      <c r="BH516" s="3"/>
      <c r="BI516" s="3"/>
      <c r="BJ516" s="3"/>
      <c r="BK516" s="3"/>
      <c r="BL516" s="3"/>
      <c r="BM516" s="3"/>
      <c r="BN516" s="3" t="s">
        <v>2108</v>
      </c>
    </row>
    <row r="517" spans="2:66" ht="12.95" customHeight="1">
      <c r="B517" s="1672" t="s">
        <v>417</v>
      </c>
      <c r="C517" s="1431"/>
      <c r="D517" s="1431"/>
      <c r="E517" s="1431"/>
      <c r="F517" s="1431"/>
      <c r="G517" s="1431"/>
      <c r="H517" s="1432"/>
      <c r="I517" s="42" t="s">
        <v>414</v>
      </c>
      <c r="J517" s="42"/>
      <c r="K517" s="42"/>
      <c r="L517" s="42"/>
      <c r="M517" s="42"/>
      <c r="N517" s="42"/>
      <c r="O517" s="42"/>
      <c r="P517" s="42"/>
      <c r="Q517" s="42"/>
      <c r="R517" s="42"/>
      <c r="S517" s="42"/>
      <c r="T517" s="42"/>
      <c r="U517" s="42"/>
      <c r="V517" s="42"/>
      <c r="W517" s="42"/>
      <c r="X517" s="42"/>
      <c r="Y517" s="42"/>
      <c r="Z517" s="42"/>
      <c r="AA517" s="42"/>
      <c r="AB517" s="42"/>
      <c r="AC517" s="1337">
        <v>3</v>
      </c>
      <c r="AD517" s="1338"/>
      <c r="AE517" s="1338"/>
      <c r="AF517" s="1338"/>
      <c r="AG517" s="129" t="s">
        <v>402</v>
      </c>
      <c r="AH517" s="1402">
        <v>2025</v>
      </c>
      <c r="AI517" s="1402"/>
      <c r="AJ517" s="1402"/>
      <c r="AK517" s="1403"/>
      <c r="AZ517" s="3"/>
      <c r="BB517" s="3"/>
      <c r="BC517" s="3"/>
      <c r="BD517" s="3"/>
      <c r="BE517" s="3"/>
      <c r="BF517" s="3"/>
      <c r="BG517" s="3"/>
      <c r="BH517" s="3"/>
      <c r="BI517" s="3"/>
      <c r="BJ517" s="3"/>
      <c r="BK517" s="3"/>
      <c r="BL517" s="3"/>
      <c r="BM517" s="3"/>
      <c r="BN517" s="3" t="s">
        <v>2109</v>
      </c>
    </row>
    <row r="518" spans="2:66" ht="12.95" customHeight="1">
      <c r="B518" s="1673"/>
      <c r="C518" s="1433"/>
      <c r="D518" s="1433"/>
      <c r="E518" s="1433"/>
      <c r="F518" s="1433"/>
      <c r="G518" s="1433"/>
      <c r="H518" s="1434"/>
      <c r="I518" t="s">
        <v>415</v>
      </c>
      <c r="AC518" s="1662">
        <v>3</v>
      </c>
      <c r="AD518" s="1663"/>
      <c r="AE518" s="1663"/>
      <c r="AF518" s="1663"/>
      <c r="AG518" s="13" t="s">
        <v>402</v>
      </c>
      <c r="AH518" s="1402">
        <v>2025</v>
      </c>
      <c r="AI518" s="1402"/>
      <c r="AJ518" s="1402"/>
      <c r="AK518" s="1403"/>
      <c r="BB518" s="3"/>
      <c r="BC518" s="3"/>
      <c r="BD518" s="3"/>
      <c r="BE518" s="3"/>
      <c r="BF518" s="3"/>
      <c r="BG518" s="3"/>
      <c r="BH518" s="3"/>
      <c r="BI518" s="3"/>
      <c r="BJ518" s="3"/>
      <c r="BK518" s="3"/>
      <c r="BL518" s="3"/>
      <c r="BM518" s="3"/>
      <c r="BN518" s="3" t="s">
        <v>2110</v>
      </c>
    </row>
    <row r="519" spans="2:66" ht="12.95" customHeight="1">
      <c r="B519" s="1674"/>
      <c r="C519" s="1435"/>
      <c r="D519" s="1435"/>
      <c r="E519" s="1435"/>
      <c r="F519" s="1435"/>
      <c r="G519" s="1435"/>
      <c r="H519" s="1436"/>
      <c r="I519" s="48" t="s">
        <v>416</v>
      </c>
      <c r="J519" s="48"/>
      <c r="K519" s="48"/>
      <c r="L519" s="48"/>
      <c r="M519" s="48"/>
      <c r="N519" s="48"/>
      <c r="O519" s="48"/>
      <c r="P519" s="48"/>
      <c r="Q519" s="48"/>
      <c r="R519" s="48"/>
      <c r="S519" s="48"/>
      <c r="T519" s="48"/>
      <c r="U519" s="48"/>
      <c r="V519" s="48"/>
      <c r="W519" s="48"/>
      <c r="X519" s="48"/>
      <c r="Y519" s="48"/>
      <c r="Z519" s="48"/>
      <c r="AA519" s="48"/>
      <c r="AB519" s="48"/>
      <c r="AC519" s="1662">
        <v>1</v>
      </c>
      <c r="AD519" s="1663"/>
      <c r="AE519" s="1663"/>
      <c r="AF519" s="1663"/>
      <c r="AG519" s="38" t="s">
        <v>402</v>
      </c>
      <c r="AH519" s="1402">
        <v>2028</v>
      </c>
      <c r="AI519" s="1402"/>
      <c r="AJ519" s="1402"/>
      <c r="AK519" s="1403"/>
      <c r="BB519" s="3"/>
      <c r="BC519" s="3"/>
      <c r="BD519" s="3"/>
      <c r="BE519" s="3"/>
      <c r="BF519" s="3"/>
      <c r="BG519" s="3"/>
      <c r="BH519" s="3"/>
      <c r="BI519" s="3"/>
      <c r="BJ519" s="3"/>
      <c r="BK519" s="3"/>
      <c r="BL519" s="3"/>
      <c r="BM519" s="3"/>
      <c r="BN519" s="3" t="s">
        <v>2111</v>
      </c>
    </row>
    <row r="520" spans="2:66" ht="12.95" customHeight="1">
      <c r="B520" s="1672" t="s">
        <v>418</v>
      </c>
      <c r="C520" s="1431"/>
      <c r="D520" s="1431"/>
      <c r="E520" s="1431"/>
      <c r="F520" s="1431"/>
      <c r="G520" s="1431"/>
      <c r="H520" s="1432"/>
      <c r="I520" s="41" t="s">
        <v>419</v>
      </c>
      <c r="J520" s="42"/>
      <c r="K520" s="42"/>
      <c r="L520" s="42"/>
      <c r="M520" s="42"/>
      <c r="N520" s="42"/>
      <c r="O520" s="1749" t="s">
        <v>2417</v>
      </c>
      <c r="P520" s="1750"/>
      <c r="Q520" s="1750"/>
      <c r="R520" s="1750"/>
      <c r="S520" s="1750"/>
      <c r="T520" s="1750"/>
      <c r="U520" s="1750"/>
      <c r="V520" s="1750"/>
      <c r="W520" s="1750"/>
      <c r="X520" s="1750"/>
      <c r="Y520" s="1750"/>
      <c r="Z520" s="1750"/>
      <c r="AA520" s="1750"/>
      <c r="AB520" s="58"/>
      <c r="AC520" s="1337" t="s">
        <v>591</v>
      </c>
      <c r="AD520" s="1338"/>
      <c r="AE520" s="1338"/>
      <c r="AF520" s="1338"/>
      <c r="AG520" s="129" t="s">
        <v>402</v>
      </c>
      <c r="AH520" s="1402"/>
      <c r="AI520" s="1402"/>
      <c r="AJ520" s="1402"/>
      <c r="AK520" s="1403"/>
      <c r="AZ520" s="3"/>
      <c r="BB520" s="3"/>
      <c r="BC520" s="3"/>
      <c r="BD520" s="3"/>
      <c r="BE520" s="3"/>
      <c r="BF520" s="3"/>
      <c r="BG520" s="3"/>
      <c r="BH520" s="3"/>
      <c r="BI520" s="3"/>
      <c r="BJ520" s="3"/>
      <c r="BK520" s="3"/>
      <c r="BL520" s="3"/>
      <c r="BM520" s="3"/>
      <c r="BN520" s="3" t="s">
        <v>2112</v>
      </c>
    </row>
    <row r="521" spans="2:66" ht="12.95" customHeight="1">
      <c r="B521" s="1673"/>
      <c r="C521" s="1433"/>
      <c r="D521" s="1433"/>
      <c r="E521" s="1433"/>
      <c r="F521" s="1433"/>
      <c r="G521" s="1433"/>
      <c r="H521" s="1434"/>
      <c r="I521" s="114" t="s">
        <v>420</v>
      </c>
      <c r="AB521" s="65"/>
      <c r="AC521" s="1662">
        <v>3</v>
      </c>
      <c r="AD521" s="1663"/>
      <c r="AE521" s="1663"/>
      <c r="AF521" s="1663"/>
      <c r="AG521" s="13" t="s">
        <v>402</v>
      </c>
      <c r="AH521" s="1402">
        <v>2025</v>
      </c>
      <c r="AI521" s="1402"/>
      <c r="AJ521" s="1402"/>
      <c r="AK521" s="1403"/>
      <c r="AZ521" s="3"/>
      <c r="BB521" s="3"/>
      <c r="BC521" s="3"/>
      <c r="BD521" s="3"/>
      <c r="BE521" s="3"/>
      <c r="BF521" s="3"/>
      <c r="BG521" s="3"/>
      <c r="BH521" s="3"/>
      <c r="BI521" s="3"/>
      <c r="BJ521" s="3"/>
      <c r="BK521" s="3"/>
      <c r="BL521" s="3"/>
      <c r="BM521" s="3"/>
      <c r="BN521" s="3" t="s">
        <v>2113</v>
      </c>
    </row>
    <row r="522" spans="2:66" ht="12.95" customHeight="1">
      <c r="B522" s="1673"/>
      <c r="C522" s="1433"/>
      <c r="D522" s="1433"/>
      <c r="E522" s="1433"/>
      <c r="F522" s="1433"/>
      <c r="G522" s="1433"/>
      <c r="H522" s="1434"/>
      <c r="I522" s="47" t="s">
        <v>421</v>
      </c>
      <c r="J522" s="48"/>
      <c r="K522" s="48"/>
      <c r="L522" s="48"/>
      <c r="M522" s="48"/>
      <c r="N522" s="48"/>
      <c r="O522" s="48"/>
      <c r="P522" s="48"/>
      <c r="Q522" s="48"/>
      <c r="R522" s="48"/>
      <c r="S522" s="48"/>
      <c r="T522" s="48"/>
      <c r="U522" s="48"/>
      <c r="V522" s="48"/>
      <c r="W522" s="48"/>
      <c r="X522" s="48"/>
      <c r="Y522" s="48"/>
      <c r="Z522" s="48"/>
      <c r="AA522" s="48"/>
      <c r="AB522" s="49"/>
      <c r="AC522" s="1662">
        <v>1</v>
      </c>
      <c r="AD522" s="1663"/>
      <c r="AE522" s="1663"/>
      <c r="AF522" s="1663"/>
      <c r="AG522" s="38" t="s">
        <v>402</v>
      </c>
      <c r="AH522" s="1402">
        <v>2028</v>
      </c>
      <c r="AI522" s="1402"/>
      <c r="AJ522" s="1402"/>
      <c r="AK522" s="1403"/>
      <c r="AZ522" s="3"/>
      <c r="BA522" s="3"/>
      <c r="BB522" s="3"/>
      <c r="BC522" s="3"/>
      <c r="BD522" s="3"/>
      <c r="BE522" s="3"/>
      <c r="BF522" s="3"/>
      <c r="BG522" s="3"/>
      <c r="BH522" s="3"/>
      <c r="BI522" s="3"/>
      <c r="BJ522" s="3"/>
      <c r="BK522" s="3"/>
      <c r="BL522" s="3"/>
      <c r="BM522" s="3"/>
      <c r="BN522" s="3" t="s">
        <v>2114</v>
      </c>
    </row>
    <row r="523" spans="2:66" ht="12.95" customHeight="1">
      <c r="B523" s="1673"/>
      <c r="C523" s="1433"/>
      <c r="D523" s="1433"/>
      <c r="E523" s="1433"/>
      <c r="F523" s="1433"/>
      <c r="G523" s="1433"/>
      <c r="H523" s="1434"/>
      <c r="I523" s="42" t="s">
        <v>422</v>
      </c>
      <c r="J523" s="42"/>
      <c r="K523" s="42"/>
      <c r="L523" s="42"/>
      <c r="M523" s="42"/>
      <c r="N523" s="42"/>
      <c r="O523" s="1749" t="s">
        <v>2701</v>
      </c>
      <c r="P523" s="1750"/>
      <c r="Q523" s="1750"/>
      <c r="R523" s="1750"/>
      <c r="S523" s="1750"/>
      <c r="T523" s="1750"/>
      <c r="U523" s="1750"/>
      <c r="V523" s="1750"/>
      <c r="W523" s="1750"/>
      <c r="X523" s="1750"/>
      <c r="Y523" s="1750"/>
      <c r="Z523" s="1750"/>
      <c r="AA523" s="1750"/>
      <c r="AC523" s="1662" t="s">
        <v>591</v>
      </c>
      <c r="AD523" s="1663"/>
      <c r="AE523" s="1663"/>
      <c r="AF523" s="1663"/>
      <c r="AG523" s="13" t="s">
        <v>402</v>
      </c>
      <c r="AH523" s="1402"/>
      <c r="AI523" s="1402"/>
      <c r="AJ523" s="1402"/>
      <c r="AK523" s="1403"/>
      <c r="AZ523" s="3"/>
      <c r="BA523" s="3"/>
      <c r="BB523" s="3"/>
      <c r="BC523" s="3"/>
      <c r="BD523" s="3"/>
      <c r="BE523" s="3"/>
      <c r="BF523" s="3"/>
      <c r="BG523" s="3"/>
      <c r="BH523" s="3"/>
      <c r="BI523" s="3"/>
      <c r="BJ523" s="3"/>
      <c r="BK523" s="3"/>
      <c r="BL523" s="3"/>
      <c r="BM523" s="3"/>
      <c r="BN523" s="3" t="s">
        <v>2115</v>
      </c>
    </row>
    <row r="524" spans="2:66" ht="12.95" customHeight="1">
      <c r="B524" s="1673"/>
      <c r="C524" s="1433"/>
      <c r="D524" s="1433"/>
      <c r="E524" s="1433"/>
      <c r="F524" s="1433"/>
      <c r="G524" s="1433"/>
      <c r="H524" s="1434"/>
      <c r="I524" t="s">
        <v>420</v>
      </c>
      <c r="AC524" s="1662">
        <v>5</v>
      </c>
      <c r="AD524" s="1663"/>
      <c r="AE524" s="1663"/>
      <c r="AF524" s="1663"/>
      <c r="AG524" s="13" t="s">
        <v>402</v>
      </c>
      <c r="AH524" s="1402">
        <v>2025</v>
      </c>
      <c r="AI524" s="1402"/>
      <c r="AJ524" s="1402"/>
      <c r="AK524" s="1403"/>
      <c r="AZ524" s="3"/>
      <c r="BA524" s="3"/>
      <c r="BB524" s="3"/>
      <c r="BC524" s="3"/>
      <c r="BD524" s="3"/>
      <c r="BE524" s="3"/>
      <c r="BF524" s="3"/>
      <c r="BG524" s="3"/>
      <c r="BH524" s="3"/>
      <c r="BI524" s="3"/>
      <c r="BJ524" s="3"/>
      <c r="BK524" s="3"/>
      <c r="BL524" s="3"/>
      <c r="BM524" s="3"/>
      <c r="BN524" s="3" t="s">
        <v>2116</v>
      </c>
    </row>
    <row r="525" spans="2:66" ht="12.95" customHeight="1">
      <c r="B525" s="1673"/>
      <c r="C525" s="1433"/>
      <c r="D525" s="1433"/>
      <c r="E525" s="1433"/>
      <c r="F525" s="1433"/>
      <c r="G525" s="1433"/>
      <c r="H525" s="1434"/>
      <c r="I525" s="48" t="s">
        <v>421</v>
      </c>
      <c r="J525" s="48"/>
      <c r="K525" s="48"/>
      <c r="L525" s="48"/>
      <c r="M525" s="48"/>
      <c r="N525" s="48"/>
      <c r="O525" s="48"/>
      <c r="P525" s="48"/>
      <c r="Q525" s="48"/>
      <c r="R525" s="48"/>
      <c r="S525" s="48"/>
      <c r="T525" s="48"/>
      <c r="U525" s="48"/>
      <c r="V525" s="48"/>
      <c r="W525" s="48"/>
      <c r="X525" s="48"/>
      <c r="Y525" s="48"/>
      <c r="Z525" s="48"/>
      <c r="AA525" s="48"/>
      <c r="AB525" s="48"/>
      <c r="AC525" s="1662">
        <v>1</v>
      </c>
      <c r="AD525" s="1663"/>
      <c r="AE525" s="1663"/>
      <c r="AF525" s="1663"/>
      <c r="AG525" s="38" t="s">
        <v>402</v>
      </c>
      <c r="AH525" s="1402">
        <v>2028</v>
      </c>
      <c r="AI525" s="1402"/>
      <c r="AJ525" s="1402"/>
      <c r="AK525" s="1403"/>
      <c r="AZ525" s="3"/>
      <c r="BA525" s="3"/>
      <c r="BB525" s="3"/>
      <c r="BC525" s="3"/>
      <c r="BD525" s="3"/>
      <c r="BE525" s="3"/>
      <c r="BF525" s="3"/>
      <c r="BG525" s="3"/>
      <c r="BH525" s="3"/>
      <c r="BI525" s="3"/>
      <c r="BJ525" s="3"/>
      <c r="BK525" s="3"/>
      <c r="BL525" s="3"/>
      <c r="BM525" s="3"/>
      <c r="BN525" s="3" t="s">
        <v>2117</v>
      </c>
    </row>
    <row r="526" spans="2:66" ht="12.95" customHeight="1">
      <c r="B526" s="1673"/>
      <c r="C526" s="1433"/>
      <c r="D526" s="1433"/>
      <c r="E526" s="1433"/>
      <c r="F526" s="1433"/>
      <c r="G526" s="1433"/>
      <c r="H526" s="1434"/>
      <c r="I526" s="42" t="s">
        <v>422</v>
      </c>
      <c r="J526" s="42"/>
      <c r="K526" s="42"/>
      <c r="L526" s="42"/>
      <c r="M526" s="42"/>
      <c r="N526" s="42"/>
      <c r="O526" s="1749" t="s">
        <v>333</v>
      </c>
      <c r="P526" s="1750"/>
      <c r="Q526" s="1750"/>
      <c r="R526" s="1750"/>
      <c r="S526" s="1750"/>
      <c r="T526" s="1750"/>
      <c r="U526" s="1750"/>
      <c r="V526" s="1750"/>
      <c r="W526" s="1750"/>
      <c r="X526" s="1750"/>
      <c r="Y526" s="1750"/>
      <c r="Z526" s="1750"/>
      <c r="AA526" s="1750"/>
      <c r="AC526" s="1662" t="s">
        <v>591</v>
      </c>
      <c r="AD526" s="1663"/>
      <c r="AE526" s="1663"/>
      <c r="AF526" s="1663"/>
      <c r="AG526" s="13" t="s">
        <v>402</v>
      </c>
      <c r="AH526" s="1402"/>
      <c r="AI526" s="1402"/>
      <c r="AJ526" s="1402"/>
      <c r="AK526" s="1403"/>
      <c r="AZ526" s="3"/>
      <c r="BA526" s="3"/>
      <c r="BB526" s="3"/>
      <c r="BC526" s="3"/>
      <c r="BD526" s="3"/>
      <c r="BE526" s="3"/>
      <c r="BF526" s="3"/>
      <c r="BG526" s="3"/>
      <c r="BH526" s="3"/>
      <c r="BI526" s="3"/>
      <c r="BJ526" s="3"/>
      <c r="BK526" s="3"/>
      <c r="BL526" s="3"/>
      <c r="BM526" s="3"/>
      <c r="BN526" s="3" t="s">
        <v>2118</v>
      </c>
    </row>
    <row r="527" spans="2:66" ht="12.95" customHeight="1">
      <c r="B527" s="1673"/>
      <c r="C527" s="1433"/>
      <c r="D527" s="1433"/>
      <c r="E527" s="1433"/>
      <c r="F527" s="1433"/>
      <c r="G527" s="1433"/>
      <c r="H527" s="1434"/>
      <c r="I527" t="s">
        <v>420</v>
      </c>
      <c r="AC527" s="1662" t="s">
        <v>591</v>
      </c>
      <c r="AD527" s="1663"/>
      <c r="AE527" s="1663"/>
      <c r="AF527" s="1663"/>
      <c r="AG527" s="13" t="s">
        <v>402</v>
      </c>
      <c r="AH527" s="1402"/>
      <c r="AI527" s="1402"/>
      <c r="AJ527" s="1402"/>
      <c r="AK527" s="1403"/>
      <c r="AZ527" s="3"/>
      <c r="BA527" s="3"/>
      <c r="BB527" s="3"/>
      <c r="BC527" s="3"/>
      <c r="BD527" s="3"/>
      <c r="BE527" s="3"/>
      <c r="BF527" s="3"/>
      <c r="BG527" s="3"/>
      <c r="BH527" s="3"/>
      <c r="BI527" s="3"/>
      <c r="BJ527" s="3"/>
      <c r="BK527" s="3"/>
      <c r="BL527" s="3"/>
      <c r="BM527" s="3"/>
      <c r="BN527" s="3" t="s">
        <v>2119</v>
      </c>
    </row>
    <row r="528" spans="2:66" ht="12.95" customHeight="1">
      <c r="B528" s="1673"/>
      <c r="C528" s="1433"/>
      <c r="D528" s="1433"/>
      <c r="E528" s="1433"/>
      <c r="F528" s="1433"/>
      <c r="G528" s="1433"/>
      <c r="H528" s="1434"/>
      <c r="I528" s="48" t="s">
        <v>421</v>
      </c>
      <c r="J528" s="48"/>
      <c r="K528" s="48"/>
      <c r="L528" s="48"/>
      <c r="M528" s="48"/>
      <c r="N528" s="48"/>
      <c r="O528" s="48"/>
      <c r="P528" s="48"/>
      <c r="Q528" s="48"/>
      <c r="R528" s="48"/>
      <c r="S528" s="48"/>
      <c r="T528" s="48"/>
      <c r="U528" s="48"/>
      <c r="V528" s="48"/>
      <c r="W528" s="48"/>
      <c r="X528" s="48"/>
      <c r="Y528" s="48"/>
      <c r="Z528" s="48"/>
      <c r="AA528" s="48"/>
      <c r="AB528" s="48"/>
      <c r="AC528" s="1662" t="s">
        <v>591</v>
      </c>
      <c r="AD528" s="1663"/>
      <c r="AE528" s="1663"/>
      <c r="AF528" s="1663"/>
      <c r="AG528" s="38" t="s">
        <v>402</v>
      </c>
      <c r="AH528" s="1402"/>
      <c r="AI528" s="1402"/>
      <c r="AJ528" s="1402"/>
      <c r="AK528" s="1403"/>
      <c r="AZ528" s="3"/>
      <c r="BA528" s="3"/>
      <c r="BB528" s="3"/>
      <c r="BC528" s="3"/>
      <c r="BD528" s="3"/>
      <c r="BE528" s="3"/>
      <c r="BF528" s="3"/>
      <c r="BG528" s="3"/>
      <c r="BH528" s="3"/>
      <c r="BI528" s="3"/>
      <c r="BJ528" s="3"/>
      <c r="BK528" s="3"/>
      <c r="BL528" s="3"/>
      <c r="BM528" s="3"/>
      <c r="BN528" s="3" t="s">
        <v>2120</v>
      </c>
    </row>
    <row r="529" spans="1:66" ht="12.95" customHeight="1">
      <c r="B529" s="1673"/>
      <c r="C529" s="1433"/>
      <c r="D529" s="1433"/>
      <c r="E529" s="1433"/>
      <c r="F529" s="1433"/>
      <c r="G529" s="1433"/>
      <c r="H529" s="1434"/>
      <c r="I529" s="42" t="s">
        <v>422</v>
      </c>
      <c r="J529" s="42"/>
      <c r="K529" s="42"/>
      <c r="L529" s="42"/>
      <c r="M529" s="42"/>
      <c r="N529" s="42"/>
      <c r="O529" s="1749" t="s">
        <v>333</v>
      </c>
      <c r="P529" s="1750"/>
      <c r="Q529" s="1750"/>
      <c r="R529" s="1750"/>
      <c r="S529" s="1750"/>
      <c r="T529" s="1750"/>
      <c r="U529" s="1750"/>
      <c r="V529" s="1750"/>
      <c r="W529" s="1750"/>
      <c r="X529" s="1750"/>
      <c r="Y529" s="1750"/>
      <c r="Z529" s="1750"/>
      <c r="AA529" s="1750"/>
      <c r="AC529" s="1662" t="s">
        <v>591</v>
      </c>
      <c r="AD529" s="1663"/>
      <c r="AE529" s="1663"/>
      <c r="AF529" s="1663"/>
      <c r="AG529" s="13" t="s">
        <v>402</v>
      </c>
      <c r="AH529" s="1402"/>
      <c r="AI529" s="1402"/>
      <c r="AJ529" s="1402"/>
      <c r="AK529" s="1403"/>
      <c r="AZ529" s="3"/>
      <c r="BA529" s="3"/>
      <c r="BB529" s="3"/>
      <c r="BC529" s="3"/>
      <c r="BD529" s="3"/>
      <c r="BE529" s="3"/>
      <c r="BF529" s="3"/>
      <c r="BG529" s="3"/>
      <c r="BH529" s="3"/>
      <c r="BI529" s="3"/>
      <c r="BJ529" s="3"/>
      <c r="BK529" s="3"/>
      <c r="BL529" s="3"/>
      <c r="BM529" s="3"/>
      <c r="BN529" s="3" t="s">
        <v>2121</v>
      </c>
    </row>
    <row r="530" spans="1:66" ht="12.95" customHeight="1">
      <c r="B530" s="1673"/>
      <c r="C530" s="1433"/>
      <c r="D530" s="1433"/>
      <c r="E530" s="1433"/>
      <c r="F530" s="1433"/>
      <c r="G530" s="1433"/>
      <c r="H530" s="1434"/>
      <c r="I530" t="s">
        <v>420</v>
      </c>
      <c r="AC530" s="1662" t="s">
        <v>591</v>
      </c>
      <c r="AD530" s="1663"/>
      <c r="AE530" s="1663"/>
      <c r="AF530" s="1663"/>
      <c r="AG530" s="13" t="s">
        <v>402</v>
      </c>
      <c r="AH530" s="1402"/>
      <c r="AI530" s="1402"/>
      <c r="AJ530" s="1402"/>
      <c r="AK530" s="1403"/>
      <c r="AZ530" s="3"/>
      <c r="BA530" s="3"/>
      <c r="BB530" s="3"/>
      <c r="BC530" s="3"/>
      <c r="BD530" s="3"/>
      <c r="BE530" s="3"/>
      <c r="BF530" s="3"/>
      <c r="BG530" s="3"/>
      <c r="BH530" s="3"/>
      <c r="BI530" s="3"/>
      <c r="BJ530" s="3"/>
      <c r="BK530" s="3"/>
      <c r="BL530" s="3"/>
      <c r="BM530" s="3"/>
      <c r="BN530" s="3" t="s">
        <v>2122</v>
      </c>
    </row>
    <row r="531" spans="1:66" ht="12.95" customHeight="1">
      <c r="B531" s="1673"/>
      <c r="C531" s="1433"/>
      <c r="D531" s="1433"/>
      <c r="E531" s="1433"/>
      <c r="F531" s="1433"/>
      <c r="G531" s="1433"/>
      <c r="H531" s="1434"/>
      <c r="I531" s="48" t="s">
        <v>421</v>
      </c>
      <c r="J531" s="48"/>
      <c r="K531" s="48"/>
      <c r="L531" s="48"/>
      <c r="M531" s="48"/>
      <c r="N531" s="48"/>
      <c r="O531" s="48"/>
      <c r="P531" s="48"/>
      <c r="Q531" s="48"/>
      <c r="R531" s="48"/>
      <c r="S531" s="48"/>
      <c r="T531" s="48"/>
      <c r="U531" s="48"/>
      <c r="V531" s="48"/>
      <c r="W531" s="48"/>
      <c r="X531" s="48"/>
      <c r="Y531" s="48"/>
      <c r="Z531" s="48"/>
      <c r="AA531" s="48"/>
      <c r="AB531" s="48"/>
      <c r="AC531" s="1662" t="s">
        <v>591</v>
      </c>
      <c r="AD531" s="1663"/>
      <c r="AE531" s="1663"/>
      <c r="AF531" s="1663"/>
      <c r="AG531" s="38" t="s">
        <v>402</v>
      </c>
      <c r="AH531" s="1402"/>
      <c r="AI531" s="1402"/>
      <c r="AJ531" s="1402"/>
      <c r="AK531" s="1403"/>
      <c r="AZ531" s="3"/>
      <c r="BA531" s="3"/>
      <c r="BB531" s="3"/>
      <c r="BC531" s="3"/>
      <c r="BD531" s="3"/>
      <c r="BE531" s="3"/>
      <c r="BF531" s="3"/>
      <c r="BG531" s="3"/>
      <c r="BH531" s="3"/>
      <c r="BI531" s="3"/>
      <c r="BJ531" s="3"/>
      <c r="BK531" s="3"/>
      <c r="BL531" s="3"/>
      <c r="BM531" s="3"/>
      <c r="BN531" s="3" t="s">
        <v>2123</v>
      </c>
    </row>
    <row r="532" spans="1:66" ht="12.95" customHeight="1">
      <c r="B532" s="1673"/>
      <c r="C532" s="1433"/>
      <c r="D532" s="1433"/>
      <c r="E532" s="1433"/>
      <c r="F532" s="1433"/>
      <c r="G532" s="1433"/>
      <c r="H532" s="1434"/>
      <c r="I532" s="42" t="s">
        <v>422</v>
      </c>
      <c r="J532" s="42"/>
      <c r="K532" s="42"/>
      <c r="L532" s="42"/>
      <c r="M532" s="42"/>
      <c r="N532" s="42"/>
      <c r="O532" s="1749" t="s">
        <v>333</v>
      </c>
      <c r="P532" s="1750"/>
      <c r="Q532" s="1750"/>
      <c r="R532" s="1750"/>
      <c r="S532" s="1750"/>
      <c r="T532" s="1750"/>
      <c r="U532" s="1750"/>
      <c r="V532" s="1750"/>
      <c r="W532" s="1750"/>
      <c r="X532" s="1750"/>
      <c r="Y532" s="1750"/>
      <c r="Z532" s="1750"/>
      <c r="AA532" s="1750"/>
      <c r="AC532" s="1662" t="s">
        <v>591</v>
      </c>
      <c r="AD532" s="1663"/>
      <c r="AE532" s="1663"/>
      <c r="AF532" s="1663"/>
      <c r="AG532" s="13" t="s">
        <v>402</v>
      </c>
      <c r="AH532" s="1402"/>
      <c r="AI532" s="1402"/>
      <c r="AJ532" s="1402"/>
      <c r="AK532" s="1403"/>
      <c r="AZ532" s="3"/>
      <c r="BA532" s="3"/>
      <c r="BB532" s="3"/>
      <c r="BC532" s="3"/>
      <c r="BD532" s="3"/>
      <c r="BE532" s="3"/>
      <c r="BF532" s="3"/>
      <c r="BG532" s="3"/>
      <c r="BH532" s="3"/>
      <c r="BI532" s="3"/>
      <c r="BJ532" s="3"/>
      <c r="BK532" s="3"/>
      <c r="BL532" s="3"/>
      <c r="BM532" s="3"/>
      <c r="BN532" s="3" t="s">
        <v>2124</v>
      </c>
    </row>
    <row r="533" spans="1:66" ht="12.95" customHeight="1">
      <c r="B533" s="1673"/>
      <c r="C533" s="1433"/>
      <c r="D533" s="1433"/>
      <c r="E533" s="1433"/>
      <c r="F533" s="1433"/>
      <c r="G533" s="1433"/>
      <c r="H533" s="1434"/>
      <c r="I533" t="s">
        <v>420</v>
      </c>
      <c r="AC533" s="1662" t="s">
        <v>591</v>
      </c>
      <c r="AD533" s="1663"/>
      <c r="AE533" s="1663"/>
      <c r="AF533" s="1663"/>
      <c r="AG533" s="38" t="s">
        <v>402</v>
      </c>
      <c r="AH533" s="1402"/>
      <c r="AI533" s="1402"/>
      <c r="AJ533" s="1402"/>
      <c r="AK533" s="1403"/>
      <c r="AZ533" s="3"/>
      <c r="BA533" s="3"/>
      <c r="BB533" s="3"/>
      <c r="BC533" s="3"/>
      <c r="BD533" s="3"/>
      <c r="BE533" s="3"/>
      <c r="BF533" s="3"/>
      <c r="BG533" s="3"/>
      <c r="BH533" s="3"/>
      <c r="BI533" s="3"/>
      <c r="BJ533" s="3"/>
      <c r="BK533" s="3"/>
      <c r="BL533" s="3"/>
      <c r="BM533" s="3"/>
      <c r="BN533" s="3" t="s">
        <v>2125</v>
      </c>
    </row>
    <row r="534" spans="1:66" ht="12.95" customHeight="1">
      <c r="B534" s="1673"/>
      <c r="C534" s="1433"/>
      <c r="D534" s="1433"/>
      <c r="E534" s="1433"/>
      <c r="F534" s="1433"/>
      <c r="G534" s="1433"/>
      <c r="H534" s="1434"/>
      <c r="I534" s="48" t="s">
        <v>421</v>
      </c>
      <c r="J534" s="48"/>
      <c r="K534" s="48"/>
      <c r="L534" s="48"/>
      <c r="M534" s="48"/>
      <c r="N534" s="48"/>
      <c r="O534" s="48"/>
      <c r="P534" s="48"/>
      <c r="Q534" s="48"/>
      <c r="R534" s="48"/>
      <c r="S534" s="48"/>
      <c r="T534" s="48"/>
      <c r="U534" s="48"/>
      <c r="V534" s="48"/>
      <c r="W534" s="48"/>
      <c r="X534" s="48"/>
      <c r="Y534" s="48"/>
      <c r="Z534" s="48"/>
      <c r="AA534" s="48"/>
      <c r="AB534" s="48"/>
      <c r="AC534" s="1662" t="s">
        <v>591</v>
      </c>
      <c r="AD534" s="1663"/>
      <c r="AE534" s="1663"/>
      <c r="AF534" s="1663"/>
      <c r="AG534" s="13" t="s">
        <v>402</v>
      </c>
      <c r="AH534" s="1402"/>
      <c r="AI534" s="1402"/>
      <c r="AJ534" s="1402"/>
      <c r="AK534" s="1403"/>
      <c r="AZ534" s="3"/>
      <c r="BA534" s="3"/>
      <c r="BB534" s="3"/>
      <c r="BC534" s="3"/>
      <c r="BD534" s="3"/>
      <c r="BE534" s="3"/>
      <c r="BF534" s="3"/>
      <c r="BG534" s="3"/>
      <c r="BH534" s="3"/>
      <c r="BI534" s="3"/>
      <c r="BJ534" s="3"/>
      <c r="BK534" s="3"/>
      <c r="BL534" s="3"/>
      <c r="BM534" s="3"/>
      <c r="BN534" s="3" t="s">
        <v>2126</v>
      </c>
    </row>
    <row r="535" spans="1:66" ht="12.95" customHeight="1">
      <c r="B535" s="1673"/>
      <c r="C535" s="1433"/>
      <c r="D535" s="1433"/>
      <c r="E535" s="1433"/>
      <c r="F535" s="1433"/>
      <c r="G535" s="1433"/>
      <c r="H535" s="1434"/>
      <c r="I535" s="42" t="s">
        <v>422</v>
      </c>
      <c r="J535" s="42"/>
      <c r="K535" s="42"/>
      <c r="L535" s="42"/>
      <c r="M535" s="42"/>
      <c r="N535" s="42"/>
      <c r="O535" s="1749" t="s">
        <v>333</v>
      </c>
      <c r="P535" s="1750"/>
      <c r="Q535" s="1750"/>
      <c r="R535" s="1750"/>
      <c r="S535" s="1750"/>
      <c r="T535" s="1750"/>
      <c r="U535" s="1750"/>
      <c r="V535" s="1750"/>
      <c r="W535" s="1750"/>
      <c r="X535" s="1750"/>
      <c r="Y535" s="1750"/>
      <c r="Z535" s="1750"/>
      <c r="AA535" s="1750"/>
      <c r="AC535" s="1662" t="s">
        <v>591</v>
      </c>
      <c r="AD535" s="1663"/>
      <c r="AE535" s="1663"/>
      <c r="AF535" s="1663"/>
      <c r="AG535" s="38" t="s">
        <v>402</v>
      </c>
      <c r="AH535" s="1402"/>
      <c r="AI535" s="1402"/>
      <c r="AJ535" s="1402"/>
      <c r="AK535" s="1403"/>
      <c r="AZ535" s="3"/>
      <c r="BA535" s="3"/>
      <c r="BB535" s="3"/>
      <c r="BC535" s="3"/>
      <c r="BD535" s="3"/>
      <c r="BE535" s="3"/>
      <c r="BF535" s="3"/>
      <c r="BG535" s="3"/>
      <c r="BH535" s="3"/>
      <c r="BI535" s="3"/>
      <c r="BJ535" s="3"/>
      <c r="BK535" s="3"/>
      <c r="BL535" s="3"/>
      <c r="BM535" s="3"/>
      <c r="BN535" s="3" t="s">
        <v>2127</v>
      </c>
    </row>
    <row r="536" spans="1:66" ht="12.95" customHeight="1">
      <c r="B536" s="1673"/>
      <c r="C536" s="1433"/>
      <c r="D536" s="1433"/>
      <c r="E536" s="1433"/>
      <c r="F536" s="1433"/>
      <c r="G536" s="1433"/>
      <c r="H536" s="1434"/>
      <c r="I536" t="s">
        <v>420</v>
      </c>
      <c r="AC536" s="1662" t="s">
        <v>591</v>
      </c>
      <c r="AD536" s="1663"/>
      <c r="AE536" s="1663"/>
      <c r="AF536" s="1663"/>
      <c r="AG536" s="13" t="s">
        <v>402</v>
      </c>
      <c r="AH536" s="1402"/>
      <c r="AI536" s="1402"/>
      <c r="AJ536" s="1402"/>
      <c r="AK536" s="1403"/>
      <c r="AZ536" s="3"/>
      <c r="BA536" s="3"/>
      <c r="BB536" s="3"/>
      <c r="BC536" s="3"/>
      <c r="BD536" s="3"/>
      <c r="BE536" s="3"/>
      <c r="BF536" s="3"/>
      <c r="BG536" s="3"/>
      <c r="BH536" s="3"/>
      <c r="BI536" s="3"/>
      <c r="BJ536" s="3"/>
      <c r="BK536" s="3"/>
      <c r="BL536" s="3"/>
      <c r="BM536" s="3"/>
      <c r="BN536" s="3" t="s">
        <v>2128</v>
      </c>
    </row>
    <row r="537" spans="1:66" ht="12.95" customHeight="1">
      <c r="B537" s="1673"/>
      <c r="C537" s="1433"/>
      <c r="D537" s="1433"/>
      <c r="E537" s="1433"/>
      <c r="F537" s="1433"/>
      <c r="G537" s="1433"/>
      <c r="H537" s="1434"/>
      <c r="I537" s="48" t="s">
        <v>421</v>
      </c>
      <c r="J537" s="48"/>
      <c r="K537" s="48"/>
      <c r="L537" s="48"/>
      <c r="M537" s="48"/>
      <c r="N537" s="48"/>
      <c r="O537" s="48"/>
      <c r="P537" s="48"/>
      <c r="Q537" s="48"/>
      <c r="R537" s="48"/>
      <c r="S537" s="48"/>
      <c r="T537" s="48"/>
      <c r="U537" s="48"/>
      <c r="V537" s="48"/>
      <c r="W537" s="48"/>
      <c r="X537" s="48"/>
      <c r="Y537" s="48"/>
      <c r="Z537" s="48"/>
      <c r="AA537" s="48"/>
      <c r="AB537" s="48"/>
      <c r="AC537" s="1662" t="s">
        <v>591</v>
      </c>
      <c r="AD537" s="1663"/>
      <c r="AE537" s="1663"/>
      <c r="AF537" s="1663"/>
      <c r="AG537" s="38" t="s">
        <v>402</v>
      </c>
      <c r="AH537" s="1402"/>
      <c r="AI537" s="1402"/>
      <c r="AJ537" s="1402"/>
      <c r="AK537" s="1403"/>
      <c r="AZ537" s="3"/>
      <c r="BA537" s="3"/>
      <c r="BB537" s="3"/>
      <c r="BC537" s="3"/>
      <c r="BD537" s="3"/>
      <c r="BE537" s="3"/>
      <c r="BF537" s="3"/>
      <c r="BG537" s="3"/>
      <c r="BH537" s="3"/>
      <c r="BI537" s="3"/>
      <c r="BJ537" s="3"/>
      <c r="BK537" s="3"/>
      <c r="BL537" s="3"/>
      <c r="BM537" s="3"/>
      <c r="BN537" s="3" t="s">
        <v>2129</v>
      </c>
    </row>
    <row r="538" spans="1:66" ht="12.95" customHeight="1">
      <c r="B538" s="1673"/>
      <c r="C538" s="1433"/>
      <c r="D538" s="1433"/>
      <c r="E538" s="1433"/>
      <c r="F538" s="1433"/>
      <c r="G538" s="1433"/>
      <c r="H538" s="1434"/>
      <c r="I538" s="42" t="s">
        <v>562</v>
      </c>
      <c r="J538" s="42"/>
      <c r="K538" s="42"/>
      <c r="L538" s="42"/>
      <c r="M538" s="42"/>
      <c r="N538" s="42"/>
      <c r="O538" s="42"/>
      <c r="P538" s="42"/>
      <c r="Q538" s="42"/>
      <c r="R538" s="42"/>
      <c r="S538" s="42"/>
      <c r="T538" s="42"/>
      <c r="U538" s="42"/>
      <c r="V538" s="42"/>
      <c r="W538" s="42"/>
      <c r="AC538" s="1662">
        <v>1</v>
      </c>
      <c r="AD538" s="1663"/>
      <c r="AE538" s="1663"/>
      <c r="AF538" s="1663"/>
      <c r="AG538" s="38" t="s">
        <v>402</v>
      </c>
      <c r="AH538" s="1402">
        <v>2026</v>
      </c>
      <c r="AI538" s="1402"/>
      <c r="AJ538" s="1402"/>
      <c r="AK538" s="1403"/>
      <c r="AZ538" s="3"/>
      <c r="BA538" s="3"/>
      <c r="BB538" s="3"/>
      <c r="BC538" s="3"/>
      <c r="BD538" s="3"/>
      <c r="BE538" s="3"/>
      <c r="BF538" s="3"/>
      <c r="BG538" s="3"/>
      <c r="BH538" s="3"/>
      <c r="BI538" s="3"/>
      <c r="BJ538" s="3"/>
      <c r="BK538" s="3"/>
      <c r="BL538" s="3"/>
      <c r="BM538" s="3"/>
      <c r="BN538" s="3"/>
    </row>
    <row r="539" spans="1:66" ht="12.95" customHeight="1">
      <c r="B539" s="1673"/>
      <c r="C539" s="1433"/>
      <c r="D539" s="1433"/>
      <c r="E539" s="1433"/>
      <c r="F539" s="1433"/>
      <c r="G539" s="1433"/>
      <c r="H539" s="1434"/>
      <c r="I539" t="s">
        <v>563</v>
      </c>
      <c r="AC539" s="1662">
        <v>1</v>
      </c>
      <c r="AD539" s="1663"/>
      <c r="AE539" s="1663"/>
      <c r="AF539" s="1663"/>
      <c r="AG539" s="13" t="s">
        <v>402</v>
      </c>
      <c r="AH539" s="1402">
        <v>2026</v>
      </c>
      <c r="AI539" s="1402"/>
      <c r="AJ539" s="1402"/>
      <c r="AK539" s="1403"/>
      <c r="AZ539" s="3"/>
      <c r="BA539" s="3"/>
      <c r="BB539" s="3"/>
      <c r="BC539" s="3"/>
      <c r="BD539" s="3"/>
      <c r="BE539" s="3"/>
      <c r="BF539" s="3"/>
      <c r="BG539" s="3"/>
      <c r="BH539" s="3"/>
      <c r="BI539" s="3"/>
      <c r="BJ539" s="3"/>
      <c r="BK539" s="3"/>
      <c r="BL539" s="3"/>
      <c r="BM539" s="3"/>
      <c r="BN539" s="3"/>
    </row>
    <row r="540" spans="1:66" ht="12.95" customHeight="1">
      <c r="B540" s="1673"/>
      <c r="C540" s="1433"/>
      <c r="D540" s="1433"/>
      <c r="E540" s="1433"/>
      <c r="F540" s="1433"/>
      <c r="G540" s="1433"/>
      <c r="H540" s="1434"/>
      <c r="I540" t="s">
        <v>564</v>
      </c>
      <c r="AC540" s="1662">
        <v>9</v>
      </c>
      <c r="AD540" s="1663"/>
      <c r="AE540" s="1663"/>
      <c r="AF540" s="1663"/>
      <c r="AG540" s="38" t="s">
        <v>402</v>
      </c>
      <c r="AH540" s="1402">
        <v>2027</v>
      </c>
      <c r="AI540" s="1402"/>
      <c r="AJ540" s="1402"/>
      <c r="AK540" s="1403"/>
      <c r="AZ540" s="3"/>
      <c r="BA540" s="3"/>
      <c r="BB540" s="3"/>
      <c r="BC540" s="3"/>
      <c r="BD540" s="3"/>
      <c r="BE540" s="3"/>
      <c r="BF540" s="3"/>
      <c r="BG540" s="3"/>
      <c r="BH540" s="3"/>
      <c r="BI540" s="3"/>
      <c r="BJ540" s="3"/>
      <c r="BK540" s="3"/>
      <c r="BL540" s="3"/>
      <c r="BM540" s="3"/>
      <c r="BN540" s="3"/>
    </row>
    <row r="541" spans="1:66" ht="12.95" customHeight="1">
      <c r="B541" s="1673"/>
      <c r="C541" s="1433"/>
      <c r="D541" s="1433"/>
      <c r="E541" s="1433"/>
      <c r="F541" s="1433"/>
      <c r="G541" s="1433"/>
      <c r="H541" s="1434"/>
      <c r="I541" t="s">
        <v>565</v>
      </c>
      <c r="AC541" s="1662">
        <v>10</v>
      </c>
      <c r="AD541" s="1663"/>
      <c r="AE541" s="1663"/>
      <c r="AF541" s="1663"/>
      <c r="AG541" s="38" t="s">
        <v>402</v>
      </c>
      <c r="AH541" s="1402">
        <v>2027</v>
      </c>
      <c r="AI541" s="1402"/>
      <c r="AJ541" s="1402"/>
      <c r="AK541" s="1403"/>
      <c r="AZ541" s="3"/>
      <c r="BA541" s="3"/>
      <c r="BB541" s="3"/>
      <c r="BC541" s="3"/>
      <c r="BD541" s="3"/>
      <c r="BE541" s="3"/>
      <c r="BF541" s="3"/>
      <c r="BG541" s="3"/>
      <c r="BH541" s="3"/>
      <c r="BI541" s="3"/>
      <c r="BJ541" s="3"/>
      <c r="BK541" s="3"/>
      <c r="BL541" s="3"/>
      <c r="BM541" s="3"/>
      <c r="BN541" s="3"/>
    </row>
    <row r="542" spans="1:66" ht="12.95" customHeight="1">
      <c r="B542" s="1674"/>
      <c r="C542" s="1435"/>
      <c r="D542" s="1435"/>
      <c r="E542" s="1435"/>
      <c r="F542" s="1435"/>
      <c r="G542" s="1435"/>
      <c r="H542" s="1436"/>
      <c r="I542" s="48" t="s">
        <v>451</v>
      </c>
      <c r="J542" s="48"/>
      <c r="K542" s="48"/>
      <c r="L542" s="48"/>
      <c r="M542" s="48"/>
      <c r="N542" s="48"/>
      <c r="O542" s="48"/>
      <c r="P542" s="48"/>
      <c r="Q542" s="48"/>
      <c r="R542" s="48"/>
      <c r="S542" s="48"/>
      <c r="T542" s="48"/>
      <c r="U542" s="48"/>
      <c r="V542" s="48"/>
      <c r="W542" s="48"/>
      <c r="X542" s="48"/>
      <c r="Y542" s="48"/>
      <c r="Z542" s="48"/>
      <c r="AA542" s="48"/>
      <c r="AB542" s="48"/>
      <c r="AC542" s="1662">
        <v>1</v>
      </c>
      <c r="AD542" s="1663"/>
      <c r="AE542" s="1663"/>
      <c r="AF542" s="1663"/>
      <c r="AG542" s="38" t="s">
        <v>402</v>
      </c>
      <c r="AH542" s="1402">
        <v>2028</v>
      </c>
      <c r="AI542" s="1402"/>
      <c r="AJ542" s="1402"/>
      <c r="AK542" s="1403"/>
      <c r="BB542" s="3"/>
      <c r="BC542" s="3"/>
      <c r="BD542" s="3"/>
      <c r="BE542" s="3"/>
      <c r="BF542" s="3"/>
      <c r="BG542" s="3"/>
      <c r="BH542" s="3" t="s">
        <v>112</v>
      </c>
      <c r="BI542" s="3" t="str">
        <f>N649</f>
        <v>Yes</v>
      </c>
      <c r="BJ542" s="3"/>
      <c r="BK542" s="3"/>
      <c r="BL542" s="3"/>
      <c r="BM542" s="3"/>
      <c r="BN542" s="3"/>
    </row>
    <row r="543" spans="1:66" ht="12.95" customHeight="1">
      <c r="B543" s="532"/>
      <c r="C543" s="130"/>
      <c r="D543" s="130"/>
      <c r="E543" s="130"/>
      <c r="F543" s="130"/>
      <c r="G543" s="130"/>
      <c r="H543" s="130"/>
      <c r="AB543" s="130"/>
      <c r="AU543" s="899"/>
      <c r="AV543" s="899"/>
      <c r="AW543" s="899"/>
      <c r="AX543" s="899"/>
      <c r="AY543" s="899"/>
      <c r="BB543" s="3"/>
      <c r="BC543" s="3"/>
      <c r="BD543" s="3"/>
      <c r="BE543" s="3"/>
      <c r="BF543" s="3"/>
      <c r="BG543" s="3"/>
      <c r="BH543" s="3" t="s">
        <v>113</v>
      </c>
      <c r="BI543" s="3" t="str">
        <f>AG649</f>
        <v>Yes</v>
      </c>
      <c r="BJ543" s="3"/>
      <c r="BK543" s="3"/>
      <c r="BL543" s="3"/>
      <c r="BM543" s="3"/>
      <c r="BN543" s="3"/>
    </row>
    <row r="544" spans="1:66" ht="12.95" customHeight="1">
      <c r="A544" s="1260" t="s">
        <v>543</v>
      </c>
      <c r="B544" s="1260"/>
      <c r="C544" s="1260"/>
      <c r="D544" s="1260"/>
      <c r="E544" s="1260"/>
      <c r="F544" s="1260"/>
      <c r="G544" s="1260"/>
      <c r="H544" s="1260"/>
      <c r="I544" s="1260"/>
      <c r="J544" s="1260"/>
      <c r="K544" s="1260"/>
      <c r="L544" s="1260"/>
      <c r="M544" s="1260"/>
      <c r="N544" s="1260"/>
      <c r="O544" s="1260"/>
      <c r="P544" s="1260"/>
      <c r="Q544" s="1260"/>
      <c r="R544" s="1260"/>
      <c r="S544" s="1260"/>
      <c r="T544" s="1260"/>
      <c r="U544" s="1260"/>
      <c r="V544" s="1260"/>
      <c r="W544" s="1260"/>
      <c r="X544" s="1260"/>
      <c r="Y544" s="1260"/>
      <c r="Z544" s="1260"/>
      <c r="AA544" s="1260"/>
      <c r="AB544" s="1260"/>
      <c r="AC544" s="1260"/>
      <c r="AD544" s="1260"/>
      <c r="AE544" s="1260"/>
      <c r="AF544" s="1260"/>
      <c r="AG544" s="1260"/>
      <c r="AH544" s="1260"/>
      <c r="AI544" s="1260"/>
      <c r="AJ544" s="1260"/>
      <c r="AK544" s="1260"/>
      <c r="AL544" s="1260"/>
      <c r="AM544" s="1260"/>
      <c r="AN544" s="1260"/>
      <c r="AO544" s="1260"/>
      <c r="AP544" s="1260"/>
      <c r="AQ544" s="1260"/>
      <c r="AR544" s="1260"/>
      <c r="AS544" s="1260"/>
      <c r="AT544" s="1260"/>
      <c r="AU544" s="899"/>
      <c r="AV544" s="899"/>
      <c r="AW544" s="899"/>
      <c r="AX544" s="899"/>
      <c r="AY544" s="899"/>
      <c r="BB544" s="3"/>
      <c r="BC544" s="3"/>
      <c r="BD544" s="3"/>
      <c r="BE544" s="3"/>
      <c r="BF544" s="3"/>
      <c r="BG544" s="3"/>
      <c r="BH544" s="3"/>
      <c r="BI544" s="3"/>
      <c r="BJ544" s="3"/>
      <c r="BK544" s="3"/>
      <c r="BL544" s="3"/>
      <c r="BM544" s="3"/>
      <c r="BN544" s="3"/>
    </row>
    <row r="545" spans="1:61" ht="12.95" customHeight="1">
      <c r="A545" s="1260"/>
      <c r="B545" s="1260"/>
      <c r="C545" s="1260"/>
      <c r="D545" s="1260"/>
      <c r="E545" s="1260"/>
      <c r="F545" s="1260"/>
      <c r="G545" s="1260"/>
      <c r="H545" s="1260"/>
      <c r="I545" s="1260"/>
      <c r="J545" s="1260"/>
      <c r="K545" s="1260"/>
      <c r="L545" s="1260"/>
      <c r="M545" s="1260"/>
      <c r="N545" s="1260"/>
      <c r="O545" s="1260"/>
      <c r="P545" s="1260"/>
      <c r="Q545" s="1260"/>
      <c r="R545" s="1260"/>
      <c r="S545" s="1260"/>
      <c r="T545" s="1260"/>
      <c r="U545" s="1260"/>
      <c r="V545" s="1260"/>
      <c r="W545" s="1260"/>
      <c r="X545" s="1260"/>
      <c r="Y545" s="1260"/>
      <c r="Z545" s="1260"/>
      <c r="AA545" s="1260"/>
      <c r="AB545" s="1260"/>
      <c r="AC545" s="1260"/>
      <c r="AD545" s="1260"/>
      <c r="AE545" s="1260"/>
      <c r="AF545" s="1260"/>
      <c r="AG545" s="1260"/>
      <c r="AH545" s="1260"/>
      <c r="AI545" s="1260"/>
      <c r="AJ545" s="1260"/>
      <c r="AK545" s="1260"/>
      <c r="AL545" s="1260"/>
      <c r="AM545" s="1260"/>
      <c r="AN545" s="1260"/>
      <c r="AO545" s="1260"/>
      <c r="AP545" s="1260"/>
      <c r="AQ545" s="1260"/>
      <c r="AR545" s="1260"/>
      <c r="AS545" s="1260"/>
      <c r="AT545" s="1260"/>
      <c r="BB545" s="3"/>
      <c r="BC545" s="3"/>
      <c r="BD545" s="3"/>
      <c r="BE545" s="3"/>
      <c r="BF545" s="3"/>
      <c r="BG545" s="3"/>
      <c r="BH545" s="3"/>
      <c r="BI545" s="3"/>
    </row>
    <row r="546" spans="1:61" ht="12.95" customHeight="1">
      <c r="BB546" s="3"/>
      <c r="BC546" s="3"/>
      <c r="BD546" s="3"/>
      <c r="BE546" s="3"/>
      <c r="BF546" s="3"/>
      <c r="BG546" s="3"/>
      <c r="BH546" s="3"/>
      <c r="BI546" s="3"/>
    </row>
    <row r="547" spans="1:61" ht="12.95" customHeight="1">
      <c r="A547" s="2" t="s">
        <v>318</v>
      </c>
      <c r="B547" s="2"/>
      <c r="C547" s="2" t="s">
        <v>452</v>
      </c>
      <c r="BB547" s="3"/>
      <c r="BC547" s="3"/>
      <c r="BD547" s="3"/>
      <c r="BE547" s="3"/>
      <c r="BF547" s="3"/>
      <c r="BG547" s="3"/>
      <c r="BH547" s="3"/>
      <c r="BI547" s="3"/>
    </row>
    <row r="548" spans="1:61" ht="12.95" customHeight="1">
      <c r="A548" s="2"/>
      <c r="B548" s="2"/>
      <c r="C548" s="2"/>
      <c r="BB548" s="3"/>
      <c r="BC548" s="3"/>
      <c r="BD548" s="3"/>
      <c r="BE548" s="3"/>
      <c r="BF548" s="3"/>
      <c r="BG548" s="3"/>
      <c r="BH548" s="3"/>
      <c r="BI548" s="3"/>
    </row>
    <row r="549" spans="1:61" ht="12.95" customHeight="1">
      <c r="A549" s="2"/>
      <c r="B549" s="2"/>
      <c r="C549" s="2"/>
      <c r="D549" s="2" t="s">
        <v>2101</v>
      </c>
      <c r="AC549" s="98"/>
      <c r="BB549" s="3"/>
      <c r="BC549" s="3"/>
      <c r="BD549" s="3"/>
      <c r="BE549" s="3"/>
      <c r="BF549" s="3"/>
      <c r="BG549" s="3"/>
      <c r="BH549" s="3"/>
      <c r="BI549" s="3"/>
    </row>
    <row r="550" spans="1:61" ht="12.95" customHeight="1">
      <c r="B550" s="512"/>
      <c r="BB550" s="3"/>
      <c r="BC550" s="3"/>
      <c r="BD550" s="3"/>
      <c r="BE550" s="3"/>
      <c r="BF550" s="3"/>
      <c r="BG550" s="3"/>
      <c r="BH550" s="3" t="s">
        <v>119</v>
      </c>
      <c r="BI550" s="3" t="str">
        <f>N657</f>
        <v>Yes</v>
      </c>
    </row>
    <row r="551" spans="1:61" ht="12.95" customHeight="1">
      <c r="B551" s="1672" t="s">
        <v>2103</v>
      </c>
      <c r="C551" s="1431"/>
      <c r="D551" s="1431"/>
      <c r="E551" s="1431"/>
      <c r="F551" s="1431"/>
      <c r="G551" s="1431"/>
      <c r="H551" s="1431"/>
      <c r="I551" s="1431"/>
      <c r="J551" s="1431"/>
      <c r="K551" s="1431"/>
      <c r="L551" s="1432"/>
      <c r="M551" s="1672" t="s">
        <v>2104</v>
      </c>
      <c r="N551" s="1431"/>
      <c r="O551" s="1431"/>
      <c r="P551" s="1432"/>
      <c r="Q551" s="1672" t="s">
        <v>2130</v>
      </c>
      <c r="R551" s="1431"/>
      <c r="S551" s="1432"/>
      <c r="T551" s="1672" t="s">
        <v>2131</v>
      </c>
      <c r="U551" s="1431"/>
      <c r="V551" s="1432"/>
      <c r="W551" s="1672" t="s">
        <v>453</v>
      </c>
      <c r="X551" s="1431"/>
      <c r="Y551" s="1432"/>
      <c r="Z551" s="1672" t="s">
        <v>1852</v>
      </c>
      <c r="AA551" s="1431"/>
      <c r="AB551" s="1431"/>
      <c r="AC551" s="1431"/>
      <c r="AD551" s="1432"/>
      <c r="AE551" s="1672" t="s">
        <v>1676</v>
      </c>
      <c r="AF551" s="1431"/>
      <c r="AG551" s="1431"/>
      <c r="AH551" s="1432"/>
      <c r="AI551" s="1672" t="s">
        <v>1677</v>
      </c>
      <c r="AJ551" s="1431"/>
      <c r="AK551" s="1431"/>
      <c r="AL551" s="1432"/>
      <c r="AM551" s="1672" t="s">
        <v>454</v>
      </c>
      <c r="AN551" s="1431"/>
      <c r="AO551" s="1431"/>
      <c r="AP551" s="1431"/>
      <c r="AQ551" s="1431"/>
      <c r="AR551" s="1431"/>
      <c r="AS551" s="1432"/>
      <c r="BB551" s="3"/>
      <c r="BC551" s="3"/>
      <c r="BD551" s="3"/>
      <c r="BE551" s="3"/>
      <c r="BF551" s="3"/>
      <c r="BG551" s="3"/>
      <c r="BH551" s="3" t="s">
        <v>581</v>
      </c>
      <c r="BI551" s="3" t="str">
        <f>AG657</f>
        <v>Yes</v>
      </c>
    </row>
    <row r="552" spans="1:61" ht="12.95" customHeight="1">
      <c r="B552" s="1673"/>
      <c r="C552" s="1433"/>
      <c r="D552" s="1433"/>
      <c r="E552" s="1433"/>
      <c r="F552" s="1433"/>
      <c r="G552" s="1433"/>
      <c r="H552" s="1433"/>
      <c r="I552" s="1433"/>
      <c r="J552" s="1433"/>
      <c r="K552" s="1433"/>
      <c r="L552" s="1434"/>
      <c r="M552" s="1673"/>
      <c r="N552" s="1433"/>
      <c r="O552" s="1433"/>
      <c r="P552" s="1434"/>
      <c r="Q552" s="1673"/>
      <c r="R552" s="1433"/>
      <c r="S552" s="1434"/>
      <c r="T552" s="1673"/>
      <c r="U552" s="1433"/>
      <c r="V552" s="1434"/>
      <c r="W552" s="1673"/>
      <c r="X552" s="1433"/>
      <c r="Y552" s="1434"/>
      <c r="Z552" s="1673"/>
      <c r="AA552" s="1433"/>
      <c r="AB552" s="1433"/>
      <c r="AC552" s="1433"/>
      <c r="AD552" s="1434"/>
      <c r="AE552" s="1673"/>
      <c r="AF552" s="1433"/>
      <c r="AG552" s="1433"/>
      <c r="AH552" s="1434"/>
      <c r="AI552" s="1673"/>
      <c r="AJ552" s="1433"/>
      <c r="AK552" s="1433"/>
      <c r="AL552" s="1434"/>
      <c r="AM552" s="1673"/>
      <c r="AN552" s="1433"/>
      <c r="AO552" s="1433"/>
      <c r="AP552" s="1433"/>
      <c r="AQ552" s="1433"/>
      <c r="AR552" s="1433"/>
      <c r="AS552" s="1434"/>
      <c r="AU552" s="1147"/>
      <c r="BB552" s="3"/>
      <c r="BC552" s="3"/>
      <c r="BD552" s="3"/>
      <c r="BE552" s="3"/>
      <c r="BF552" s="3"/>
      <c r="BG552" s="3"/>
      <c r="BH552" s="3"/>
      <c r="BI552" s="3"/>
    </row>
    <row r="553" spans="1:61" ht="12.95" customHeight="1">
      <c r="B553" s="1674"/>
      <c r="C553" s="1435"/>
      <c r="D553" s="1435"/>
      <c r="E553" s="1435"/>
      <c r="F553" s="1435"/>
      <c r="G553" s="1435"/>
      <c r="H553" s="1435"/>
      <c r="I553" s="1435"/>
      <c r="J553" s="1435"/>
      <c r="K553" s="1435"/>
      <c r="L553" s="1436"/>
      <c r="M553" s="1674"/>
      <c r="N553" s="1435"/>
      <c r="O553" s="1435"/>
      <c r="P553" s="1436"/>
      <c r="Q553" s="1674"/>
      <c r="R553" s="1435"/>
      <c r="S553" s="1436"/>
      <c r="T553" s="1674"/>
      <c r="U553" s="1435"/>
      <c r="V553" s="1436"/>
      <c r="W553" s="1674"/>
      <c r="X553" s="1435"/>
      <c r="Y553" s="1436"/>
      <c r="Z553" s="1674"/>
      <c r="AA553" s="1435"/>
      <c r="AB553" s="1435"/>
      <c r="AC553" s="1435"/>
      <c r="AD553" s="1436"/>
      <c r="AE553" s="1674"/>
      <c r="AF553" s="1435"/>
      <c r="AG553" s="1435"/>
      <c r="AH553" s="1436"/>
      <c r="AI553" s="1674"/>
      <c r="AJ553" s="1435"/>
      <c r="AK553" s="1435"/>
      <c r="AL553" s="1436"/>
      <c r="AM553" s="1674"/>
      <c r="AN553" s="1435"/>
      <c r="AO553" s="1435"/>
      <c r="AP553" s="1435"/>
      <c r="AQ553" s="1435"/>
      <c r="AR553" s="1435"/>
      <c r="AS553" s="1436"/>
      <c r="AU553" s="1147"/>
      <c r="BB553" s="3"/>
      <c r="BC553" s="3"/>
      <c r="BD553" s="3"/>
      <c r="BE553" s="3"/>
      <c r="BF553" s="3"/>
      <c r="BG553" s="3"/>
      <c r="BH553" s="3"/>
      <c r="BI553" s="3"/>
    </row>
    <row r="554" spans="1:61" ht="12.95" customHeight="1">
      <c r="B554" s="51" t="s">
        <v>112</v>
      </c>
      <c r="C554" s="1693" t="s">
        <v>2702</v>
      </c>
      <c r="D554" s="1693"/>
      <c r="E554" s="1693"/>
      <c r="F554" s="1693"/>
      <c r="G554" s="1693"/>
      <c r="H554" s="1693"/>
      <c r="I554" s="1693"/>
      <c r="J554" s="1693"/>
      <c r="K554" s="1693"/>
      <c r="L554" s="1693"/>
      <c r="M554" s="1693" t="s">
        <v>2120</v>
      </c>
      <c r="N554" s="1693"/>
      <c r="O554" s="1693"/>
      <c r="P554" s="1693"/>
      <c r="Q554" s="1453">
        <v>30</v>
      </c>
      <c r="R554" s="1453"/>
      <c r="S554" s="1454"/>
      <c r="T554" s="1452"/>
      <c r="U554" s="1453"/>
      <c r="V554" s="1454"/>
      <c r="W554" s="1455">
        <v>0.06</v>
      </c>
      <c r="X554" s="1456"/>
      <c r="Y554" s="1457"/>
      <c r="Z554" s="1694" t="s">
        <v>2706</v>
      </c>
      <c r="AA554" s="1694"/>
      <c r="AB554" s="1694"/>
      <c r="AC554" s="1694"/>
      <c r="AD554" s="1694"/>
      <c r="AE554" s="1675">
        <v>1</v>
      </c>
      <c r="AF554" s="1676"/>
      <c r="AG554" s="1676"/>
      <c r="AH554" s="1677"/>
      <c r="AI554" s="1678"/>
      <c r="AJ554" s="1679"/>
      <c r="AK554" s="1679"/>
      <c r="AL554" s="1680"/>
      <c r="AM554" s="1668">
        <v>24861947</v>
      </c>
      <c r="AN554" s="1669"/>
      <c r="AO554" s="1669"/>
      <c r="AP554" s="1669"/>
      <c r="AQ554" s="1669"/>
      <c r="AR554" s="1669"/>
      <c r="AS554" s="1670"/>
      <c r="AT554" s="1148"/>
      <c r="AU554" s="1147"/>
      <c r="BB554" s="3"/>
      <c r="BC554" s="3"/>
      <c r="BD554" s="3"/>
      <c r="BE554" s="3"/>
      <c r="BF554" s="3"/>
      <c r="BG554" s="3"/>
      <c r="BH554" s="3"/>
      <c r="BI554" s="3"/>
    </row>
    <row r="555" spans="1:61" ht="12.95" customHeight="1">
      <c r="B555" s="52" t="s">
        <v>113</v>
      </c>
      <c r="C555" s="1681" t="s">
        <v>2702</v>
      </c>
      <c r="D555" s="1681"/>
      <c r="E555" s="1681"/>
      <c r="F555" s="1681"/>
      <c r="G555" s="1681"/>
      <c r="H555" s="1681"/>
      <c r="I555" s="1681"/>
      <c r="J555" s="1681"/>
      <c r="K555" s="1681"/>
      <c r="L555" s="1681"/>
      <c r="M555" s="1693" t="s">
        <v>2121</v>
      </c>
      <c r="N555" s="1693"/>
      <c r="O555" s="1693"/>
      <c r="P555" s="1693"/>
      <c r="Q555" s="1452">
        <v>30</v>
      </c>
      <c r="R555" s="1453"/>
      <c r="S555" s="1454"/>
      <c r="T555" s="1452"/>
      <c r="U555" s="1453"/>
      <c r="V555" s="1454"/>
      <c r="W555" s="1455">
        <v>0.06</v>
      </c>
      <c r="X555" s="1456"/>
      <c r="Y555" s="1457"/>
      <c r="Z555" s="1694" t="s">
        <v>2706</v>
      </c>
      <c r="AA555" s="1694"/>
      <c r="AB555" s="1694"/>
      <c r="AC555" s="1694"/>
      <c r="AD555" s="1694"/>
      <c r="AE555" s="1675">
        <v>1</v>
      </c>
      <c r="AF555" s="1676"/>
      <c r="AG555" s="1676"/>
      <c r="AH555" s="1677"/>
      <c r="AI555" s="1678"/>
      <c r="AJ555" s="1679"/>
      <c r="AK555" s="1679"/>
      <c r="AL555" s="1680"/>
      <c r="AM555" s="1668">
        <v>100000</v>
      </c>
      <c r="AN555" s="1669"/>
      <c r="AO555" s="1669"/>
      <c r="AP555" s="1669"/>
      <c r="AQ555" s="1669"/>
      <c r="AR555" s="1669"/>
      <c r="AS555" s="1670"/>
      <c r="AT555" s="1148" t="str">
        <f>IF(AND(NOT(C554=""),C555="",NOT(C556="")),"!","")</f>
        <v/>
      </c>
      <c r="AU555" s="1147"/>
      <c r="BB555" s="3"/>
      <c r="BC555" s="3"/>
      <c r="BD555" s="3"/>
      <c r="BE555" s="3"/>
      <c r="BF555" s="3"/>
      <c r="BG555" s="3"/>
      <c r="BH555" s="3"/>
      <c r="BI555" s="3"/>
    </row>
    <row r="556" spans="1:61" ht="12.95" customHeight="1">
      <c r="B556" s="52" t="s">
        <v>119</v>
      </c>
      <c r="C556" s="1681" t="s">
        <v>2702</v>
      </c>
      <c r="D556" s="1681"/>
      <c r="E556" s="1681"/>
      <c r="F556" s="1681"/>
      <c r="G556" s="1681"/>
      <c r="H556" s="1681"/>
      <c r="I556" s="1681"/>
      <c r="J556" s="1681"/>
      <c r="K556" s="1681"/>
      <c r="L556" s="1681"/>
      <c r="M556" s="1693" t="s">
        <v>2119</v>
      </c>
      <c r="N556" s="1693"/>
      <c r="O556" s="1693"/>
      <c r="P556" s="1693"/>
      <c r="Q556" s="1452">
        <v>30</v>
      </c>
      <c r="R556" s="1453"/>
      <c r="S556" s="1454"/>
      <c r="T556" s="1452"/>
      <c r="U556" s="1453"/>
      <c r="V556" s="1454"/>
      <c r="W556" s="1455">
        <v>6.25E-2</v>
      </c>
      <c r="X556" s="1456"/>
      <c r="Y556" s="1457"/>
      <c r="Z556" s="1694" t="s">
        <v>2706</v>
      </c>
      <c r="AA556" s="1694"/>
      <c r="AB556" s="1694"/>
      <c r="AC556" s="1694"/>
      <c r="AD556" s="1694"/>
      <c r="AE556" s="1675">
        <v>1</v>
      </c>
      <c r="AF556" s="1676"/>
      <c r="AG556" s="1676"/>
      <c r="AH556" s="1677"/>
      <c r="AI556" s="1678"/>
      <c r="AJ556" s="1679"/>
      <c r="AK556" s="1679"/>
      <c r="AL556" s="1680"/>
      <c r="AM556" s="1668">
        <f>38438527-SUM(AM554:AS555)</f>
        <v>13476580</v>
      </c>
      <c r="AN556" s="1669"/>
      <c r="AO556" s="1669"/>
      <c r="AP556" s="1669"/>
      <c r="AQ556" s="1669"/>
      <c r="AR556" s="1669"/>
      <c r="AS556" s="1670"/>
      <c r="AT556" s="1148" t="str">
        <f>IF(AND(NOT(C555=""),C556="",NOT(C557="")),"!","")</f>
        <v/>
      </c>
      <c r="AU556" s="1147"/>
      <c r="BB556" s="3"/>
      <c r="BC556" s="3"/>
      <c r="BD556" s="3"/>
      <c r="BE556" s="3"/>
      <c r="BF556" s="3"/>
      <c r="BG556" s="3"/>
      <c r="BH556" s="3"/>
      <c r="BI556" s="3"/>
    </row>
    <row r="557" spans="1:61" ht="12.95" customHeight="1">
      <c r="B557" s="52" t="s">
        <v>581</v>
      </c>
      <c r="C557" s="1681" t="s">
        <v>2709</v>
      </c>
      <c r="D557" s="1681"/>
      <c r="E557" s="1681"/>
      <c r="F557" s="1681"/>
      <c r="G557" s="1681"/>
      <c r="H557" s="1681"/>
      <c r="I557" s="1681"/>
      <c r="J557" s="1681"/>
      <c r="K557" s="1681"/>
      <c r="L557" s="1681"/>
      <c r="M557" s="1693" t="s">
        <v>2111</v>
      </c>
      <c r="N557" s="1693"/>
      <c r="O557" s="1693"/>
      <c r="P557" s="1693"/>
      <c r="Q557" s="1452"/>
      <c r="R557" s="1453"/>
      <c r="S557" s="1454"/>
      <c r="T557" s="1452"/>
      <c r="U557" s="1453"/>
      <c r="V557" s="1454"/>
      <c r="W557" s="1455"/>
      <c r="X557" s="1456"/>
      <c r="Y557" s="1457"/>
      <c r="Z557" s="1694" t="s">
        <v>591</v>
      </c>
      <c r="AA557" s="1694"/>
      <c r="AB557" s="1694"/>
      <c r="AC557" s="1694"/>
      <c r="AD557" s="1694"/>
      <c r="AE557" s="1675"/>
      <c r="AF557" s="1676"/>
      <c r="AG557" s="1676"/>
      <c r="AH557" s="1677"/>
      <c r="AI557" s="1678"/>
      <c r="AJ557" s="1679"/>
      <c r="AK557" s="1679"/>
      <c r="AL557" s="1680"/>
      <c r="AM557" s="1668">
        <v>3385243</v>
      </c>
      <c r="AN557" s="1669"/>
      <c r="AO557" s="1669"/>
      <c r="AP557" s="1669"/>
      <c r="AQ557" s="1669"/>
      <c r="AR557" s="1669"/>
      <c r="AS557" s="1670"/>
      <c r="AT557" s="1148" t="str">
        <f>IF(AND(NOT(C556=""),C557="",NOT(C558="")),"!","")</f>
        <v/>
      </c>
      <c r="AU557" s="1147"/>
      <c r="BB557" s="3"/>
      <c r="BC557" s="3"/>
      <c r="BD557" s="3"/>
      <c r="BE557" s="3"/>
      <c r="BF557" s="3"/>
      <c r="BG557" s="3"/>
      <c r="BH557" s="3"/>
      <c r="BI557" s="3"/>
    </row>
    <row r="558" spans="1:61" ht="12.95" customHeight="1">
      <c r="B558" s="52" t="s">
        <v>763</v>
      </c>
      <c r="C558" s="1681" t="s">
        <v>2753</v>
      </c>
      <c r="D558" s="1681"/>
      <c r="E558" s="1681"/>
      <c r="F558" s="1681"/>
      <c r="G558" s="1681"/>
      <c r="H558" s="1681"/>
      <c r="I558" s="1681"/>
      <c r="J558" s="1681"/>
      <c r="K558" s="1681"/>
      <c r="L558" s="1681"/>
      <c r="M558" s="1693" t="s">
        <v>2106</v>
      </c>
      <c r="N558" s="1693"/>
      <c r="O558" s="1693"/>
      <c r="P558" s="1693"/>
      <c r="Q558" s="1452"/>
      <c r="R558" s="1453"/>
      <c r="S558" s="1454"/>
      <c r="T558" s="1452"/>
      <c r="U558" s="1453"/>
      <c r="V558" s="1454"/>
      <c r="W558" s="1455"/>
      <c r="X558" s="1456"/>
      <c r="Y558" s="1457"/>
      <c r="Z558" s="1694" t="s">
        <v>591</v>
      </c>
      <c r="AA558" s="1694"/>
      <c r="AB558" s="1694"/>
      <c r="AC558" s="1694"/>
      <c r="AD558" s="1694"/>
      <c r="AE558" s="1675"/>
      <c r="AF558" s="1676"/>
      <c r="AG558" s="1676"/>
      <c r="AH558" s="1677"/>
      <c r="AI558" s="1678"/>
      <c r="AJ558" s="1679"/>
      <c r="AK558" s="1679"/>
      <c r="AL558" s="1680"/>
      <c r="AM558" s="1668">
        <v>8781340</v>
      </c>
      <c r="AN558" s="1669"/>
      <c r="AO558" s="1669"/>
      <c r="AP558" s="1669"/>
      <c r="AQ558" s="1669"/>
      <c r="AR558" s="1669"/>
      <c r="AS558" s="1670"/>
      <c r="AT558" s="1148" t="str">
        <f t="shared" ref="AT558:AT565" si="0">IF(AND(NOT(C557=""),C558="",NOT(C559="")),"!","")</f>
        <v/>
      </c>
      <c r="AU558" s="1147"/>
      <c r="BB558" s="3"/>
      <c r="BC558" s="3"/>
      <c r="BD558" s="3"/>
      <c r="BE558" s="3"/>
      <c r="BF558" s="3"/>
      <c r="BG558" s="3"/>
      <c r="BH558" s="3" t="s">
        <v>763</v>
      </c>
      <c r="BI558" s="3" t="str">
        <f>N665</f>
        <v>Yes</v>
      </c>
    </row>
    <row r="559" spans="1:61" ht="12.95" customHeight="1">
      <c r="B559" s="52" t="s">
        <v>584</v>
      </c>
      <c r="C559" s="1681"/>
      <c r="D559" s="1681"/>
      <c r="E559" s="1681"/>
      <c r="F559" s="1681"/>
      <c r="G559" s="1681"/>
      <c r="H559" s="1681"/>
      <c r="I559" s="1681"/>
      <c r="J559" s="1681"/>
      <c r="K559" s="1681"/>
      <c r="L559" s="1681"/>
      <c r="M559" s="1693" t="s">
        <v>1184</v>
      </c>
      <c r="N559" s="1693"/>
      <c r="O559" s="1693"/>
      <c r="P559" s="1693"/>
      <c r="Q559" s="1452"/>
      <c r="R559" s="1453"/>
      <c r="S559" s="1454"/>
      <c r="T559" s="1452"/>
      <c r="U559" s="1453"/>
      <c r="V559" s="1454"/>
      <c r="W559" s="1455"/>
      <c r="X559" s="1456"/>
      <c r="Y559" s="1457"/>
      <c r="Z559" s="1694" t="s">
        <v>1184</v>
      </c>
      <c r="AA559" s="1694"/>
      <c r="AB559" s="1694"/>
      <c r="AC559" s="1694"/>
      <c r="AD559" s="1694"/>
      <c r="AE559" s="1675"/>
      <c r="AF559" s="1676"/>
      <c r="AG559" s="1676"/>
      <c r="AH559" s="1677"/>
      <c r="AI559" s="1678"/>
      <c r="AJ559" s="1679"/>
      <c r="AK559" s="1679"/>
      <c r="AL559" s="1680"/>
      <c r="AM559" s="1668"/>
      <c r="AN559" s="1669"/>
      <c r="AO559" s="1669"/>
      <c r="AP559" s="1669"/>
      <c r="AQ559" s="1669"/>
      <c r="AR559" s="1669"/>
      <c r="AS559" s="1670"/>
      <c r="AT559" s="1148" t="str">
        <f t="shared" si="0"/>
        <v/>
      </c>
      <c r="AU559" s="1147"/>
      <c r="BB559" s="3"/>
      <c r="BC559" s="3"/>
      <c r="BD559" s="3"/>
      <c r="BE559" s="3"/>
      <c r="BF559" s="3"/>
      <c r="BG559" s="3"/>
      <c r="BH559" s="3" t="s">
        <v>584</v>
      </c>
      <c r="BI559" s="3" t="str">
        <f>AG665</f>
        <v>No</v>
      </c>
    </row>
    <row r="560" spans="1:61" ht="12.95" customHeight="1">
      <c r="B560" s="52" t="s">
        <v>455</v>
      </c>
      <c r="C560" s="1681"/>
      <c r="D560" s="1681"/>
      <c r="E560" s="1681"/>
      <c r="F560" s="1681"/>
      <c r="G560" s="1681"/>
      <c r="H560" s="1681"/>
      <c r="I560" s="1681"/>
      <c r="J560" s="1681"/>
      <c r="K560" s="1681"/>
      <c r="L560" s="1681"/>
      <c r="M560" s="1693" t="s">
        <v>1184</v>
      </c>
      <c r="N560" s="1693"/>
      <c r="O560" s="1693"/>
      <c r="P560" s="1693"/>
      <c r="Q560" s="1452"/>
      <c r="R560" s="1453"/>
      <c r="S560" s="1454"/>
      <c r="T560" s="1452"/>
      <c r="U560" s="1453"/>
      <c r="V560" s="1454"/>
      <c r="W560" s="1455"/>
      <c r="X560" s="1456"/>
      <c r="Y560" s="1457"/>
      <c r="Z560" s="1694" t="s">
        <v>1184</v>
      </c>
      <c r="AA560" s="1694"/>
      <c r="AB560" s="1694"/>
      <c r="AC560" s="1694"/>
      <c r="AD560" s="1694"/>
      <c r="AE560" s="1675"/>
      <c r="AF560" s="1676"/>
      <c r="AG560" s="1676"/>
      <c r="AH560" s="1677"/>
      <c r="AI560" s="1678"/>
      <c r="AJ560" s="1679"/>
      <c r="AK560" s="1679"/>
      <c r="AL560" s="1680"/>
      <c r="AM560" s="1668"/>
      <c r="AN560" s="1669"/>
      <c r="AO560" s="1669"/>
      <c r="AP560" s="1669"/>
      <c r="AQ560" s="1669"/>
      <c r="AR560" s="1669"/>
      <c r="AS560" s="1670"/>
      <c r="AT560" s="1148" t="str">
        <f t="shared" si="0"/>
        <v/>
      </c>
      <c r="AU560" s="1147"/>
      <c r="BB560" s="3"/>
      <c r="BC560" s="3"/>
      <c r="BD560" s="3"/>
      <c r="BE560" s="3"/>
      <c r="BF560" s="3"/>
      <c r="BG560" s="3"/>
      <c r="BH560" s="3"/>
      <c r="BI560" s="3"/>
    </row>
    <row r="561" spans="1:61" ht="12.95" customHeight="1">
      <c r="B561" s="52" t="s">
        <v>456</v>
      </c>
      <c r="C561" s="1681"/>
      <c r="D561" s="1681"/>
      <c r="E561" s="1681"/>
      <c r="F561" s="1681"/>
      <c r="G561" s="1681"/>
      <c r="H561" s="1681"/>
      <c r="I561" s="1681"/>
      <c r="J561" s="1681"/>
      <c r="K561" s="1681"/>
      <c r="L561" s="1681"/>
      <c r="M561" s="1693" t="s">
        <v>1184</v>
      </c>
      <c r="N561" s="1693"/>
      <c r="O561" s="1693"/>
      <c r="P561" s="1693"/>
      <c r="Q561" s="1452"/>
      <c r="R561" s="1453"/>
      <c r="S561" s="1454"/>
      <c r="T561" s="1452"/>
      <c r="U561" s="1453"/>
      <c r="V561" s="1454"/>
      <c r="W561" s="1455"/>
      <c r="X561" s="1456"/>
      <c r="Y561" s="1457"/>
      <c r="Z561" s="1694" t="s">
        <v>1184</v>
      </c>
      <c r="AA561" s="1694"/>
      <c r="AB561" s="1694"/>
      <c r="AC561" s="1694"/>
      <c r="AD561" s="1694"/>
      <c r="AE561" s="1675"/>
      <c r="AF561" s="1676"/>
      <c r="AG561" s="1676"/>
      <c r="AH561" s="1677"/>
      <c r="AI561" s="1678"/>
      <c r="AJ561" s="1679"/>
      <c r="AK561" s="1679"/>
      <c r="AL561" s="1680"/>
      <c r="AM561" s="1668"/>
      <c r="AN561" s="1669"/>
      <c r="AO561" s="1669"/>
      <c r="AP561" s="1669"/>
      <c r="AQ561" s="1669"/>
      <c r="AR561" s="1669"/>
      <c r="AS561" s="1670"/>
      <c r="AT561" s="1148" t="str">
        <f t="shared" si="0"/>
        <v/>
      </c>
      <c r="AU561" s="1147"/>
      <c r="BB561" s="3"/>
      <c r="BC561" s="3"/>
      <c r="BD561" s="3"/>
      <c r="BE561" s="3"/>
      <c r="BF561" s="3"/>
      <c r="BG561" s="3"/>
      <c r="BH561" s="3"/>
      <c r="BI561" s="3"/>
    </row>
    <row r="562" spans="1:61" ht="12.95" customHeight="1">
      <c r="B562" s="52" t="s">
        <v>461</v>
      </c>
      <c r="C562" s="1681"/>
      <c r="D562" s="1681"/>
      <c r="E562" s="1681"/>
      <c r="F562" s="1681"/>
      <c r="G562" s="1681"/>
      <c r="H562" s="1681"/>
      <c r="I562" s="1681"/>
      <c r="J562" s="1681"/>
      <c r="K562" s="1681"/>
      <c r="L562" s="1681"/>
      <c r="M562" s="1693" t="s">
        <v>1184</v>
      </c>
      <c r="N562" s="1693"/>
      <c r="O562" s="1693"/>
      <c r="P562" s="1693"/>
      <c r="Q562" s="1452"/>
      <c r="R562" s="1453"/>
      <c r="S562" s="1454"/>
      <c r="T562" s="1452"/>
      <c r="U562" s="1453"/>
      <c r="V562" s="1454"/>
      <c r="W562" s="1455"/>
      <c r="X562" s="1456"/>
      <c r="Y562" s="1457"/>
      <c r="Z562" s="1694" t="s">
        <v>1184</v>
      </c>
      <c r="AA562" s="1694"/>
      <c r="AB562" s="1694"/>
      <c r="AC562" s="1694"/>
      <c r="AD562" s="1694"/>
      <c r="AE562" s="1675"/>
      <c r="AF562" s="1676"/>
      <c r="AG562" s="1676"/>
      <c r="AH562" s="1677"/>
      <c r="AI562" s="1678"/>
      <c r="AJ562" s="1679"/>
      <c r="AK562" s="1679"/>
      <c r="AL562" s="1680"/>
      <c r="AM562" s="1668"/>
      <c r="AN562" s="1669"/>
      <c r="AO562" s="1669"/>
      <c r="AP562" s="1669"/>
      <c r="AQ562" s="1669"/>
      <c r="AR562" s="1669"/>
      <c r="AS562" s="1670"/>
      <c r="AT562" s="1148" t="str">
        <f t="shared" si="0"/>
        <v/>
      </c>
      <c r="AU562" s="1147"/>
      <c r="BB562" s="3"/>
      <c r="BC562" s="3"/>
      <c r="BD562" s="3"/>
      <c r="BE562" s="3"/>
      <c r="BF562" s="3"/>
      <c r="BG562" s="3"/>
      <c r="BH562" s="3"/>
      <c r="BI562" s="3"/>
    </row>
    <row r="563" spans="1:61" ht="12.95" customHeight="1">
      <c r="B563" s="52" t="s">
        <v>646</v>
      </c>
      <c r="C563" s="1681"/>
      <c r="D563" s="1681"/>
      <c r="E563" s="1681"/>
      <c r="F563" s="1681"/>
      <c r="G563" s="1681"/>
      <c r="H563" s="1681"/>
      <c r="I563" s="1681"/>
      <c r="J563" s="1681"/>
      <c r="K563" s="1681"/>
      <c r="L563" s="1681"/>
      <c r="M563" s="1693" t="s">
        <v>1184</v>
      </c>
      <c r="N563" s="1693"/>
      <c r="O563" s="1693"/>
      <c r="P563" s="1693"/>
      <c r="Q563" s="1452"/>
      <c r="R563" s="1453"/>
      <c r="S563" s="1454"/>
      <c r="T563" s="1452"/>
      <c r="U563" s="1453"/>
      <c r="V563" s="1454"/>
      <c r="W563" s="1455"/>
      <c r="X563" s="1456"/>
      <c r="Y563" s="1457"/>
      <c r="Z563" s="1694" t="s">
        <v>1184</v>
      </c>
      <c r="AA563" s="1694"/>
      <c r="AB563" s="1694"/>
      <c r="AC563" s="1694"/>
      <c r="AD563" s="1694"/>
      <c r="AE563" s="1675"/>
      <c r="AF563" s="1676"/>
      <c r="AG563" s="1676"/>
      <c r="AH563" s="1677"/>
      <c r="AI563" s="1678"/>
      <c r="AJ563" s="1679"/>
      <c r="AK563" s="1679"/>
      <c r="AL563" s="1680"/>
      <c r="AM563" s="1668"/>
      <c r="AN563" s="1669"/>
      <c r="AO563" s="1669"/>
      <c r="AP563" s="1669"/>
      <c r="AQ563" s="1669"/>
      <c r="AR563" s="1669"/>
      <c r="AS563" s="1670"/>
      <c r="AT563" s="1148" t="str">
        <f t="shared" si="0"/>
        <v/>
      </c>
      <c r="BB563" s="3"/>
      <c r="BC563" s="3"/>
      <c r="BD563" s="3"/>
      <c r="BE563" s="3"/>
      <c r="BF563" s="3"/>
      <c r="BG563" s="3"/>
      <c r="BH563" s="3"/>
      <c r="BI563" s="3"/>
    </row>
    <row r="564" spans="1:61" ht="12.95" customHeight="1">
      <c r="B564" s="52" t="s">
        <v>361</v>
      </c>
      <c r="C564" s="1681"/>
      <c r="D564" s="1681"/>
      <c r="E564" s="1681"/>
      <c r="F564" s="1681"/>
      <c r="G564" s="1681"/>
      <c r="H564" s="1681"/>
      <c r="I564" s="1681"/>
      <c r="J564" s="1681"/>
      <c r="K564" s="1681"/>
      <c r="L564" s="1681"/>
      <c r="M564" s="1693" t="s">
        <v>1184</v>
      </c>
      <c r="N564" s="1693"/>
      <c r="O564" s="1693"/>
      <c r="P564" s="1693"/>
      <c r="Q564" s="1452"/>
      <c r="R564" s="1453"/>
      <c r="S564" s="1454"/>
      <c r="T564" s="1452"/>
      <c r="U564" s="1453"/>
      <c r="V564" s="1454"/>
      <c r="W564" s="1455"/>
      <c r="X564" s="1456"/>
      <c r="Y564" s="1457"/>
      <c r="Z564" s="1694" t="s">
        <v>1184</v>
      </c>
      <c r="AA564" s="1694"/>
      <c r="AB564" s="1694"/>
      <c r="AC564" s="1694"/>
      <c r="AD564" s="1694"/>
      <c r="AE564" s="1675"/>
      <c r="AF564" s="1676"/>
      <c r="AG564" s="1676"/>
      <c r="AH564" s="1677"/>
      <c r="AI564" s="1678"/>
      <c r="AJ564" s="1679"/>
      <c r="AK564" s="1679"/>
      <c r="AL564" s="1680"/>
      <c r="AM564" s="1668"/>
      <c r="AN564" s="1669"/>
      <c r="AO564" s="1669"/>
      <c r="AP564" s="1669"/>
      <c r="AQ564" s="1669"/>
      <c r="AR564" s="1669"/>
      <c r="AS564" s="1670"/>
      <c r="AT564" s="1148" t="str">
        <f t="shared" si="0"/>
        <v/>
      </c>
      <c r="BB564" s="3"/>
      <c r="BC564" s="3"/>
      <c r="BD564" s="3"/>
      <c r="BE564" s="3"/>
      <c r="BF564" s="3"/>
      <c r="BG564" s="3"/>
      <c r="BH564" s="3"/>
      <c r="BI564" s="3"/>
    </row>
    <row r="565" spans="1:61" ht="12.95" customHeight="1">
      <c r="B565" s="52" t="s">
        <v>362</v>
      </c>
      <c r="C565" s="1681"/>
      <c r="D565" s="1681"/>
      <c r="E565" s="1681"/>
      <c r="F565" s="1681"/>
      <c r="G565" s="1681"/>
      <c r="H565" s="1681"/>
      <c r="I565" s="1681"/>
      <c r="J565" s="1681"/>
      <c r="K565" s="1681"/>
      <c r="L565" s="1681"/>
      <c r="M565" s="1693" t="s">
        <v>1184</v>
      </c>
      <c r="N565" s="1693"/>
      <c r="O565" s="1693"/>
      <c r="P565" s="1693"/>
      <c r="Q565" s="1452"/>
      <c r="R565" s="1453"/>
      <c r="S565" s="1454"/>
      <c r="T565" s="1452"/>
      <c r="U565" s="1453"/>
      <c r="V565" s="1454"/>
      <c r="W565" s="1455"/>
      <c r="X565" s="1456"/>
      <c r="Y565" s="1457"/>
      <c r="Z565" s="1694" t="s">
        <v>1184</v>
      </c>
      <c r="AA565" s="1694"/>
      <c r="AB565" s="1694"/>
      <c r="AC565" s="1694"/>
      <c r="AD565" s="1694"/>
      <c r="AE565" s="1675"/>
      <c r="AF565" s="1676"/>
      <c r="AG565" s="1676"/>
      <c r="AH565" s="1677"/>
      <c r="AI565" s="1678"/>
      <c r="AJ565" s="1679"/>
      <c r="AK565" s="1679"/>
      <c r="AL565" s="1680"/>
      <c r="AM565" s="1668"/>
      <c r="AN565" s="1669"/>
      <c r="AO565" s="1669"/>
      <c r="AP565" s="1669"/>
      <c r="AQ565" s="1669"/>
      <c r="AR565" s="1669"/>
      <c r="AS565" s="1670"/>
      <c r="AT565" s="1148" t="str">
        <f t="shared" si="0"/>
        <v/>
      </c>
      <c r="BB565" s="3"/>
      <c r="BC565" s="3"/>
      <c r="BD565" s="3"/>
      <c r="BE565" s="3"/>
      <c r="BF565" s="3"/>
      <c r="BG565" s="3"/>
      <c r="BH565" s="3"/>
      <c r="BI565" s="3"/>
    </row>
    <row r="566" spans="1:61" ht="12.95" customHeight="1">
      <c r="B566" s="1449" t="s">
        <v>127</v>
      </c>
      <c r="C566" s="1450"/>
      <c r="D566" s="1450"/>
      <c r="E566" s="1450"/>
      <c r="F566" s="1450"/>
      <c r="G566" s="1450"/>
      <c r="H566" s="1450"/>
      <c r="I566" s="1450"/>
      <c r="J566" s="1450"/>
      <c r="K566" s="1450"/>
      <c r="L566" s="1450"/>
      <c r="M566" s="1450"/>
      <c r="N566" s="1450"/>
      <c r="O566" s="1450"/>
      <c r="P566" s="1450"/>
      <c r="Q566" s="1450"/>
      <c r="R566" s="1450"/>
      <c r="S566" s="1450"/>
      <c r="T566" s="1450"/>
      <c r="U566" s="1483"/>
      <c r="V566" s="1450"/>
      <c r="W566" s="1450"/>
      <c r="X566" s="1450"/>
      <c r="Y566" s="1450"/>
      <c r="Z566" s="1450"/>
      <c r="AA566" s="1450"/>
      <c r="AB566" s="1450"/>
      <c r="AC566" s="1450"/>
      <c r="AD566" s="1450"/>
      <c r="AE566" s="1450"/>
      <c r="AF566" s="1450"/>
      <c r="AG566" s="1450"/>
      <c r="AH566" s="1450"/>
      <c r="AI566" s="1450"/>
      <c r="AJ566" s="1450"/>
      <c r="AK566" s="1450"/>
      <c r="AL566" s="1451"/>
      <c r="AM566" s="1615">
        <f>SUM(AM554:AS565)</f>
        <v>50605110</v>
      </c>
      <c r="AN566" s="1616"/>
      <c r="AO566" s="1616"/>
      <c r="AP566" s="1616"/>
      <c r="AQ566" s="1616"/>
      <c r="AR566" s="1616"/>
      <c r="AS566" s="1617"/>
      <c r="BB566" s="3"/>
      <c r="BC566" s="3"/>
      <c r="BD566" s="3"/>
      <c r="BE566" s="3"/>
      <c r="BF566" s="3"/>
      <c r="BG566" s="3"/>
      <c r="BH566" s="3" t="s">
        <v>455</v>
      </c>
      <c r="BI566" s="3" t="str">
        <f>N673</f>
        <v>No</v>
      </c>
    </row>
    <row r="567" spans="1:61"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456</v>
      </c>
      <c r="BI567" s="3" t="str">
        <f>AG673</f>
        <v>No</v>
      </c>
    </row>
    <row r="568" spans="1:61" ht="12.95" customHeight="1">
      <c r="A568" s="55" t="s">
        <v>112</v>
      </c>
      <c r="B568" t="s">
        <v>463</v>
      </c>
      <c r="G568" s="1358" t="str">
        <f>C554</f>
        <v>Citi Community Capital Conduit</v>
      </c>
      <c r="H568" s="1358"/>
      <c r="I568" s="1358"/>
      <c r="J568" s="1358"/>
      <c r="K568" s="1358"/>
      <c r="L568" s="1358"/>
      <c r="M568" s="1358"/>
      <c r="N568" s="1358"/>
      <c r="O568" s="1358"/>
      <c r="P568" s="1358"/>
      <c r="Q568" s="1358"/>
      <c r="R568" s="1358"/>
      <c r="S568" s="8"/>
      <c r="T568" s="55" t="s">
        <v>113</v>
      </c>
      <c r="U568" t="s">
        <v>463</v>
      </c>
      <c r="Z568" s="1358" t="str">
        <f>C555</f>
        <v>Citi Community Capital Conduit</v>
      </c>
      <c r="AA568" s="1358"/>
      <c r="AB568" s="1358"/>
      <c r="AC568" s="1358"/>
      <c r="AD568" s="1358"/>
      <c r="AE568" s="1358"/>
      <c r="AF568" s="1358"/>
      <c r="AG568" s="1358"/>
      <c r="AH568" s="1358"/>
      <c r="AI568" s="1358"/>
      <c r="AJ568" s="1358"/>
      <c r="AK568" s="1358"/>
      <c r="BB568" s="3"/>
      <c r="BC568" s="3"/>
      <c r="BD568" s="3"/>
      <c r="BE568" s="3"/>
      <c r="BF568" s="3"/>
      <c r="BG568" s="3"/>
      <c r="BH568" s="3"/>
      <c r="BI568" s="3"/>
    </row>
    <row r="569" spans="1:61" ht="12.95" customHeight="1">
      <c r="A569" s="22"/>
      <c r="B569" t="s">
        <v>85</v>
      </c>
      <c r="G569" s="1371" t="s">
        <v>2703</v>
      </c>
      <c r="H569" s="1371"/>
      <c r="I569" s="1371"/>
      <c r="J569" s="1371"/>
      <c r="K569" s="1371"/>
      <c r="L569" s="1371"/>
      <c r="M569" s="1371"/>
      <c r="N569" s="1371"/>
      <c r="O569" s="1371"/>
      <c r="P569" s="1371"/>
      <c r="Q569" s="1371"/>
      <c r="R569" s="1371"/>
      <c r="S569" s="8"/>
      <c r="T569" s="22"/>
      <c r="U569" t="s">
        <v>85</v>
      </c>
      <c r="Z569" s="1371" t="s">
        <v>2703</v>
      </c>
      <c r="AA569" s="1371"/>
      <c r="AB569" s="1371"/>
      <c r="AC569" s="1371"/>
      <c r="AD569" s="1371"/>
      <c r="AE569" s="1371"/>
      <c r="AF569" s="1371"/>
      <c r="AG569" s="1371"/>
      <c r="AH569" s="1371"/>
      <c r="AI569" s="1371"/>
      <c r="AJ569" s="1371"/>
      <c r="AK569" s="1371"/>
      <c r="BB569" s="3"/>
      <c r="BC569" s="3"/>
      <c r="BD569" s="3"/>
      <c r="BE569" s="3"/>
      <c r="BF569" s="3"/>
      <c r="BG569" s="3"/>
      <c r="BH569" s="3"/>
      <c r="BI569" s="3"/>
    </row>
    <row r="570" spans="1:61" ht="12.95" customHeight="1">
      <c r="A570" s="22"/>
      <c r="B570" t="s">
        <v>580</v>
      </c>
      <c r="G570" s="1371" t="s">
        <v>2704</v>
      </c>
      <c r="H570" s="1371"/>
      <c r="I570" s="1371"/>
      <c r="J570" s="1371"/>
      <c r="K570" s="1371"/>
      <c r="L570" s="1371"/>
      <c r="M570" s="1371"/>
      <c r="N570" s="1371"/>
      <c r="O570" s="1371"/>
      <c r="P570" s="1371"/>
      <c r="Q570" s="1371"/>
      <c r="R570" s="1371"/>
      <c r="T570" s="22"/>
      <c r="U570" t="s">
        <v>580</v>
      </c>
      <c r="Z570" s="1348" t="s">
        <v>2704</v>
      </c>
      <c r="AA570" s="1348"/>
      <c r="AB570" s="1348"/>
      <c r="AC570" s="1348"/>
      <c r="AD570" s="1348"/>
      <c r="AE570" s="1348"/>
      <c r="AF570" s="1348"/>
      <c r="AG570" s="1348"/>
      <c r="AH570" s="1348"/>
      <c r="AI570" s="1348"/>
      <c r="AJ570" s="1348"/>
      <c r="AK570" s="1348"/>
      <c r="BB570" s="3"/>
      <c r="BC570" s="3"/>
      <c r="BD570" s="3"/>
      <c r="BE570" s="3"/>
      <c r="BF570" s="3"/>
      <c r="BG570" s="3"/>
      <c r="BH570" s="3"/>
      <c r="BI570" s="3"/>
    </row>
    <row r="571" spans="1:61" ht="12.95" customHeight="1">
      <c r="A571" s="22"/>
      <c r="B571" t="s">
        <v>17</v>
      </c>
      <c r="G571" s="1371" t="s">
        <v>2705</v>
      </c>
      <c r="H571" s="1371"/>
      <c r="I571" s="1371"/>
      <c r="J571" s="1371"/>
      <c r="K571" s="1371"/>
      <c r="L571" s="1371"/>
      <c r="M571" s="1371"/>
      <c r="N571" s="1371"/>
      <c r="O571" s="1371"/>
      <c r="P571" s="1371"/>
      <c r="Q571" s="1371"/>
      <c r="R571" s="1371"/>
      <c r="S571" s="8"/>
      <c r="T571" s="22"/>
      <c r="U571" t="s">
        <v>17</v>
      </c>
      <c r="Z571" s="1348" t="s">
        <v>2705</v>
      </c>
      <c r="AA571" s="1348"/>
      <c r="AB571" s="1348"/>
      <c r="AC571" s="1348"/>
      <c r="AD571" s="1348"/>
      <c r="AE571" s="1348"/>
      <c r="AF571" s="1348"/>
      <c r="AG571" s="1348"/>
      <c r="AH571" s="1348"/>
      <c r="AI571" s="1348"/>
      <c r="AJ571" s="1348"/>
      <c r="AK571" s="1348"/>
      <c r="BB571" s="3"/>
      <c r="BC571" s="3"/>
      <c r="BD571" s="3"/>
      <c r="BE571" s="3"/>
      <c r="BF571" s="3"/>
      <c r="BG571" s="3"/>
      <c r="BH571" s="3"/>
      <c r="BI571" s="3"/>
    </row>
    <row r="572" spans="1:61" ht="12.95" customHeight="1">
      <c r="A572" s="22"/>
      <c r="B572" t="s">
        <v>315</v>
      </c>
      <c r="G572" s="1346" t="s">
        <v>2707</v>
      </c>
      <c r="H572" s="1346"/>
      <c r="I572" s="1346"/>
      <c r="J572" s="1346"/>
      <c r="K572" s="1346"/>
      <c r="L572" s="1346"/>
      <c r="O572" s="33" t="s">
        <v>205</v>
      </c>
      <c r="P572" s="1437"/>
      <c r="Q572" s="1437"/>
      <c r="R572" s="1437"/>
      <c r="S572" s="10"/>
      <c r="T572" s="22"/>
      <c r="U572" t="s">
        <v>315</v>
      </c>
      <c r="Z572" s="1346" t="s">
        <v>2707</v>
      </c>
      <c r="AA572" s="1346"/>
      <c r="AB572" s="1346"/>
      <c r="AC572" s="1346"/>
      <c r="AD572" s="1346"/>
      <c r="AE572" s="1346"/>
      <c r="AH572" s="33" t="s">
        <v>205</v>
      </c>
      <c r="AI572" s="1437"/>
      <c r="AJ572" s="1437"/>
      <c r="AK572" s="1437"/>
      <c r="BB572" s="3"/>
      <c r="BC572" s="3"/>
      <c r="BD572" s="3"/>
      <c r="BE572" s="3"/>
      <c r="BF572" s="3"/>
      <c r="BG572" s="3"/>
      <c r="BH572" s="3"/>
      <c r="BI572" s="3"/>
    </row>
    <row r="573" spans="1:61" ht="12.95" customHeight="1">
      <c r="A573" s="22"/>
      <c r="B573" t="s">
        <v>18</v>
      </c>
      <c r="H573" s="1416" t="s">
        <v>2120</v>
      </c>
      <c r="I573" s="1371"/>
      <c r="J573" s="1371"/>
      <c r="K573" s="1371"/>
      <c r="L573" s="1371"/>
      <c r="M573" s="1371"/>
      <c r="N573" s="1371"/>
      <c r="O573" s="1371"/>
      <c r="P573" s="1371"/>
      <c r="Q573" s="1371"/>
      <c r="R573" s="1371"/>
      <c r="S573" s="8"/>
      <c r="T573" s="22"/>
      <c r="U573" t="s">
        <v>18</v>
      </c>
      <c r="AA573" s="1416" t="s">
        <v>2754</v>
      </c>
      <c r="AB573" s="1371"/>
      <c r="AC573" s="1371"/>
      <c r="AD573" s="1371"/>
      <c r="AE573" s="1371"/>
      <c r="AF573" s="1371"/>
      <c r="AG573" s="1371"/>
      <c r="AH573" s="1371"/>
      <c r="AI573" s="1371"/>
      <c r="AJ573" s="1371"/>
      <c r="AK573" s="1371"/>
      <c r="BB573" s="3"/>
      <c r="BC573" s="3"/>
      <c r="BD573" s="3"/>
      <c r="BE573" s="3"/>
      <c r="BF573" s="3"/>
      <c r="BG573" s="3"/>
      <c r="BH573" s="3"/>
      <c r="BI573" s="3"/>
    </row>
    <row r="574" spans="1:61" ht="12.95" customHeight="1">
      <c r="A574" s="22"/>
      <c r="B574" s="320" t="s">
        <v>1185</v>
      </c>
      <c r="H574" s="8"/>
      <c r="I574" s="8"/>
      <c r="J574" s="8"/>
      <c r="K574" s="8"/>
      <c r="L574" s="8"/>
      <c r="M574" s="1696"/>
      <c r="N574" s="1696"/>
      <c r="O574" s="1696"/>
      <c r="P574" s="1696"/>
      <c r="Q574" s="1696"/>
      <c r="R574" s="1696"/>
      <c r="S574" s="8"/>
      <c r="T574" s="22"/>
      <c r="U574" s="320" t="s">
        <v>1185</v>
      </c>
      <c r="AA574" s="8"/>
      <c r="AB574" s="8"/>
      <c r="AC574" s="8"/>
      <c r="AD574" s="8"/>
      <c r="AE574" s="8"/>
      <c r="AF574" s="1696"/>
      <c r="AG574" s="1696"/>
      <c r="AH574" s="1696"/>
      <c r="AI574" s="1696"/>
      <c r="AJ574" s="1696"/>
      <c r="AK574" s="1696"/>
      <c r="BB574" s="3"/>
      <c r="BC574" s="3"/>
      <c r="BD574" s="3"/>
      <c r="BE574" s="3"/>
      <c r="BF574" s="3"/>
      <c r="BG574" s="3"/>
      <c r="BH574" s="3"/>
      <c r="BI574" s="3"/>
    </row>
    <row r="575" spans="1:61" ht="12.95" customHeight="1">
      <c r="A575" s="22"/>
      <c r="B575" t="s">
        <v>20</v>
      </c>
      <c r="N575" s="1332" t="s">
        <v>545</v>
      </c>
      <c r="O575" s="1332"/>
      <c r="T575" s="22"/>
      <c r="U575" t="s">
        <v>20</v>
      </c>
      <c r="AG575" s="1332" t="s">
        <v>545</v>
      </c>
      <c r="AH575" s="1332"/>
      <c r="BB575" s="3"/>
      <c r="BC575" s="3"/>
      <c r="BD575" s="3"/>
      <c r="BE575" s="3"/>
      <c r="BF575" s="3"/>
      <c r="BG575" s="3"/>
      <c r="BH575" s="3"/>
      <c r="BI575" s="3"/>
    </row>
    <row r="576" spans="1:61" ht="12.95" customHeight="1">
      <c r="A576" s="22"/>
      <c r="T576" s="22"/>
      <c r="BB576" s="3"/>
      <c r="BC576" s="3"/>
      <c r="BD576" s="3"/>
      <c r="BE576" s="3"/>
      <c r="BF576" s="3"/>
      <c r="BG576" s="3"/>
      <c r="BH576" s="3"/>
      <c r="BI576" s="3"/>
    </row>
    <row r="577" spans="1:55" ht="12.95" customHeight="1">
      <c r="A577" s="55" t="s">
        <v>119</v>
      </c>
      <c r="B577" t="s">
        <v>463</v>
      </c>
      <c r="G577" s="1358" t="str">
        <f>C556</f>
        <v>Citi Community Capital Conduit</v>
      </c>
      <c r="H577" s="1358"/>
      <c r="I577" s="1358"/>
      <c r="J577" s="1358"/>
      <c r="K577" s="1358"/>
      <c r="L577" s="1358"/>
      <c r="M577" s="1358"/>
      <c r="N577" s="1358"/>
      <c r="O577" s="1358"/>
      <c r="P577" s="1358"/>
      <c r="Q577" s="1358"/>
      <c r="R577" s="1358"/>
      <c r="T577" s="55" t="s">
        <v>581</v>
      </c>
      <c r="U577" t="s">
        <v>463</v>
      </c>
      <c r="Z577" s="1358" t="str">
        <f>C557</f>
        <v>R4 Capital LLC</v>
      </c>
      <c r="AA577" s="1358"/>
      <c r="AB577" s="1358"/>
      <c r="AC577" s="1358"/>
      <c r="AD577" s="1358"/>
      <c r="AE577" s="1358"/>
      <c r="AF577" s="1358"/>
      <c r="AG577" s="1358"/>
      <c r="AH577" s="1358"/>
      <c r="AI577" s="1358"/>
      <c r="AJ577" s="1358"/>
      <c r="AK577" s="1358"/>
      <c r="BB577" s="3"/>
      <c r="BC577" s="3"/>
    </row>
    <row r="578" spans="1:55" ht="12.95" customHeight="1">
      <c r="A578" s="22"/>
      <c r="B578" t="s">
        <v>85</v>
      </c>
      <c r="G578" s="1371" t="s">
        <v>2703</v>
      </c>
      <c r="H578" s="1371"/>
      <c r="I578" s="1371"/>
      <c r="J578" s="1371"/>
      <c r="K578" s="1371"/>
      <c r="L578" s="1371"/>
      <c r="M578" s="1371"/>
      <c r="N578" s="1371"/>
      <c r="O578" s="1371"/>
      <c r="P578" s="1371"/>
      <c r="Q578" s="1371"/>
      <c r="R578" s="1371"/>
      <c r="T578" s="22"/>
      <c r="U578" t="s">
        <v>85</v>
      </c>
      <c r="Z578" s="1371" t="s">
        <v>2710</v>
      </c>
      <c r="AA578" s="1371"/>
      <c r="AB578" s="1371"/>
      <c r="AC578" s="1371"/>
      <c r="AD578" s="1371"/>
      <c r="AE578" s="1371"/>
      <c r="AF578" s="1371"/>
      <c r="AG578" s="1371"/>
      <c r="AH578" s="1371"/>
      <c r="AI578" s="1371"/>
      <c r="AJ578" s="1371"/>
      <c r="AK578" s="1371"/>
      <c r="BB578" s="3"/>
      <c r="BC578" s="3"/>
    </row>
    <row r="579" spans="1:55" ht="12.95" customHeight="1">
      <c r="A579" s="22"/>
      <c r="B579" t="s">
        <v>580</v>
      </c>
      <c r="G579" s="1348" t="s">
        <v>2704</v>
      </c>
      <c r="H579" s="1348"/>
      <c r="I579" s="1348"/>
      <c r="J579" s="1348"/>
      <c r="K579" s="1348"/>
      <c r="L579" s="1348"/>
      <c r="M579" s="1348"/>
      <c r="N579" s="1348"/>
      <c r="O579" s="1348"/>
      <c r="P579" s="1348"/>
      <c r="Q579" s="1348"/>
      <c r="R579" s="1348"/>
      <c r="T579" s="22"/>
      <c r="U579" t="s">
        <v>580</v>
      </c>
      <c r="Z579" s="1348" t="s">
        <v>2617</v>
      </c>
      <c r="AA579" s="1348"/>
      <c r="AB579" s="1348"/>
      <c r="AC579" s="1348"/>
      <c r="AD579" s="1348"/>
      <c r="AE579" s="1348"/>
      <c r="AF579" s="1348"/>
      <c r="AG579" s="1348"/>
      <c r="AH579" s="1348"/>
      <c r="AI579" s="1348"/>
      <c r="AJ579" s="1348"/>
      <c r="AK579" s="1348"/>
      <c r="BB579" s="3"/>
      <c r="BC579" s="3"/>
    </row>
    <row r="580" spans="1:55" ht="12.95" customHeight="1">
      <c r="A580" s="22"/>
      <c r="B580" t="s">
        <v>17</v>
      </c>
      <c r="G580" s="1348" t="s">
        <v>2705</v>
      </c>
      <c r="H580" s="1348"/>
      <c r="I580" s="1348"/>
      <c r="J580" s="1348"/>
      <c r="K580" s="1348"/>
      <c r="L580" s="1348"/>
      <c r="M580" s="1348"/>
      <c r="N580" s="1348"/>
      <c r="O580" s="1348"/>
      <c r="P580" s="1348"/>
      <c r="Q580" s="1348"/>
      <c r="R580" s="1348"/>
      <c r="T580" s="22"/>
      <c r="U580" t="s">
        <v>17</v>
      </c>
      <c r="Z580" s="1348" t="s">
        <v>2676</v>
      </c>
      <c r="AA580" s="1348"/>
      <c r="AB580" s="1348"/>
      <c r="AC580" s="1348"/>
      <c r="AD580" s="1348"/>
      <c r="AE580" s="1348"/>
      <c r="AF580" s="1348"/>
      <c r="AG580" s="1348"/>
      <c r="AH580" s="1348"/>
      <c r="AI580" s="1348"/>
      <c r="AJ580" s="1348"/>
      <c r="AK580" s="1348"/>
      <c r="BB580" s="3"/>
      <c r="BC580" s="3"/>
    </row>
    <row r="581" spans="1:55" ht="12.95" customHeight="1">
      <c r="A581" s="22"/>
      <c r="B581" t="s">
        <v>315</v>
      </c>
      <c r="G581" s="1346" t="s">
        <v>2707</v>
      </c>
      <c r="H581" s="1346"/>
      <c r="I581" s="1346"/>
      <c r="J581" s="1346"/>
      <c r="K581" s="1346"/>
      <c r="L581" s="1346"/>
      <c r="O581" s="33" t="s">
        <v>205</v>
      </c>
      <c r="P581" s="1437"/>
      <c r="Q581" s="1437"/>
      <c r="R581" s="1437"/>
      <c r="T581" s="22"/>
      <c r="U581" t="s">
        <v>315</v>
      </c>
      <c r="Z581" s="1346" t="s">
        <v>2677</v>
      </c>
      <c r="AA581" s="1346"/>
      <c r="AB581" s="1346"/>
      <c r="AC581" s="1346"/>
      <c r="AD581" s="1346"/>
      <c r="AE581" s="1346"/>
      <c r="AH581" s="33" t="s">
        <v>205</v>
      </c>
      <c r="AI581" s="1437"/>
      <c r="AJ581" s="1437"/>
      <c r="AK581" s="1437"/>
      <c r="BB581" s="3"/>
      <c r="BC581" s="3"/>
    </row>
    <row r="582" spans="1:55" ht="12.95" customHeight="1">
      <c r="A582" s="22"/>
      <c r="B582" t="s">
        <v>18</v>
      </c>
      <c r="H582" s="1416" t="s">
        <v>2119</v>
      </c>
      <c r="I582" s="1371"/>
      <c r="J582" s="1371"/>
      <c r="K582" s="1371"/>
      <c r="L582" s="1371"/>
      <c r="M582" s="1371"/>
      <c r="N582" s="1371"/>
      <c r="O582" s="1371"/>
      <c r="P582" s="1371"/>
      <c r="Q582" s="1371"/>
      <c r="R582" s="1371"/>
      <c r="T582" s="22"/>
      <c r="U582" t="s">
        <v>18</v>
      </c>
      <c r="AA582" s="1371" t="s">
        <v>2708</v>
      </c>
      <c r="AB582" s="1371"/>
      <c r="AC582" s="1371"/>
      <c r="AD582" s="1371"/>
      <c r="AE582" s="1371"/>
      <c r="AF582" s="1371"/>
      <c r="AG582" s="1371"/>
      <c r="AH582" s="1371"/>
      <c r="AI582" s="1371"/>
      <c r="AJ582" s="1371"/>
      <c r="AK582" s="1371"/>
      <c r="BB582" s="3"/>
      <c r="BC582" s="3"/>
    </row>
    <row r="583" spans="1:55" ht="12.95" customHeight="1">
      <c r="A583" s="22"/>
      <c r="B583" t="s">
        <v>20</v>
      </c>
      <c r="N583" s="1332" t="s">
        <v>545</v>
      </c>
      <c r="O583" s="1332"/>
      <c r="T583" s="22"/>
      <c r="U583" t="s">
        <v>20</v>
      </c>
      <c r="AG583" s="1332" t="s">
        <v>545</v>
      </c>
      <c r="AH583" s="1332"/>
      <c r="BB583" s="3"/>
      <c r="BC583" s="3"/>
    </row>
    <row r="584" spans="1:55" ht="12.95" customHeight="1">
      <c r="A584" s="22"/>
      <c r="T584" s="22"/>
      <c r="BB584" s="3"/>
      <c r="BC584" s="3"/>
    </row>
    <row r="585" spans="1:55" ht="12.95" customHeight="1">
      <c r="A585" s="55" t="s">
        <v>763</v>
      </c>
      <c r="B585" t="s">
        <v>463</v>
      </c>
      <c r="G585" s="1358" t="str">
        <f>C558</f>
        <v>Red Tail Multifamily Land Development, LLC</v>
      </c>
      <c r="H585" s="1358"/>
      <c r="I585" s="1358"/>
      <c r="J585" s="1358"/>
      <c r="K585" s="1358"/>
      <c r="L585" s="1358"/>
      <c r="M585" s="1358"/>
      <c r="N585" s="1358"/>
      <c r="O585" s="1358"/>
      <c r="P585" s="1358"/>
      <c r="Q585" s="1358"/>
      <c r="R585" s="1358"/>
      <c r="T585" s="55" t="s">
        <v>584</v>
      </c>
      <c r="U585" t="s">
        <v>463</v>
      </c>
      <c r="Z585" s="1358">
        <f>C559</f>
        <v>0</v>
      </c>
      <c r="AA585" s="1358"/>
      <c r="AB585" s="1358"/>
      <c r="AC585" s="1358"/>
      <c r="AD585" s="1358"/>
      <c r="AE585" s="1358"/>
      <c r="AF585" s="1358"/>
      <c r="AG585" s="1358"/>
      <c r="AH585" s="1358"/>
      <c r="AI585" s="1358"/>
      <c r="AJ585" s="1358"/>
      <c r="AK585" s="1358"/>
      <c r="BB585" s="3"/>
      <c r="BC585" s="3"/>
    </row>
    <row r="586" spans="1:55" ht="12.95" customHeight="1">
      <c r="A586" s="22"/>
      <c r="B586" t="s">
        <v>85</v>
      </c>
      <c r="G586" s="1371" t="s">
        <v>2647</v>
      </c>
      <c r="H586" s="1371"/>
      <c r="I586" s="1371"/>
      <c r="J586" s="1371"/>
      <c r="K586" s="1371"/>
      <c r="L586" s="1371"/>
      <c r="M586" s="1371"/>
      <c r="N586" s="1371"/>
      <c r="O586" s="1371"/>
      <c r="P586" s="1371"/>
      <c r="Q586" s="1371"/>
      <c r="R586" s="1371"/>
      <c r="T586" s="22"/>
      <c r="U586" t="s">
        <v>85</v>
      </c>
      <c r="Z586" s="1371"/>
      <c r="AA586" s="1371"/>
      <c r="AB586" s="1371"/>
      <c r="AC586" s="1371"/>
      <c r="AD586" s="1371"/>
      <c r="AE586" s="1371"/>
      <c r="AF586" s="1371"/>
      <c r="AG586" s="1371"/>
      <c r="AH586" s="1371"/>
      <c r="AI586" s="1371"/>
      <c r="AJ586" s="1371"/>
      <c r="AK586" s="1371"/>
      <c r="BB586" s="3"/>
      <c r="BC586" s="3"/>
    </row>
    <row r="587" spans="1:55" ht="12.95" customHeight="1">
      <c r="A587" s="22"/>
      <c r="B587" t="s">
        <v>580</v>
      </c>
      <c r="G587" s="1371" t="s">
        <v>2637</v>
      </c>
      <c r="H587" s="1371"/>
      <c r="I587" s="1371"/>
      <c r="J587" s="1371"/>
      <c r="K587" s="1371"/>
      <c r="L587" s="1371"/>
      <c r="M587" s="1371"/>
      <c r="N587" s="1371"/>
      <c r="O587" s="1371"/>
      <c r="P587" s="1371"/>
      <c r="Q587" s="1371"/>
      <c r="R587" s="1371"/>
      <c r="T587" s="22"/>
      <c r="U587" t="s">
        <v>580</v>
      </c>
      <c r="Z587" s="1348"/>
      <c r="AA587" s="1348"/>
      <c r="AB587" s="1348"/>
      <c r="AC587" s="1348"/>
      <c r="AD587" s="1348"/>
      <c r="AE587" s="1348"/>
      <c r="AF587" s="1348"/>
      <c r="AG587" s="1348"/>
      <c r="AH587" s="1348"/>
      <c r="AI587" s="1348"/>
      <c r="AJ587" s="1348"/>
      <c r="AK587" s="1348"/>
      <c r="BB587" s="3"/>
      <c r="BC587" s="3"/>
    </row>
    <row r="588" spans="1:55" ht="12.95" customHeight="1">
      <c r="A588" s="22"/>
      <c r="B588" t="s">
        <v>17</v>
      </c>
      <c r="G588" s="1371" t="s">
        <v>2638</v>
      </c>
      <c r="H588" s="1371"/>
      <c r="I588" s="1371"/>
      <c r="J588" s="1371"/>
      <c r="K588" s="1371"/>
      <c r="L588" s="1371"/>
      <c r="M588" s="1371"/>
      <c r="N588" s="1371"/>
      <c r="O588" s="1371"/>
      <c r="P588" s="1371"/>
      <c r="Q588" s="1371"/>
      <c r="R588" s="1371"/>
      <c r="T588" s="22"/>
      <c r="U588" t="s">
        <v>17</v>
      </c>
      <c r="Z588" s="1348"/>
      <c r="AA588" s="1348"/>
      <c r="AB588" s="1348"/>
      <c r="AC588" s="1348"/>
      <c r="AD588" s="1348"/>
      <c r="AE588" s="1348"/>
      <c r="AF588" s="1348"/>
      <c r="AG588" s="1348"/>
      <c r="AH588" s="1348"/>
      <c r="AI588" s="1348"/>
      <c r="AJ588" s="1348"/>
      <c r="AK588" s="1348"/>
    </row>
    <row r="589" spans="1:55" ht="12.95" customHeight="1">
      <c r="A589" s="22"/>
      <c r="B589" t="s">
        <v>315</v>
      </c>
      <c r="G589" s="1346">
        <v>4157578639</v>
      </c>
      <c r="H589" s="1346"/>
      <c r="I589" s="1346"/>
      <c r="J589" s="1346"/>
      <c r="K589" s="1346"/>
      <c r="L589" s="1346"/>
      <c r="O589" s="33" t="s">
        <v>205</v>
      </c>
      <c r="P589" s="1437"/>
      <c r="Q589" s="1437"/>
      <c r="R589" s="1437"/>
      <c r="T589" s="22"/>
      <c r="U589" t="s">
        <v>315</v>
      </c>
      <c r="Z589" s="1346"/>
      <c r="AA589" s="1346"/>
      <c r="AB589" s="1346"/>
      <c r="AC589" s="1346"/>
      <c r="AD589" s="1346"/>
      <c r="AE589" s="1346"/>
      <c r="AH589" s="33" t="s">
        <v>205</v>
      </c>
      <c r="AI589" s="1437"/>
      <c r="AJ589" s="1437"/>
      <c r="AK589" s="1437"/>
      <c r="AZ589" s="3"/>
      <c r="BA589" s="3"/>
      <c r="BB589" s="3"/>
      <c r="BC589" s="3"/>
    </row>
    <row r="590" spans="1:55" ht="12.95" customHeight="1">
      <c r="A590" s="22"/>
      <c r="B590" t="s">
        <v>18</v>
      </c>
      <c r="H590" s="1416" t="s">
        <v>2755</v>
      </c>
      <c r="I590" s="1371"/>
      <c r="J590" s="1371"/>
      <c r="K590" s="1371"/>
      <c r="L590" s="1371"/>
      <c r="M590" s="1371"/>
      <c r="N590" s="1371"/>
      <c r="O590" s="1371"/>
      <c r="P590" s="1371"/>
      <c r="Q590" s="1371"/>
      <c r="R590" s="1371"/>
      <c r="T590" s="22"/>
      <c r="U590" t="s">
        <v>18</v>
      </c>
      <c r="AA590" s="1371"/>
      <c r="AB590" s="1371"/>
      <c r="AC590" s="1371"/>
      <c r="AD590" s="1371"/>
      <c r="AE590" s="1371"/>
      <c r="AF590" s="1371"/>
      <c r="AG590" s="1371"/>
      <c r="AH590" s="1371"/>
      <c r="AI590" s="1371"/>
      <c r="AJ590" s="1371"/>
      <c r="AK590" s="1371"/>
      <c r="AZ590" s="3"/>
      <c r="BA590" s="3"/>
      <c r="BB590" s="3"/>
      <c r="BC590" s="3"/>
    </row>
    <row r="591" spans="1:55" ht="12.95" customHeight="1">
      <c r="A591" s="22"/>
      <c r="B591" t="s">
        <v>20</v>
      </c>
      <c r="N591" s="1332" t="s">
        <v>545</v>
      </c>
      <c r="O591" s="1332"/>
      <c r="T591" s="22"/>
      <c r="U591" t="s">
        <v>20</v>
      </c>
      <c r="AG591" s="1332" t="s">
        <v>669</v>
      </c>
      <c r="AH591" s="1332"/>
      <c r="AZ591" s="3"/>
      <c r="BA591" s="3"/>
      <c r="BB591" s="3"/>
      <c r="BC591" s="3"/>
    </row>
    <row r="592" spans="1:55" ht="12.95" customHeight="1">
      <c r="A592" s="22"/>
      <c r="T592" s="22"/>
      <c r="AZ592" s="3"/>
      <c r="BA592" s="3"/>
      <c r="BB592" s="3"/>
      <c r="BC592" s="3"/>
    </row>
    <row r="593" spans="1:55" ht="12.95" customHeight="1">
      <c r="A593" s="55" t="s">
        <v>455</v>
      </c>
      <c r="B593" t="s">
        <v>463</v>
      </c>
      <c r="G593" s="1358">
        <f>C560</f>
        <v>0</v>
      </c>
      <c r="H593" s="1358"/>
      <c r="I593" s="1358"/>
      <c r="J593" s="1358"/>
      <c r="K593" s="1358"/>
      <c r="L593" s="1358"/>
      <c r="M593" s="1358"/>
      <c r="N593" s="1358"/>
      <c r="O593" s="1358"/>
      <c r="P593" s="1358"/>
      <c r="Q593" s="1358"/>
      <c r="R593" s="1358"/>
      <c r="T593" s="55" t="s">
        <v>456</v>
      </c>
      <c r="U593" t="s">
        <v>463</v>
      </c>
      <c r="Z593" s="1358">
        <f>C561</f>
        <v>0</v>
      </c>
      <c r="AA593" s="1358"/>
      <c r="AB593" s="1358"/>
      <c r="AC593" s="1358"/>
      <c r="AD593" s="1358"/>
      <c r="AE593" s="1358"/>
      <c r="AF593" s="1358"/>
      <c r="AG593" s="1358"/>
      <c r="AH593" s="1358"/>
      <c r="AI593" s="1358"/>
      <c r="AJ593" s="1358"/>
      <c r="AK593" s="1358"/>
      <c r="AZ593" s="3"/>
      <c r="BA593" s="3"/>
      <c r="BB593" s="3"/>
      <c r="BC593" s="3"/>
    </row>
    <row r="594" spans="1:55" s="4" customFormat="1" ht="12.95" customHeight="1">
      <c r="A594" s="22"/>
      <c r="B594" t="s">
        <v>85</v>
      </c>
      <c r="C594"/>
      <c r="D594"/>
      <c r="E594"/>
      <c r="F594"/>
      <c r="G594" s="1371"/>
      <c r="H594" s="1371"/>
      <c r="I594" s="1371"/>
      <c r="J594" s="1371"/>
      <c r="K594" s="1371"/>
      <c r="L594" s="1371"/>
      <c r="M594" s="1371"/>
      <c r="N594" s="1371"/>
      <c r="O594" s="1371"/>
      <c r="P594" s="1371"/>
      <c r="Q594" s="1371"/>
      <c r="R594" s="1371"/>
      <c r="S594"/>
      <c r="T594" s="22"/>
      <c r="U594" t="s">
        <v>85</v>
      </c>
      <c r="V594"/>
      <c r="W594"/>
      <c r="X594"/>
      <c r="Y594"/>
      <c r="Z594" s="1371"/>
      <c r="AA594" s="1371"/>
      <c r="AB594" s="1371"/>
      <c r="AC594" s="1371"/>
      <c r="AD594" s="1371"/>
      <c r="AE594" s="1371"/>
      <c r="AF594" s="1371"/>
      <c r="AG594" s="1371"/>
      <c r="AH594" s="1371"/>
      <c r="AI594" s="1371"/>
      <c r="AJ594" s="1371"/>
      <c r="AK594" s="1371"/>
      <c r="AL594"/>
      <c r="AM594"/>
      <c r="AN594"/>
      <c r="AO594"/>
      <c r="AP594"/>
      <c r="AQ594"/>
      <c r="AR594"/>
      <c r="AS594"/>
      <c r="AT594"/>
      <c r="AU594"/>
      <c r="AV594"/>
      <c r="AW594"/>
      <c r="AX594"/>
      <c r="AY594"/>
      <c r="AZ594" s="3"/>
      <c r="BA594" s="3"/>
      <c r="BB594" s="3"/>
      <c r="BC594" s="3"/>
    </row>
    <row r="595" spans="1:55" s="4" customFormat="1" ht="12.95" customHeight="1">
      <c r="A595" s="22"/>
      <c r="B595" t="s">
        <v>580</v>
      </c>
      <c r="C595"/>
      <c r="D595"/>
      <c r="E595"/>
      <c r="F595"/>
      <c r="G595" s="1371"/>
      <c r="H595" s="1371"/>
      <c r="I595" s="1371"/>
      <c r="J595" s="1371"/>
      <c r="K595" s="1371"/>
      <c r="L595" s="1371"/>
      <c r="M595" s="1371"/>
      <c r="N595" s="1371"/>
      <c r="O595" s="1371"/>
      <c r="P595" s="1371"/>
      <c r="Q595" s="1371"/>
      <c r="R595" s="1371"/>
      <c r="S595"/>
      <c r="T595" s="22"/>
      <c r="U595" t="s">
        <v>580</v>
      </c>
      <c r="V595"/>
      <c r="W595"/>
      <c r="X595"/>
      <c r="Y595"/>
      <c r="Z595" s="1348"/>
      <c r="AA595" s="1348"/>
      <c r="AB595" s="1348"/>
      <c r="AC595" s="1348"/>
      <c r="AD595" s="1348"/>
      <c r="AE595" s="1348"/>
      <c r="AF595" s="1348"/>
      <c r="AG595" s="1348"/>
      <c r="AH595" s="1348"/>
      <c r="AI595" s="1348"/>
      <c r="AJ595" s="1348"/>
      <c r="AK595" s="1348"/>
      <c r="AL595"/>
      <c r="AM595"/>
      <c r="AN595"/>
      <c r="AO595"/>
      <c r="AP595"/>
      <c r="AQ595"/>
      <c r="AR595"/>
      <c r="AS595"/>
      <c r="AT595"/>
      <c r="AU595"/>
      <c r="AV595"/>
      <c r="AW595"/>
      <c r="AX595"/>
      <c r="AY595"/>
      <c r="AZ595" s="3"/>
      <c r="BA595" s="3"/>
      <c r="BB595" s="3"/>
      <c r="BC595" s="3"/>
    </row>
    <row r="596" spans="1:55" s="4" customFormat="1" ht="12.95" customHeight="1">
      <c r="A596" s="22"/>
      <c r="B596" t="s">
        <v>17</v>
      </c>
      <c r="C596"/>
      <c r="D596"/>
      <c r="E596"/>
      <c r="F596"/>
      <c r="G596" s="1371"/>
      <c r="H596" s="1371"/>
      <c r="I596" s="1371"/>
      <c r="J596" s="1371"/>
      <c r="K596" s="1371"/>
      <c r="L596" s="1371"/>
      <c r="M596" s="1371"/>
      <c r="N596" s="1371"/>
      <c r="O596" s="1371"/>
      <c r="P596" s="1371"/>
      <c r="Q596" s="1371"/>
      <c r="R596" s="1371"/>
      <c r="S596"/>
      <c r="T596" s="22"/>
      <c r="U596" t="s">
        <v>17</v>
      </c>
      <c r="V596"/>
      <c r="W596"/>
      <c r="X596"/>
      <c r="Y596"/>
      <c r="Z596" s="1348"/>
      <c r="AA596" s="1348"/>
      <c r="AB596" s="1348"/>
      <c r="AC596" s="1348"/>
      <c r="AD596" s="1348"/>
      <c r="AE596" s="1348"/>
      <c r="AF596" s="1348"/>
      <c r="AG596" s="1348"/>
      <c r="AH596" s="1348"/>
      <c r="AI596" s="1348"/>
      <c r="AJ596" s="1348"/>
      <c r="AK596" s="1348"/>
      <c r="AL596"/>
      <c r="AM596"/>
      <c r="AN596"/>
      <c r="AO596"/>
      <c r="AP596"/>
      <c r="AQ596"/>
      <c r="AR596"/>
      <c r="AS596"/>
      <c r="AT596"/>
      <c r="AU596"/>
      <c r="AV596"/>
      <c r="AW596"/>
      <c r="AX596"/>
      <c r="AY596"/>
      <c r="BB596" s="3"/>
      <c r="BC596" s="3"/>
    </row>
    <row r="597" spans="1:55" s="4" customFormat="1" ht="12.95" customHeight="1">
      <c r="A597" s="22"/>
      <c r="B597" t="s">
        <v>315</v>
      </c>
      <c r="C597"/>
      <c r="D597"/>
      <c r="E597"/>
      <c r="F597"/>
      <c r="G597" s="1346"/>
      <c r="H597" s="1346"/>
      <c r="I597" s="1346"/>
      <c r="J597" s="1346"/>
      <c r="K597" s="1346"/>
      <c r="L597" s="1346"/>
      <c r="M597"/>
      <c r="N597"/>
      <c r="O597" s="33" t="s">
        <v>205</v>
      </c>
      <c r="P597" s="1437"/>
      <c r="Q597" s="1437"/>
      <c r="R597" s="1437"/>
      <c r="S597"/>
      <c r="T597" s="22"/>
      <c r="U597" t="s">
        <v>315</v>
      </c>
      <c r="V597"/>
      <c r="W597"/>
      <c r="X597"/>
      <c r="Y597"/>
      <c r="Z597" s="1346"/>
      <c r="AA597" s="1346"/>
      <c r="AB597" s="1346"/>
      <c r="AC597" s="1346"/>
      <c r="AD597" s="1346"/>
      <c r="AE597" s="1346"/>
      <c r="AF597"/>
      <c r="AG597"/>
      <c r="AH597" s="33" t="s">
        <v>205</v>
      </c>
      <c r="AI597" s="1437"/>
      <c r="AJ597" s="1437"/>
      <c r="AK597" s="1437"/>
      <c r="AL597"/>
      <c r="AM597"/>
      <c r="AN597"/>
      <c r="AO597"/>
      <c r="AP597"/>
      <c r="AQ597"/>
      <c r="AR597"/>
      <c r="AS597"/>
      <c r="AT597"/>
      <c r="AU597"/>
      <c r="AV597"/>
      <c r="AW597"/>
      <c r="AX597"/>
      <c r="AY597"/>
      <c r="BB597" s="3"/>
      <c r="BC597" s="3"/>
    </row>
    <row r="598" spans="1:55" s="4" customFormat="1" ht="12.95" customHeight="1">
      <c r="A598" s="22"/>
      <c r="B598" t="s">
        <v>18</v>
      </c>
      <c r="C598"/>
      <c r="D598"/>
      <c r="E598"/>
      <c r="F598"/>
      <c r="G598"/>
      <c r="H598" s="1371"/>
      <c r="I598" s="1371"/>
      <c r="J598" s="1371"/>
      <c r="K598" s="1371"/>
      <c r="L598" s="1371"/>
      <c r="M598" s="1371"/>
      <c r="N598" s="1371"/>
      <c r="O598" s="1371"/>
      <c r="P598" s="1371"/>
      <c r="Q598" s="1371"/>
      <c r="R598" s="1371"/>
      <c r="S598"/>
      <c r="T598" s="22"/>
      <c r="U598" t="s">
        <v>18</v>
      </c>
      <c r="V598"/>
      <c r="W598"/>
      <c r="X598"/>
      <c r="Y598"/>
      <c r="Z598"/>
      <c r="AA598" s="1371"/>
      <c r="AB598" s="1371"/>
      <c r="AC598" s="1371"/>
      <c r="AD598" s="1371"/>
      <c r="AE598" s="1371"/>
      <c r="AF598" s="1371"/>
      <c r="AG598" s="1371"/>
      <c r="AH598" s="1371"/>
      <c r="AI598" s="1371"/>
      <c r="AJ598" s="1371"/>
      <c r="AK598" s="1371"/>
      <c r="AL598"/>
      <c r="AM598"/>
      <c r="AN598"/>
      <c r="AO598"/>
      <c r="AP598"/>
      <c r="AQ598"/>
      <c r="AR598"/>
      <c r="AS598"/>
      <c r="AT598"/>
      <c r="AU598"/>
      <c r="AV598"/>
      <c r="AW598"/>
      <c r="AX598"/>
      <c r="AY598"/>
      <c r="BB598" s="3"/>
      <c r="BC598" s="3"/>
    </row>
    <row r="599" spans="1:55" ht="12.95" customHeight="1">
      <c r="A599" s="22"/>
      <c r="B599" t="s">
        <v>20</v>
      </c>
      <c r="N599" s="1332" t="s">
        <v>669</v>
      </c>
      <c r="O599" s="1332"/>
      <c r="T599" s="22"/>
      <c r="U599" t="s">
        <v>20</v>
      </c>
      <c r="AG599" s="1332" t="s">
        <v>669</v>
      </c>
      <c r="AH599" s="1332"/>
      <c r="BB599" s="3"/>
      <c r="BC599" s="3"/>
    </row>
    <row r="600" spans="1:55" ht="12.95" customHeight="1">
      <c r="A600" s="22"/>
      <c r="T600" s="22"/>
      <c r="BB600" s="3"/>
      <c r="BC600" s="3"/>
    </row>
    <row r="601" spans="1:55" ht="12.95" customHeight="1">
      <c r="A601" s="55" t="s">
        <v>461</v>
      </c>
      <c r="B601" t="s">
        <v>463</v>
      </c>
      <c r="G601" s="1358">
        <f>C562</f>
        <v>0</v>
      </c>
      <c r="H601" s="1358"/>
      <c r="I601" s="1358"/>
      <c r="J601" s="1358"/>
      <c r="K601" s="1358"/>
      <c r="L601" s="1358"/>
      <c r="M601" s="1358"/>
      <c r="N601" s="1358"/>
      <c r="O601" s="1358"/>
      <c r="P601" s="1358"/>
      <c r="Q601" s="1358"/>
      <c r="R601" s="1358"/>
      <c r="T601" s="55" t="s">
        <v>646</v>
      </c>
      <c r="U601" t="s">
        <v>463</v>
      </c>
      <c r="Z601" s="1358">
        <f>C563</f>
        <v>0</v>
      </c>
      <c r="AA601" s="1358"/>
      <c r="AB601" s="1358"/>
      <c r="AC601" s="1358"/>
      <c r="AD601" s="1358"/>
      <c r="AE601" s="1358"/>
      <c r="AF601" s="1358"/>
      <c r="AG601" s="1358"/>
      <c r="AH601" s="1358"/>
      <c r="AI601" s="1358"/>
      <c r="AJ601" s="1358"/>
      <c r="AK601" s="1358"/>
      <c r="BB601" s="3"/>
      <c r="BC601" s="3"/>
    </row>
    <row r="602" spans="1:55" ht="12.95" customHeight="1">
      <c r="A602" s="22"/>
      <c r="B602" t="s">
        <v>85</v>
      </c>
      <c r="G602" s="1371"/>
      <c r="H602" s="1371"/>
      <c r="I602" s="1371"/>
      <c r="J602" s="1371"/>
      <c r="K602" s="1371"/>
      <c r="L602" s="1371"/>
      <c r="M602" s="1371"/>
      <c r="N602" s="1371"/>
      <c r="O602" s="1371"/>
      <c r="P602" s="1371"/>
      <c r="Q602" s="1371"/>
      <c r="R602" s="1371"/>
      <c r="T602" s="22"/>
      <c r="U602" t="s">
        <v>85</v>
      </c>
      <c r="Z602" s="1371"/>
      <c r="AA602" s="1371"/>
      <c r="AB602" s="1371"/>
      <c r="AC602" s="1371"/>
      <c r="AD602" s="1371"/>
      <c r="AE602" s="1371"/>
      <c r="AF602" s="1371"/>
      <c r="AG602" s="1371"/>
      <c r="AH602" s="1371"/>
      <c r="AI602" s="1371"/>
      <c r="AJ602" s="1371"/>
      <c r="AK602" s="1371"/>
      <c r="AZ602" s="3"/>
      <c r="BA602" s="3"/>
      <c r="BB602" s="3"/>
      <c r="BC602" s="3"/>
    </row>
    <row r="603" spans="1:55" ht="12.95" customHeight="1">
      <c r="A603" s="22"/>
      <c r="B603" t="s">
        <v>580</v>
      </c>
      <c r="G603" s="1371"/>
      <c r="H603" s="1371"/>
      <c r="I603" s="1371"/>
      <c r="J603" s="1371"/>
      <c r="K603" s="1371"/>
      <c r="L603" s="1371"/>
      <c r="M603" s="1371"/>
      <c r="N603" s="1371"/>
      <c r="O603" s="1371"/>
      <c r="P603" s="1371"/>
      <c r="Q603" s="1371"/>
      <c r="R603" s="1371"/>
      <c r="T603" s="22"/>
      <c r="U603" t="s">
        <v>580</v>
      </c>
      <c r="Z603" s="1348"/>
      <c r="AA603" s="1348"/>
      <c r="AB603" s="1348"/>
      <c r="AC603" s="1348"/>
      <c r="AD603" s="1348"/>
      <c r="AE603" s="1348"/>
      <c r="AF603" s="1348"/>
      <c r="AG603" s="1348"/>
      <c r="AH603" s="1348"/>
      <c r="AI603" s="1348"/>
      <c r="AJ603" s="1348"/>
      <c r="AK603" s="1348"/>
      <c r="AZ603" s="3"/>
      <c r="BA603" s="3"/>
      <c r="BB603" s="3"/>
      <c r="BC603" s="3"/>
    </row>
    <row r="604" spans="1:55" ht="12.95" customHeight="1">
      <c r="A604" s="22"/>
      <c r="B604" t="s">
        <v>17</v>
      </c>
      <c r="G604" s="1371"/>
      <c r="H604" s="1371"/>
      <c r="I604" s="1371"/>
      <c r="J604" s="1371"/>
      <c r="K604" s="1371"/>
      <c r="L604" s="1371"/>
      <c r="M604" s="1371"/>
      <c r="N604" s="1371"/>
      <c r="O604" s="1371"/>
      <c r="P604" s="1371"/>
      <c r="Q604" s="1371"/>
      <c r="R604" s="1371"/>
      <c r="T604" s="22"/>
      <c r="U604" t="s">
        <v>17</v>
      </c>
      <c r="Z604" s="1348"/>
      <c r="AA604" s="1348"/>
      <c r="AB604" s="1348"/>
      <c r="AC604" s="1348"/>
      <c r="AD604" s="1348"/>
      <c r="AE604" s="1348"/>
      <c r="AF604" s="1348"/>
      <c r="AG604" s="1348"/>
      <c r="AH604" s="1348"/>
      <c r="AI604" s="1348"/>
      <c r="AJ604" s="1348"/>
      <c r="AK604" s="1348"/>
      <c r="AZ604" s="3"/>
      <c r="BA604" s="3"/>
      <c r="BB604" s="3"/>
      <c r="BC604" s="3"/>
    </row>
    <row r="605" spans="1:55" s="4" customFormat="1" ht="12.95" customHeight="1">
      <c r="A605" s="22"/>
      <c r="B605" t="s">
        <v>315</v>
      </c>
      <c r="C605"/>
      <c r="D605"/>
      <c r="E605"/>
      <c r="F605"/>
      <c r="G605" s="1346"/>
      <c r="H605" s="1346"/>
      <c r="I605" s="1346"/>
      <c r="J605" s="1346"/>
      <c r="K605" s="1346"/>
      <c r="L605" s="1346"/>
      <c r="M605"/>
      <c r="N605"/>
      <c r="O605" s="33" t="s">
        <v>205</v>
      </c>
      <c r="P605" s="1437"/>
      <c r="Q605" s="1437"/>
      <c r="R605" s="1437"/>
      <c r="S605"/>
      <c r="T605" s="22"/>
      <c r="U605" t="s">
        <v>315</v>
      </c>
      <c r="V605"/>
      <c r="W605"/>
      <c r="X605"/>
      <c r="Y605"/>
      <c r="Z605" s="1346"/>
      <c r="AA605" s="1346"/>
      <c r="AB605" s="1346"/>
      <c r="AC605" s="1346"/>
      <c r="AD605" s="1346"/>
      <c r="AE605" s="1346"/>
      <c r="AF605"/>
      <c r="AG605"/>
      <c r="AH605" s="33" t="s">
        <v>205</v>
      </c>
      <c r="AI605" s="1437"/>
      <c r="AJ605" s="1437"/>
      <c r="AK605" s="1437"/>
      <c r="AL605"/>
      <c r="AM605"/>
      <c r="AN605"/>
      <c r="AO605"/>
      <c r="AP605"/>
      <c r="AQ605"/>
      <c r="AR605"/>
      <c r="AS605"/>
      <c r="AT605"/>
      <c r="AU605"/>
      <c r="AV605"/>
      <c r="AW605"/>
      <c r="AX605"/>
      <c r="AY605"/>
      <c r="AZ605" s="3"/>
      <c r="BA605" s="3"/>
      <c r="BB605" s="3"/>
      <c r="BC605" s="3"/>
    </row>
    <row r="606" spans="1:55" s="4" customFormat="1" ht="12.95" customHeight="1">
      <c r="A606" s="22"/>
      <c r="B606" t="s">
        <v>18</v>
      </c>
      <c r="C606"/>
      <c r="D606"/>
      <c r="E606"/>
      <c r="F606"/>
      <c r="G606"/>
      <c r="H606" s="1371"/>
      <c r="I606" s="1371"/>
      <c r="J606" s="1371"/>
      <c r="K606" s="1371"/>
      <c r="L606" s="1371"/>
      <c r="M606" s="1371"/>
      <c r="N606" s="1371"/>
      <c r="O606" s="1371"/>
      <c r="P606" s="1371"/>
      <c r="Q606" s="1371"/>
      <c r="R606" s="1371"/>
      <c r="S606"/>
      <c r="T606" s="22"/>
      <c r="U606" t="s">
        <v>18</v>
      </c>
      <c r="V606"/>
      <c r="W606"/>
      <c r="X606"/>
      <c r="Y606"/>
      <c r="Z606"/>
      <c r="AA606" s="1371"/>
      <c r="AB606" s="1371"/>
      <c r="AC606" s="1371"/>
      <c r="AD606" s="1371"/>
      <c r="AE606" s="1371"/>
      <c r="AF606" s="1371"/>
      <c r="AG606" s="1371"/>
      <c r="AH606" s="1371"/>
      <c r="AI606" s="1371"/>
      <c r="AJ606" s="1371"/>
      <c r="AK606" s="1371"/>
      <c r="AL606"/>
      <c r="AM606"/>
      <c r="AN606"/>
      <c r="AO606"/>
      <c r="AP606"/>
      <c r="AQ606"/>
      <c r="AR606"/>
      <c r="AS606"/>
      <c r="AT606"/>
      <c r="AU606"/>
      <c r="AV606"/>
      <c r="AW606"/>
      <c r="AX606"/>
      <c r="AY606"/>
      <c r="AZ606" s="3"/>
      <c r="BA606" s="3"/>
      <c r="BB606" s="3"/>
      <c r="BC606" s="3"/>
    </row>
    <row r="607" spans="1:55" s="4" customFormat="1" ht="12.95" customHeight="1">
      <c r="A607" s="22"/>
      <c r="B607" t="s">
        <v>20</v>
      </c>
      <c r="C607"/>
      <c r="D607"/>
      <c r="E607"/>
      <c r="F607"/>
      <c r="G607"/>
      <c r="H607"/>
      <c r="I607"/>
      <c r="J607"/>
      <c r="K607"/>
      <c r="L607"/>
      <c r="M607"/>
      <c r="N607" s="1332" t="s">
        <v>669</v>
      </c>
      <c r="O607" s="1332"/>
      <c r="P607"/>
      <c r="Q607"/>
      <c r="R607"/>
      <c r="S607"/>
      <c r="T607" s="22"/>
      <c r="U607" t="s">
        <v>20</v>
      </c>
      <c r="V607"/>
      <c r="W607"/>
      <c r="X607"/>
      <c r="Y607"/>
      <c r="Z607"/>
      <c r="AA607"/>
      <c r="AB607"/>
      <c r="AC607"/>
      <c r="AD607"/>
      <c r="AE607"/>
      <c r="AF607"/>
      <c r="AG607" s="1332" t="s">
        <v>669</v>
      </c>
      <c r="AH607" s="1332"/>
      <c r="AI607"/>
      <c r="AJ607"/>
      <c r="AK607"/>
      <c r="AL607"/>
      <c r="AM607"/>
      <c r="AN607"/>
      <c r="AO607"/>
      <c r="AP607"/>
      <c r="AQ607"/>
      <c r="AR607"/>
      <c r="AS607"/>
      <c r="AT607"/>
      <c r="AU607"/>
      <c r="AV607"/>
      <c r="AW607"/>
      <c r="AX607"/>
      <c r="AY607"/>
      <c r="AZ607" s="3"/>
      <c r="BA607" s="3"/>
      <c r="BB607" s="3"/>
      <c r="BC607" s="3"/>
    </row>
    <row r="608" spans="1:55" ht="12.95" customHeight="1">
      <c r="A608" s="22"/>
      <c r="T608" s="22"/>
      <c r="AZ608" s="3"/>
      <c r="BA608" s="3"/>
      <c r="BB608" s="3"/>
      <c r="BC608" s="3"/>
    </row>
    <row r="609" spans="1:55" ht="12.95" customHeight="1">
      <c r="A609" s="55" t="s">
        <v>361</v>
      </c>
      <c r="B609" t="s">
        <v>463</v>
      </c>
      <c r="G609" s="1358">
        <f>C564</f>
        <v>0</v>
      </c>
      <c r="H609" s="1358"/>
      <c r="I609" s="1358"/>
      <c r="J609" s="1358"/>
      <c r="K609" s="1358"/>
      <c r="L609" s="1358"/>
      <c r="M609" s="1358"/>
      <c r="N609" s="1358"/>
      <c r="O609" s="1358"/>
      <c r="P609" s="1358"/>
      <c r="Q609" s="1358"/>
      <c r="R609" s="1358"/>
      <c r="T609" s="55" t="s">
        <v>362</v>
      </c>
      <c r="U609" t="s">
        <v>463</v>
      </c>
      <c r="Z609" s="1358">
        <f>C565</f>
        <v>0</v>
      </c>
      <c r="AA609" s="1358"/>
      <c r="AB609" s="1358"/>
      <c r="AC609" s="1358"/>
      <c r="AD609" s="1358"/>
      <c r="AE609" s="1358"/>
      <c r="AF609" s="1358"/>
      <c r="AG609" s="1358"/>
      <c r="AH609" s="1358"/>
      <c r="AI609" s="1358"/>
      <c r="AJ609" s="1358"/>
      <c r="AK609" s="1358"/>
      <c r="AZ609" s="3"/>
      <c r="BA609" s="3"/>
      <c r="BB609" s="3"/>
      <c r="BC609" s="3"/>
    </row>
    <row r="610" spans="1:55" ht="12.95" customHeight="1">
      <c r="B610" t="s">
        <v>85</v>
      </c>
      <c r="G610" s="1371"/>
      <c r="H610" s="1371"/>
      <c r="I610" s="1371"/>
      <c r="J610" s="1371"/>
      <c r="K610" s="1371"/>
      <c r="L610" s="1371"/>
      <c r="M610" s="1371"/>
      <c r="N610" s="1371"/>
      <c r="O610" s="1371"/>
      <c r="P610" s="1371"/>
      <c r="Q610" s="1371"/>
      <c r="R610" s="1371"/>
      <c r="U610" t="s">
        <v>85</v>
      </c>
      <c r="Z610" s="1371"/>
      <c r="AA610" s="1371"/>
      <c r="AB610" s="1371"/>
      <c r="AC610" s="1371"/>
      <c r="AD610" s="1371"/>
      <c r="AE610" s="1371"/>
      <c r="AF610" s="1371"/>
      <c r="AG610" s="1371"/>
      <c r="AH610" s="1371"/>
      <c r="AI610" s="1371"/>
      <c r="AJ610" s="1371"/>
      <c r="AK610" s="1371"/>
      <c r="AZ610" s="3"/>
      <c r="BA610" s="3"/>
      <c r="BB610" s="3"/>
      <c r="BC610" s="3"/>
    </row>
    <row r="611" spans="1:55" ht="12.95" customHeight="1">
      <c r="B611" t="s">
        <v>580</v>
      </c>
      <c r="G611" s="1371"/>
      <c r="H611" s="1371"/>
      <c r="I611" s="1371"/>
      <c r="J611" s="1371"/>
      <c r="K611" s="1371"/>
      <c r="L611" s="1371"/>
      <c r="M611" s="1371"/>
      <c r="N611" s="1371"/>
      <c r="O611" s="1371"/>
      <c r="P611" s="1371"/>
      <c r="Q611" s="1371"/>
      <c r="R611" s="1371"/>
      <c r="U611" t="s">
        <v>580</v>
      </c>
      <c r="Z611" s="1348"/>
      <c r="AA611" s="1348"/>
      <c r="AB611" s="1348"/>
      <c r="AC611" s="1348"/>
      <c r="AD611" s="1348"/>
      <c r="AE611" s="1348"/>
      <c r="AF611" s="1348"/>
      <c r="AG611" s="1348"/>
      <c r="AH611" s="1348"/>
      <c r="AI611" s="1348"/>
      <c r="AJ611" s="1348"/>
      <c r="AK611" s="1348"/>
      <c r="AZ611" s="3"/>
      <c r="BA611" s="3"/>
      <c r="BB611" s="3"/>
      <c r="BC611" s="3"/>
    </row>
    <row r="612" spans="1:55" ht="12.95" customHeight="1">
      <c r="B612" t="s">
        <v>17</v>
      </c>
      <c r="G612" s="1371"/>
      <c r="H612" s="1371"/>
      <c r="I612" s="1371"/>
      <c r="J612" s="1371"/>
      <c r="K612" s="1371"/>
      <c r="L612" s="1371"/>
      <c r="M612" s="1371"/>
      <c r="N612" s="1371"/>
      <c r="O612" s="1371"/>
      <c r="P612" s="1371"/>
      <c r="Q612" s="1371"/>
      <c r="R612" s="1371"/>
      <c r="U612" t="s">
        <v>17</v>
      </c>
      <c r="Z612" s="1348"/>
      <c r="AA612" s="1348"/>
      <c r="AB612" s="1348"/>
      <c r="AC612" s="1348"/>
      <c r="AD612" s="1348"/>
      <c r="AE612" s="1348"/>
      <c r="AF612" s="1348"/>
      <c r="AG612" s="1348"/>
      <c r="AH612" s="1348"/>
      <c r="AI612" s="1348"/>
      <c r="AJ612" s="1348"/>
      <c r="AK612" s="1348"/>
      <c r="AZ612" s="3"/>
      <c r="BA612" s="3"/>
      <c r="BB612" s="3"/>
      <c r="BC612" s="3"/>
    </row>
    <row r="613" spans="1:55" ht="12.95" customHeight="1">
      <c r="B613" t="s">
        <v>315</v>
      </c>
      <c r="G613" s="1346"/>
      <c r="H613" s="1346"/>
      <c r="I613" s="1346"/>
      <c r="J613" s="1346"/>
      <c r="K613" s="1346"/>
      <c r="L613" s="1346"/>
      <c r="O613" s="33" t="s">
        <v>205</v>
      </c>
      <c r="P613" s="1437"/>
      <c r="Q613" s="1437"/>
      <c r="R613" s="1437"/>
      <c r="U613" t="s">
        <v>315</v>
      </c>
      <c r="Z613" s="1346"/>
      <c r="AA613" s="1346"/>
      <c r="AB613" s="1346"/>
      <c r="AC613" s="1346"/>
      <c r="AD613" s="1346"/>
      <c r="AE613" s="1346"/>
      <c r="AH613" s="33" t="s">
        <v>205</v>
      </c>
      <c r="AI613" s="1437"/>
      <c r="AJ613" s="1437"/>
      <c r="AK613" s="1437"/>
      <c r="AZ613" s="3"/>
      <c r="BA613" s="3"/>
      <c r="BB613" s="3"/>
      <c r="BC613" s="3"/>
    </row>
    <row r="614" spans="1:55" ht="12.95" customHeight="1">
      <c r="B614" t="s">
        <v>18</v>
      </c>
      <c r="H614" s="1371"/>
      <c r="I614" s="1371"/>
      <c r="J614" s="1371"/>
      <c r="K614" s="1371"/>
      <c r="L614" s="1371"/>
      <c r="M614" s="1371"/>
      <c r="N614" s="1371"/>
      <c r="O614" s="1371"/>
      <c r="P614" s="1371"/>
      <c r="Q614" s="1371"/>
      <c r="R614" s="1371"/>
      <c r="U614" t="s">
        <v>18</v>
      </c>
      <c r="AA614" s="1371"/>
      <c r="AB614" s="1371"/>
      <c r="AC614" s="1371"/>
      <c r="AD614" s="1371"/>
      <c r="AE614" s="1371"/>
      <c r="AF614" s="1371"/>
      <c r="AG614" s="1371"/>
      <c r="AH614" s="1371"/>
      <c r="AI614" s="1371"/>
      <c r="AJ614" s="1371"/>
      <c r="AK614" s="1371"/>
      <c r="AU614" s="899"/>
      <c r="AV614" s="899"/>
      <c r="AW614" s="899"/>
      <c r="AX614" s="899"/>
      <c r="AY614" s="899"/>
      <c r="AZ614" s="3"/>
      <c r="BA614" s="3"/>
      <c r="BB614" s="3"/>
      <c r="BC614" s="3"/>
    </row>
    <row r="615" spans="1:55" ht="12.95" customHeight="1">
      <c r="B615" t="s">
        <v>20</v>
      </c>
      <c r="N615" s="1332" t="s">
        <v>669</v>
      </c>
      <c r="O615" s="1332"/>
      <c r="U615" t="s">
        <v>20</v>
      </c>
      <c r="AG615" s="1332" t="s">
        <v>669</v>
      </c>
      <c r="AH615" s="1332"/>
      <c r="AU615" s="899"/>
      <c r="AV615" s="899"/>
      <c r="AW615" s="899"/>
      <c r="AX615" s="899"/>
      <c r="AY615" s="899"/>
      <c r="AZ615" s="3"/>
      <c r="BA615" s="3"/>
      <c r="BB615" s="3"/>
      <c r="BC615" s="3"/>
    </row>
    <row r="616" spans="1:55" ht="12.95" customHeight="1">
      <c r="AZ616" s="3"/>
      <c r="BA616" s="3"/>
      <c r="BB616" s="3"/>
      <c r="BC616" s="3"/>
    </row>
    <row r="617" spans="1:55" ht="12.95" customHeight="1">
      <c r="A617" s="1260" t="s">
        <v>544</v>
      </c>
      <c r="B617" s="1260"/>
      <c r="C617" s="1260"/>
      <c r="D617" s="1260"/>
      <c r="E617" s="1260"/>
      <c r="F617" s="1260"/>
      <c r="G617" s="1260"/>
      <c r="H617" s="1260"/>
      <c r="I617" s="1260"/>
      <c r="J617" s="1260"/>
      <c r="K617" s="1260"/>
      <c r="L617" s="1260"/>
      <c r="M617" s="1260"/>
      <c r="N617" s="1260"/>
      <c r="O617" s="1260"/>
      <c r="P617" s="1260"/>
      <c r="Q617" s="1260"/>
      <c r="R617" s="1260"/>
      <c r="S617" s="1260"/>
      <c r="T617" s="1260"/>
      <c r="U617" s="1260"/>
      <c r="V617" s="1260"/>
      <c r="W617" s="1260"/>
      <c r="X617" s="1260"/>
      <c r="Y617" s="1260"/>
      <c r="Z617" s="1260"/>
      <c r="AA617" s="1260"/>
      <c r="AB617" s="1260"/>
      <c r="AC617" s="1260"/>
      <c r="AD617" s="1260"/>
      <c r="AE617" s="1260"/>
      <c r="AF617" s="1260"/>
      <c r="AG617" s="1260"/>
      <c r="AH617" s="1260"/>
      <c r="AI617" s="1260"/>
      <c r="AJ617" s="1260"/>
      <c r="AK617" s="1260"/>
      <c r="AL617" s="1260"/>
      <c r="AM617" s="1260"/>
      <c r="AN617" s="1260"/>
      <c r="AO617" s="1260"/>
      <c r="AP617" s="1260"/>
      <c r="AQ617" s="1260"/>
      <c r="AR617" s="1260"/>
      <c r="AS617" s="1260"/>
      <c r="AT617" s="1260"/>
      <c r="AZ617" s="3"/>
      <c r="BA617" s="3"/>
      <c r="BB617" s="3"/>
      <c r="BC617" s="3"/>
    </row>
    <row r="618" spans="1:55" ht="12.95" customHeight="1">
      <c r="A618" s="1260"/>
      <c r="B618" s="1260"/>
      <c r="C618" s="1260"/>
      <c r="D618" s="1260"/>
      <c r="E618" s="1260"/>
      <c r="F618" s="1260"/>
      <c r="G618" s="1260"/>
      <c r="H618" s="1260"/>
      <c r="I618" s="1260"/>
      <c r="J618" s="1260"/>
      <c r="K618" s="1260"/>
      <c r="L618" s="1260"/>
      <c r="M618" s="1260"/>
      <c r="N618" s="1260"/>
      <c r="O618" s="1260"/>
      <c r="P618" s="1260"/>
      <c r="Q618" s="1260"/>
      <c r="R618" s="1260"/>
      <c r="S618" s="1260"/>
      <c r="T618" s="1260"/>
      <c r="U618" s="1260"/>
      <c r="V618" s="1260"/>
      <c r="W618" s="1260"/>
      <c r="X618" s="1260"/>
      <c r="Y618" s="1260"/>
      <c r="Z618" s="1260"/>
      <c r="AA618" s="1260"/>
      <c r="AB618" s="1260"/>
      <c r="AC618" s="1260"/>
      <c r="AD618" s="1260"/>
      <c r="AE618" s="1260"/>
      <c r="AF618" s="1260"/>
      <c r="AG618" s="1260"/>
      <c r="AH618" s="1260"/>
      <c r="AI618" s="1260"/>
      <c r="AJ618" s="1260"/>
      <c r="AK618" s="1260"/>
      <c r="AL618" s="1260"/>
      <c r="AM618" s="1260"/>
      <c r="AN618" s="1260"/>
      <c r="AO618" s="1260"/>
      <c r="AP618" s="1260"/>
      <c r="AQ618" s="1260"/>
      <c r="AR618" s="1260"/>
      <c r="AS618" s="1260"/>
      <c r="AT618" s="1260"/>
      <c r="AZ618" s="3"/>
      <c r="BA618" s="3"/>
      <c r="BB618" s="3"/>
      <c r="BC618" s="3"/>
    </row>
    <row r="619" spans="1:55" ht="12.95" customHeight="1">
      <c r="AZ619" s="3"/>
      <c r="BA619" s="3"/>
      <c r="BB619" s="3"/>
      <c r="BC619" s="3"/>
    </row>
    <row r="620" spans="1:55" ht="12.95" customHeight="1">
      <c r="A620" s="2" t="s">
        <v>318</v>
      </c>
      <c r="B620" s="2"/>
      <c r="C620" s="2" t="s">
        <v>21</v>
      </c>
      <c r="AZ620" s="3"/>
      <c r="BA620" s="3"/>
      <c r="BB620" s="3"/>
      <c r="BC620" s="3"/>
    </row>
    <row r="621" spans="1:55" ht="12.95" customHeight="1">
      <c r="A621" s="2"/>
      <c r="B621" s="2"/>
      <c r="C621" s="2"/>
      <c r="AZ621" s="3"/>
      <c r="BA621" s="3"/>
      <c r="BB621" s="3"/>
      <c r="BC621" s="3"/>
    </row>
    <row r="622" spans="1:55" ht="12.95" customHeight="1">
      <c r="C622" s="2" t="s">
        <v>2101</v>
      </c>
      <c r="AZ622" s="3"/>
      <c r="BA622" s="3"/>
      <c r="BB622" s="3"/>
      <c r="BC622" s="3"/>
    </row>
    <row r="623" spans="1:55" ht="12.95" customHeight="1">
      <c r="B623" s="512"/>
      <c r="C623" s="2"/>
      <c r="AU623" s="3"/>
      <c r="AZ623" s="3"/>
      <c r="BA623" s="3"/>
      <c r="BB623" s="3"/>
      <c r="BC623" s="3"/>
    </row>
    <row r="624" spans="1:55" ht="12.95" customHeight="1">
      <c r="B624" s="1700" t="s">
        <v>2103</v>
      </c>
      <c r="C624" s="1700"/>
      <c r="D624" s="1700"/>
      <c r="E624" s="1700"/>
      <c r="F624" s="1700"/>
      <c r="G624" s="1700"/>
      <c r="H624" s="1700"/>
      <c r="I624" s="1700"/>
      <c r="J624" s="1700"/>
      <c r="K624" s="1700"/>
      <c r="L624" s="1700"/>
      <c r="M624" s="1442" t="s">
        <v>2104</v>
      </c>
      <c r="N624" s="1442"/>
      <c r="O624" s="1442"/>
      <c r="P624" s="1442"/>
      <c r="Q624" s="1442" t="s">
        <v>1853</v>
      </c>
      <c r="R624" s="1442"/>
      <c r="S624" s="1442"/>
      <c r="T624" s="1442" t="s">
        <v>1851</v>
      </c>
      <c r="U624" s="1442"/>
      <c r="V624" s="1442"/>
      <c r="W624" s="1701" t="s">
        <v>453</v>
      </c>
      <c r="X624" s="1701"/>
      <c r="Y624" s="1701"/>
      <c r="Z624" s="1431" t="s">
        <v>2133</v>
      </c>
      <c r="AA624" s="1431"/>
      <c r="AB624" s="1432"/>
      <c r="AC624" s="1682" t="s">
        <v>1676</v>
      </c>
      <c r="AD624" s="1683"/>
      <c r="AE624" s="1684"/>
      <c r="AF624" s="1672" t="s">
        <v>1931</v>
      </c>
      <c r="AG624" s="1431"/>
      <c r="AH624" s="1431"/>
      <c r="AI624" s="1431"/>
      <c r="AJ624" s="1432"/>
      <c r="AK624" s="1733" t="s">
        <v>1932</v>
      </c>
      <c r="AL624" s="1734"/>
      <c r="AM624" s="1734"/>
      <c r="AN624" s="1735"/>
      <c r="AO624" s="1442" t="s">
        <v>454</v>
      </c>
      <c r="AP624" s="1442"/>
      <c r="AQ624" s="1442"/>
      <c r="AR624" s="1442"/>
      <c r="AS624" s="1442"/>
      <c r="AU624" s="3"/>
      <c r="AZ624" s="3"/>
      <c r="BA624" s="3"/>
      <c r="BB624" s="3"/>
      <c r="BC624" s="3"/>
    </row>
    <row r="625" spans="2:157" ht="12.95" customHeight="1">
      <c r="B625" s="1700"/>
      <c r="C625" s="1700"/>
      <c r="D625" s="1700"/>
      <c r="E625" s="1700"/>
      <c r="F625" s="1700"/>
      <c r="G625" s="1700"/>
      <c r="H625" s="1700"/>
      <c r="I625" s="1700"/>
      <c r="J625" s="1700"/>
      <c r="K625" s="1700"/>
      <c r="L625" s="1700"/>
      <c r="M625" s="1442"/>
      <c r="N625" s="1442"/>
      <c r="O625" s="1442"/>
      <c r="P625" s="1442"/>
      <c r="Q625" s="1442"/>
      <c r="R625" s="1442"/>
      <c r="S625" s="1442"/>
      <c r="T625" s="1442"/>
      <c r="U625" s="1442"/>
      <c r="V625" s="1442"/>
      <c r="W625" s="1701"/>
      <c r="X625" s="1701"/>
      <c r="Y625" s="1701"/>
      <c r="Z625" s="1433"/>
      <c r="AA625" s="1433"/>
      <c r="AB625" s="1434"/>
      <c r="AC625" s="1685"/>
      <c r="AD625" s="1686"/>
      <c r="AE625" s="1687"/>
      <c r="AF625" s="1673"/>
      <c r="AG625" s="1433"/>
      <c r="AH625" s="1433"/>
      <c r="AI625" s="1433"/>
      <c r="AJ625" s="1434"/>
      <c r="AK625" s="1736"/>
      <c r="AL625" s="1737"/>
      <c r="AM625" s="1737"/>
      <c r="AN625" s="1738"/>
      <c r="AO625" s="1442"/>
      <c r="AP625" s="1442"/>
      <c r="AQ625" s="1442"/>
      <c r="AR625" s="1442"/>
      <c r="AS625" s="1442"/>
      <c r="AU625" s="3"/>
      <c r="AZ625" s="3"/>
      <c r="BA625" s="3"/>
      <c r="BB625" s="3"/>
      <c r="BC625" s="3"/>
      <c r="BD625" s="3"/>
    </row>
    <row r="626" spans="2:157" ht="12.95" customHeight="1">
      <c r="B626" s="1700"/>
      <c r="C626" s="1700"/>
      <c r="D626" s="1700"/>
      <c r="E626" s="1700"/>
      <c r="F626" s="1700"/>
      <c r="G626" s="1700"/>
      <c r="H626" s="1700"/>
      <c r="I626" s="1700"/>
      <c r="J626" s="1700"/>
      <c r="K626" s="1700"/>
      <c r="L626" s="1700"/>
      <c r="M626" s="1442"/>
      <c r="N626" s="1442"/>
      <c r="O626" s="1442"/>
      <c r="P626" s="1442"/>
      <c r="Q626" s="1442"/>
      <c r="R626" s="1442"/>
      <c r="S626" s="1442"/>
      <c r="T626" s="1442"/>
      <c r="U626" s="1442"/>
      <c r="V626" s="1442"/>
      <c r="W626" s="1701"/>
      <c r="X626" s="1701"/>
      <c r="Y626" s="1701"/>
      <c r="Z626" s="1435"/>
      <c r="AA626" s="1435"/>
      <c r="AB626" s="1436"/>
      <c r="AC626" s="1688"/>
      <c r="AD626" s="1689"/>
      <c r="AE626" s="1690"/>
      <c r="AF626" s="1674"/>
      <c r="AG626" s="1435"/>
      <c r="AH626" s="1435"/>
      <c r="AI626" s="1435"/>
      <c r="AJ626" s="1436"/>
      <c r="AK626" s="1739"/>
      <c r="AL626" s="1740"/>
      <c r="AM626" s="1740"/>
      <c r="AN626" s="1741"/>
      <c r="AO626" s="1442"/>
      <c r="AP626" s="1442"/>
      <c r="AQ626" s="1442"/>
      <c r="AR626" s="1442"/>
      <c r="AS626" s="1442"/>
      <c r="AT626" s="3"/>
      <c r="AU626" s="3"/>
      <c r="AZ626" s="3"/>
      <c r="BA626" s="3"/>
      <c r="BB626" s="3"/>
      <c r="BC626" s="3"/>
      <c r="BD626" s="3"/>
    </row>
    <row r="627" spans="2:157" ht="12.95" customHeight="1">
      <c r="B627" s="51" t="s">
        <v>112</v>
      </c>
      <c r="C627" s="1692" t="s">
        <v>2624</v>
      </c>
      <c r="D627" s="1692"/>
      <c r="E627" s="1692"/>
      <c r="F627" s="1692"/>
      <c r="G627" s="1692"/>
      <c r="H627" s="1692"/>
      <c r="I627" s="1692"/>
      <c r="J627" s="1692"/>
      <c r="K627" s="1692"/>
      <c r="L627" s="1692"/>
      <c r="M627" s="1618" t="s">
        <v>2114</v>
      </c>
      <c r="N627" s="1618"/>
      <c r="O627" s="1618"/>
      <c r="P627" s="1618"/>
      <c r="Q627" s="1426">
        <f>17*12</f>
        <v>204</v>
      </c>
      <c r="R627" s="1426"/>
      <c r="S627" s="1427"/>
      <c r="T627" s="1425">
        <f>40*12</f>
        <v>480</v>
      </c>
      <c r="U627" s="1426"/>
      <c r="V627" s="1427"/>
      <c r="W627" s="1438">
        <v>7.0400000000000004E-2</v>
      </c>
      <c r="X627" s="1439"/>
      <c r="Y627" s="1440"/>
      <c r="Z627" s="1478" t="s">
        <v>2132</v>
      </c>
      <c r="AA627" s="1479"/>
      <c r="AB627" s="1480"/>
      <c r="AC627" s="1446">
        <v>1</v>
      </c>
      <c r="AD627" s="1447"/>
      <c r="AE627" s="1448"/>
      <c r="AF627" s="1475">
        <f>-PMT(W627/12,T627,AO627)*12</f>
        <v>1338754.5581181864</v>
      </c>
      <c r="AG627" s="1476"/>
      <c r="AH627" s="1476"/>
      <c r="AI627" s="1476"/>
      <c r="AJ627" s="1477"/>
      <c r="AK627" s="1428"/>
      <c r="AL627" s="1429"/>
      <c r="AM627" s="1429"/>
      <c r="AN627" s="1430"/>
      <c r="AO627" s="1481">
        <v>17868964</v>
      </c>
      <c r="AP627" s="1481"/>
      <c r="AQ627" s="1481"/>
      <c r="AR627" s="1481"/>
      <c r="AS627" s="1481"/>
      <c r="AT627" s="3"/>
      <c r="AU627" s="3"/>
      <c r="AZ627" s="3"/>
      <c r="BA627" s="3"/>
      <c r="BB627" s="3"/>
      <c r="BC627" s="3"/>
      <c r="BD627" s="3"/>
    </row>
    <row r="628" spans="2:157" ht="12.95" customHeight="1">
      <c r="B628" s="52" t="s">
        <v>113</v>
      </c>
      <c r="C628" s="1692" t="s">
        <v>2417</v>
      </c>
      <c r="D628" s="1692"/>
      <c r="E628" s="1692"/>
      <c r="F628" s="1692"/>
      <c r="G628" s="1692"/>
      <c r="H628" s="1692"/>
      <c r="I628" s="1692"/>
      <c r="J628" s="1692"/>
      <c r="K628" s="1692"/>
      <c r="L628" s="1692"/>
      <c r="M628" s="1618" t="s">
        <v>2116</v>
      </c>
      <c r="N628" s="1618"/>
      <c r="O628" s="1618"/>
      <c r="P628" s="1618"/>
      <c r="Q628" s="1425">
        <v>660</v>
      </c>
      <c r="R628" s="1426"/>
      <c r="S628" s="1427"/>
      <c r="T628" s="1425">
        <v>660</v>
      </c>
      <c r="U628" s="1426"/>
      <c r="V628" s="1427"/>
      <c r="W628" s="1438">
        <v>0.03</v>
      </c>
      <c r="X628" s="1439"/>
      <c r="Y628" s="1440"/>
      <c r="Z628" s="1478" t="s">
        <v>457</v>
      </c>
      <c r="AA628" s="1479"/>
      <c r="AB628" s="1480"/>
      <c r="AC628" s="1446">
        <v>2</v>
      </c>
      <c r="AD628" s="1447"/>
      <c r="AE628" s="1448"/>
      <c r="AF628" s="1475">
        <f>'15 Year Pro Forma'!E66</f>
        <v>44959.885470453417</v>
      </c>
      <c r="AG628" s="1476"/>
      <c r="AH628" s="1476"/>
      <c r="AI628" s="1476"/>
      <c r="AJ628" s="1477"/>
      <c r="AK628" s="1428"/>
      <c r="AL628" s="1429"/>
      <c r="AM628" s="1429"/>
      <c r="AN628" s="1430"/>
      <c r="AO628" s="1466">
        <v>4000000</v>
      </c>
      <c r="AP628" s="1467"/>
      <c r="AQ628" s="1467"/>
      <c r="AR628" s="1467"/>
      <c r="AS628" s="1468"/>
      <c r="AT628" s="1148" t="str">
        <f>IF(AND(NOT(C627=""),C628="",NOT(C629="")),"!","")</f>
        <v/>
      </c>
      <c r="AU628" s="3"/>
      <c r="AZ628" s="3"/>
      <c r="BA628" s="3"/>
      <c r="BB628" s="3"/>
      <c r="BC628" s="3"/>
      <c r="BD628" s="3"/>
    </row>
    <row r="629" spans="2:157" ht="12.95" customHeight="1">
      <c r="B629" s="52" t="s">
        <v>119</v>
      </c>
      <c r="C629" s="1692" t="s">
        <v>2612</v>
      </c>
      <c r="D629" s="1692"/>
      <c r="E629" s="1692"/>
      <c r="F629" s="1692"/>
      <c r="G629" s="1692"/>
      <c r="H629" s="1692"/>
      <c r="I629" s="1692"/>
      <c r="J629" s="1692"/>
      <c r="K629" s="1692"/>
      <c r="L629" s="1692"/>
      <c r="M629" s="1618" t="s">
        <v>2116</v>
      </c>
      <c r="N629" s="1618"/>
      <c r="O629" s="1618"/>
      <c r="P629" s="1618"/>
      <c r="Q629" s="1425">
        <v>660</v>
      </c>
      <c r="R629" s="1426"/>
      <c r="S629" s="1427"/>
      <c r="T629" s="1425">
        <v>660</v>
      </c>
      <c r="U629" s="1426"/>
      <c r="V629" s="1427"/>
      <c r="W629" s="1438">
        <v>0.03</v>
      </c>
      <c r="X629" s="1439"/>
      <c r="Y629" s="1440"/>
      <c r="Z629" s="1478" t="s">
        <v>457</v>
      </c>
      <c r="AA629" s="1479"/>
      <c r="AB629" s="1480"/>
      <c r="AC629" s="1446"/>
      <c r="AD629" s="1447"/>
      <c r="AE629" s="1448"/>
      <c r="AF629" s="1475"/>
      <c r="AG629" s="1476"/>
      <c r="AH629" s="1476"/>
      <c r="AI629" s="1476"/>
      <c r="AJ629" s="1477"/>
      <c r="AK629" s="1428"/>
      <c r="AL629" s="1429"/>
      <c r="AM629" s="1429"/>
      <c r="AN629" s="1430"/>
      <c r="AO629" s="1466">
        <v>762535</v>
      </c>
      <c r="AP629" s="1467"/>
      <c r="AQ629" s="1467"/>
      <c r="AR629" s="1467"/>
      <c r="AS629" s="1468"/>
      <c r="AT629" s="1148" t="str">
        <f t="shared" ref="AT629:AT638" si="1">IF(AND(NOT(C628=""),C629="",NOT(C630="")),"!","")</f>
        <v/>
      </c>
      <c r="AU629" s="3"/>
      <c r="AZ629" s="3"/>
      <c r="BA629" s="3"/>
      <c r="BB629" s="3"/>
      <c r="BC629" s="3"/>
      <c r="BD629" s="3"/>
    </row>
    <row r="630" spans="2:157" ht="12.95" customHeight="1">
      <c r="B630" s="52" t="s">
        <v>581</v>
      </c>
      <c r="C630" s="1692" t="s">
        <v>2721</v>
      </c>
      <c r="D630" s="1347"/>
      <c r="E630" s="1347"/>
      <c r="F630" s="1347"/>
      <c r="G630" s="1347"/>
      <c r="H630" s="1347"/>
      <c r="I630" s="1347"/>
      <c r="J630" s="1347"/>
      <c r="K630" s="1347"/>
      <c r="L630" s="1347"/>
      <c r="M630" s="1618" t="s">
        <v>2111</v>
      </c>
      <c r="N630" s="1618"/>
      <c r="O630" s="1618"/>
      <c r="P630" s="1618"/>
      <c r="Q630" s="1425"/>
      <c r="R630" s="1426"/>
      <c r="S630" s="1427"/>
      <c r="T630" s="1425"/>
      <c r="U630" s="1426"/>
      <c r="V630" s="1427"/>
      <c r="W630" s="1438"/>
      <c r="X630" s="1439"/>
      <c r="Y630" s="1440"/>
      <c r="Z630" s="1478" t="s">
        <v>1184</v>
      </c>
      <c r="AA630" s="1479"/>
      <c r="AB630" s="1480"/>
      <c r="AC630" s="1446"/>
      <c r="AD630" s="1447"/>
      <c r="AE630" s="1448"/>
      <c r="AF630" s="1475"/>
      <c r="AG630" s="1476"/>
      <c r="AH630" s="1476"/>
      <c r="AI630" s="1476"/>
      <c r="AJ630" s="1477"/>
      <c r="AK630" s="1428"/>
      <c r="AL630" s="1429"/>
      <c r="AM630" s="1429"/>
      <c r="AN630" s="1430"/>
      <c r="AO630" s="1466">
        <v>423258</v>
      </c>
      <c r="AP630" s="1467"/>
      <c r="AQ630" s="1467"/>
      <c r="AR630" s="1467"/>
      <c r="AS630" s="1468"/>
      <c r="AT630" s="1148" t="str">
        <f t="shared" si="1"/>
        <v/>
      </c>
      <c r="AU630" s="3"/>
      <c r="AZ630" s="3"/>
      <c r="BA630" s="3"/>
      <c r="BB630" s="3"/>
      <c r="BC630" s="3"/>
      <c r="BD630" s="3"/>
    </row>
    <row r="631" spans="2:157" ht="12.95" customHeight="1">
      <c r="B631" s="52" t="s">
        <v>763</v>
      </c>
      <c r="C631" s="1692" t="s">
        <v>2753</v>
      </c>
      <c r="D631" s="1347"/>
      <c r="E631" s="1347"/>
      <c r="F631" s="1347"/>
      <c r="G631" s="1347"/>
      <c r="H631" s="1347"/>
      <c r="I631" s="1347"/>
      <c r="J631" s="1347"/>
      <c r="K631" s="1347"/>
      <c r="L631" s="1347"/>
      <c r="M631" s="1618" t="s">
        <v>2107</v>
      </c>
      <c r="N631" s="1618"/>
      <c r="O631" s="1618"/>
      <c r="P631" s="1618"/>
      <c r="Q631" s="1425"/>
      <c r="R631" s="1426"/>
      <c r="S631" s="1427"/>
      <c r="T631" s="1425"/>
      <c r="U631" s="1426"/>
      <c r="V631" s="1427"/>
      <c r="W631" s="1438"/>
      <c r="X631" s="1439"/>
      <c r="Y631" s="1440"/>
      <c r="Z631" s="1478" t="s">
        <v>1184</v>
      </c>
      <c r="AA631" s="1479"/>
      <c r="AB631" s="1480"/>
      <c r="AC631" s="1446"/>
      <c r="AD631" s="1447"/>
      <c r="AE631" s="1448"/>
      <c r="AF631" s="1475"/>
      <c r="AG631" s="1476"/>
      <c r="AH631" s="1476"/>
      <c r="AI631" s="1476"/>
      <c r="AJ631" s="1477"/>
      <c r="AK631" s="1428"/>
      <c r="AL631" s="1429"/>
      <c r="AM631" s="1429"/>
      <c r="AN631" s="1430"/>
      <c r="AO631" s="1466">
        <v>4982063</v>
      </c>
      <c r="AP631" s="1467"/>
      <c r="AQ631" s="1467"/>
      <c r="AR631" s="1467"/>
      <c r="AS631" s="1468"/>
      <c r="AT631" s="1148" t="str">
        <f t="shared" si="1"/>
        <v/>
      </c>
      <c r="AU631" s="3"/>
      <c r="AZ631" s="3"/>
      <c r="BA631" s="3"/>
      <c r="BB631" s="3"/>
      <c r="BC631" s="3"/>
      <c r="BD631" s="3"/>
    </row>
    <row r="632" spans="2:157" ht="12.95" customHeight="1">
      <c r="B632" s="52" t="s">
        <v>584</v>
      </c>
      <c r="C632" s="1347"/>
      <c r="D632" s="1347"/>
      <c r="E632" s="1347"/>
      <c r="F632" s="1347"/>
      <c r="G632" s="1347"/>
      <c r="H632" s="1347"/>
      <c r="I632" s="1347"/>
      <c r="J632" s="1347"/>
      <c r="K632" s="1347"/>
      <c r="L632" s="1347"/>
      <c r="M632" s="1618" t="s">
        <v>1184</v>
      </c>
      <c r="N632" s="1618"/>
      <c r="O632" s="1618"/>
      <c r="P632" s="1618"/>
      <c r="Q632" s="1425"/>
      <c r="R632" s="1426"/>
      <c r="S632" s="1427"/>
      <c r="T632" s="1425"/>
      <c r="U632" s="1426"/>
      <c r="V632" s="1427"/>
      <c r="W632" s="1438"/>
      <c r="X632" s="1439"/>
      <c r="Y632" s="1440"/>
      <c r="Z632" s="1478" t="s">
        <v>1184</v>
      </c>
      <c r="AA632" s="1479"/>
      <c r="AB632" s="1480"/>
      <c r="AC632" s="1446"/>
      <c r="AD632" s="1447"/>
      <c r="AE632" s="1448"/>
      <c r="AF632" s="1475"/>
      <c r="AG632" s="1476"/>
      <c r="AH632" s="1476"/>
      <c r="AI632" s="1476"/>
      <c r="AJ632" s="1477"/>
      <c r="AK632" s="1428"/>
      <c r="AL632" s="1429"/>
      <c r="AM632" s="1429"/>
      <c r="AN632" s="1430"/>
      <c r="AO632" s="1466"/>
      <c r="AP632" s="1467"/>
      <c r="AQ632" s="1467"/>
      <c r="AR632" s="1467"/>
      <c r="AS632" s="1468"/>
      <c r="AT632" s="1148" t="str">
        <f t="shared" si="1"/>
        <v/>
      </c>
      <c r="AU632" s="3"/>
      <c r="AZ632" s="3"/>
      <c r="BA632" s="3"/>
      <c r="BB632" s="3"/>
      <c r="BC632" s="3"/>
      <c r="BD632" s="3"/>
    </row>
    <row r="633" spans="2:157" ht="12.95" customHeight="1">
      <c r="B633" s="52" t="s">
        <v>455</v>
      </c>
      <c r="C633" s="1347"/>
      <c r="D633" s="1347"/>
      <c r="E633" s="1347"/>
      <c r="F633" s="1347"/>
      <c r="G633" s="1347"/>
      <c r="H633" s="1347"/>
      <c r="I633" s="1347"/>
      <c r="J633" s="1347"/>
      <c r="K633" s="1347"/>
      <c r="L633" s="1347"/>
      <c r="M633" s="1618" t="s">
        <v>1184</v>
      </c>
      <c r="N633" s="1618"/>
      <c r="O633" s="1618"/>
      <c r="P633" s="1618"/>
      <c r="Q633" s="1425"/>
      <c r="R633" s="1426"/>
      <c r="S633" s="1427"/>
      <c r="T633" s="1425"/>
      <c r="U633" s="1426"/>
      <c r="V633" s="1427"/>
      <c r="W633" s="1438"/>
      <c r="X633" s="1439"/>
      <c r="Y633" s="1440"/>
      <c r="Z633" s="1478" t="s">
        <v>1184</v>
      </c>
      <c r="AA633" s="1479"/>
      <c r="AB633" s="1480"/>
      <c r="AC633" s="1446"/>
      <c r="AD633" s="1447"/>
      <c r="AE633" s="1448"/>
      <c r="AF633" s="1475"/>
      <c r="AG633" s="1476"/>
      <c r="AH633" s="1476"/>
      <c r="AI633" s="1476"/>
      <c r="AJ633" s="1477"/>
      <c r="AK633" s="1428"/>
      <c r="AL633" s="1429"/>
      <c r="AM633" s="1429"/>
      <c r="AN633" s="1430"/>
      <c r="AO633" s="1466"/>
      <c r="AP633" s="1467"/>
      <c r="AQ633" s="1467"/>
      <c r="AR633" s="1467"/>
      <c r="AS633" s="1468"/>
      <c r="AT633" s="1148" t="str">
        <f t="shared" si="1"/>
        <v/>
      </c>
      <c r="AU633" s="3"/>
      <c r="AV633" s="3"/>
      <c r="AW633" s="3"/>
      <c r="AX633" s="3"/>
      <c r="AY633" s="3"/>
      <c r="AZ633" s="3"/>
      <c r="BA633" s="3"/>
      <c r="BB633" s="3"/>
      <c r="BC633" s="3"/>
      <c r="BD633" s="3"/>
    </row>
    <row r="634" spans="2:157" ht="12.95" customHeight="1">
      <c r="B634" s="52" t="s">
        <v>456</v>
      </c>
      <c r="C634" s="1347"/>
      <c r="D634" s="1347"/>
      <c r="E634" s="1347"/>
      <c r="F634" s="1347"/>
      <c r="G634" s="1347"/>
      <c r="H634" s="1347"/>
      <c r="I634" s="1347"/>
      <c r="J634" s="1347"/>
      <c r="K634" s="1347"/>
      <c r="L634" s="1347"/>
      <c r="M634" s="1618" t="s">
        <v>1184</v>
      </c>
      <c r="N634" s="1618"/>
      <c r="O634" s="1618"/>
      <c r="P634" s="1618"/>
      <c r="Q634" s="1425"/>
      <c r="R634" s="1426"/>
      <c r="S634" s="1427"/>
      <c r="T634" s="1425"/>
      <c r="U634" s="1426"/>
      <c r="V634" s="1427"/>
      <c r="W634" s="1438"/>
      <c r="X634" s="1439"/>
      <c r="Y634" s="1440"/>
      <c r="Z634" s="1478" t="s">
        <v>1184</v>
      </c>
      <c r="AA634" s="1479"/>
      <c r="AB634" s="1480"/>
      <c r="AC634" s="1446"/>
      <c r="AD634" s="1447"/>
      <c r="AE634" s="1448"/>
      <c r="AF634" s="1475"/>
      <c r="AG634" s="1476"/>
      <c r="AH634" s="1476"/>
      <c r="AI634" s="1476"/>
      <c r="AJ634" s="1477"/>
      <c r="AK634" s="1428"/>
      <c r="AL634" s="1429"/>
      <c r="AM634" s="1429"/>
      <c r="AN634" s="1430"/>
      <c r="AO634" s="1466"/>
      <c r="AP634" s="1467"/>
      <c r="AQ634" s="1467"/>
      <c r="AR634" s="1467"/>
      <c r="AS634" s="1468"/>
      <c r="AT634" s="1148" t="str">
        <f t="shared" si="1"/>
        <v/>
      </c>
      <c r="AU634" s="3"/>
      <c r="AV634" s="3"/>
      <c r="AW634" s="3"/>
      <c r="AX634" s="3"/>
      <c r="AY634" s="3"/>
      <c r="AZ634" s="3"/>
      <c r="BA634" s="3" t="s">
        <v>1184</v>
      </c>
      <c r="BB634" s="3"/>
      <c r="BC634" s="3"/>
      <c r="BD634" s="3"/>
    </row>
    <row r="635" spans="2:157" ht="12.95" customHeight="1">
      <c r="B635" s="52" t="s">
        <v>461</v>
      </c>
      <c r="C635" s="1347"/>
      <c r="D635" s="1347"/>
      <c r="E635" s="1347"/>
      <c r="F635" s="1347"/>
      <c r="G635" s="1347"/>
      <c r="H635" s="1347"/>
      <c r="I635" s="1347"/>
      <c r="J635" s="1347"/>
      <c r="K635" s="1347"/>
      <c r="L635" s="1347"/>
      <c r="M635" s="1618" t="s">
        <v>1184</v>
      </c>
      <c r="N635" s="1618"/>
      <c r="O635" s="1618"/>
      <c r="P635" s="1618"/>
      <c r="Q635" s="1425"/>
      <c r="R635" s="1426"/>
      <c r="S635" s="1427"/>
      <c r="T635" s="1425"/>
      <c r="U635" s="1426"/>
      <c r="V635" s="1427"/>
      <c r="W635" s="1438"/>
      <c r="X635" s="1439"/>
      <c r="Y635" s="1440"/>
      <c r="Z635" s="1478" t="s">
        <v>1184</v>
      </c>
      <c r="AA635" s="1479"/>
      <c r="AB635" s="1480"/>
      <c r="AC635" s="1446"/>
      <c r="AD635" s="1447"/>
      <c r="AE635" s="1448"/>
      <c r="AF635" s="1475"/>
      <c r="AG635" s="1476"/>
      <c r="AH635" s="1476"/>
      <c r="AI635" s="1476"/>
      <c r="AJ635" s="1477"/>
      <c r="AK635" s="1428"/>
      <c r="AL635" s="1429"/>
      <c r="AM635" s="1429"/>
      <c r="AN635" s="1430"/>
      <c r="AO635" s="1466"/>
      <c r="AP635" s="1467"/>
      <c r="AQ635" s="1467"/>
      <c r="AR635" s="1467"/>
      <c r="AS635" s="1468"/>
      <c r="AT635" s="1148" t="str">
        <f t="shared" si="1"/>
        <v/>
      </c>
      <c r="AU635" s="3"/>
      <c r="AV635" s="3"/>
      <c r="AW635" s="3"/>
      <c r="AX635" s="3"/>
      <c r="AY635" s="3"/>
      <c r="AZ635" s="34"/>
      <c r="BA635" s="3" t="s">
        <v>458</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445" t="e">
        <f t="shared" ref="DX635:DX669" si="2">EZ718*(CP718/$CP$753)</f>
        <v>#VALUE!</v>
      </c>
      <c r="DY635" s="1445"/>
      <c r="DZ635" s="1445"/>
      <c r="EA635" s="1445"/>
      <c r="EB635" s="1445"/>
      <c r="EC635" s="1445">
        <f t="shared" ref="EC635:EC669" si="3">FE718*(CU718/$CU$753)</f>
        <v>304.23076923076923</v>
      </c>
      <c r="ED635" s="1445"/>
      <c r="EE635" s="1445"/>
      <c r="EF635" s="1445"/>
      <c r="EG635" s="1445"/>
      <c r="EH635" s="1445" t="e">
        <f t="shared" ref="EH635:EH669" si="4">FJ718*(CZ718/$CZ$753)</f>
        <v>#VALUE!</v>
      </c>
      <c r="EI635" s="1445"/>
      <c r="EJ635" s="1445"/>
      <c r="EK635" s="1445"/>
      <c r="EL635" s="1445"/>
      <c r="EM635" s="1445" t="e">
        <f t="shared" ref="EM635:EM669" si="5">FO718*(DE718/$DE$753)</f>
        <v>#VALUE!</v>
      </c>
      <c r="EN635" s="1445"/>
      <c r="EO635" s="1445"/>
      <c r="EP635" s="1445"/>
      <c r="EQ635" s="1445"/>
      <c r="ER635" s="1445" t="e">
        <f t="shared" ref="ER635:ER669" si="6">FT718*(DJ718/$DJ$753)</f>
        <v>#VALUE!</v>
      </c>
      <c r="ES635" s="1445"/>
      <c r="ET635" s="1445"/>
      <c r="EU635" s="1445"/>
      <c r="EV635" s="1445"/>
      <c r="EW635" s="1445" t="e">
        <f t="shared" ref="EW635:EW669" si="7">FY718*(DO718/$DO$753)</f>
        <v>#VALUE!</v>
      </c>
      <c r="EX635" s="1445"/>
      <c r="EY635" s="1445"/>
      <c r="EZ635" s="1445"/>
      <c r="FA635" s="1445"/>
    </row>
    <row r="636" spans="2:157" ht="12.95" customHeight="1">
      <c r="B636" s="52" t="s">
        <v>646</v>
      </c>
      <c r="C636" s="1347"/>
      <c r="D636" s="1347"/>
      <c r="E636" s="1347"/>
      <c r="F636" s="1347"/>
      <c r="G636" s="1347"/>
      <c r="H636" s="1347"/>
      <c r="I636" s="1347"/>
      <c r="J636" s="1347"/>
      <c r="K636" s="1347"/>
      <c r="L636" s="1347"/>
      <c r="M636" s="1618" t="s">
        <v>1184</v>
      </c>
      <c r="N636" s="1618"/>
      <c r="O636" s="1618"/>
      <c r="P636" s="1618"/>
      <c r="Q636" s="1425"/>
      <c r="R636" s="1426"/>
      <c r="S636" s="1427"/>
      <c r="T636" s="1425"/>
      <c r="U636" s="1426"/>
      <c r="V636" s="1427"/>
      <c r="W636" s="1438"/>
      <c r="X636" s="1439"/>
      <c r="Y636" s="1440"/>
      <c r="Z636" s="1478" t="s">
        <v>1184</v>
      </c>
      <c r="AA636" s="1479"/>
      <c r="AB636" s="1480"/>
      <c r="AC636" s="1446"/>
      <c r="AD636" s="1447"/>
      <c r="AE636" s="1448"/>
      <c r="AF636" s="1475"/>
      <c r="AG636" s="1476"/>
      <c r="AH636" s="1476"/>
      <c r="AI636" s="1476"/>
      <c r="AJ636" s="1477"/>
      <c r="AK636" s="1428"/>
      <c r="AL636" s="1429"/>
      <c r="AM636" s="1429"/>
      <c r="AN636" s="1430"/>
      <c r="AO636" s="1466"/>
      <c r="AP636" s="1467"/>
      <c r="AQ636" s="1467"/>
      <c r="AR636" s="1467"/>
      <c r="AS636" s="1468"/>
      <c r="AT636" s="1148" t="str">
        <f t="shared" si="1"/>
        <v/>
      </c>
      <c r="AV636" s="3"/>
      <c r="AW636" s="3"/>
      <c r="AX636" s="3"/>
      <c r="AY636" s="3"/>
      <c r="AZ636" s="34"/>
      <c r="BA636" s="3" t="s">
        <v>457</v>
      </c>
      <c r="BB636" s="34"/>
      <c r="BC636" s="34"/>
      <c r="BD636" s="34"/>
      <c r="BE636" s="34"/>
      <c r="BF636" s="34"/>
      <c r="BG636" s="34"/>
      <c r="BH636" s="34"/>
      <c r="BI636" s="34"/>
      <c r="BJ636" s="34"/>
      <c r="BK636" s="34"/>
      <c r="BL636" s="34"/>
      <c r="BM636" s="34"/>
      <c r="DA636" s="3"/>
      <c r="DB636" s="3"/>
      <c r="DC636" s="3"/>
      <c r="DD636" s="3"/>
      <c r="DE636" s="3"/>
      <c r="DF636" s="3"/>
      <c r="DX636" s="1445" t="e">
        <f t="shared" si="2"/>
        <v>#VALUE!</v>
      </c>
      <c r="DY636" s="1445"/>
      <c r="DZ636" s="1445"/>
      <c r="EA636" s="1445"/>
      <c r="EB636" s="1445"/>
      <c r="EC636" s="1445">
        <f t="shared" si="3"/>
        <v>81.15384615384616</v>
      </c>
      <c r="ED636" s="1445"/>
      <c r="EE636" s="1445"/>
      <c r="EF636" s="1445"/>
      <c r="EG636" s="1445"/>
      <c r="EH636" s="1445" t="e">
        <f t="shared" si="4"/>
        <v>#VALUE!</v>
      </c>
      <c r="EI636" s="1445"/>
      <c r="EJ636" s="1445"/>
      <c r="EK636" s="1445"/>
      <c r="EL636" s="1445"/>
      <c r="EM636" s="1445" t="e">
        <f t="shared" si="5"/>
        <v>#VALUE!</v>
      </c>
      <c r="EN636" s="1445"/>
      <c r="EO636" s="1445"/>
      <c r="EP636" s="1445"/>
      <c r="EQ636" s="1445"/>
      <c r="ER636" s="1445" t="e">
        <f t="shared" si="6"/>
        <v>#VALUE!</v>
      </c>
      <c r="ES636" s="1445"/>
      <c r="ET636" s="1445"/>
      <c r="EU636" s="1445"/>
      <c r="EV636" s="1445"/>
      <c r="EW636" s="1445" t="e">
        <f t="shared" si="7"/>
        <v>#VALUE!</v>
      </c>
      <c r="EX636" s="1445"/>
      <c r="EY636" s="1445"/>
      <c r="EZ636" s="1445"/>
      <c r="FA636" s="1445"/>
    </row>
    <row r="637" spans="2:157" ht="12.95" customHeight="1">
      <c r="B637" s="52" t="s">
        <v>361</v>
      </c>
      <c r="C637" s="1347"/>
      <c r="D637" s="1347"/>
      <c r="E637" s="1347"/>
      <c r="F637" s="1347"/>
      <c r="G637" s="1347"/>
      <c r="H637" s="1347"/>
      <c r="I637" s="1347"/>
      <c r="J637" s="1347"/>
      <c r="K637" s="1347"/>
      <c r="L637" s="1347"/>
      <c r="M637" s="1618" t="s">
        <v>1184</v>
      </c>
      <c r="N637" s="1618"/>
      <c r="O637" s="1618"/>
      <c r="P637" s="1618"/>
      <c r="Q637" s="1425"/>
      <c r="R637" s="1426"/>
      <c r="S637" s="1427"/>
      <c r="T637" s="1425"/>
      <c r="U637" s="1426"/>
      <c r="V637" s="1427"/>
      <c r="W637" s="1438"/>
      <c r="X637" s="1439"/>
      <c r="Y637" s="1440"/>
      <c r="Z637" s="1478" t="s">
        <v>1184</v>
      </c>
      <c r="AA637" s="1479"/>
      <c r="AB637" s="1480"/>
      <c r="AC637" s="1446"/>
      <c r="AD637" s="1447"/>
      <c r="AE637" s="1448"/>
      <c r="AF637" s="1475"/>
      <c r="AG637" s="1476"/>
      <c r="AH637" s="1476"/>
      <c r="AI637" s="1476"/>
      <c r="AJ637" s="1477"/>
      <c r="AK637" s="1428"/>
      <c r="AL637" s="1429"/>
      <c r="AM637" s="1429"/>
      <c r="AN637" s="1430"/>
      <c r="AO637" s="1466"/>
      <c r="AP637" s="1467"/>
      <c r="AQ637" s="1467"/>
      <c r="AR637" s="1467"/>
      <c r="AS637" s="1468"/>
      <c r="AT637" s="1148" t="str">
        <f t="shared" si="1"/>
        <v/>
      </c>
      <c r="AV637" s="3"/>
      <c r="AW637" s="3"/>
      <c r="AX637" s="3"/>
      <c r="AY637" s="3"/>
      <c r="AZ637" s="34"/>
      <c r="BA637" s="3" t="s">
        <v>2132</v>
      </c>
      <c r="BB637" s="34"/>
      <c r="BC637" s="34"/>
      <c r="BD637" s="34"/>
      <c r="BE637" s="34"/>
      <c r="BF637" s="34"/>
      <c r="BG637" s="34"/>
      <c r="BH637" s="34"/>
      <c r="BI637" s="34"/>
      <c r="BJ637" s="34"/>
      <c r="BK637" s="34"/>
      <c r="BL637" s="34"/>
      <c r="BM637" s="34"/>
      <c r="DA637" s="3"/>
      <c r="DB637" s="3"/>
      <c r="DC637" s="3"/>
      <c r="DD637" s="3"/>
      <c r="DE637" s="3"/>
      <c r="DF637" s="3"/>
      <c r="DX637" s="1445" t="e">
        <f t="shared" si="2"/>
        <v>#VALUE!</v>
      </c>
      <c r="DY637" s="1445"/>
      <c r="DZ637" s="1445"/>
      <c r="EA637" s="1445"/>
      <c r="EB637" s="1445"/>
      <c r="EC637" s="1445">
        <f t="shared" si="3"/>
        <v>101.46153846153847</v>
      </c>
      <c r="ED637" s="1445"/>
      <c r="EE637" s="1445"/>
      <c r="EF637" s="1445"/>
      <c r="EG637" s="1445"/>
      <c r="EH637" s="1445" t="e">
        <f t="shared" si="4"/>
        <v>#VALUE!</v>
      </c>
      <c r="EI637" s="1445"/>
      <c r="EJ637" s="1445"/>
      <c r="EK637" s="1445"/>
      <c r="EL637" s="1445"/>
      <c r="EM637" s="1445" t="e">
        <f t="shared" si="5"/>
        <v>#VALUE!</v>
      </c>
      <c r="EN637" s="1445"/>
      <c r="EO637" s="1445"/>
      <c r="EP637" s="1445"/>
      <c r="EQ637" s="1445"/>
      <c r="ER637" s="1445" t="e">
        <f t="shared" si="6"/>
        <v>#VALUE!</v>
      </c>
      <c r="ES637" s="1445"/>
      <c r="ET637" s="1445"/>
      <c r="EU637" s="1445"/>
      <c r="EV637" s="1445"/>
      <c r="EW637" s="1445" t="e">
        <f t="shared" si="7"/>
        <v>#VALUE!</v>
      </c>
      <c r="EX637" s="1445"/>
      <c r="EY637" s="1445"/>
      <c r="EZ637" s="1445"/>
      <c r="FA637" s="1445"/>
    </row>
    <row r="638" spans="2:157" ht="12.95" customHeight="1">
      <c r="B638" s="52" t="s">
        <v>362</v>
      </c>
      <c r="C638" s="1347"/>
      <c r="D638" s="1347"/>
      <c r="E638" s="1347"/>
      <c r="F638" s="1347"/>
      <c r="G638" s="1347"/>
      <c r="H638" s="1347"/>
      <c r="I638" s="1347"/>
      <c r="J638" s="1347"/>
      <c r="K638" s="1347"/>
      <c r="L638" s="1347"/>
      <c r="M638" s="1618" t="s">
        <v>1184</v>
      </c>
      <c r="N638" s="1618"/>
      <c r="O638" s="1618"/>
      <c r="P638" s="1618"/>
      <c r="Q638" s="1425"/>
      <c r="R638" s="1426"/>
      <c r="S638" s="1427"/>
      <c r="T638" s="1425"/>
      <c r="U638" s="1426"/>
      <c r="V638" s="1427"/>
      <c r="W638" s="1438"/>
      <c r="X638" s="1439"/>
      <c r="Y638" s="1440"/>
      <c r="Z638" s="1478" t="s">
        <v>1184</v>
      </c>
      <c r="AA638" s="1479"/>
      <c r="AB638" s="1480"/>
      <c r="AC638" s="1446"/>
      <c r="AD638" s="1447"/>
      <c r="AE638" s="1448"/>
      <c r="AF638" s="1475"/>
      <c r="AG638" s="1476"/>
      <c r="AH638" s="1476"/>
      <c r="AI638" s="1476"/>
      <c r="AJ638" s="1477"/>
      <c r="AK638" s="1428"/>
      <c r="AL638" s="1429"/>
      <c r="AM638" s="1429"/>
      <c r="AN638" s="1430"/>
      <c r="AO638" s="1466"/>
      <c r="AP638" s="1467"/>
      <c r="AQ638" s="1467"/>
      <c r="AR638" s="1467"/>
      <c r="AS638" s="1468"/>
      <c r="AT638" s="1148" t="str">
        <f t="shared" si="1"/>
        <v/>
      </c>
      <c r="AV638" s="3"/>
      <c r="AW638" s="3"/>
      <c r="AX638" s="3"/>
      <c r="AY638" s="3"/>
      <c r="AZ638" s="34"/>
      <c r="BA638" s="3" t="s">
        <v>299</v>
      </c>
      <c r="BB638" s="34"/>
      <c r="BC638" s="34"/>
      <c r="BD638" s="34"/>
      <c r="BE638" s="34"/>
      <c r="BF638" s="34"/>
      <c r="BG638" s="34"/>
      <c r="BH638" s="34"/>
      <c r="BI638" s="34"/>
      <c r="BJ638" s="34"/>
      <c r="BK638" s="34"/>
      <c r="BL638" s="34"/>
      <c r="BM638" s="34"/>
      <c r="DA638" s="3"/>
      <c r="DB638" s="3"/>
      <c r="DC638" s="3"/>
      <c r="DD638" s="3"/>
      <c r="DE638" s="3"/>
      <c r="DF638" s="3"/>
      <c r="DX638" s="1445" t="e">
        <f t="shared" si="2"/>
        <v>#VALUE!</v>
      </c>
      <c r="DY638" s="1445"/>
      <c r="DZ638" s="1445"/>
      <c r="EA638" s="1445"/>
      <c r="EB638" s="1445"/>
      <c r="EC638" s="1445">
        <f t="shared" si="3"/>
        <v>121.76923076923077</v>
      </c>
      <c r="ED638" s="1445"/>
      <c r="EE638" s="1445"/>
      <c r="EF638" s="1445"/>
      <c r="EG638" s="1445"/>
      <c r="EH638" s="1445" t="e">
        <f t="shared" si="4"/>
        <v>#VALUE!</v>
      </c>
      <c r="EI638" s="1445"/>
      <c r="EJ638" s="1445"/>
      <c r="EK638" s="1445"/>
      <c r="EL638" s="1445"/>
      <c r="EM638" s="1445" t="e">
        <f t="shared" si="5"/>
        <v>#VALUE!</v>
      </c>
      <c r="EN638" s="1445"/>
      <c r="EO638" s="1445"/>
      <c r="EP638" s="1445"/>
      <c r="EQ638" s="1445"/>
      <c r="ER638" s="1445" t="e">
        <f t="shared" si="6"/>
        <v>#VALUE!</v>
      </c>
      <c r="ES638" s="1445"/>
      <c r="ET638" s="1445"/>
      <c r="EU638" s="1445"/>
      <c r="EV638" s="1445"/>
      <c r="EW638" s="1445" t="e">
        <f t="shared" si="7"/>
        <v>#VALUE!</v>
      </c>
      <c r="EX638" s="1445"/>
      <c r="EY638" s="1445"/>
      <c r="EZ638" s="1445"/>
      <c r="FA638" s="1445"/>
    </row>
    <row r="639" spans="2:157" ht="12.95" customHeight="1">
      <c r="B639" s="1449" t="s">
        <v>128</v>
      </c>
      <c r="C639" s="1450"/>
      <c r="D639" s="1450"/>
      <c r="E639" s="1450"/>
      <c r="F639" s="1450"/>
      <c r="G639" s="1450"/>
      <c r="H639" s="1450"/>
      <c r="I639" s="1450"/>
      <c r="J639" s="1450"/>
      <c r="K639" s="1450"/>
      <c r="L639" s="1450"/>
      <c r="M639" s="1450"/>
      <c r="N639" s="1450"/>
      <c r="O639" s="1450"/>
      <c r="P639" s="1450"/>
      <c r="Q639" s="1450"/>
      <c r="R639" s="1450"/>
      <c r="S639" s="1450"/>
      <c r="T639" s="1450"/>
      <c r="U639" s="1450"/>
      <c r="V639" s="1450"/>
      <c r="W639" s="1450"/>
      <c r="X639" s="1450"/>
      <c r="Y639" s="1450"/>
      <c r="Z639" s="1450"/>
      <c r="AA639" s="1450"/>
      <c r="AB639" s="1450"/>
      <c r="AC639" s="1450"/>
      <c r="AD639" s="1450"/>
      <c r="AE639" s="1450"/>
      <c r="AF639" s="1450"/>
      <c r="AG639" s="1450"/>
      <c r="AH639" s="1450"/>
      <c r="AI639" s="1450"/>
      <c r="AJ639" s="1450"/>
      <c r="AK639" s="1450"/>
      <c r="AL639" s="1450"/>
      <c r="AM639" s="1450"/>
      <c r="AN639" s="1451"/>
      <c r="AO639" s="1615">
        <f>SUM(AO627:AR638)</f>
        <v>28036820</v>
      </c>
      <c r="AP639" s="1616"/>
      <c r="AQ639" s="1616"/>
      <c r="AR639" s="1616"/>
      <c r="AS639" s="1617"/>
      <c r="AV639" s="3"/>
      <c r="AW639" s="3"/>
      <c r="AX639" s="3"/>
      <c r="AY639" s="3"/>
      <c r="AZ639" s="34"/>
      <c r="BA639" s="34"/>
      <c r="BB639" s="34"/>
      <c r="BC639" s="34"/>
      <c r="BD639" s="34"/>
      <c r="BE639" s="34"/>
      <c r="BF639" s="34"/>
      <c r="BG639" s="34"/>
      <c r="BH639" s="34"/>
      <c r="BI639" s="34"/>
      <c r="BJ639" s="34"/>
      <c r="BK639" s="34"/>
      <c r="BL639" s="34"/>
      <c r="BM639" s="34"/>
      <c r="DA639" s="3"/>
      <c r="DB639" s="3"/>
      <c r="DC639" s="3"/>
      <c r="DD639" s="3"/>
      <c r="DE639" s="3"/>
      <c r="DF639" s="3"/>
      <c r="DX639" s="1445" t="e">
        <f t="shared" si="2"/>
        <v>#VALUE!</v>
      </c>
      <c r="DY639" s="1445"/>
      <c r="DZ639" s="1445"/>
      <c r="EA639" s="1445"/>
      <c r="EB639" s="1445"/>
      <c r="EC639" s="1445">
        <f t="shared" si="3"/>
        <v>811.92307692307702</v>
      </c>
      <c r="ED639" s="1445"/>
      <c r="EE639" s="1445"/>
      <c r="EF639" s="1445"/>
      <c r="EG639" s="1445"/>
      <c r="EH639" s="1445" t="e">
        <f t="shared" si="4"/>
        <v>#VALUE!</v>
      </c>
      <c r="EI639" s="1445"/>
      <c r="EJ639" s="1445"/>
      <c r="EK639" s="1445"/>
      <c r="EL639" s="1445"/>
      <c r="EM639" s="1445" t="e">
        <f t="shared" si="5"/>
        <v>#VALUE!</v>
      </c>
      <c r="EN639" s="1445"/>
      <c r="EO639" s="1445"/>
      <c r="EP639" s="1445"/>
      <c r="EQ639" s="1445"/>
      <c r="ER639" s="1445" t="e">
        <f t="shared" si="6"/>
        <v>#VALUE!</v>
      </c>
      <c r="ES639" s="1445"/>
      <c r="ET639" s="1445"/>
      <c r="EU639" s="1445"/>
      <c r="EV639" s="1445"/>
      <c r="EW639" s="1445" t="e">
        <f t="shared" si="7"/>
        <v>#VALUE!</v>
      </c>
      <c r="EX639" s="1445"/>
      <c r="EY639" s="1445"/>
      <c r="EZ639" s="1445"/>
      <c r="FA639" s="1445"/>
    </row>
    <row r="640" spans="2:157" ht="12.95" customHeight="1">
      <c r="B640" s="1449" t="s">
        <v>266</v>
      </c>
      <c r="C640" s="1450"/>
      <c r="D640" s="1450"/>
      <c r="E640" s="1450"/>
      <c r="F640" s="1450"/>
      <c r="G640" s="1450"/>
      <c r="H640" s="1450"/>
      <c r="I640" s="1450"/>
      <c r="J640" s="1450"/>
      <c r="K640" s="1450"/>
      <c r="L640" s="1450"/>
      <c r="M640" s="1450"/>
      <c r="N640" s="1450"/>
      <c r="O640" s="1450"/>
      <c r="P640" s="1450"/>
      <c r="Q640" s="1450"/>
      <c r="R640" s="1450"/>
      <c r="S640" s="1450"/>
      <c r="T640" s="1450"/>
      <c r="U640" s="1450"/>
      <c r="V640" s="1450"/>
      <c r="W640" s="1450"/>
      <c r="X640" s="1450"/>
      <c r="Y640" s="1450"/>
      <c r="Z640" s="1450"/>
      <c r="AA640" s="1450"/>
      <c r="AB640" s="1450"/>
      <c r="AC640" s="1450"/>
      <c r="AD640" s="1450"/>
      <c r="AE640" s="1450"/>
      <c r="AF640" s="1450"/>
      <c r="AG640" s="1450"/>
      <c r="AH640" s="1450"/>
      <c r="AI640" s="1450"/>
      <c r="AJ640" s="1450"/>
      <c r="AK640" s="1450"/>
      <c r="AL640" s="1450"/>
      <c r="AM640" s="1450"/>
      <c r="AN640" s="1451"/>
      <c r="AO640" s="1466">
        <v>22568290</v>
      </c>
      <c r="AP640" s="1467"/>
      <c r="AQ640" s="1467"/>
      <c r="AR640" s="1467"/>
      <c r="AS640" s="1468"/>
      <c r="AV640" s="3"/>
      <c r="AW640" s="3"/>
      <c r="AX640" s="3"/>
      <c r="AY640" s="3"/>
      <c r="AZ640" s="34"/>
      <c r="BA640" s="34"/>
      <c r="BB640" s="34"/>
      <c r="BC640" s="34"/>
      <c r="BD640" s="34"/>
      <c r="BE640" s="34"/>
      <c r="BF640" s="34"/>
      <c r="BG640" s="34"/>
      <c r="BH640" s="34"/>
      <c r="BI640" s="34"/>
      <c r="BJ640" s="34"/>
      <c r="BK640" s="34"/>
      <c r="BL640" s="34"/>
      <c r="BM640" s="34"/>
      <c r="DA640" s="3"/>
      <c r="DB640" s="3"/>
      <c r="DC640" s="3"/>
      <c r="DD640" s="3"/>
      <c r="DE640" s="3"/>
      <c r="DF640" s="3"/>
      <c r="DX640" s="1445" t="e">
        <f t="shared" si="2"/>
        <v>#VALUE!</v>
      </c>
      <c r="DY640" s="1445"/>
      <c r="DZ640" s="1445"/>
      <c r="EA640" s="1445"/>
      <c r="EB640" s="1445"/>
      <c r="EC640" s="1445" t="e">
        <f t="shared" si="3"/>
        <v>#VALUE!</v>
      </c>
      <c r="ED640" s="1445"/>
      <c r="EE640" s="1445"/>
      <c r="EF640" s="1445"/>
      <c r="EG640" s="1445"/>
      <c r="EH640" s="1445">
        <f t="shared" si="4"/>
        <v>279.41176470588238</v>
      </c>
      <c r="EI640" s="1445"/>
      <c r="EJ640" s="1445"/>
      <c r="EK640" s="1445"/>
      <c r="EL640" s="1445"/>
      <c r="EM640" s="1445" t="e">
        <f t="shared" si="5"/>
        <v>#VALUE!</v>
      </c>
      <c r="EN640" s="1445"/>
      <c r="EO640" s="1445"/>
      <c r="EP640" s="1445"/>
      <c r="EQ640" s="1445"/>
      <c r="ER640" s="1445" t="e">
        <f t="shared" si="6"/>
        <v>#VALUE!</v>
      </c>
      <c r="ES640" s="1445"/>
      <c r="ET640" s="1445"/>
      <c r="EU640" s="1445"/>
      <c r="EV640" s="1445"/>
      <c r="EW640" s="1445" t="e">
        <f t="shared" si="7"/>
        <v>#VALUE!</v>
      </c>
      <c r="EX640" s="1445"/>
      <c r="EY640" s="1445"/>
      <c r="EZ640" s="1445"/>
      <c r="FA640" s="1445"/>
    </row>
    <row r="641" spans="1:157" ht="12.95" customHeight="1">
      <c r="B641" s="1482" t="s">
        <v>267</v>
      </c>
      <c r="C641" s="1483"/>
      <c r="D641" s="1483"/>
      <c r="E641" s="1483"/>
      <c r="F641" s="1483"/>
      <c r="G641" s="1483"/>
      <c r="H641" s="1483"/>
      <c r="I641" s="1483"/>
      <c r="J641" s="1483"/>
      <c r="K641" s="1483"/>
      <c r="L641" s="1483"/>
      <c r="M641" s="1483"/>
      <c r="N641" s="1483"/>
      <c r="O641" s="1483"/>
      <c r="P641" s="1483"/>
      <c r="Q641" s="1483"/>
      <c r="R641" s="1483"/>
      <c r="S641" s="1483"/>
      <c r="T641" s="1483"/>
      <c r="U641" s="1483"/>
      <c r="V641" s="1483"/>
      <c r="W641" s="1483"/>
      <c r="X641" s="1483"/>
      <c r="Y641" s="1483"/>
      <c r="Z641" s="1483"/>
      <c r="AA641" s="1483"/>
      <c r="AB641" s="1483"/>
      <c r="AC641" s="1483"/>
      <c r="AD641" s="1483"/>
      <c r="AE641" s="1483"/>
      <c r="AF641" s="1483"/>
      <c r="AG641" s="1483"/>
      <c r="AH641" s="1483"/>
      <c r="AI641" s="1483"/>
      <c r="AJ641" s="1483"/>
      <c r="AK641" s="1483"/>
      <c r="AL641" s="1483"/>
      <c r="AM641" s="1483"/>
      <c r="AN641" s="1484"/>
      <c r="AO641" s="1615">
        <f>AO639+AO640</f>
        <v>50605110</v>
      </c>
      <c r="AP641" s="1616"/>
      <c r="AQ641" s="1616"/>
      <c r="AR641" s="1616"/>
      <c r="AS641" s="1617"/>
      <c r="AV641" s="3"/>
      <c r="AW641" s="3"/>
      <c r="AX641" s="3"/>
      <c r="AY641" s="3"/>
      <c r="AZ641" s="34"/>
      <c r="BA641" s="34"/>
      <c r="BB641" s="34"/>
      <c r="BC641" s="34"/>
      <c r="BD641" s="34"/>
      <c r="BE641" s="34"/>
      <c r="BF641" s="34"/>
      <c r="BG641" s="34"/>
      <c r="BH641" s="34"/>
      <c r="BI641" s="34"/>
      <c r="BJ641" s="34"/>
      <c r="BK641" s="34"/>
      <c r="BL641" s="34"/>
      <c r="BM641" s="34"/>
      <c r="DA641" s="3"/>
      <c r="DB641" s="3"/>
      <c r="DC641" s="3"/>
      <c r="DD641" s="3"/>
      <c r="DE641" s="3"/>
      <c r="DF641" s="3"/>
      <c r="DX641" s="1445" t="e">
        <f t="shared" si="2"/>
        <v>#VALUE!</v>
      </c>
      <c r="DY641" s="1445"/>
      <c r="DZ641" s="1445"/>
      <c r="EA641" s="1445"/>
      <c r="EB641" s="1445"/>
      <c r="EC641" s="1445" t="e">
        <f t="shared" si="3"/>
        <v>#VALUE!</v>
      </c>
      <c r="ED641" s="1445"/>
      <c r="EE641" s="1445"/>
      <c r="EF641" s="1445"/>
      <c r="EG641" s="1445"/>
      <c r="EH641" s="1445">
        <f t="shared" si="4"/>
        <v>74.529411764705884</v>
      </c>
      <c r="EI641" s="1445"/>
      <c r="EJ641" s="1445"/>
      <c r="EK641" s="1445"/>
      <c r="EL641" s="1445"/>
      <c r="EM641" s="1445" t="e">
        <f t="shared" si="5"/>
        <v>#VALUE!</v>
      </c>
      <c r="EN641" s="1445"/>
      <c r="EO641" s="1445"/>
      <c r="EP641" s="1445"/>
      <c r="EQ641" s="1445"/>
      <c r="ER641" s="1445" t="e">
        <f t="shared" si="6"/>
        <v>#VALUE!</v>
      </c>
      <c r="ES641" s="1445"/>
      <c r="ET641" s="1445"/>
      <c r="EU641" s="1445"/>
      <c r="EV641" s="1445"/>
      <c r="EW641" s="1445" t="e">
        <f t="shared" si="7"/>
        <v>#VALUE!</v>
      </c>
      <c r="EX641" s="1445"/>
      <c r="EY641" s="1445"/>
      <c r="EZ641" s="1445"/>
      <c r="FA641" s="1445"/>
    </row>
    <row r="642" spans="1:157" ht="12.95" customHeight="1">
      <c r="B642" s="512"/>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DA642" s="3"/>
      <c r="DB642" s="3"/>
      <c r="DC642" s="3"/>
      <c r="DD642" s="3"/>
      <c r="DE642" s="3"/>
      <c r="DF642" s="3"/>
      <c r="DX642" s="1445" t="e">
        <f t="shared" si="2"/>
        <v>#VALUE!</v>
      </c>
      <c r="DY642" s="1445"/>
      <c r="DZ642" s="1445"/>
      <c r="EA642" s="1445"/>
      <c r="EB642" s="1445"/>
      <c r="EC642" s="1445" t="e">
        <f t="shared" si="3"/>
        <v>#VALUE!</v>
      </c>
      <c r="ED642" s="1445"/>
      <c r="EE642" s="1445"/>
      <c r="EF642" s="1445"/>
      <c r="EG642" s="1445"/>
      <c r="EH642" s="1445">
        <f t="shared" si="4"/>
        <v>93.117647058823522</v>
      </c>
      <c r="EI642" s="1445"/>
      <c r="EJ642" s="1445"/>
      <c r="EK642" s="1445"/>
      <c r="EL642" s="1445"/>
      <c r="EM642" s="1445" t="e">
        <f t="shared" si="5"/>
        <v>#VALUE!</v>
      </c>
      <c r="EN642" s="1445"/>
      <c r="EO642" s="1445"/>
      <c r="EP642" s="1445"/>
      <c r="EQ642" s="1445"/>
      <c r="ER642" s="1445" t="e">
        <f t="shared" si="6"/>
        <v>#VALUE!</v>
      </c>
      <c r="ES642" s="1445"/>
      <c r="ET642" s="1445"/>
      <c r="EU642" s="1445"/>
      <c r="EV642" s="1445"/>
      <c r="EW642" s="1445" t="e">
        <f t="shared" si="7"/>
        <v>#VALUE!</v>
      </c>
      <c r="EX642" s="1445"/>
      <c r="EY642" s="1445"/>
      <c r="EZ642" s="1445"/>
      <c r="FA642" s="1445"/>
    </row>
    <row r="643" spans="1:157" ht="12.95" customHeight="1">
      <c r="A643" s="55" t="s">
        <v>112</v>
      </c>
      <c r="B643" t="s">
        <v>463</v>
      </c>
      <c r="G643" s="1358" t="str">
        <f>C627</f>
        <v>CalHFA</v>
      </c>
      <c r="H643" s="1358"/>
      <c r="I643" s="1358"/>
      <c r="J643" s="1358"/>
      <c r="K643" s="1358"/>
      <c r="L643" s="1358"/>
      <c r="M643" s="1358"/>
      <c r="N643" s="1358"/>
      <c r="O643" s="1358"/>
      <c r="P643" s="1358"/>
      <c r="Q643" s="1358"/>
      <c r="R643" s="1358"/>
      <c r="S643" s="8"/>
      <c r="T643" s="55" t="s">
        <v>113</v>
      </c>
      <c r="U643" t="s">
        <v>463</v>
      </c>
      <c r="Z643" s="1358" t="str">
        <f>C628</f>
        <v>CalHFA MIP</v>
      </c>
      <c r="AA643" s="1358"/>
      <c r="AB643" s="1358"/>
      <c r="AC643" s="1358"/>
      <c r="AD643" s="1358"/>
      <c r="AE643" s="1358"/>
      <c r="AF643" s="1358"/>
      <c r="AG643" s="1358"/>
      <c r="AH643" s="1358"/>
      <c r="AI643" s="1358"/>
      <c r="AJ643" s="1358"/>
      <c r="AK643" s="1358"/>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445" t="e">
        <f t="shared" si="2"/>
        <v>#VALUE!</v>
      </c>
      <c r="DY643" s="1445"/>
      <c r="DZ643" s="1445"/>
      <c r="EA643" s="1445"/>
      <c r="EB643" s="1445"/>
      <c r="EC643" s="1445" t="e">
        <f t="shared" si="3"/>
        <v>#VALUE!</v>
      </c>
      <c r="ED643" s="1445"/>
      <c r="EE643" s="1445"/>
      <c r="EF643" s="1445"/>
      <c r="EG643" s="1445"/>
      <c r="EH643" s="1445">
        <f t="shared" si="4"/>
        <v>111.76470588235294</v>
      </c>
      <c r="EI643" s="1445"/>
      <c r="EJ643" s="1445"/>
      <c r="EK643" s="1445"/>
      <c r="EL643" s="1445"/>
      <c r="EM643" s="1445" t="e">
        <f t="shared" si="5"/>
        <v>#VALUE!</v>
      </c>
      <c r="EN643" s="1445"/>
      <c r="EO643" s="1445"/>
      <c r="EP643" s="1445"/>
      <c r="EQ643" s="1445"/>
      <c r="ER643" s="1445" t="e">
        <f t="shared" si="6"/>
        <v>#VALUE!</v>
      </c>
      <c r="ES643" s="1445"/>
      <c r="ET643" s="1445"/>
      <c r="EU643" s="1445"/>
      <c r="EV643" s="1445"/>
      <c r="EW643" s="1445" t="e">
        <f t="shared" si="7"/>
        <v>#VALUE!</v>
      </c>
      <c r="EX643" s="1445"/>
      <c r="EY643" s="1445"/>
      <c r="EZ643" s="1445"/>
      <c r="FA643" s="1445"/>
    </row>
    <row r="644" spans="1:157" ht="12.95" customHeight="1">
      <c r="A644" s="22"/>
      <c r="B644" t="s">
        <v>85</v>
      </c>
      <c r="G644" s="1371" t="s">
        <v>2711</v>
      </c>
      <c r="H644" s="1371"/>
      <c r="I644" s="1371"/>
      <c r="J644" s="1371"/>
      <c r="K644" s="1371"/>
      <c r="L644" s="1371"/>
      <c r="M644" s="1371"/>
      <c r="N644" s="1371"/>
      <c r="O644" s="1371"/>
      <c r="P644" s="1371"/>
      <c r="Q644" s="1371"/>
      <c r="R644" s="1371"/>
      <c r="S644" s="8"/>
      <c r="T644" s="22"/>
      <c r="U644" t="s">
        <v>85</v>
      </c>
      <c r="Z644" s="1371" t="s">
        <v>2717</v>
      </c>
      <c r="AA644" s="1371"/>
      <c r="AB644" s="1371"/>
      <c r="AC644" s="1371"/>
      <c r="AD644" s="1371"/>
      <c r="AE644" s="1371"/>
      <c r="AF644" s="1371"/>
      <c r="AG644" s="1371"/>
      <c r="AH644" s="1371"/>
      <c r="AI644" s="1371"/>
      <c r="AJ644" s="1371"/>
      <c r="AK644" s="1371"/>
      <c r="AV644" s="3"/>
      <c r="AW644" s="3"/>
      <c r="AX644" s="3"/>
      <c r="AY644" s="3"/>
      <c r="AZ644" s="3"/>
      <c r="BA644" s="3"/>
      <c r="BB644" s="3"/>
      <c r="BC644" s="3"/>
      <c r="BD644" s="3"/>
      <c r="BE644" s="3"/>
      <c r="BF644" s="3"/>
      <c r="BG644" s="3"/>
      <c r="BH644" s="3"/>
      <c r="BI644" s="3"/>
      <c r="BJ644" s="3"/>
      <c r="BK644" s="3"/>
      <c r="BL644" s="3"/>
      <c r="BM644" s="3"/>
      <c r="DX644" s="1445" t="e">
        <f t="shared" si="2"/>
        <v>#VALUE!</v>
      </c>
      <c r="DY644" s="1445"/>
      <c r="DZ644" s="1445"/>
      <c r="EA644" s="1445"/>
      <c r="EB644" s="1445"/>
      <c r="EC644" s="1445" t="e">
        <f t="shared" si="3"/>
        <v>#VALUE!</v>
      </c>
      <c r="ED644" s="1445"/>
      <c r="EE644" s="1445"/>
      <c r="EF644" s="1445"/>
      <c r="EG644" s="1445"/>
      <c r="EH644" s="1445">
        <f t="shared" si="4"/>
        <v>1341.5294117647059</v>
      </c>
      <c r="EI644" s="1445"/>
      <c r="EJ644" s="1445"/>
      <c r="EK644" s="1445"/>
      <c r="EL644" s="1445"/>
      <c r="EM644" s="1445" t="e">
        <f t="shared" si="5"/>
        <v>#VALUE!</v>
      </c>
      <c r="EN644" s="1445"/>
      <c r="EO644" s="1445"/>
      <c r="EP644" s="1445"/>
      <c r="EQ644" s="1445"/>
      <c r="ER644" s="1445" t="e">
        <f t="shared" si="6"/>
        <v>#VALUE!</v>
      </c>
      <c r="ES644" s="1445"/>
      <c r="ET644" s="1445"/>
      <c r="EU644" s="1445"/>
      <c r="EV644" s="1445"/>
      <c r="EW644" s="1445" t="e">
        <f t="shared" si="7"/>
        <v>#VALUE!</v>
      </c>
      <c r="EX644" s="1445"/>
      <c r="EY644" s="1445"/>
      <c r="EZ644" s="1445"/>
      <c r="FA644" s="1445"/>
    </row>
    <row r="645" spans="1:157" ht="12.95" customHeight="1">
      <c r="A645" s="22"/>
      <c r="B645" t="s">
        <v>580</v>
      </c>
      <c r="G645" s="1371" t="s">
        <v>2712</v>
      </c>
      <c r="H645" s="1371"/>
      <c r="I645" s="1371"/>
      <c r="J645" s="1371"/>
      <c r="K645" s="1371"/>
      <c r="L645" s="1371"/>
      <c r="M645" s="1371"/>
      <c r="N645" s="1371"/>
      <c r="O645" s="1371"/>
      <c r="P645" s="1371"/>
      <c r="Q645" s="1371"/>
      <c r="R645" s="1371"/>
      <c r="T645" s="22"/>
      <c r="U645" t="s">
        <v>580</v>
      </c>
      <c r="Z645" s="1348" t="s">
        <v>2687</v>
      </c>
      <c r="AA645" s="1348"/>
      <c r="AB645" s="1348"/>
      <c r="AC645" s="1348"/>
      <c r="AD645" s="1348"/>
      <c r="AE645" s="1348"/>
      <c r="AF645" s="1348"/>
      <c r="AG645" s="1348"/>
      <c r="AH645" s="1348"/>
      <c r="AI645" s="1348"/>
      <c r="AJ645" s="1348"/>
      <c r="AK645" s="1348"/>
      <c r="AV645" s="3"/>
      <c r="AW645" s="3"/>
      <c r="AX645" s="3"/>
      <c r="AY645" s="3"/>
      <c r="AZ645" s="3"/>
      <c r="BA645" s="3"/>
      <c r="BB645" s="3"/>
      <c r="BC645" s="3"/>
      <c r="BD645" s="3"/>
      <c r="BE645" s="3"/>
      <c r="BF645" s="3"/>
      <c r="BG645" s="3"/>
      <c r="BH645" s="3"/>
      <c r="BI645" s="3"/>
      <c r="BJ645" s="3"/>
      <c r="BK645" s="3"/>
      <c r="BL645" s="3"/>
      <c r="BM645" s="3"/>
      <c r="DX645" s="1445" t="e">
        <f t="shared" si="2"/>
        <v>#VALUE!</v>
      </c>
      <c r="DY645" s="1445"/>
      <c r="DZ645" s="1445"/>
      <c r="EA645" s="1445"/>
      <c r="EB645" s="1445"/>
      <c r="EC645" s="1445" t="e">
        <f t="shared" si="3"/>
        <v>#VALUE!</v>
      </c>
      <c r="ED645" s="1445"/>
      <c r="EE645" s="1445"/>
      <c r="EF645" s="1445"/>
      <c r="EG645" s="1445"/>
      <c r="EH645" s="1445" t="e">
        <f t="shared" si="4"/>
        <v>#VALUE!</v>
      </c>
      <c r="EI645" s="1445"/>
      <c r="EJ645" s="1445"/>
      <c r="EK645" s="1445"/>
      <c r="EL645" s="1445"/>
      <c r="EM645" s="1445">
        <f t="shared" si="5"/>
        <v>342.8125</v>
      </c>
      <c r="EN645" s="1445"/>
      <c r="EO645" s="1445"/>
      <c r="EP645" s="1445"/>
      <c r="EQ645" s="1445"/>
      <c r="ER645" s="1445" t="e">
        <f t="shared" si="6"/>
        <v>#VALUE!</v>
      </c>
      <c r="ES645" s="1445"/>
      <c r="ET645" s="1445"/>
      <c r="EU645" s="1445"/>
      <c r="EV645" s="1445"/>
      <c r="EW645" s="1445" t="e">
        <f t="shared" si="7"/>
        <v>#VALUE!</v>
      </c>
      <c r="EX645" s="1445"/>
      <c r="EY645" s="1445"/>
      <c r="EZ645" s="1445"/>
      <c r="FA645" s="1445"/>
    </row>
    <row r="646" spans="1:157" ht="12.95" customHeight="1">
      <c r="A646" s="22"/>
      <c r="B646" t="s">
        <v>17</v>
      </c>
      <c r="G646" s="1371" t="s">
        <v>2713</v>
      </c>
      <c r="H646" s="1371"/>
      <c r="I646" s="1371"/>
      <c r="J646" s="1371"/>
      <c r="K646" s="1371"/>
      <c r="L646" s="1371"/>
      <c r="M646" s="1371"/>
      <c r="N646" s="1371"/>
      <c r="O646" s="1371"/>
      <c r="P646" s="1371"/>
      <c r="Q646" s="1371"/>
      <c r="R646" s="1371"/>
      <c r="S646" s="8"/>
      <c r="T646" s="22"/>
      <c r="U646" t="s">
        <v>17</v>
      </c>
      <c r="Z646" s="1348" t="s">
        <v>2688</v>
      </c>
      <c r="AA646" s="1348"/>
      <c r="AB646" s="1348"/>
      <c r="AC646" s="1348"/>
      <c r="AD646" s="1348"/>
      <c r="AE646" s="1348"/>
      <c r="AF646" s="1348"/>
      <c r="AG646" s="1348"/>
      <c r="AH646" s="1348"/>
      <c r="AI646" s="1348"/>
      <c r="AJ646" s="1348"/>
      <c r="AK646" s="1348"/>
      <c r="AZ646" s="3"/>
      <c r="BA646" s="3"/>
      <c r="BB646" s="3"/>
      <c r="BC646" s="3"/>
      <c r="BD646" s="3"/>
      <c r="BE646" s="3"/>
      <c r="BF646" s="3"/>
      <c r="BG646" s="3"/>
      <c r="BH646" s="3"/>
      <c r="BI646" s="3"/>
      <c r="BJ646" s="3"/>
      <c r="BK646" s="3"/>
      <c r="BL646" s="3"/>
      <c r="BM646" s="3"/>
      <c r="DX646" s="1445" t="e">
        <f t="shared" si="2"/>
        <v>#VALUE!</v>
      </c>
      <c r="DY646" s="1445"/>
      <c r="DZ646" s="1445"/>
      <c r="EA646" s="1445"/>
      <c r="EB646" s="1445"/>
      <c r="EC646" s="1445" t="e">
        <f t="shared" si="3"/>
        <v>#VALUE!</v>
      </c>
      <c r="ED646" s="1445"/>
      <c r="EE646" s="1445"/>
      <c r="EF646" s="1445"/>
      <c r="EG646" s="1445"/>
      <c r="EH646" s="1445" t="e">
        <f t="shared" si="4"/>
        <v>#VALUE!</v>
      </c>
      <c r="EI646" s="1445"/>
      <c r="EJ646" s="1445"/>
      <c r="EK646" s="1445"/>
      <c r="EL646" s="1445"/>
      <c r="EM646" s="1445">
        <f t="shared" si="5"/>
        <v>91.4375</v>
      </c>
      <c r="EN646" s="1445"/>
      <c r="EO646" s="1445"/>
      <c r="EP646" s="1445"/>
      <c r="EQ646" s="1445"/>
      <c r="ER646" s="1445" t="e">
        <f t="shared" si="6"/>
        <v>#VALUE!</v>
      </c>
      <c r="ES646" s="1445"/>
      <c r="ET646" s="1445"/>
      <c r="EU646" s="1445"/>
      <c r="EV646" s="1445"/>
      <c r="EW646" s="1445" t="e">
        <f t="shared" si="7"/>
        <v>#VALUE!</v>
      </c>
      <c r="EX646" s="1445"/>
      <c r="EY646" s="1445"/>
      <c r="EZ646" s="1445"/>
      <c r="FA646" s="1445"/>
    </row>
    <row r="647" spans="1:157" ht="12.95" customHeight="1">
      <c r="A647" s="22"/>
      <c r="B647" t="s">
        <v>315</v>
      </c>
      <c r="G647" s="1346" t="s">
        <v>2714</v>
      </c>
      <c r="H647" s="1346"/>
      <c r="I647" s="1346"/>
      <c r="J647" s="1346"/>
      <c r="K647" s="1346"/>
      <c r="L647" s="1346"/>
      <c r="O647" s="33" t="s">
        <v>205</v>
      </c>
      <c r="P647" s="1437"/>
      <c r="Q647" s="1437"/>
      <c r="R647" s="1437"/>
      <c r="S647" s="10"/>
      <c r="T647" s="22"/>
      <c r="U647" t="s">
        <v>315</v>
      </c>
      <c r="Z647" s="1346" t="s">
        <v>2689</v>
      </c>
      <c r="AA647" s="1346"/>
      <c r="AB647" s="1346"/>
      <c r="AC647" s="1346"/>
      <c r="AD647" s="1346"/>
      <c r="AE647" s="1346"/>
      <c r="AH647" s="33" t="s">
        <v>205</v>
      </c>
      <c r="AI647" s="1437"/>
      <c r="AJ647" s="1437"/>
      <c r="AK647" s="1437"/>
      <c r="AZ647" s="34"/>
      <c r="BA647" s="34"/>
      <c r="BB647" s="34"/>
      <c r="BC647" s="34"/>
      <c r="BD647" s="34"/>
      <c r="BE647" s="34"/>
      <c r="BF647" s="34"/>
      <c r="BG647" s="34"/>
      <c r="BH647" s="34"/>
      <c r="BI647" s="34"/>
      <c r="BJ647" s="34"/>
      <c r="BK647" s="34"/>
      <c r="BL647" s="34"/>
      <c r="BM647" s="34"/>
      <c r="DX647" s="1445" t="e">
        <f t="shared" si="2"/>
        <v>#VALUE!</v>
      </c>
      <c r="DY647" s="1445"/>
      <c r="DZ647" s="1445"/>
      <c r="EA647" s="1445"/>
      <c r="EB647" s="1445"/>
      <c r="EC647" s="1445" t="e">
        <f t="shared" si="3"/>
        <v>#VALUE!</v>
      </c>
      <c r="ED647" s="1445"/>
      <c r="EE647" s="1445"/>
      <c r="EF647" s="1445"/>
      <c r="EG647" s="1445"/>
      <c r="EH647" s="1445" t="e">
        <f t="shared" si="4"/>
        <v>#VALUE!</v>
      </c>
      <c r="EI647" s="1445"/>
      <c r="EJ647" s="1445"/>
      <c r="EK647" s="1445"/>
      <c r="EL647" s="1445"/>
      <c r="EM647" s="1445">
        <f t="shared" si="5"/>
        <v>114.3125</v>
      </c>
      <c r="EN647" s="1445"/>
      <c r="EO647" s="1445"/>
      <c r="EP647" s="1445"/>
      <c r="EQ647" s="1445"/>
      <c r="ER647" s="1445" t="e">
        <f t="shared" si="6"/>
        <v>#VALUE!</v>
      </c>
      <c r="ES647" s="1445"/>
      <c r="ET647" s="1445"/>
      <c r="EU647" s="1445"/>
      <c r="EV647" s="1445"/>
      <c r="EW647" s="1445" t="e">
        <f t="shared" si="7"/>
        <v>#VALUE!</v>
      </c>
      <c r="EX647" s="1445"/>
      <c r="EY647" s="1445"/>
      <c r="EZ647" s="1445"/>
      <c r="FA647" s="1445"/>
    </row>
    <row r="648" spans="1:157" ht="12.95" customHeight="1">
      <c r="A648" s="22"/>
      <c r="B648" t="s">
        <v>18</v>
      </c>
      <c r="H648" s="1371" t="s">
        <v>2715</v>
      </c>
      <c r="I648" s="1371"/>
      <c r="J648" s="1371"/>
      <c r="K648" s="1371"/>
      <c r="L648" s="1371"/>
      <c r="M648" s="1371"/>
      <c r="N648" s="1371"/>
      <c r="O648" s="1371"/>
      <c r="P648" s="1371"/>
      <c r="Q648" s="1371"/>
      <c r="R648" s="1371"/>
      <c r="S648" s="8"/>
      <c r="T648" s="22"/>
      <c r="U648" t="s">
        <v>18</v>
      </c>
      <c r="AA648" s="1371" t="s">
        <v>2716</v>
      </c>
      <c r="AB648" s="1371"/>
      <c r="AC648" s="1371"/>
      <c r="AD648" s="1371"/>
      <c r="AE648" s="1371"/>
      <c r="AF648" s="1371"/>
      <c r="AG648" s="1371"/>
      <c r="AH648" s="1371"/>
      <c r="AI648" s="1371"/>
      <c r="AJ648" s="1371"/>
      <c r="AK648" s="1371"/>
      <c r="AZ648" s="34"/>
      <c r="BA648" s="34"/>
      <c r="BB648" s="34"/>
      <c r="BC648" s="34"/>
      <c r="BD648" s="34"/>
      <c r="BE648" s="34"/>
      <c r="BF648" s="34"/>
      <c r="BG648" s="34"/>
      <c r="BH648" s="34"/>
      <c r="BI648" s="34"/>
      <c r="BJ648" s="34"/>
      <c r="BK648" s="34"/>
      <c r="BL648" s="34"/>
      <c r="BM648" s="34"/>
      <c r="DX648" s="1445" t="e">
        <f t="shared" si="2"/>
        <v>#VALUE!</v>
      </c>
      <c r="DY648" s="1445"/>
      <c r="DZ648" s="1445"/>
      <c r="EA648" s="1445"/>
      <c r="EB648" s="1445"/>
      <c r="EC648" s="1445" t="e">
        <f t="shared" si="3"/>
        <v>#VALUE!</v>
      </c>
      <c r="ED648" s="1445"/>
      <c r="EE648" s="1445"/>
      <c r="EF648" s="1445"/>
      <c r="EG648" s="1445"/>
      <c r="EH648" s="1445" t="e">
        <f t="shared" si="4"/>
        <v>#VALUE!</v>
      </c>
      <c r="EI648" s="1445"/>
      <c r="EJ648" s="1445"/>
      <c r="EK648" s="1445"/>
      <c r="EL648" s="1445"/>
      <c r="EM648" s="1445">
        <f t="shared" si="5"/>
        <v>137.1875</v>
      </c>
      <c r="EN648" s="1445"/>
      <c r="EO648" s="1445"/>
      <c r="EP648" s="1445"/>
      <c r="EQ648" s="1445"/>
      <c r="ER648" s="1445" t="e">
        <f t="shared" si="6"/>
        <v>#VALUE!</v>
      </c>
      <c r="ES648" s="1445"/>
      <c r="ET648" s="1445"/>
      <c r="EU648" s="1445"/>
      <c r="EV648" s="1445"/>
      <c r="EW648" s="1445" t="e">
        <f t="shared" si="7"/>
        <v>#VALUE!</v>
      </c>
      <c r="EX648" s="1445"/>
      <c r="EY648" s="1445"/>
      <c r="EZ648" s="1445"/>
      <c r="FA648" s="1445"/>
    </row>
    <row r="649" spans="1:157" ht="12.95" customHeight="1">
      <c r="A649" s="22"/>
      <c r="B649" t="s">
        <v>20</v>
      </c>
      <c r="N649" s="1332" t="s">
        <v>545</v>
      </c>
      <c r="O649" s="1332"/>
      <c r="T649" s="22"/>
      <c r="U649" t="s">
        <v>20</v>
      </c>
      <c r="AG649" s="1332" t="s">
        <v>545</v>
      </c>
      <c r="AH649" s="1332"/>
      <c r="AZ649" s="34"/>
      <c r="BA649" s="34"/>
      <c r="BB649" s="34"/>
      <c r="BC649" s="34"/>
      <c r="BD649" s="34"/>
      <c r="BE649" s="34"/>
      <c r="BF649" s="34"/>
      <c r="BG649" s="34"/>
      <c r="BH649" s="34"/>
      <c r="BI649" s="34"/>
      <c r="BJ649" s="34"/>
      <c r="BK649" s="34"/>
      <c r="BL649" s="34"/>
      <c r="BM649" s="34"/>
      <c r="DX649" s="1445" t="e">
        <f t="shared" si="2"/>
        <v>#VALUE!</v>
      </c>
      <c r="DY649" s="1445"/>
      <c r="DZ649" s="1445"/>
      <c r="EA649" s="1445"/>
      <c r="EB649" s="1445"/>
      <c r="EC649" s="1445" t="e">
        <f t="shared" si="3"/>
        <v>#VALUE!</v>
      </c>
      <c r="ED649" s="1445"/>
      <c r="EE649" s="1445"/>
      <c r="EF649" s="1445"/>
      <c r="EG649" s="1445"/>
      <c r="EH649" s="1445" t="e">
        <f t="shared" si="4"/>
        <v>#VALUE!</v>
      </c>
      <c r="EI649" s="1445"/>
      <c r="EJ649" s="1445"/>
      <c r="EK649" s="1445"/>
      <c r="EL649" s="1445"/>
      <c r="EM649" s="1445">
        <f t="shared" si="5"/>
        <v>1463.5</v>
      </c>
      <c r="EN649" s="1445"/>
      <c r="EO649" s="1445"/>
      <c r="EP649" s="1445"/>
      <c r="EQ649" s="1445"/>
      <c r="ER649" s="1445" t="e">
        <f t="shared" si="6"/>
        <v>#VALUE!</v>
      </c>
      <c r="ES649" s="1445"/>
      <c r="ET649" s="1445"/>
      <c r="EU649" s="1445"/>
      <c r="EV649" s="1445"/>
      <c r="EW649" s="1445" t="e">
        <f t="shared" si="7"/>
        <v>#VALUE!</v>
      </c>
      <c r="EX649" s="1445"/>
      <c r="EY649" s="1445"/>
      <c r="EZ649" s="1445"/>
      <c r="FA649" s="1445"/>
    </row>
    <row r="650" spans="1:157" ht="12.95" customHeight="1">
      <c r="A650" s="22"/>
      <c r="T650" s="22"/>
      <c r="AZ650" s="34"/>
      <c r="BA650" s="34"/>
      <c r="BB650" s="34"/>
      <c r="BC650" s="34"/>
      <c r="BD650" s="34"/>
      <c r="BE650" s="34"/>
      <c r="BF650" s="34"/>
      <c r="BG650" s="34"/>
      <c r="BH650" s="34"/>
      <c r="BI650" s="34"/>
      <c r="BJ650" s="34"/>
      <c r="BK650" s="34"/>
      <c r="BL650" s="34"/>
      <c r="BM650" s="34"/>
      <c r="DX650" s="1445" t="e">
        <f t="shared" si="2"/>
        <v>#VALUE!</v>
      </c>
      <c r="DY650" s="1445"/>
      <c r="DZ650" s="1445"/>
      <c r="EA650" s="1445"/>
      <c r="EB650" s="1445"/>
      <c r="EC650" s="1445" t="e">
        <f t="shared" si="3"/>
        <v>#VALUE!</v>
      </c>
      <c r="ED650" s="1445"/>
      <c r="EE650" s="1445"/>
      <c r="EF650" s="1445"/>
      <c r="EG650" s="1445"/>
      <c r="EH650" s="1445" t="e">
        <f t="shared" si="4"/>
        <v>#VALUE!</v>
      </c>
      <c r="EI650" s="1445"/>
      <c r="EJ650" s="1445"/>
      <c r="EK650" s="1445"/>
      <c r="EL650" s="1445"/>
      <c r="EM650" s="1445" t="e">
        <f t="shared" si="5"/>
        <v>#VALUE!</v>
      </c>
      <c r="EN650" s="1445"/>
      <c r="EO650" s="1445"/>
      <c r="EP650" s="1445"/>
      <c r="EQ650" s="1445"/>
      <c r="ER650" s="1445">
        <f t="shared" si="6"/>
        <v>222.54545454545456</v>
      </c>
      <c r="ES650" s="1445"/>
      <c r="ET650" s="1445"/>
      <c r="EU650" s="1445"/>
      <c r="EV650" s="1445"/>
      <c r="EW650" s="1445" t="e">
        <f t="shared" si="7"/>
        <v>#VALUE!</v>
      </c>
      <c r="EX650" s="1445"/>
      <c r="EY650" s="1445"/>
      <c r="EZ650" s="1445"/>
      <c r="FA650" s="1445"/>
    </row>
    <row r="651" spans="1:157" ht="12.95" customHeight="1">
      <c r="A651" s="55" t="s">
        <v>119</v>
      </c>
      <c r="B651" t="s">
        <v>463</v>
      </c>
      <c r="G651" s="1358" t="str">
        <f>C629</f>
        <v>City of Ventura</v>
      </c>
      <c r="H651" s="1358"/>
      <c r="I651" s="1358"/>
      <c r="J651" s="1358"/>
      <c r="K651" s="1358"/>
      <c r="L651" s="1358"/>
      <c r="M651" s="1358"/>
      <c r="N651" s="1358"/>
      <c r="O651" s="1358"/>
      <c r="P651" s="1358"/>
      <c r="Q651" s="1358"/>
      <c r="R651" s="1358"/>
      <c r="T651" s="55" t="s">
        <v>581</v>
      </c>
      <c r="U651" t="s">
        <v>463</v>
      </c>
      <c r="Z651" s="1358" t="str">
        <f>C630</f>
        <v>R4 Capital Solar Credits</v>
      </c>
      <c r="AA651" s="1358"/>
      <c r="AB651" s="1358"/>
      <c r="AC651" s="1358"/>
      <c r="AD651" s="1358"/>
      <c r="AE651" s="1358"/>
      <c r="AF651" s="1358"/>
      <c r="AG651" s="1358"/>
      <c r="AH651" s="1358"/>
      <c r="AI651" s="1358"/>
      <c r="AJ651" s="1358"/>
      <c r="AK651" s="1358"/>
      <c r="AZ651" s="34"/>
      <c r="BA651" s="34"/>
      <c r="BB651" s="34"/>
      <c r="BC651" s="34"/>
      <c r="BD651" s="34"/>
      <c r="BE651" s="34"/>
      <c r="BF651" s="34"/>
      <c r="BG651" s="34"/>
      <c r="BH651" s="34"/>
      <c r="BI651" s="34"/>
      <c r="BJ651" s="34"/>
      <c r="BK651" s="34"/>
      <c r="BL651" s="34"/>
      <c r="BM651" s="34"/>
      <c r="DX651" s="1445" t="e">
        <f t="shared" si="2"/>
        <v>#VALUE!</v>
      </c>
      <c r="DY651" s="1445"/>
      <c r="DZ651" s="1445"/>
      <c r="EA651" s="1445"/>
      <c r="EB651" s="1445"/>
      <c r="EC651" s="1445" t="e">
        <f t="shared" si="3"/>
        <v>#VALUE!</v>
      </c>
      <c r="ED651" s="1445"/>
      <c r="EE651" s="1445"/>
      <c r="EF651" s="1445"/>
      <c r="EG651" s="1445"/>
      <c r="EH651" s="1445" t="e">
        <f t="shared" si="4"/>
        <v>#VALUE!</v>
      </c>
      <c r="EI651" s="1445"/>
      <c r="EJ651" s="1445"/>
      <c r="EK651" s="1445"/>
      <c r="EL651" s="1445"/>
      <c r="EM651" s="1445" t="e">
        <f t="shared" si="5"/>
        <v>#VALUE!</v>
      </c>
      <c r="EN651" s="1445"/>
      <c r="EO651" s="1445"/>
      <c r="EP651" s="1445"/>
      <c r="EQ651" s="1445"/>
      <c r="ER651" s="1445">
        <f t="shared" si="6"/>
        <v>148.45454545454547</v>
      </c>
      <c r="ES651" s="1445"/>
      <c r="ET651" s="1445"/>
      <c r="EU651" s="1445"/>
      <c r="EV651" s="1445"/>
      <c r="EW651" s="1445" t="e">
        <f t="shared" si="7"/>
        <v>#VALUE!</v>
      </c>
      <c r="EX651" s="1445"/>
      <c r="EY651" s="1445"/>
      <c r="EZ651" s="1445"/>
      <c r="FA651" s="1445"/>
    </row>
    <row r="652" spans="1:157" ht="12.95" customHeight="1">
      <c r="A652" s="22"/>
      <c r="B652" t="s">
        <v>85</v>
      </c>
      <c r="G652" s="1371" t="s">
        <v>2718</v>
      </c>
      <c r="H652" s="1371"/>
      <c r="I652" s="1371"/>
      <c r="J652" s="1371"/>
      <c r="K652" s="1371"/>
      <c r="L652" s="1371"/>
      <c r="M652" s="1371"/>
      <c r="N652" s="1371"/>
      <c r="O652" s="1371"/>
      <c r="P652" s="1371"/>
      <c r="Q652" s="1371"/>
      <c r="R652" s="1371"/>
      <c r="T652" s="22"/>
      <c r="U652" t="s">
        <v>85</v>
      </c>
      <c r="Z652" s="1371" t="s">
        <v>2674</v>
      </c>
      <c r="AA652" s="1371"/>
      <c r="AB652" s="1371"/>
      <c r="AC652" s="1371"/>
      <c r="AD652" s="1371"/>
      <c r="AE652" s="1371"/>
      <c r="AF652" s="1371"/>
      <c r="AG652" s="1371"/>
      <c r="AH652" s="1371"/>
      <c r="AI652" s="1371"/>
      <c r="AJ652" s="1371"/>
      <c r="AK652" s="1371"/>
      <c r="AZ652" s="34"/>
      <c r="BA652" s="34"/>
      <c r="BB652" s="34"/>
      <c r="BC652" s="34"/>
      <c r="BD652" s="34"/>
      <c r="BE652" s="34"/>
      <c r="BF652" s="34"/>
      <c r="BG652" s="34"/>
      <c r="BH652" s="34"/>
      <c r="BI652" s="34"/>
      <c r="BJ652" s="34"/>
      <c r="BK652" s="34"/>
      <c r="BL652" s="34"/>
      <c r="BM652" s="34"/>
      <c r="DX652" s="1445" t="e">
        <f t="shared" si="2"/>
        <v>#VALUE!</v>
      </c>
      <c r="DY652" s="1445"/>
      <c r="DZ652" s="1445"/>
      <c r="EA652" s="1445"/>
      <c r="EB652" s="1445"/>
      <c r="EC652" s="1445" t="e">
        <f t="shared" si="3"/>
        <v>#VALUE!</v>
      </c>
      <c r="ED652" s="1445"/>
      <c r="EE652" s="1445"/>
      <c r="EF652" s="1445"/>
      <c r="EG652" s="1445"/>
      <c r="EH652" s="1445" t="e">
        <f t="shared" si="4"/>
        <v>#VALUE!</v>
      </c>
      <c r="EI652" s="1445"/>
      <c r="EJ652" s="1445"/>
      <c r="EK652" s="1445"/>
      <c r="EL652" s="1445"/>
      <c r="EM652" s="1445" t="e">
        <f t="shared" si="5"/>
        <v>#VALUE!</v>
      </c>
      <c r="EN652" s="1445"/>
      <c r="EO652" s="1445"/>
      <c r="EP652" s="1445"/>
      <c r="EQ652" s="1445"/>
      <c r="ER652" s="1445">
        <f t="shared" si="6"/>
        <v>185.54545454545456</v>
      </c>
      <c r="ES652" s="1445"/>
      <c r="ET652" s="1445"/>
      <c r="EU652" s="1445"/>
      <c r="EV652" s="1445"/>
      <c r="EW652" s="1445" t="e">
        <f t="shared" si="7"/>
        <v>#VALUE!</v>
      </c>
      <c r="EX652" s="1445"/>
      <c r="EY652" s="1445"/>
      <c r="EZ652" s="1445"/>
      <c r="FA652" s="1445"/>
    </row>
    <row r="653" spans="1:157" ht="12.95" customHeight="1">
      <c r="A653" s="22"/>
      <c r="B653" t="s">
        <v>580</v>
      </c>
      <c r="G653" s="1348" t="s">
        <v>202</v>
      </c>
      <c r="H653" s="1348"/>
      <c r="I653" s="1348"/>
      <c r="J653" s="1348"/>
      <c r="K653" s="1348"/>
      <c r="L653" s="1348"/>
      <c r="M653" s="1348"/>
      <c r="N653" s="1348"/>
      <c r="O653" s="1348"/>
      <c r="P653" s="1348"/>
      <c r="Q653" s="1348"/>
      <c r="R653" s="1348"/>
      <c r="T653" s="22"/>
      <c r="U653" t="s">
        <v>580</v>
      </c>
      <c r="Z653" s="1348" t="s">
        <v>2617</v>
      </c>
      <c r="AA653" s="1348"/>
      <c r="AB653" s="1348"/>
      <c r="AC653" s="1348"/>
      <c r="AD653" s="1348"/>
      <c r="AE653" s="1348"/>
      <c r="AF653" s="1348"/>
      <c r="AG653" s="1348"/>
      <c r="AH653" s="1348"/>
      <c r="AI653" s="1348"/>
      <c r="AJ653" s="1348"/>
      <c r="AK653" s="1348"/>
      <c r="AZ653" s="34"/>
      <c r="BA653" s="34"/>
      <c r="BB653" s="34"/>
      <c r="BC653" s="34"/>
      <c r="BD653" s="34"/>
      <c r="BE653" s="34"/>
      <c r="BF653" s="34"/>
      <c r="BG653" s="34"/>
      <c r="BH653" s="34"/>
      <c r="BI653" s="34"/>
      <c r="BJ653" s="34"/>
      <c r="BK653" s="34"/>
      <c r="BL653" s="34"/>
      <c r="BM653" s="34"/>
      <c r="DX653" s="1445" t="e">
        <f t="shared" si="2"/>
        <v>#VALUE!</v>
      </c>
      <c r="DY653" s="1445"/>
      <c r="DZ653" s="1445"/>
      <c r="EA653" s="1445"/>
      <c r="EB653" s="1445"/>
      <c r="EC653" s="1445" t="e">
        <f t="shared" si="3"/>
        <v>#VALUE!</v>
      </c>
      <c r="ED653" s="1445"/>
      <c r="EE653" s="1445"/>
      <c r="EF653" s="1445"/>
      <c r="EG653" s="1445"/>
      <c r="EH653" s="1445" t="e">
        <f t="shared" si="4"/>
        <v>#VALUE!</v>
      </c>
      <c r="EI653" s="1445"/>
      <c r="EJ653" s="1445"/>
      <c r="EK653" s="1445"/>
      <c r="EL653" s="1445"/>
      <c r="EM653" s="1445" t="e">
        <f t="shared" si="5"/>
        <v>#VALUE!</v>
      </c>
      <c r="EN653" s="1445"/>
      <c r="EO653" s="1445"/>
      <c r="EP653" s="1445"/>
      <c r="EQ653" s="1445"/>
      <c r="ER653" s="1445">
        <f t="shared" si="6"/>
        <v>222.63636363636365</v>
      </c>
      <c r="ES653" s="1445"/>
      <c r="ET653" s="1445"/>
      <c r="EU653" s="1445"/>
      <c r="EV653" s="1445"/>
      <c r="EW653" s="1445" t="e">
        <f t="shared" si="7"/>
        <v>#VALUE!</v>
      </c>
      <c r="EX653" s="1445"/>
      <c r="EY653" s="1445"/>
      <c r="EZ653" s="1445"/>
      <c r="FA653" s="1445"/>
    </row>
    <row r="654" spans="1:157" ht="12.95" customHeight="1">
      <c r="A654" s="22"/>
      <c r="B654" t="s">
        <v>17</v>
      </c>
      <c r="G654" s="1348" t="s">
        <v>2719</v>
      </c>
      <c r="H654" s="1348"/>
      <c r="I654" s="1348"/>
      <c r="J654" s="1348"/>
      <c r="K654" s="1348"/>
      <c r="L654" s="1348"/>
      <c r="M654" s="1348"/>
      <c r="N654" s="1348"/>
      <c r="O654" s="1348"/>
      <c r="P654" s="1348"/>
      <c r="Q654" s="1348"/>
      <c r="R654" s="1348"/>
      <c r="T654" s="22"/>
      <c r="U654" t="s">
        <v>17</v>
      </c>
      <c r="Z654" s="1348" t="s">
        <v>2676</v>
      </c>
      <c r="AA654" s="1348"/>
      <c r="AB654" s="1348"/>
      <c r="AC654" s="1348"/>
      <c r="AD654" s="1348"/>
      <c r="AE654" s="1348"/>
      <c r="AF654" s="1348"/>
      <c r="AG654" s="1348"/>
      <c r="AH654" s="1348"/>
      <c r="AI654" s="1348"/>
      <c r="AJ654" s="1348"/>
      <c r="AK654" s="1348"/>
      <c r="AZ654" s="34"/>
      <c r="BA654" s="34"/>
      <c r="BB654" s="34"/>
      <c r="BC654" s="34"/>
      <c r="BD654" s="34"/>
      <c r="BE654" s="34"/>
      <c r="BF654" s="34"/>
      <c r="BG654" s="34"/>
      <c r="BH654" s="34"/>
      <c r="BI654" s="34"/>
      <c r="BJ654" s="34"/>
      <c r="BK654" s="34"/>
      <c r="BL654" s="34"/>
      <c r="BM654" s="34"/>
      <c r="DX654" s="1445" t="e">
        <f t="shared" si="2"/>
        <v>#VALUE!</v>
      </c>
      <c r="DY654" s="1445"/>
      <c r="DZ654" s="1445"/>
      <c r="EA654" s="1445"/>
      <c r="EB654" s="1445"/>
      <c r="EC654" s="1445" t="e">
        <f t="shared" si="3"/>
        <v>#VALUE!</v>
      </c>
      <c r="ED654" s="1445"/>
      <c r="EE654" s="1445"/>
      <c r="EF654" s="1445"/>
      <c r="EG654" s="1445"/>
      <c r="EH654" s="1445" t="e">
        <f t="shared" si="4"/>
        <v>#VALUE!</v>
      </c>
      <c r="EI654" s="1445"/>
      <c r="EJ654" s="1445"/>
      <c r="EK654" s="1445"/>
      <c r="EL654" s="1445"/>
      <c r="EM654" s="1445" t="e">
        <f t="shared" si="5"/>
        <v>#VALUE!</v>
      </c>
      <c r="EN654" s="1445"/>
      <c r="EO654" s="1445"/>
      <c r="EP654" s="1445"/>
      <c r="EQ654" s="1445"/>
      <c r="ER654" s="1445">
        <f t="shared" si="6"/>
        <v>1781.4545454545453</v>
      </c>
      <c r="ES654" s="1445"/>
      <c r="ET654" s="1445"/>
      <c r="EU654" s="1445"/>
      <c r="EV654" s="1445"/>
      <c r="EW654" s="1445" t="e">
        <f t="shared" si="7"/>
        <v>#VALUE!</v>
      </c>
      <c r="EX654" s="1445"/>
      <c r="EY654" s="1445"/>
      <c r="EZ654" s="1445"/>
      <c r="FA654" s="1445"/>
    </row>
    <row r="655" spans="1:157" ht="12.95" customHeight="1">
      <c r="A655" s="22"/>
      <c r="B655" t="s">
        <v>315</v>
      </c>
      <c r="G655" s="1346" t="s">
        <v>2720</v>
      </c>
      <c r="H655" s="1346"/>
      <c r="I655" s="1346"/>
      <c r="J655" s="1346"/>
      <c r="K655" s="1346"/>
      <c r="L655" s="1346"/>
      <c r="O655" s="33" t="s">
        <v>205</v>
      </c>
      <c r="P655" s="1437"/>
      <c r="Q655" s="1437"/>
      <c r="R655" s="1437"/>
      <c r="T655" s="22"/>
      <c r="U655" t="s">
        <v>315</v>
      </c>
      <c r="Z655" s="1346" t="s">
        <v>2677</v>
      </c>
      <c r="AA655" s="1346"/>
      <c r="AB655" s="1346"/>
      <c r="AC655" s="1346"/>
      <c r="AD655" s="1346"/>
      <c r="AE655" s="1346"/>
      <c r="AH655" s="33" t="s">
        <v>205</v>
      </c>
      <c r="AI655" s="1437"/>
      <c r="AJ655" s="1437"/>
      <c r="AK655" s="1437"/>
      <c r="AZ655" s="34"/>
      <c r="BA655" s="34"/>
      <c r="BB655" s="34"/>
      <c r="BC655" s="34"/>
      <c r="BD655" s="34"/>
      <c r="BE655" s="34"/>
      <c r="BF655" s="34"/>
      <c r="BG655" s="34"/>
      <c r="BH655" s="34"/>
      <c r="BI655" s="34"/>
      <c r="BJ655" s="34"/>
      <c r="BK655" s="34"/>
      <c r="BL655" s="34"/>
      <c r="BM655" s="34"/>
      <c r="DX655" s="1445" t="e">
        <f t="shared" si="2"/>
        <v>#VALUE!</v>
      </c>
      <c r="DY655" s="1445"/>
      <c r="DZ655" s="1445"/>
      <c r="EA655" s="1445"/>
      <c r="EB655" s="1445"/>
      <c r="EC655" s="1445" t="e">
        <f t="shared" si="3"/>
        <v>#VALUE!</v>
      </c>
      <c r="ED655" s="1445"/>
      <c r="EE655" s="1445"/>
      <c r="EF655" s="1445"/>
      <c r="EG655" s="1445"/>
      <c r="EH655" s="1445" t="e">
        <f t="shared" si="4"/>
        <v>#VALUE!</v>
      </c>
      <c r="EI655" s="1445"/>
      <c r="EJ655" s="1445"/>
      <c r="EK655" s="1445"/>
      <c r="EL655" s="1445"/>
      <c r="EM655" s="1445" t="e">
        <f t="shared" si="5"/>
        <v>#VALUE!</v>
      </c>
      <c r="EN655" s="1445"/>
      <c r="EO655" s="1445"/>
      <c r="EP655" s="1445"/>
      <c r="EQ655" s="1445"/>
      <c r="ER655" s="1445" t="e">
        <f t="shared" si="6"/>
        <v>#VALUE!</v>
      </c>
      <c r="ES655" s="1445"/>
      <c r="ET655" s="1445"/>
      <c r="EU655" s="1445"/>
      <c r="EV655" s="1445"/>
      <c r="EW655" s="1445" t="e">
        <f t="shared" si="7"/>
        <v>#VALUE!</v>
      </c>
      <c r="EX655" s="1445"/>
      <c r="EY655" s="1445"/>
      <c r="EZ655" s="1445"/>
      <c r="FA655" s="1445"/>
    </row>
    <row r="656" spans="1:157" ht="12.95" customHeight="1">
      <c r="A656" s="22"/>
      <c r="B656" t="s">
        <v>18</v>
      </c>
      <c r="H656" s="1371" t="s">
        <v>2716</v>
      </c>
      <c r="I656" s="1371"/>
      <c r="J656" s="1371"/>
      <c r="K656" s="1371"/>
      <c r="L656" s="1371"/>
      <c r="M656" s="1371"/>
      <c r="N656" s="1371"/>
      <c r="O656" s="1371"/>
      <c r="P656" s="1371"/>
      <c r="Q656" s="1371"/>
      <c r="R656" s="1371"/>
      <c r="T656" s="22"/>
      <c r="U656" t="s">
        <v>18</v>
      </c>
      <c r="AA656" s="1371" t="s">
        <v>2722</v>
      </c>
      <c r="AB656" s="1371"/>
      <c r="AC656" s="1371"/>
      <c r="AD656" s="1371"/>
      <c r="AE656" s="1371"/>
      <c r="AF656" s="1371"/>
      <c r="AG656" s="1371"/>
      <c r="AH656" s="1371"/>
      <c r="AI656" s="1371"/>
      <c r="AJ656" s="1371"/>
      <c r="AK656" s="1371"/>
      <c r="AZ656" s="34"/>
      <c r="BA656" s="34"/>
      <c r="BB656" s="34"/>
      <c r="BC656" s="34"/>
      <c r="BD656" s="34"/>
      <c r="BE656" s="34"/>
      <c r="BF656" s="34"/>
      <c r="BG656" s="34"/>
      <c r="BH656" s="34"/>
      <c r="BI656" s="34"/>
      <c r="BJ656" s="34"/>
      <c r="BK656" s="34"/>
      <c r="BL656" s="34"/>
      <c r="BM656" s="34"/>
      <c r="DX656" s="1445" t="e">
        <f t="shared" si="2"/>
        <v>#VALUE!</v>
      </c>
      <c r="DY656" s="1445"/>
      <c r="DZ656" s="1445"/>
      <c r="EA656" s="1445"/>
      <c r="EB656" s="1445"/>
      <c r="EC656" s="1445" t="e">
        <f t="shared" si="3"/>
        <v>#VALUE!</v>
      </c>
      <c r="ED656" s="1445"/>
      <c r="EE656" s="1445"/>
      <c r="EF656" s="1445"/>
      <c r="EG656" s="1445"/>
      <c r="EH656" s="1445" t="e">
        <f t="shared" si="4"/>
        <v>#VALUE!</v>
      </c>
      <c r="EI656" s="1445"/>
      <c r="EJ656" s="1445"/>
      <c r="EK656" s="1445"/>
      <c r="EL656" s="1445"/>
      <c r="EM656" s="1445" t="e">
        <f t="shared" si="5"/>
        <v>#VALUE!</v>
      </c>
      <c r="EN656" s="1445"/>
      <c r="EO656" s="1445"/>
      <c r="EP656" s="1445"/>
      <c r="EQ656" s="1445"/>
      <c r="ER656" s="1445" t="e">
        <f t="shared" si="6"/>
        <v>#VALUE!</v>
      </c>
      <c r="ES656" s="1445"/>
      <c r="ET656" s="1445"/>
      <c r="EU656" s="1445"/>
      <c r="EV656" s="1445"/>
      <c r="EW656" s="1445" t="e">
        <f t="shared" si="7"/>
        <v>#VALUE!</v>
      </c>
      <c r="EX656" s="1445"/>
      <c r="EY656" s="1445"/>
      <c r="EZ656" s="1445"/>
      <c r="FA656" s="1445"/>
    </row>
    <row r="657" spans="1:157" ht="12.95" customHeight="1">
      <c r="A657" s="22"/>
      <c r="B657" t="s">
        <v>20</v>
      </c>
      <c r="N657" s="1332" t="s">
        <v>545</v>
      </c>
      <c r="O657" s="1332"/>
      <c r="T657" s="22"/>
      <c r="U657" t="s">
        <v>20</v>
      </c>
      <c r="AG657" s="1332" t="s">
        <v>545</v>
      </c>
      <c r="AH657" s="1332"/>
      <c r="AZ657" s="34"/>
      <c r="BA657" s="34"/>
      <c r="BB657" s="34"/>
      <c r="BC657" s="34"/>
      <c r="BD657" s="34"/>
      <c r="BE657" s="34"/>
      <c r="BF657" s="34"/>
      <c r="BG657" s="34"/>
      <c r="BH657" s="34"/>
      <c r="BI657" s="34"/>
      <c r="BJ657" s="34"/>
      <c r="BK657" s="34"/>
      <c r="BL657" s="34"/>
      <c r="BM657" s="34"/>
      <c r="DX657" s="1445" t="e">
        <f t="shared" si="2"/>
        <v>#VALUE!</v>
      </c>
      <c r="DY657" s="1445"/>
      <c r="DZ657" s="1445"/>
      <c r="EA657" s="1445"/>
      <c r="EB657" s="1445"/>
      <c r="EC657" s="1445" t="e">
        <f t="shared" si="3"/>
        <v>#VALUE!</v>
      </c>
      <c r="ED657" s="1445"/>
      <c r="EE657" s="1445"/>
      <c r="EF657" s="1445"/>
      <c r="EG657" s="1445"/>
      <c r="EH657" s="1445" t="e">
        <f t="shared" si="4"/>
        <v>#VALUE!</v>
      </c>
      <c r="EI657" s="1445"/>
      <c r="EJ657" s="1445"/>
      <c r="EK657" s="1445"/>
      <c r="EL657" s="1445"/>
      <c r="EM657" s="1445" t="e">
        <f t="shared" si="5"/>
        <v>#VALUE!</v>
      </c>
      <c r="EN657" s="1445"/>
      <c r="EO657" s="1445"/>
      <c r="EP657" s="1445"/>
      <c r="EQ657" s="1445"/>
      <c r="ER657" s="1445" t="e">
        <f t="shared" si="6"/>
        <v>#VALUE!</v>
      </c>
      <c r="ES657" s="1445"/>
      <c r="ET657" s="1445"/>
      <c r="EU657" s="1445"/>
      <c r="EV657" s="1445"/>
      <c r="EW657" s="1445" t="e">
        <f t="shared" si="7"/>
        <v>#VALUE!</v>
      </c>
      <c r="EX657" s="1445"/>
      <c r="EY657" s="1445"/>
      <c r="EZ657" s="1445"/>
      <c r="FA657" s="1445"/>
    </row>
    <row r="658" spans="1:157" ht="12.95" customHeight="1">
      <c r="A658" s="22"/>
      <c r="T658" s="22"/>
      <c r="AZ658" s="34"/>
      <c r="BA658" s="34"/>
      <c r="BB658" s="34"/>
      <c r="BC658" s="34"/>
      <c r="BD658" s="34"/>
      <c r="BE658" s="34"/>
      <c r="BF658" s="34"/>
      <c r="BG658" s="34"/>
      <c r="BH658" s="34"/>
      <c r="BI658" s="34"/>
      <c r="BJ658" s="34"/>
      <c r="BK658" s="34"/>
      <c r="BL658" s="34"/>
      <c r="BM658" s="34"/>
      <c r="DX658" s="1445" t="e">
        <f t="shared" si="2"/>
        <v>#VALUE!</v>
      </c>
      <c r="DY658" s="1445"/>
      <c r="DZ658" s="1445"/>
      <c r="EA658" s="1445"/>
      <c r="EB658" s="1445"/>
      <c r="EC658" s="1445" t="e">
        <f t="shared" si="3"/>
        <v>#VALUE!</v>
      </c>
      <c r="ED658" s="1445"/>
      <c r="EE658" s="1445"/>
      <c r="EF658" s="1445"/>
      <c r="EG658" s="1445"/>
      <c r="EH658" s="1445" t="e">
        <f t="shared" si="4"/>
        <v>#VALUE!</v>
      </c>
      <c r="EI658" s="1445"/>
      <c r="EJ658" s="1445"/>
      <c r="EK658" s="1445"/>
      <c r="EL658" s="1445"/>
      <c r="EM658" s="1445" t="e">
        <f t="shared" si="5"/>
        <v>#VALUE!</v>
      </c>
      <c r="EN658" s="1445"/>
      <c r="EO658" s="1445"/>
      <c r="EP658" s="1445"/>
      <c r="EQ658" s="1445"/>
      <c r="ER658" s="1445" t="e">
        <f t="shared" si="6"/>
        <v>#VALUE!</v>
      </c>
      <c r="ES658" s="1445"/>
      <c r="ET658" s="1445"/>
      <c r="EU658" s="1445"/>
      <c r="EV658" s="1445"/>
      <c r="EW658" s="1445" t="e">
        <f t="shared" si="7"/>
        <v>#VALUE!</v>
      </c>
      <c r="EX658" s="1445"/>
      <c r="EY658" s="1445"/>
      <c r="EZ658" s="1445"/>
      <c r="FA658" s="1445"/>
    </row>
    <row r="659" spans="1:157" ht="12.95" customHeight="1">
      <c r="A659" s="55" t="s">
        <v>763</v>
      </c>
      <c r="B659" t="s">
        <v>463</v>
      </c>
      <c r="G659" s="1358" t="str">
        <f>C631</f>
        <v>Red Tail Multifamily Land Development, LLC</v>
      </c>
      <c r="H659" s="1358"/>
      <c r="I659" s="1358"/>
      <c r="J659" s="1358"/>
      <c r="K659" s="1358"/>
      <c r="L659" s="1358"/>
      <c r="M659" s="1358"/>
      <c r="N659" s="1358"/>
      <c r="O659" s="1358"/>
      <c r="P659" s="1358"/>
      <c r="Q659" s="1358"/>
      <c r="R659" s="1358"/>
      <c r="T659" s="55" t="s">
        <v>584</v>
      </c>
      <c r="U659" t="s">
        <v>463</v>
      </c>
      <c r="Z659" s="1358">
        <f>C632</f>
        <v>0</v>
      </c>
      <c r="AA659" s="1358"/>
      <c r="AB659" s="1358"/>
      <c r="AC659" s="1358"/>
      <c r="AD659" s="1358"/>
      <c r="AE659" s="1358"/>
      <c r="AF659" s="1358"/>
      <c r="AG659" s="1358"/>
      <c r="AH659" s="1358"/>
      <c r="AI659" s="1358"/>
      <c r="AJ659" s="1358"/>
      <c r="AK659" s="1358"/>
      <c r="AZ659" s="34"/>
      <c r="BA659" s="34"/>
      <c r="BB659" s="34"/>
      <c r="BC659" s="34"/>
      <c r="BD659" s="34"/>
      <c r="BE659" s="34"/>
      <c r="BF659" s="34"/>
      <c r="BG659" s="34"/>
      <c r="BH659" s="34"/>
      <c r="BI659" s="34"/>
      <c r="BJ659" s="34"/>
      <c r="BK659" s="34"/>
      <c r="BL659" s="34"/>
      <c r="BM659" s="34"/>
      <c r="DX659" s="1445" t="e">
        <f t="shared" si="2"/>
        <v>#VALUE!</v>
      </c>
      <c r="DY659" s="1445"/>
      <c r="DZ659" s="1445"/>
      <c r="EA659" s="1445"/>
      <c r="EB659" s="1445"/>
      <c r="EC659" s="1445" t="e">
        <f t="shared" si="3"/>
        <v>#VALUE!</v>
      </c>
      <c r="ED659" s="1445"/>
      <c r="EE659" s="1445"/>
      <c r="EF659" s="1445"/>
      <c r="EG659" s="1445"/>
      <c r="EH659" s="1445" t="e">
        <f t="shared" si="4"/>
        <v>#VALUE!</v>
      </c>
      <c r="EI659" s="1445"/>
      <c r="EJ659" s="1445"/>
      <c r="EK659" s="1445"/>
      <c r="EL659" s="1445"/>
      <c r="EM659" s="1445" t="e">
        <f t="shared" si="5"/>
        <v>#VALUE!</v>
      </c>
      <c r="EN659" s="1445"/>
      <c r="EO659" s="1445"/>
      <c r="EP659" s="1445"/>
      <c r="EQ659" s="1445"/>
      <c r="ER659" s="1445" t="e">
        <f t="shared" si="6"/>
        <v>#VALUE!</v>
      </c>
      <c r="ES659" s="1445"/>
      <c r="ET659" s="1445"/>
      <c r="EU659" s="1445"/>
      <c r="EV659" s="1445"/>
      <c r="EW659" s="1445" t="e">
        <f t="shared" si="7"/>
        <v>#VALUE!</v>
      </c>
      <c r="EX659" s="1445"/>
      <c r="EY659" s="1445"/>
      <c r="EZ659" s="1445"/>
      <c r="FA659" s="1445"/>
    </row>
    <row r="660" spans="1:157" ht="12.95" customHeight="1">
      <c r="A660" s="22"/>
      <c r="B660" t="s">
        <v>85</v>
      </c>
      <c r="G660" s="1371" t="s">
        <v>2647</v>
      </c>
      <c r="H660" s="1371"/>
      <c r="I660" s="1371"/>
      <c r="J660" s="1371"/>
      <c r="K660" s="1371"/>
      <c r="L660" s="1371"/>
      <c r="M660" s="1371"/>
      <c r="N660" s="1371"/>
      <c r="O660" s="1371"/>
      <c r="P660" s="1371"/>
      <c r="Q660" s="1371"/>
      <c r="R660" s="1371"/>
      <c r="T660" s="22"/>
      <c r="U660" t="s">
        <v>85</v>
      </c>
      <c r="Z660" s="1371"/>
      <c r="AA660" s="1371"/>
      <c r="AB660" s="1371"/>
      <c r="AC660" s="1371"/>
      <c r="AD660" s="1371"/>
      <c r="AE660" s="1371"/>
      <c r="AF660" s="1371"/>
      <c r="AG660" s="1371"/>
      <c r="AH660" s="1371"/>
      <c r="AI660" s="1371"/>
      <c r="AJ660" s="1371"/>
      <c r="AK660" s="1371"/>
      <c r="AZ660" s="34"/>
      <c r="BA660" s="34"/>
      <c r="BB660" s="34"/>
      <c r="BC660" s="34"/>
      <c r="BD660" s="34"/>
      <c r="BE660" s="34"/>
      <c r="BF660" s="34"/>
      <c r="BG660" s="34"/>
      <c r="BH660" s="34"/>
      <c r="BI660" s="34"/>
      <c r="BJ660" s="34"/>
      <c r="BK660" s="34"/>
      <c r="BL660" s="34"/>
      <c r="BM660" s="34"/>
      <c r="DX660" s="1445" t="e">
        <f t="shared" si="2"/>
        <v>#VALUE!</v>
      </c>
      <c r="DY660" s="1445"/>
      <c r="DZ660" s="1445"/>
      <c r="EA660" s="1445"/>
      <c r="EB660" s="1445"/>
      <c r="EC660" s="1445" t="e">
        <f t="shared" si="3"/>
        <v>#VALUE!</v>
      </c>
      <c r="ED660" s="1445"/>
      <c r="EE660" s="1445"/>
      <c r="EF660" s="1445"/>
      <c r="EG660" s="1445"/>
      <c r="EH660" s="1445" t="e">
        <f t="shared" si="4"/>
        <v>#VALUE!</v>
      </c>
      <c r="EI660" s="1445"/>
      <c r="EJ660" s="1445"/>
      <c r="EK660" s="1445"/>
      <c r="EL660" s="1445"/>
      <c r="EM660" s="1445" t="e">
        <f t="shared" si="5"/>
        <v>#VALUE!</v>
      </c>
      <c r="EN660" s="1445"/>
      <c r="EO660" s="1445"/>
      <c r="EP660" s="1445"/>
      <c r="EQ660" s="1445"/>
      <c r="ER660" s="1445" t="e">
        <f t="shared" si="6"/>
        <v>#VALUE!</v>
      </c>
      <c r="ES660" s="1445"/>
      <c r="ET660" s="1445"/>
      <c r="EU660" s="1445"/>
      <c r="EV660" s="1445"/>
      <c r="EW660" s="1445" t="e">
        <f t="shared" si="7"/>
        <v>#VALUE!</v>
      </c>
      <c r="EX660" s="1445"/>
      <c r="EY660" s="1445"/>
      <c r="EZ660" s="1445"/>
      <c r="FA660" s="1445"/>
    </row>
    <row r="661" spans="1:157" ht="12.95" customHeight="1">
      <c r="A661" s="22"/>
      <c r="B661" t="s">
        <v>580</v>
      </c>
      <c r="G661" s="1371" t="s">
        <v>2637</v>
      </c>
      <c r="H661" s="1371"/>
      <c r="I661" s="1371"/>
      <c r="J661" s="1371"/>
      <c r="K661" s="1371"/>
      <c r="L661" s="1371"/>
      <c r="M661" s="1371"/>
      <c r="N661" s="1371"/>
      <c r="O661" s="1371"/>
      <c r="P661" s="1371"/>
      <c r="Q661" s="1371"/>
      <c r="R661" s="1371"/>
      <c r="T661" s="22"/>
      <c r="U661" t="s">
        <v>580</v>
      </c>
      <c r="Z661" s="1348"/>
      <c r="AA661" s="1348"/>
      <c r="AB661" s="1348"/>
      <c r="AC661" s="1348"/>
      <c r="AD661" s="1348"/>
      <c r="AE661" s="1348"/>
      <c r="AF661" s="1348"/>
      <c r="AG661" s="1348"/>
      <c r="AH661" s="1348"/>
      <c r="AI661" s="1348"/>
      <c r="AJ661" s="1348"/>
      <c r="AK661" s="1348"/>
      <c r="AZ661" s="34"/>
      <c r="BA661" s="34"/>
      <c r="BB661" s="34"/>
      <c r="BC661" s="34"/>
      <c r="BD661" s="34"/>
      <c r="BE661" s="34"/>
      <c r="BF661" s="34"/>
      <c r="BG661" s="34"/>
      <c r="BH661" s="34"/>
      <c r="BI661" s="34"/>
      <c r="BJ661" s="34"/>
      <c r="BK661" s="34"/>
      <c r="BL661" s="34"/>
      <c r="BM661" s="34"/>
      <c r="DX661" s="1445" t="e">
        <f t="shared" si="2"/>
        <v>#VALUE!</v>
      </c>
      <c r="DY661" s="1445"/>
      <c r="DZ661" s="1445"/>
      <c r="EA661" s="1445"/>
      <c r="EB661" s="1445"/>
      <c r="EC661" s="1445" t="e">
        <f t="shared" si="3"/>
        <v>#VALUE!</v>
      </c>
      <c r="ED661" s="1445"/>
      <c r="EE661" s="1445"/>
      <c r="EF661" s="1445"/>
      <c r="EG661" s="1445"/>
      <c r="EH661" s="1445" t="e">
        <f t="shared" si="4"/>
        <v>#VALUE!</v>
      </c>
      <c r="EI661" s="1445"/>
      <c r="EJ661" s="1445"/>
      <c r="EK661" s="1445"/>
      <c r="EL661" s="1445"/>
      <c r="EM661" s="1445" t="e">
        <f t="shared" si="5"/>
        <v>#VALUE!</v>
      </c>
      <c r="EN661" s="1445"/>
      <c r="EO661" s="1445"/>
      <c r="EP661" s="1445"/>
      <c r="EQ661" s="1445"/>
      <c r="ER661" s="1445" t="e">
        <f t="shared" si="6"/>
        <v>#VALUE!</v>
      </c>
      <c r="ES661" s="1445"/>
      <c r="ET661" s="1445"/>
      <c r="EU661" s="1445"/>
      <c r="EV661" s="1445"/>
      <c r="EW661" s="1445" t="e">
        <f t="shared" si="7"/>
        <v>#VALUE!</v>
      </c>
      <c r="EX661" s="1445"/>
      <c r="EY661" s="1445"/>
      <c r="EZ661" s="1445"/>
      <c r="FA661" s="1445"/>
    </row>
    <row r="662" spans="1:157" ht="12.95" customHeight="1">
      <c r="A662" s="22"/>
      <c r="B662" t="s">
        <v>17</v>
      </c>
      <c r="G662" s="1371" t="s">
        <v>2638</v>
      </c>
      <c r="H662" s="1371"/>
      <c r="I662" s="1371"/>
      <c r="J662" s="1371"/>
      <c r="K662" s="1371"/>
      <c r="L662" s="1371"/>
      <c r="M662" s="1371"/>
      <c r="N662" s="1371"/>
      <c r="O662" s="1371"/>
      <c r="P662" s="1371"/>
      <c r="Q662" s="1371"/>
      <c r="R662" s="1371"/>
      <c r="T662" s="22"/>
      <c r="U662" t="s">
        <v>17</v>
      </c>
      <c r="Z662" s="1348"/>
      <c r="AA662" s="1348"/>
      <c r="AB662" s="1348"/>
      <c r="AC662" s="1348"/>
      <c r="AD662" s="1348"/>
      <c r="AE662" s="1348"/>
      <c r="AF662" s="1348"/>
      <c r="AG662" s="1348"/>
      <c r="AH662" s="1348"/>
      <c r="AI662" s="1348"/>
      <c r="AJ662" s="1348"/>
      <c r="AK662" s="1348"/>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445" t="e">
        <f t="shared" si="2"/>
        <v>#VALUE!</v>
      </c>
      <c r="DY662" s="1445"/>
      <c r="DZ662" s="1445"/>
      <c r="EA662" s="1445"/>
      <c r="EB662" s="1445"/>
      <c r="EC662" s="1445" t="e">
        <f t="shared" si="3"/>
        <v>#VALUE!</v>
      </c>
      <c r="ED662" s="1445"/>
      <c r="EE662" s="1445"/>
      <c r="EF662" s="1445"/>
      <c r="EG662" s="1445"/>
      <c r="EH662" s="1445" t="e">
        <f t="shared" si="4"/>
        <v>#VALUE!</v>
      </c>
      <c r="EI662" s="1445"/>
      <c r="EJ662" s="1445"/>
      <c r="EK662" s="1445"/>
      <c r="EL662" s="1445"/>
      <c r="EM662" s="1445" t="e">
        <f t="shared" si="5"/>
        <v>#VALUE!</v>
      </c>
      <c r="EN662" s="1445"/>
      <c r="EO662" s="1445"/>
      <c r="EP662" s="1445"/>
      <c r="EQ662" s="1445"/>
      <c r="ER662" s="1445" t="e">
        <f t="shared" si="6"/>
        <v>#VALUE!</v>
      </c>
      <c r="ES662" s="1445"/>
      <c r="ET662" s="1445"/>
      <c r="EU662" s="1445"/>
      <c r="EV662" s="1445"/>
      <c r="EW662" s="1445" t="e">
        <f t="shared" si="7"/>
        <v>#VALUE!</v>
      </c>
      <c r="EX662" s="1445"/>
      <c r="EY662" s="1445"/>
      <c r="EZ662" s="1445"/>
      <c r="FA662" s="1445"/>
    </row>
    <row r="663" spans="1:157" ht="12.95" customHeight="1">
      <c r="A663" s="22"/>
      <c r="B663" t="s">
        <v>315</v>
      </c>
      <c r="G663" s="1346">
        <v>4157578639</v>
      </c>
      <c r="H663" s="1346"/>
      <c r="I663" s="1346"/>
      <c r="J663" s="1346"/>
      <c r="K663" s="1346"/>
      <c r="L663" s="1346"/>
      <c r="O663" s="33" t="s">
        <v>205</v>
      </c>
      <c r="P663" s="1437"/>
      <c r="Q663" s="1437"/>
      <c r="R663" s="1437"/>
      <c r="T663" s="22"/>
      <c r="U663" t="s">
        <v>315</v>
      </c>
      <c r="Z663" s="1346"/>
      <c r="AA663" s="1346"/>
      <c r="AB663" s="1346"/>
      <c r="AC663" s="1346"/>
      <c r="AD663" s="1346"/>
      <c r="AE663" s="1346"/>
      <c r="AH663" s="33" t="s">
        <v>205</v>
      </c>
      <c r="AI663" s="1437"/>
      <c r="AJ663" s="1437"/>
      <c r="AK663" s="1437"/>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445" t="e">
        <f t="shared" si="2"/>
        <v>#VALUE!</v>
      </c>
      <c r="DY663" s="1445"/>
      <c r="DZ663" s="1445"/>
      <c r="EA663" s="1445"/>
      <c r="EB663" s="1445"/>
      <c r="EC663" s="1445" t="e">
        <f t="shared" si="3"/>
        <v>#VALUE!</v>
      </c>
      <c r="ED663" s="1445"/>
      <c r="EE663" s="1445"/>
      <c r="EF663" s="1445"/>
      <c r="EG663" s="1445"/>
      <c r="EH663" s="1445" t="e">
        <f t="shared" si="4"/>
        <v>#VALUE!</v>
      </c>
      <c r="EI663" s="1445"/>
      <c r="EJ663" s="1445"/>
      <c r="EK663" s="1445"/>
      <c r="EL663" s="1445"/>
      <c r="EM663" s="1445" t="e">
        <f t="shared" si="5"/>
        <v>#VALUE!</v>
      </c>
      <c r="EN663" s="1445"/>
      <c r="EO663" s="1445"/>
      <c r="EP663" s="1445"/>
      <c r="EQ663" s="1445"/>
      <c r="ER663" s="1445" t="e">
        <f t="shared" si="6"/>
        <v>#VALUE!</v>
      </c>
      <c r="ES663" s="1445"/>
      <c r="ET663" s="1445"/>
      <c r="EU663" s="1445"/>
      <c r="EV663" s="1445"/>
      <c r="EW663" s="1445" t="e">
        <f t="shared" si="7"/>
        <v>#VALUE!</v>
      </c>
      <c r="EX663" s="1445"/>
      <c r="EY663" s="1445"/>
      <c r="EZ663" s="1445"/>
      <c r="FA663" s="1445"/>
    </row>
    <row r="664" spans="1:157" ht="12.95" customHeight="1">
      <c r="A664" s="22"/>
      <c r="B664" t="s">
        <v>18</v>
      </c>
      <c r="H664" s="1416" t="s">
        <v>2321</v>
      </c>
      <c r="I664" s="1371"/>
      <c r="J664" s="1371"/>
      <c r="K664" s="1371"/>
      <c r="L664" s="1371"/>
      <c r="M664" s="1371"/>
      <c r="N664" s="1371"/>
      <c r="O664" s="1371"/>
      <c r="P664" s="1371"/>
      <c r="Q664" s="1371"/>
      <c r="R664" s="1371"/>
      <c r="T664" s="22"/>
      <c r="U664" t="s">
        <v>18</v>
      </c>
      <c r="AA664" s="1371"/>
      <c r="AB664" s="1371"/>
      <c r="AC664" s="1371"/>
      <c r="AD664" s="1371"/>
      <c r="AE664" s="1371"/>
      <c r="AF664" s="1371"/>
      <c r="AG664" s="1371"/>
      <c r="AH664" s="1371"/>
      <c r="AI664" s="1371"/>
      <c r="AJ664" s="1371"/>
      <c r="AK664" s="1371"/>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445" t="e">
        <f t="shared" si="2"/>
        <v>#VALUE!</v>
      </c>
      <c r="DY664" s="1445"/>
      <c r="DZ664" s="1445"/>
      <c r="EA664" s="1445"/>
      <c r="EB664" s="1445"/>
      <c r="EC664" s="1445" t="e">
        <f t="shared" si="3"/>
        <v>#VALUE!</v>
      </c>
      <c r="ED664" s="1445"/>
      <c r="EE664" s="1445"/>
      <c r="EF664" s="1445"/>
      <c r="EG664" s="1445"/>
      <c r="EH664" s="1445" t="e">
        <f t="shared" si="4"/>
        <v>#VALUE!</v>
      </c>
      <c r="EI664" s="1445"/>
      <c r="EJ664" s="1445"/>
      <c r="EK664" s="1445"/>
      <c r="EL664" s="1445"/>
      <c r="EM664" s="1445" t="e">
        <f t="shared" si="5"/>
        <v>#VALUE!</v>
      </c>
      <c r="EN664" s="1445"/>
      <c r="EO664" s="1445"/>
      <c r="EP664" s="1445"/>
      <c r="EQ664" s="1445"/>
      <c r="ER664" s="1445" t="e">
        <f t="shared" si="6"/>
        <v>#VALUE!</v>
      </c>
      <c r="ES664" s="1445"/>
      <c r="ET664" s="1445"/>
      <c r="EU664" s="1445"/>
      <c r="EV664" s="1445"/>
      <c r="EW664" s="1445" t="e">
        <f t="shared" si="7"/>
        <v>#VALUE!</v>
      </c>
      <c r="EX664" s="1445"/>
      <c r="EY664" s="1445"/>
      <c r="EZ664" s="1445"/>
      <c r="FA664" s="1445"/>
    </row>
    <row r="665" spans="1:157" ht="12.95" customHeight="1">
      <c r="A665" s="22"/>
      <c r="B665" t="s">
        <v>20</v>
      </c>
      <c r="N665" s="1332" t="s">
        <v>545</v>
      </c>
      <c r="O665" s="1332"/>
      <c r="T665" s="22"/>
      <c r="U665" t="s">
        <v>20</v>
      </c>
      <c r="AG665" s="1332" t="s">
        <v>669</v>
      </c>
      <c r="AH665" s="1332"/>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445" t="e">
        <f t="shared" si="2"/>
        <v>#VALUE!</v>
      </c>
      <c r="DY665" s="1445"/>
      <c r="DZ665" s="1445"/>
      <c r="EA665" s="1445"/>
      <c r="EB665" s="1445"/>
      <c r="EC665" s="1445" t="e">
        <f t="shared" si="3"/>
        <v>#VALUE!</v>
      </c>
      <c r="ED665" s="1445"/>
      <c r="EE665" s="1445"/>
      <c r="EF665" s="1445"/>
      <c r="EG665" s="1445"/>
      <c r="EH665" s="1445" t="e">
        <f t="shared" si="4"/>
        <v>#VALUE!</v>
      </c>
      <c r="EI665" s="1445"/>
      <c r="EJ665" s="1445"/>
      <c r="EK665" s="1445"/>
      <c r="EL665" s="1445"/>
      <c r="EM665" s="1445" t="e">
        <f t="shared" si="5"/>
        <v>#VALUE!</v>
      </c>
      <c r="EN665" s="1445"/>
      <c r="EO665" s="1445"/>
      <c r="EP665" s="1445"/>
      <c r="EQ665" s="1445"/>
      <c r="ER665" s="1445" t="e">
        <f t="shared" si="6"/>
        <v>#VALUE!</v>
      </c>
      <c r="ES665" s="1445"/>
      <c r="ET665" s="1445"/>
      <c r="EU665" s="1445"/>
      <c r="EV665" s="1445"/>
      <c r="EW665" s="1445" t="e">
        <f t="shared" si="7"/>
        <v>#VALUE!</v>
      </c>
      <c r="EX665" s="1445"/>
      <c r="EY665" s="1445"/>
      <c r="EZ665" s="1445"/>
      <c r="FA665" s="1445"/>
    </row>
    <row r="666" spans="1:157" ht="12.95" customHeight="1">
      <c r="A666" s="22"/>
      <c r="T666" s="22"/>
      <c r="AZ666" s="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445" t="e">
        <f t="shared" si="2"/>
        <v>#VALUE!</v>
      </c>
      <c r="DY666" s="1445"/>
      <c r="DZ666" s="1445"/>
      <c r="EA666" s="1445"/>
      <c r="EB666" s="1445"/>
      <c r="EC666" s="1445" t="e">
        <f t="shared" si="3"/>
        <v>#VALUE!</v>
      </c>
      <c r="ED666" s="1445"/>
      <c r="EE666" s="1445"/>
      <c r="EF666" s="1445"/>
      <c r="EG666" s="1445"/>
      <c r="EH666" s="1445" t="e">
        <f t="shared" si="4"/>
        <v>#VALUE!</v>
      </c>
      <c r="EI666" s="1445"/>
      <c r="EJ666" s="1445"/>
      <c r="EK666" s="1445"/>
      <c r="EL666" s="1445"/>
      <c r="EM666" s="1445" t="e">
        <f t="shared" si="5"/>
        <v>#VALUE!</v>
      </c>
      <c r="EN666" s="1445"/>
      <c r="EO666" s="1445"/>
      <c r="EP666" s="1445"/>
      <c r="EQ666" s="1445"/>
      <c r="ER666" s="1445" t="e">
        <f t="shared" si="6"/>
        <v>#VALUE!</v>
      </c>
      <c r="ES666" s="1445"/>
      <c r="ET666" s="1445"/>
      <c r="EU666" s="1445"/>
      <c r="EV666" s="1445"/>
      <c r="EW666" s="1445" t="e">
        <f t="shared" si="7"/>
        <v>#VALUE!</v>
      </c>
      <c r="EX666" s="1445"/>
      <c r="EY666" s="1445"/>
      <c r="EZ666" s="1445"/>
      <c r="FA666" s="1445"/>
    </row>
    <row r="667" spans="1:157" ht="12.95" customHeight="1">
      <c r="A667" s="55" t="s">
        <v>455</v>
      </c>
      <c r="B667" t="s">
        <v>463</v>
      </c>
      <c r="G667" s="1358">
        <f>C633</f>
        <v>0</v>
      </c>
      <c r="H667" s="1358"/>
      <c r="I667" s="1358"/>
      <c r="J667" s="1358"/>
      <c r="K667" s="1358"/>
      <c r="L667" s="1358"/>
      <c r="M667" s="1358"/>
      <c r="N667" s="1358"/>
      <c r="O667" s="1358"/>
      <c r="P667" s="1358"/>
      <c r="Q667" s="1358"/>
      <c r="R667" s="1358"/>
      <c r="T667" s="55" t="s">
        <v>456</v>
      </c>
      <c r="U667" t="s">
        <v>463</v>
      </c>
      <c r="Z667" s="1358">
        <f>C634</f>
        <v>0</v>
      </c>
      <c r="AA667" s="1358"/>
      <c r="AB667" s="1358"/>
      <c r="AC667" s="1358"/>
      <c r="AD667" s="1358"/>
      <c r="AE667" s="1358"/>
      <c r="AF667" s="1358"/>
      <c r="AG667" s="1358"/>
      <c r="AH667" s="1358"/>
      <c r="AI667" s="1358"/>
      <c r="AJ667" s="1358"/>
      <c r="AK667" s="1358"/>
      <c r="AZ667" s="3"/>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445" t="e">
        <f t="shared" si="2"/>
        <v>#VALUE!</v>
      </c>
      <c r="DY667" s="1445"/>
      <c r="DZ667" s="1445"/>
      <c r="EA667" s="1445"/>
      <c r="EB667" s="1445"/>
      <c r="EC667" s="1445" t="e">
        <f t="shared" si="3"/>
        <v>#VALUE!</v>
      </c>
      <c r="ED667" s="1445"/>
      <c r="EE667" s="1445"/>
      <c r="EF667" s="1445"/>
      <c r="EG667" s="1445"/>
      <c r="EH667" s="1445" t="e">
        <f t="shared" si="4"/>
        <v>#VALUE!</v>
      </c>
      <c r="EI667" s="1445"/>
      <c r="EJ667" s="1445"/>
      <c r="EK667" s="1445"/>
      <c r="EL667" s="1445"/>
      <c r="EM667" s="1445" t="e">
        <f t="shared" si="5"/>
        <v>#VALUE!</v>
      </c>
      <c r="EN667" s="1445"/>
      <c r="EO667" s="1445"/>
      <c r="EP667" s="1445"/>
      <c r="EQ667" s="1445"/>
      <c r="ER667" s="1445" t="e">
        <f t="shared" si="6"/>
        <v>#VALUE!</v>
      </c>
      <c r="ES667" s="1445"/>
      <c r="ET667" s="1445"/>
      <c r="EU667" s="1445"/>
      <c r="EV667" s="1445"/>
      <c r="EW667" s="1445" t="e">
        <f t="shared" si="7"/>
        <v>#VALUE!</v>
      </c>
      <c r="EX667" s="1445"/>
      <c r="EY667" s="1445"/>
      <c r="EZ667" s="1445"/>
      <c r="FA667" s="1445"/>
    </row>
    <row r="668" spans="1:157" ht="12.95" customHeight="1">
      <c r="A668" s="22"/>
      <c r="B668" t="s">
        <v>85</v>
      </c>
      <c r="G668" s="1371"/>
      <c r="H668" s="1371"/>
      <c r="I668" s="1371"/>
      <c r="J668" s="1371"/>
      <c r="K668" s="1371"/>
      <c r="L668" s="1371"/>
      <c r="M668" s="1371"/>
      <c r="N668" s="1371"/>
      <c r="O668" s="1371"/>
      <c r="P668" s="1371"/>
      <c r="Q668" s="1371"/>
      <c r="R668" s="1371"/>
      <c r="T668" s="22"/>
      <c r="U668" t="s">
        <v>85</v>
      </c>
      <c r="Z668" s="1371"/>
      <c r="AA668" s="1371"/>
      <c r="AB668" s="1371"/>
      <c r="AC668" s="1371"/>
      <c r="AD668" s="1371"/>
      <c r="AE668" s="1371"/>
      <c r="AF668" s="1371"/>
      <c r="AG668" s="1371"/>
      <c r="AH668" s="1371"/>
      <c r="AI668" s="1371"/>
      <c r="AJ668" s="1371"/>
      <c r="AK668" s="1371"/>
      <c r="AZ668" s="3"/>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445" t="e">
        <f t="shared" si="2"/>
        <v>#VALUE!</v>
      </c>
      <c r="DY668" s="1445"/>
      <c r="DZ668" s="1445"/>
      <c r="EA668" s="1445"/>
      <c r="EB668" s="1445"/>
      <c r="EC668" s="1445" t="e">
        <f t="shared" si="3"/>
        <v>#VALUE!</v>
      </c>
      <c r="ED668" s="1445"/>
      <c r="EE668" s="1445"/>
      <c r="EF668" s="1445"/>
      <c r="EG668" s="1445"/>
      <c r="EH668" s="1445" t="e">
        <f t="shared" si="4"/>
        <v>#VALUE!</v>
      </c>
      <c r="EI668" s="1445"/>
      <c r="EJ668" s="1445"/>
      <c r="EK668" s="1445"/>
      <c r="EL668" s="1445"/>
      <c r="EM668" s="1445" t="e">
        <f t="shared" si="5"/>
        <v>#VALUE!</v>
      </c>
      <c r="EN668" s="1445"/>
      <c r="EO668" s="1445"/>
      <c r="EP668" s="1445"/>
      <c r="EQ668" s="1445"/>
      <c r="ER668" s="1445" t="e">
        <f t="shared" si="6"/>
        <v>#VALUE!</v>
      </c>
      <c r="ES668" s="1445"/>
      <c r="ET668" s="1445"/>
      <c r="EU668" s="1445"/>
      <c r="EV668" s="1445"/>
      <c r="EW668" s="1445" t="e">
        <f t="shared" si="7"/>
        <v>#VALUE!</v>
      </c>
      <c r="EX668" s="1445"/>
      <c r="EY668" s="1445"/>
      <c r="EZ668" s="1445"/>
      <c r="FA668" s="1445"/>
    </row>
    <row r="669" spans="1:157" ht="12.95" customHeight="1">
      <c r="A669" s="22"/>
      <c r="B669" t="s">
        <v>580</v>
      </c>
      <c r="G669" s="1371"/>
      <c r="H669" s="1371"/>
      <c r="I669" s="1371"/>
      <c r="J669" s="1371"/>
      <c r="K669" s="1371"/>
      <c r="L669" s="1371"/>
      <c r="M669" s="1371"/>
      <c r="N669" s="1371"/>
      <c r="O669" s="1371"/>
      <c r="P669" s="1371"/>
      <c r="Q669" s="1371"/>
      <c r="R669" s="1371"/>
      <c r="T669" s="22"/>
      <c r="U669" t="s">
        <v>580</v>
      </c>
      <c r="Z669" s="1348"/>
      <c r="AA669" s="1348"/>
      <c r="AB669" s="1348"/>
      <c r="AC669" s="1348"/>
      <c r="AD669" s="1348"/>
      <c r="AE669" s="1348"/>
      <c r="AF669" s="1348"/>
      <c r="AG669" s="1348"/>
      <c r="AH669" s="1348"/>
      <c r="AI669" s="1348"/>
      <c r="AJ669" s="1348"/>
      <c r="AK669" s="1348"/>
      <c r="AZ669" s="3"/>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445" t="e">
        <f t="shared" si="2"/>
        <v>#VALUE!</v>
      </c>
      <c r="DY669" s="1445"/>
      <c r="DZ669" s="1445"/>
      <c r="EA669" s="1445"/>
      <c r="EB669" s="1445"/>
      <c r="EC669" s="1445" t="e">
        <f t="shared" si="3"/>
        <v>#VALUE!</v>
      </c>
      <c r="ED669" s="1445"/>
      <c r="EE669" s="1445"/>
      <c r="EF669" s="1445"/>
      <c r="EG669" s="1445"/>
      <c r="EH669" s="1445" t="e">
        <f t="shared" si="4"/>
        <v>#VALUE!</v>
      </c>
      <c r="EI669" s="1445"/>
      <c r="EJ669" s="1445"/>
      <c r="EK669" s="1445"/>
      <c r="EL669" s="1445"/>
      <c r="EM669" s="1445" t="e">
        <f t="shared" si="5"/>
        <v>#VALUE!</v>
      </c>
      <c r="EN669" s="1445"/>
      <c r="EO669" s="1445"/>
      <c r="EP669" s="1445"/>
      <c r="EQ669" s="1445"/>
      <c r="ER669" s="1445" t="e">
        <f t="shared" si="6"/>
        <v>#VALUE!</v>
      </c>
      <c r="ES669" s="1445"/>
      <c r="ET669" s="1445"/>
      <c r="EU669" s="1445"/>
      <c r="EV669" s="1445"/>
      <c r="EW669" s="1445" t="e">
        <f t="shared" si="7"/>
        <v>#VALUE!</v>
      </c>
      <c r="EX669" s="1445"/>
      <c r="EY669" s="1445"/>
      <c r="EZ669" s="1445"/>
      <c r="FA669" s="1445"/>
    </row>
    <row r="670" spans="1:157" ht="12.95" customHeight="1">
      <c r="A670" s="22"/>
      <c r="B670" t="s">
        <v>17</v>
      </c>
      <c r="G670" s="1371"/>
      <c r="H670" s="1371"/>
      <c r="I670" s="1371"/>
      <c r="J670" s="1371"/>
      <c r="K670" s="1371"/>
      <c r="L670" s="1371"/>
      <c r="M670" s="1371"/>
      <c r="N670" s="1371"/>
      <c r="O670" s="1371"/>
      <c r="P670" s="1371"/>
      <c r="Q670" s="1371"/>
      <c r="R670" s="1371"/>
      <c r="T670" s="22"/>
      <c r="U670" t="s">
        <v>17</v>
      </c>
      <c r="Z670" s="1348"/>
      <c r="AA670" s="1348"/>
      <c r="AB670" s="1348"/>
      <c r="AC670" s="1348"/>
      <c r="AD670" s="1348"/>
      <c r="AE670" s="1348"/>
      <c r="AF670" s="1348"/>
      <c r="AG670" s="1348"/>
      <c r="AH670" s="1348"/>
      <c r="AI670" s="1348"/>
      <c r="AJ670" s="1348"/>
      <c r="AK670" s="1348"/>
      <c r="AZ670" s="3"/>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445">
        <f>SUMIF(DX635:EB669,"&gt;0")</f>
        <v>0</v>
      </c>
      <c r="DY670" s="1445"/>
      <c r="DZ670" s="1445"/>
      <c r="EA670" s="1445"/>
      <c r="EB670" s="1445"/>
      <c r="EC670" s="1445">
        <f>SUMIF(EC635:EG669,"&gt;0")</f>
        <v>1420.5384615384614</v>
      </c>
      <c r="ED670" s="1445"/>
      <c r="EE670" s="1445"/>
      <c r="EF670" s="1445"/>
      <c r="EG670" s="1445"/>
      <c r="EH670" s="1445">
        <f>SUMIF(EH635:EL669,"&gt;0")</f>
        <v>1900.3529411764707</v>
      </c>
      <c r="EI670" s="1445"/>
      <c r="EJ670" s="1445"/>
      <c r="EK670" s="1445"/>
      <c r="EL670" s="1445"/>
      <c r="EM670" s="1445">
        <f>SUMIF(EM635:EQ669,"&gt;0")</f>
        <v>2149.25</v>
      </c>
      <c r="EN670" s="1445"/>
      <c r="EO670" s="1445"/>
      <c r="EP670" s="1445"/>
      <c r="EQ670" s="1445"/>
      <c r="ER670" s="1445">
        <f>SUMIF(ER635:EV669,"&gt;0")</f>
        <v>2560.6363636363635</v>
      </c>
      <c r="ES670" s="1445"/>
      <c r="ET670" s="1445"/>
      <c r="EU670" s="1445"/>
      <c r="EV670" s="1445"/>
      <c r="EW670" s="1445">
        <f>SUMIF(EW635:FA669,"&gt;0")</f>
        <v>0</v>
      </c>
      <c r="EX670" s="1445"/>
      <c r="EY670" s="1445"/>
      <c r="EZ670" s="1445"/>
      <c r="FA670" s="1445"/>
    </row>
    <row r="671" spans="1:157" ht="12.95" customHeight="1">
      <c r="A671" s="22"/>
      <c r="B671" t="s">
        <v>315</v>
      </c>
      <c r="G671" s="1346"/>
      <c r="H671" s="1346"/>
      <c r="I671" s="1346"/>
      <c r="J671" s="1346"/>
      <c r="K671" s="1346"/>
      <c r="L671" s="1346"/>
      <c r="O671" s="33" t="s">
        <v>205</v>
      </c>
      <c r="P671" s="1437"/>
      <c r="Q671" s="1437"/>
      <c r="R671" s="1437"/>
      <c r="T671" s="22"/>
      <c r="U671" t="s">
        <v>315</v>
      </c>
      <c r="Z671" s="1346"/>
      <c r="AA671" s="1346"/>
      <c r="AB671" s="1346"/>
      <c r="AC671" s="1346"/>
      <c r="AD671" s="1346"/>
      <c r="AE671" s="1346"/>
      <c r="AH671" s="33" t="s">
        <v>205</v>
      </c>
      <c r="AI671" s="1437"/>
      <c r="AJ671" s="1437"/>
      <c r="AK671" s="1437"/>
      <c r="AZ671" s="3"/>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371"/>
      <c r="I672" s="1371"/>
      <c r="J672" s="1371"/>
      <c r="K672" s="1371"/>
      <c r="L672" s="1371"/>
      <c r="M672" s="1371"/>
      <c r="N672" s="1371"/>
      <c r="O672" s="1371"/>
      <c r="P672" s="1371"/>
      <c r="Q672" s="1371"/>
      <c r="R672" s="1371"/>
      <c r="T672" s="22"/>
      <c r="U672" t="s">
        <v>18</v>
      </c>
      <c r="AA672" s="1371"/>
      <c r="AB672" s="1371"/>
      <c r="AC672" s="1371"/>
      <c r="AD672" s="1371"/>
      <c r="AE672" s="1371"/>
      <c r="AF672" s="1371"/>
      <c r="AG672" s="1371"/>
      <c r="AH672" s="1371"/>
      <c r="AI672" s="1371"/>
      <c r="AJ672" s="1371"/>
      <c r="AK672" s="1371"/>
      <c r="AZ672" s="3"/>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52" ht="12.95" customHeight="1">
      <c r="A673" s="22"/>
      <c r="B673" t="s">
        <v>20</v>
      </c>
      <c r="N673" s="1332" t="s">
        <v>669</v>
      </c>
      <c r="O673" s="1332"/>
      <c r="T673" s="22"/>
      <c r="U673" t="s">
        <v>20</v>
      </c>
      <c r="AG673" s="1332" t="s">
        <v>669</v>
      </c>
      <c r="AH673" s="1332"/>
      <c r="AZ673" s="3"/>
    </row>
    <row r="674" spans="1:52" ht="12.95" customHeight="1">
      <c r="A674" s="22"/>
      <c r="T674" s="22"/>
      <c r="AZ674" s="3"/>
    </row>
    <row r="675" spans="1:52" ht="12.95" customHeight="1">
      <c r="A675" s="55" t="s">
        <v>461</v>
      </c>
      <c r="B675" t="s">
        <v>463</v>
      </c>
      <c r="G675" s="1358">
        <f>C635</f>
        <v>0</v>
      </c>
      <c r="H675" s="1358"/>
      <c r="I675" s="1358"/>
      <c r="J675" s="1358"/>
      <c r="K675" s="1358"/>
      <c r="L675" s="1358"/>
      <c r="M675" s="1358"/>
      <c r="N675" s="1358"/>
      <c r="O675" s="1358"/>
      <c r="P675" s="1358"/>
      <c r="Q675" s="1358"/>
      <c r="R675" s="1358"/>
      <c r="T675" s="55" t="s">
        <v>646</v>
      </c>
      <c r="U675" t="s">
        <v>463</v>
      </c>
      <c r="Z675" s="1358">
        <f>C636</f>
        <v>0</v>
      </c>
      <c r="AA675" s="1358"/>
      <c r="AB675" s="1358"/>
      <c r="AC675" s="1358"/>
      <c r="AD675" s="1358"/>
      <c r="AE675" s="1358"/>
      <c r="AF675" s="1358"/>
      <c r="AG675" s="1358"/>
      <c r="AH675" s="1358"/>
      <c r="AI675" s="1358"/>
      <c r="AJ675" s="1358"/>
      <c r="AK675" s="1358"/>
      <c r="AZ675" s="3"/>
    </row>
    <row r="676" spans="1:52" ht="12.95" customHeight="1">
      <c r="A676" s="22"/>
      <c r="B676" t="s">
        <v>85</v>
      </c>
      <c r="G676" s="1371"/>
      <c r="H676" s="1371"/>
      <c r="I676" s="1371"/>
      <c r="J676" s="1371"/>
      <c r="K676" s="1371"/>
      <c r="L676" s="1371"/>
      <c r="M676" s="1371"/>
      <c r="N676" s="1371"/>
      <c r="O676" s="1371"/>
      <c r="P676" s="1371"/>
      <c r="Q676" s="1371"/>
      <c r="R676" s="1371"/>
      <c r="T676" s="22"/>
      <c r="U676" t="s">
        <v>85</v>
      </c>
      <c r="Z676" s="1371"/>
      <c r="AA676" s="1371"/>
      <c r="AB676" s="1371"/>
      <c r="AC676" s="1371"/>
      <c r="AD676" s="1371"/>
      <c r="AE676" s="1371"/>
      <c r="AF676" s="1371"/>
      <c r="AG676" s="1371"/>
      <c r="AH676" s="1371"/>
      <c r="AI676" s="1371"/>
      <c r="AJ676" s="1371"/>
      <c r="AK676" s="1371"/>
      <c r="AZ676" s="3"/>
    </row>
    <row r="677" spans="1:52" ht="12.95" customHeight="1">
      <c r="A677" s="22"/>
      <c r="B677" t="s">
        <v>580</v>
      </c>
      <c r="G677" s="1371"/>
      <c r="H677" s="1371"/>
      <c r="I677" s="1371"/>
      <c r="J677" s="1371"/>
      <c r="K677" s="1371"/>
      <c r="L677" s="1371"/>
      <c r="M677" s="1371"/>
      <c r="N677" s="1371"/>
      <c r="O677" s="1371"/>
      <c r="P677" s="1371"/>
      <c r="Q677" s="1371"/>
      <c r="R677" s="1371"/>
      <c r="T677" s="22"/>
      <c r="U677" t="s">
        <v>580</v>
      </c>
      <c r="Z677" s="1348"/>
      <c r="AA677" s="1348"/>
      <c r="AB677" s="1348"/>
      <c r="AC677" s="1348"/>
      <c r="AD677" s="1348"/>
      <c r="AE677" s="1348"/>
      <c r="AF677" s="1348"/>
      <c r="AG677" s="1348"/>
      <c r="AH677" s="1348"/>
      <c r="AI677" s="1348"/>
      <c r="AJ677" s="1348"/>
      <c r="AK677" s="1348"/>
      <c r="AZ677" s="3"/>
    </row>
    <row r="678" spans="1:52" ht="12.95" customHeight="1">
      <c r="A678" s="22"/>
      <c r="B678" t="s">
        <v>17</v>
      </c>
      <c r="G678" s="1371"/>
      <c r="H678" s="1371"/>
      <c r="I678" s="1371"/>
      <c r="J678" s="1371"/>
      <c r="K678" s="1371"/>
      <c r="L678" s="1371"/>
      <c r="M678" s="1371"/>
      <c r="N678" s="1371"/>
      <c r="O678" s="1371"/>
      <c r="P678" s="1371"/>
      <c r="Q678" s="1371"/>
      <c r="R678" s="1371"/>
      <c r="T678" s="22"/>
      <c r="U678" t="s">
        <v>17</v>
      </c>
      <c r="Z678" s="1348"/>
      <c r="AA678" s="1348"/>
      <c r="AB678" s="1348"/>
      <c r="AC678" s="1348"/>
      <c r="AD678" s="1348"/>
      <c r="AE678" s="1348"/>
      <c r="AF678" s="1348"/>
      <c r="AG678" s="1348"/>
      <c r="AH678" s="1348"/>
      <c r="AI678" s="1348"/>
      <c r="AJ678" s="1348"/>
      <c r="AK678" s="1348"/>
      <c r="AZ678" s="3"/>
    </row>
    <row r="679" spans="1:52" ht="12.95" customHeight="1">
      <c r="A679" s="22"/>
      <c r="B679" t="s">
        <v>315</v>
      </c>
      <c r="G679" s="1346"/>
      <c r="H679" s="1346"/>
      <c r="I679" s="1346"/>
      <c r="J679" s="1346"/>
      <c r="K679" s="1346"/>
      <c r="L679" s="1346"/>
      <c r="O679" s="33" t="s">
        <v>205</v>
      </c>
      <c r="P679" s="1437"/>
      <c r="Q679" s="1437"/>
      <c r="R679" s="1437"/>
      <c r="T679" s="22"/>
      <c r="U679" t="s">
        <v>315</v>
      </c>
      <c r="Z679" s="1346"/>
      <c r="AA679" s="1346"/>
      <c r="AB679" s="1346"/>
      <c r="AC679" s="1346"/>
      <c r="AD679" s="1346"/>
      <c r="AE679" s="1346"/>
      <c r="AH679" s="33" t="s">
        <v>205</v>
      </c>
      <c r="AI679" s="1437"/>
      <c r="AJ679" s="1437"/>
      <c r="AK679" s="1437"/>
      <c r="AZ679" s="3"/>
    </row>
    <row r="680" spans="1:52" ht="12.95" customHeight="1">
      <c r="A680" s="22"/>
      <c r="B680" t="s">
        <v>18</v>
      </c>
      <c r="H680" s="1371"/>
      <c r="I680" s="1371"/>
      <c r="J680" s="1371"/>
      <c r="K680" s="1371"/>
      <c r="L680" s="1371"/>
      <c r="M680" s="1371"/>
      <c r="N680" s="1371"/>
      <c r="O680" s="1371"/>
      <c r="P680" s="1371"/>
      <c r="Q680" s="1371"/>
      <c r="R680" s="1371"/>
      <c r="T680" s="22"/>
      <c r="U680" t="s">
        <v>18</v>
      </c>
      <c r="AA680" s="1371"/>
      <c r="AB680" s="1371"/>
      <c r="AC680" s="1371"/>
      <c r="AD680" s="1371"/>
      <c r="AE680" s="1371"/>
      <c r="AF680" s="1371"/>
      <c r="AG680" s="1371"/>
      <c r="AH680" s="1371"/>
      <c r="AI680" s="1371"/>
      <c r="AJ680" s="1371"/>
      <c r="AK680" s="1371"/>
      <c r="AZ680" s="3"/>
    </row>
    <row r="681" spans="1:52" ht="12.95" customHeight="1">
      <c r="A681" s="22"/>
      <c r="B681" t="s">
        <v>20</v>
      </c>
      <c r="N681" s="1332" t="s">
        <v>669</v>
      </c>
      <c r="O681" s="1332"/>
      <c r="T681" s="22"/>
      <c r="U681" t="s">
        <v>20</v>
      </c>
      <c r="AG681" s="1332" t="s">
        <v>669</v>
      </c>
      <c r="AH681" s="1332"/>
      <c r="AZ681" s="3"/>
    </row>
    <row r="682" spans="1:52" ht="12.95" customHeight="1">
      <c r="A682" s="22"/>
      <c r="T682" s="22"/>
      <c r="AZ682" s="3"/>
    </row>
    <row r="683" spans="1:52" ht="12.95" customHeight="1">
      <c r="A683" s="55" t="s">
        <v>361</v>
      </c>
      <c r="B683" t="s">
        <v>463</v>
      </c>
      <c r="G683" s="1358">
        <f>C637</f>
        <v>0</v>
      </c>
      <c r="H683" s="1358"/>
      <c r="I683" s="1358"/>
      <c r="J683" s="1358"/>
      <c r="K683" s="1358"/>
      <c r="L683" s="1358"/>
      <c r="M683" s="1358"/>
      <c r="N683" s="1358"/>
      <c r="O683" s="1358"/>
      <c r="P683" s="1358"/>
      <c r="Q683" s="1358"/>
      <c r="R683" s="1358"/>
      <c r="T683" s="55" t="s">
        <v>362</v>
      </c>
      <c r="U683" t="s">
        <v>463</v>
      </c>
      <c r="Z683" s="1358">
        <f>C638</f>
        <v>0</v>
      </c>
      <c r="AA683" s="1358"/>
      <c r="AB683" s="1358"/>
      <c r="AC683" s="1358"/>
      <c r="AD683" s="1358"/>
      <c r="AE683" s="1358"/>
      <c r="AF683" s="1358"/>
      <c r="AG683" s="1358"/>
      <c r="AH683" s="1358"/>
      <c r="AI683" s="1358"/>
      <c r="AJ683" s="1358"/>
      <c r="AK683" s="1358"/>
      <c r="AZ683" s="3"/>
    </row>
    <row r="684" spans="1:52" ht="12.95" customHeight="1">
      <c r="B684" t="s">
        <v>85</v>
      </c>
      <c r="G684" s="1371"/>
      <c r="H684" s="1371"/>
      <c r="I684" s="1371"/>
      <c r="J684" s="1371"/>
      <c r="K684" s="1371"/>
      <c r="L684" s="1371"/>
      <c r="M684" s="1371"/>
      <c r="N684" s="1371"/>
      <c r="O684" s="1371"/>
      <c r="P684" s="1371"/>
      <c r="Q684" s="1371"/>
      <c r="R684" s="1371"/>
      <c r="T684" s="22"/>
      <c r="U684" t="s">
        <v>85</v>
      </c>
      <c r="Z684" s="1371"/>
      <c r="AA684" s="1371"/>
      <c r="AB684" s="1371"/>
      <c r="AC684" s="1371"/>
      <c r="AD684" s="1371"/>
      <c r="AE684" s="1371"/>
      <c r="AF684" s="1371"/>
      <c r="AG684" s="1371"/>
      <c r="AH684" s="1371"/>
      <c r="AI684" s="1371"/>
      <c r="AJ684" s="1371"/>
      <c r="AK684" s="1371"/>
      <c r="AZ684" s="3"/>
    </row>
    <row r="685" spans="1:52" ht="12.95" customHeight="1">
      <c r="B685" t="s">
        <v>580</v>
      </c>
      <c r="G685" s="1371"/>
      <c r="H685" s="1371"/>
      <c r="I685" s="1371"/>
      <c r="J685" s="1371"/>
      <c r="K685" s="1371"/>
      <c r="L685" s="1371"/>
      <c r="M685" s="1371"/>
      <c r="N685" s="1371"/>
      <c r="O685" s="1371"/>
      <c r="P685" s="1371"/>
      <c r="Q685" s="1371"/>
      <c r="R685" s="1371"/>
      <c r="U685" t="s">
        <v>580</v>
      </c>
      <c r="Z685" s="1348"/>
      <c r="AA685" s="1348"/>
      <c r="AB685" s="1348"/>
      <c r="AC685" s="1348"/>
      <c r="AD685" s="1348"/>
      <c r="AE685" s="1348"/>
      <c r="AF685" s="1348"/>
      <c r="AG685" s="1348"/>
      <c r="AH685" s="1348"/>
      <c r="AI685" s="1348"/>
      <c r="AJ685" s="1348"/>
      <c r="AK685" s="1348"/>
      <c r="AZ685" s="3"/>
    </row>
    <row r="686" spans="1:52" ht="12.95" customHeight="1">
      <c r="B686" t="s">
        <v>17</v>
      </c>
      <c r="G686" s="1371"/>
      <c r="H686" s="1371"/>
      <c r="I686" s="1371"/>
      <c r="J686" s="1371"/>
      <c r="K686" s="1371"/>
      <c r="L686" s="1371"/>
      <c r="M686" s="1371"/>
      <c r="N686" s="1371"/>
      <c r="O686" s="1371"/>
      <c r="P686" s="1371"/>
      <c r="Q686" s="1371"/>
      <c r="R686" s="1371"/>
      <c r="U686" t="s">
        <v>17</v>
      </c>
      <c r="Z686" s="1348"/>
      <c r="AA686" s="1348"/>
      <c r="AB686" s="1348"/>
      <c r="AC686" s="1348"/>
      <c r="AD686" s="1348"/>
      <c r="AE686" s="1348"/>
      <c r="AF686" s="1348"/>
      <c r="AG686" s="1348"/>
      <c r="AH686" s="1348"/>
      <c r="AI686" s="1348"/>
      <c r="AJ686" s="1348"/>
      <c r="AK686" s="1348"/>
      <c r="AZ686" s="3"/>
    </row>
    <row r="687" spans="1:52" ht="12.95" customHeight="1">
      <c r="B687" t="s">
        <v>315</v>
      </c>
      <c r="G687" s="1346"/>
      <c r="H687" s="1346"/>
      <c r="I687" s="1346"/>
      <c r="J687" s="1346"/>
      <c r="K687" s="1346"/>
      <c r="L687" s="1346"/>
      <c r="O687" s="33" t="s">
        <v>205</v>
      </c>
      <c r="P687" s="1437"/>
      <c r="Q687" s="1437"/>
      <c r="R687" s="1437"/>
      <c r="U687" t="s">
        <v>315</v>
      </c>
      <c r="Z687" s="1346"/>
      <c r="AA687" s="1346"/>
      <c r="AB687" s="1346"/>
      <c r="AC687" s="1346"/>
      <c r="AD687" s="1346"/>
      <c r="AE687" s="1346"/>
      <c r="AH687" s="33" t="s">
        <v>205</v>
      </c>
      <c r="AI687" s="1437"/>
      <c r="AJ687" s="1437"/>
      <c r="AK687" s="1437"/>
      <c r="AZ687" s="3"/>
    </row>
    <row r="688" spans="1:52" ht="12.95" customHeight="1">
      <c r="B688" t="s">
        <v>18</v>
      </c>
      <c r="H688" s="1371"/>
      <c r="I688" s="1371"/>
      <c r="J688" s="1371"/>
      <c r="K688" s="1371"/>
      <c r="L688" s="1371"/>
      <c r="M688" s="1371"/>
      <c r="N688" s="1371"/>
      <c r="O688" s="1371"/>
      <c r="P688" s="1371"/>
      <c r="Q688" s="1371"/>
      <c r="R688" s="1371"/>
      <c r="U688" t="s">
        <v>18</v>
      </c>
      <c r="AA688" s="1371"/>
      <c r="AB688" s="1371"/>
      <c r="AC688" s="1371"/>
      <c r="AD688" s="1371"/>
      <c r="AE688" s="1371"/>
      <c r="AF688" s="1371"/>
      <c r="AG688" s="1371"/>
      <c r="AH688" s="1371"/>
      <c r="AI688" s="1371"/>
      <c r="AJ688" s="1371"/>
      <c r="AK688" s="1371"/>
      <c r="AZ688" s="3"/>
    </row>
    <row r="689" spans="1:67" ht="12.95" customHeight="1">
      <c r="B689" t="s">
        <v>20</v>
      </c>
      <c r="N689" s="1332" t="s">
        <v>669</v>
      </c>
      <c r="O689" s="1332"/>
      <c r="U689" t="s">
        <v>20</v>
      </c>
      <c r="AG689" s="1332" t="s">
        <v>669</v>
      </c>
      <c r="AH689" s="1332"/>
      <c r="AZ689" s="3"/>
    </row>
    <row r="690" spans="1:67" ht="12.95" customHeight="1">
      <c r="AZ690" s="3"/>
    </row>
    <row r="691" spans="1:67" ht="12.95" customHeight="1">
      <c r="A691" s="2" t="s">
        <v>576</v>
      </c>
      <c r="C691" s="2" t="s">
        <v>326</v>
      </c>
      <c r="E691" s="130"/>
      <c r="F691" s="130"/>
      <c r="G691" s="130"/>
      <c r="H691" s="130"/>
      <c r="AZ691" s="3"/>
    </row>
    <row r="692" spans="1:67" ht="12.95" customHeight="1">
      <c r="B692" s="135"/>
      <c r="C692" s="135"/>
      <c r="D692" s="136" t="s">
        <v>433</v>
      </c>
      <c r="E692" s="135"/>
      <c r="F692" s="135"/>
      <c r="G692" s="135"/>
      <c r="H692" s="135"/>
      <c r="AZ692" s="3"/>
    </row>
    <row r="693" spans="1:67" ht="12.95" customHeight="1">
      <c r="B693" s="135"/>
      <c r="C693" s="135"/>
      <c r="E693" s="136" t="s">
        <v>434</v>
      </c>
      <c r="F693" s="135"/>
      <c r="G693" s="135"/>
      <c r="H693" s="135"/>
      <c r="AE693" s="1332" t="s">
        <v>545</v>
      </c>
      <c r="AF693" s="1332"/>
      <c r="AZ693" s="3"/>
    </row>
    <row r="694" spans="1:67" ht="12.95" customHeight="1">
      <c r="B694" s="135"/>
      <c r="C694" s="135"/>
      <c r="D694" s="136" t="s">
        <v>437</v>
      </c>
      <c r="E694" s="135"/>
      <c r="F694" s="135"/>
      <c r="G694" s="135"/>
      <c r="H694" s="135"/>
      <c r="AE694" s="1332" t="s">
        <v>545</v>
      </c>
      <c r="AF694" s="1332"/>
      <c r="AZ694" s="3"/>
    </row>
    <row r="695" spans="1:67" ht="12.95" customHeight="1">
      <c r="B695" s="135"/>
      <c r="C695" s="135"/>
      <c r="D695" s="136" t="s">
        <v>920</v>
      </c>
      <c r="E695" s="135"/>
      <c r="F695" s="135"/>
      <c r="G695" s="135"/>
      <c r="H695" s="135"/>
      <c r="AE695" s="1691">
        <v>45797</v>
      </c>
      <c r="AF695" s="1691"/>
      <c r="AG695" s="1691"/>
      <c r="AH695" s="1691"/>
      <c r="AI695" s="1691"/>
    </row>
    <row r="696" spans="1:67" ht="12.95" customHeight="1">
      <c r="B696" s="135"/>
      <c r="C696" s="135"/>
      <c r="D696" s="317" t="s">
        <v>983</v>
      </c>
      <c r="E696" s="135"/>
      <c r="F696" s="135"/>
      <c r="G696" s="135"/>
      <c r="H696" s="135"/>
      <c r="AE696" s="1702">
        <v>45867</v>
      </c>
      <c r="AF696" s="1702"/>
      <c r="AG696" s="1702"/>
      <c r="AH696" s="1702"/>
      <c r="AI696" s="1702"/>
    </row>
    <row r="697" spans="1:67" ht="12.95" customHeight="1">
      <c r="B697" s="135"/>
      <c r="C697" s="135"/>
    </row>
    <row r="698" spans="1:67" ht="12.95" customHeight="1">
      <c r="B698" s="135"/>
      <c r="C698" s="135"/>
      <c r="D698" s="136" t="s">
        <v>816</v>
      </c>
      <c r="E698" s="135"/>
      <c r="F698" s="135"/>
      <c r="G698" s="135"/>
      <c r="H698" s="135"/>
      <c r="AE698" s="1691">
        <v>46023</v>
      </c>
      <c r="AF698" s="1691"/>
      <c r="AG698" s="1691"/>
      <c r="AH698" s="1691"/>
      <c r="AI698" s="1691"/>
    </row>
    <row r="699" spans="1:67" ht="12.95" customHeight="1">
      <c r="B699" s="135"/>
      <c r="C699" s="135"/>
      <c r="D699" s="136" t="s">
        <v>435</v>
      </c>
      <c r="E699" s="135"/>
      <c r="F699" s="135"/>
      <c r="G699" s="135"/>
      <c r="H699" s="135"/>
      <c r="AE699" s="1661">
        <f>AM554/SUM('Sources and Uses Budget'!C4,'Sources and Uses Budget'!S105,'Sources and Uses Budget'!C13,'Sources and Uses Budget'!B93)</f>
        <v>0.52433567433197625</v>
      </c>
      <c r="AF699" s="1661"/>
      <c r="AG699" s="1661"/>
      <c r="AH699" s="1661"/>
      <c r="AI699" s="1661"/>
    </row>
    <row r="700" spans="1:67" ht="12.95" customHeight="1">
      <c r="B700" s="135"/>
      <c r="C700" s="135"/>
      <c r="D700" s="136" t="s">
        <v>436</v>
      </c>
      <c r="E700" s="135"/>
      <c r="F700" s="135"/>
      <c r="G700" s="135"/>
      <c r="H700" s="135"/>
      <c r="W700" s="1358" t="str">
        <f>H335</f>
        <v>CalHFA</v>
      </c>
      <c r="X700" s="1358"/>
      <c r="Y700" s="1358"/>
      <c r="Z700" s="1358"/>
      <c r="AA700" s="1358"/>
      <c r="AB700" s="1358"/>
      <c r="AC700" s="1358"/>
      <c r="AD700" s="1358"/>
      <c r="AE700" s="1358"/>
      <c r="AF700" s="1358"/>
      <c r="AG700" s="1358"/>
      <c r="AH700" s="1358"/>
      <c r="AI700" s="1358"/>
      <c r="AJ700" s="1358"/>
      <c r="AK700" s="1358"/>
    </row>
    <row r="701" spans="1:67" ht="12.95" customHeight="1">
      <c r="B701" s="135"/>
      <c r="C701" s="135"/>
      <c r="D701" s="136"/>
      <c r="E701" s="135"/>
      <c r="F701" s="135"/>
      <c r="G701" s="135"/>
      <c r="H701" s="135"/>
    </row>
    <row r="702" spans="1:67" ht="12.95" customHeight="1">
      <c r="B702" s="135"/>
      <c r="C702" s="135"/>
      <c r="D702" s="136" t="s">
        <v>438</v>
      </c>
      <c r="E702" s="135"/>
      <c r="F702" s="135"/>
      <c r="G702" s="135"/>
      <c r="H702" s="135"/>
      <c r="AE702" s="1332" t="s">
        <v>669</v>
      </c>
      <c r="AF702" s="1332"/>
      <c r="AZ702" s="4" t="s">
        <v>323</v>
      </c>
    </row>
    <row r="703" spans="1:67" ht="12.95" customHeight="1">
      <c r="B703" s="135"/>
      <c r="C703" s="135"/>
      <c r="D703" s="136" t="s">
        <v>442</v>
      </c>
      <c r="E703" s="135"/>
      <c r="F703" s="135"/>
      <c r="G703" s="135"/>
      <c r="H703" s="135"/>
      <c r="W703" s="1371" t="s">
        <v>591</v>
      </c>
      <c r="X703" s="1371"/>
      <c r="Y703" s="1371"/>
      <c r="Z703" s="1371"/>
      <c r="AA703" s="1371"/>
      <c r="AB703" s="1371"/>
      <c r="AC703" s="1371"/>
      <c r="AD703" s="1371"/>
      <c r="AE703" s="1371"/>
      <c r="AF703" s="1371"/>
      <c r="AG703" s="1371"/>
      <c r="AH703" s="1371"/>
      <c r="AI703" s="1371"/>
      <c r="AJ703" s="1371"/>
      <c r="AK703" s="1371"/>
      <c r="AZ703" s="4" t="s">
        <v>324</v>
      </c>
    </row>
    <row r="704" spans="1:67" ht="12.95" customHeight="1">
      <c r="B704" s="135"/>
      <c r="C704" s="135"/>
      <c r="D704" s="136" t="s">
        <v>87</v>
      </c>
      <c r="E704" s="135"/>
      <c r="F704" s="135"/>
      <c r="G704" s="135"/>
      <c r="H704" s="135"/>
      <c r="J704" s="1371" t="s">
        <v>591</v>
      </c>
      <c r="K704" s="1371"/>
      <c r="L704" s="1371"/>
      <c r="M704" s="1371"/>
      <c r="N704" s="1371"/>
      <c r="O704" s="1371"/>
      <c r="P704" s="1371"/>
      <c r="Q704" s="1371"/>
      <c r="R704" s="1371"/>
      <c r="S704" s="1371"/>
      <c r="T704" s="1371"/>
      <c r="U704" s="1371"/>
      <c r="V704" s="1371"/>
      <c r="W704" s="1371"/>
      <c r="X704" s="1371"/>
      <c r="AZ704" s="4" t="s">
        <v>163</v>
      </c>
      <c r="BB704" s="34"/>
      <c r="BC704" s="34"/>
      <c r="BD704" s="34"/>
      <c r="BE704" s="3"/>
      <c r="BF704" s="3"/>
      <c r="BJ704" s="3"/>
      <c r="BK704" s="3"/>
      <c r="BL704" s="3"/>
      <c r="BM704" s="3"/>
      <c r="BN704" s="34"/>
      <c r="BO704" s="34"/>
    </row>
    <row r="705" spans="1:185" ht="12.95" customHeight="1">
      <c r="B705" s="135"/>
      <c r="C705" s="135"/>
      <c r="D705" s="136" t="s">
        <v>88</v>
      </c>
      <c r="J705" s="1346"/>
      <c r="K705" s="1346"/>
      <c r="L705" s="1346"/>
      <c r="M705" s="1346"/>
      <c r="N705" s="1346"/>
      <c r="O705" s="1346"/>
      <c r="P705" s="4" t="s">
        <v>205</v>
      </c>
      <c r="Q705" s="4"/>
      <c r="R705" s="1437"/>
      <c r="S705" s="1437"/>
      <c r="T705" s="1437"/>
      <c r="AZ705" s="4" t="s">
        <v>164</v>
      </c>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85" ht="12.95" customHeight="1">
      <c r="B706" s="135"/>
      <c r="C706" s="135"/>
      <c r="D706" s="136" t="s">
        <v>443</v>
      </c>
      <c r="W706" s="1371" t="s">
        <v>306</v>
      </c>
      <c r="X706" s="1371"/>
      <c r="Y706" s="1371"/>
      <c r="Z706" s="1371"/>
      <c r="AA706" s="1371"/>
      <c r="AB706" s="1371"/>
      <c r="AC706" s="1371"/>
      <c r="AD706" s="1371"/>
      <c r="AE706" s="1371"/>
      <c r="AF706" s="1371"/>
      <c r="AG706" s="1371"/>
      <c r="AH706" s="1371"/>
      <c r="AI706" s="1371"/>
      <c r="AJ706" s="1371"/>
      <c r="AK706" s="1371"/>
      <c r="AZ706" s="4" t="s">
        <v>165</v>
      </c>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85" ht="12.95" customHeight="1">
      <c r="B707" s="135"/>
      <c r="C707" s="135"/>
      <c r="D707" s="136"/>
      <c r="E707" s="1371" t="s">
        <v>333</v>
      </c>
      <c r="F707" s="1371"/>
      <c r="G707" s="1371"/>
      <c r="H707" s="1371"/>
      <c r="I707" s="1371"/>
      <c r="J707" s="1371"/>
      <c r="K707" s="1371"/>
      <c r="L707" s="1371"/>
      <c r="M707" s="1371"/>
      <c r="N707" s="1371"/>
      <c r="O707" s="1371"/>
      <c r="P707" s="1371"/>
      <c r="Q707" s="1371"/>
      <c r="R707" s="1371"/>
      <c r="S707" s="1371"/>
      <c r="T707" s="1371"/>
      <c r="U707" s="1371"/>
      <c r="V707" s="1371"/>
      <c r="W707" s="1371"/>
      <c r="X707" s="1371"/>
      <c r="Y707" s="1371"/>
      <c r="Z707" s="1371"/>
      <c r="AA707" s="1371"/>
      <c r="AB707" s="1371"/>
      <c r="AC707" s="1371"/>
      <c r="AD707" s="1371"/>
      <c r="AE707" s="1371"/>
      <c r="AF707" s="1371"/>
      <c r="AG707" s="1371"/>
      <c r="AH707" s="1371"/>
      <c r="AI707" s="1371"/>
      <c r="AJ707" s="1371"/>
      <c r="AK707" s="1371"/>
      <c r="AZ707" s="4" t="s">
        <v>30</v>
      </c>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85"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85" ht="12.95" customHeight="1">
      <c r="A709" s="1260" t="s">
        <v>95</v>
      </c>
      <c r="B709" s="1260"/>
      <c r="C709" s="1260"/>
      <c r="D709" s="1260"/>
      <c r="E709" s="1260"/>
      <c r="F709" s="1260"/>
      <c r="G709" s="1260"/>
      <c r="H709" s="1260"/>
      <c r="I709" s="1260"/>
      <c r="J709" s="1260"/>
      <c r="K709" s="1260"/>
      <c r="L709" s="1260"/>
      <c r="M709" s="1260"/>
      <c r="N709" s="1260"/>
      <c r="O709" s="1260"/>
      <c r="P709" s="1260"/>
      <c r="Q709" s="1260"/>
      <c r="R709" s="1260"/>
      <c r="S709" s="1260"/>
      <c r="T709" s="1260"/>
      <c r="U709" s="1260"/>
      <c r="V709" s="1260"/>
      <c r="W709" s="1260"/>
      <c r="X709" s="1260"/>
      <c r="Y709" s="1260"/>
      <c r="Z709" s="1260"/>
      <c r="AA709" s="1260"/>
      <c r="AB709" s="1260"/>
      <c r="AC709" s="1260"/>
      <c r="AD709" s="1260"/>
      <c r="AE709" s="1260"/>
      <c r="AF709" s="1260"/>
      <c r="AG709" s="1260"/>
      <c r="AH709" s="1260"/>
      <c r="AI709" s="1260"/>
      <c r="AJ709" s="1260"/>
      <c r="AK709" s="1260"/>
      <c r="AL709" s="1260"/>
      <c r="AM709" s="1260"/>
      <c r="AN709" s="1260"/>
      <c r="AO709" s="1260"/>
      <c r="AP709" s="1260"/>
      <c r="AQ709" s="1260"/>
      <c r="AR709" s="1260"/>
      <c r="AS709" s="1260"/>
      <c r="AT709" s="1260"/>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85" ht="12.95" customHeight="1">
      <c r="A710" s="1260"/>
      <c r="B710" s="1260"/>
      <c r="C710" s="1260"/>
      <c r="D710" s="1260"/>
      <c r="E710" s="1260"/>
      <c r="F710" s="1260"/>
      <c r="G710" s="1260"/>
      <c r="H710" s="1260"/>
      <c r="I710" s="1260"/>
      <c r="J710" s="1260"/>
      <c r="K710" s="1260"/>
      <c r="L710" s="1260"/>
      <c r="M710" s="1260"/>
      <c r="N710" s="1260"/>
      <c r="O710" s="1260"/>
      <c r="P710" s="1260"/>
      <c r="Q710" s="1260"/>
      <c r="R710" s="1260"/>
      <c r="S710" s="1260"/>
      <c r="T710" s="1260"/>
      <c r="U710" s="1260"/>
      <c r="V710" s="1260"/>
      <c r="W710" s="1260"/>
      <c r="X710" s="1260"/>
      <c r="Y710" s="1260"/>
      <c r="Z710" s="1260"/>
      <c r="AA710" s="1260"/>
      <c r="AB710" s="1260"/>
      <c r="AC710" s="1260"/>
      <c r="AD710" s="1260"/>
      <c r="AE710" s="1260"/>
      <c r="AF710" s="1260"/>
      <c r="AG710" s="1260"/>
      <c r="AH710" s="1260"/>
      <c r="AI710" s="1260"/>
      <c r="AJ710" s="1260"/>
      <c r="AK710" s="1260"/>
      <c r="AL710" s="1260"/>
      <c r="AM710" s="1260"/>
      <c r="AN710" s="1260"/>
      <c r="AO710" s="1260"/>
      <c r="AP710" s="1260"/>
      <c r="AQ710" s="1260"/>
      <c r="AR710" s="1260"/>
      <c r="AS710" s="1260"/>
      <c r="AT710" s="1260"/>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85" ht="12.95" customHeight="1">
      <c r="A711" s="1260"/>
      <c r="B711" s="1260"/>
      <c r="C711" s="1260"/>
      <c r="D711" s="1260"/>
      <c r="E711" s="1260"/>
      <c r="F711" s="1260"/>
      <c r="G711" s="1260"/>
      <c r="H711" s="1260"/>
      <c r="I711" s="1260"/>
      <c r="J711" s="1260"/>
      <c r="K711" s="1260"/>
      <c r="L711" s="1260"/>
      <c r="M711" s="1260"/>
      <c r="N711" s="1260"/>
      <c r="O711" s="1260"/>
      <c r="P711" s="1260"/>
      <c r="Q711" s="1260"/>
      <c r="R711" s="1260"/>
      <c r="S711" s="1260"/>
      <c r="T711" s="1260"/>
      <c r="U711" s="1260"/>
      <c r="V711" s="1260"/>
      <c r="W711" s="1260"/>
      <c r="X711" s="1260"/>
      <c r="Y711" s="1260"/>
      <c r="Z711" s="1260"/>
      <c r="AA711" s="1260"/>
      <c r="AB711" s="1260"/>
      <c r="AC711" s="1260"/>
      <c r="AD711" s="1260"/>
      <c r="AE711" s="1260"/>
      <c r="AF711" s="1260"/>
      <c r="AG711" s="1260"/>
      <c r="AH711" s="1260"/>
      <c r="AI711" s="1260"/>
      <c r="AJ711" s="1260"/>
      <c r="AK711" s="1260"/>
      <c r="AL711" s="1260"/>
      <c r="AM711" s="1260"/>
      <c r="AN711" s="1260"/>
      <c r="AO711" s="1260"/>
      <c r="AP711" s="1260"/>
      <c r="AQ711" s="1260"/>
      <c r="AR711" s="1260"/>
      <c r="AS711" s="1260"/>
      <c r="AT711" s="1260"/>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85" ht="12.95" customHeight="1">
      <c r="A712" s="2" t="s">
        <v>318</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85" ht="12.95" customHeight="1">
      <c r="A713" s="2"/>
      <c r="B713" s="512"/>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85" ht="12.95" customHeight="1">
      <c r="B714" s="1362" t="s">
        <v>388</v>
      </c>
      <c r="C714" s="1363"/>
      <c r="D714" s="1363"/>
      <c r="E714" s="1363"/>
      <c r="F714" s="1364"/>
      <c r="G714" s="1362" t="s">
        <v>284</v>
      </c>
      <c r="H714" s="1363"/>
      <c r="I714" s="1363"/>
      <c r="J714" s="1364"/>
      <c r="K714" s="1719" t="s">
        <v>1679</v>
      </c>
      <c r="L714" s="1720"/>
      <c r="M714" s="1720"/>
      <c r="N714" s="1721"/>
      <c r="O714" s="1362" t="s">
        <v>447</v>
      </c>
      <c r="P714" s="1363"/>
      <c r="Q714" s="1363"/>
      <c r="R714" s="1363"/>
      <c r="S714" s="1364"/>
      <c r="T714" s="1659" t="s">
        <v>1950</v>
      </c>
      <c r="U714" s="1363"/>
      <c r="V714" s="1363"/>
      <c r="W714" s="1364"/>
      <c r="X714" s="1659" t="s">
        <v>1952</v>
      </c>
      <c r="Y714" s="1363"/>
      <c r="Z714" s="1363"/>
      <c r="AA714" s="1363"/>
      <c r="AB714" s="1364"/>
      <c r="AC714" s="1659" t="s">
        <v>1951</v>
      </c>
      <c r="AD714" s="1363"/>
      <c r="AE714" s="1363"/>
      <c r="AF714" s="1363"/>
      <c r="AG714" s="1364"/>
      <c r="AH714" s="1659" t="s">
        <v>1953</v>
      </c>
      <c r="AI714" s="1363"/>
      <c r="AJ714" s="1364"/>
      <c r="AK714" s="1659" t="s">
        <v>1980</v>
      </c>
      <c r="AL714" s="1363"/>
      <c r="AM714" s="1363"/>
      <c r="AN714" s="1363"/>
      <c r="AO714" s="1364"/>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85" ht="12.95" customHeight="1">
      <c r="B715" s="1365"/>
      <c r="C715" s="1366"/>
      <c r="D715" s="1366"/>
      <c r="E715" s="1366"/>
      <c r="F715" s="1367"/>
      <c r="G715" s="1365"/>
      <c r="H715" s="1366"/>
      <c r="I715" s="1366"/>
      <c r="J715" s="1367"/>
      <c r="K715" s="1722"/>
      <c r="L715" s="1723"/>
      <c r="M715" s="1723"/>
      <c r="N715" s="1724"/>
      <c r="O715" s="1365"/>
      <c r="P715" s="1366"/>
      <c r="Q715" s="1366"/>
      <c r="R715" s="1366"/>
      <c r="S715" s="1367"/>
      <c r="T715" s="1365"/>
      <c r="U715" s="1366"/>
      <c r="V715" s="1366"/>
      <c r="W715" s="1367"/>
      <c r="X715" s="1365"/>
      <c r="Y715" s="1366"/>
      <c r="Z715" s="1366"/>
      <c r="AA715" s="1366"/>
      <c r="AB715" s="1367"/>
      <c r="AC715" s="1365"/>
      <c r="AD715" s="1366"/>
      <c r="AE715" s="1366"/>
      <c r="AF715" s="1366"/>
      <c r="AG715" s="1367"/>
      <c r="AH715" s="1365"/>
      <c r="AI715" s="1366"/>
      <c r="AJ715" s="1367"/>
      <c r="AK715" s="1365"/>
      <c r="AL715" s="1366"/>
      <c r="AM715" s="1366"/>
      <c r="AN715" s="1366"/>
      <c r="AO715" s="1367"/>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85" ht="12.95" customHeight="1">
      <c r="A716" s="4"/>
      <c r="B716" s="1365"/>
      <c r="C716" s="1366"/>
      <c r="D716" s="1366"/>
      <c r="E716" s="1366"/>
      <c r="F716" s="1367"/>
      <c r="G716" s="1365"/>
      <c r="H716" s="1366"/>
      <c r="I716" s="1366"/>
      <c r="J716" s="1367"/>
      <c r="K716" s="1722"/>
      <c r="L716" s="1723"/>
      <c r="M716" s="1723"/>
      <c r="N716" s="1724"/>
      <c r="O716" s="1365"/>
      <c r="P716" s="1366"/>
      <c r="Q716" s="1366"/>
      <c r="R716" s="1366"/>
      <c r="S716" s="1367"/>
      <c r="T716" s="1365"/>
      <c r="U716" s="1366"/>
      <c r="V716" s="1366"/>
      <c r="W716" s="1367"/>
      <c r="X716" s="1365"/>
      <c r="Y716" s="1366"/>
      <c r="Z716" s="1366"/>
      <c r="AA716" s="1366"/>
      <c r="AB716" s="1367"/>
      <c r="AC716" s="1365"/>
      <c r="AD716" s="1366"/>
      <c r="AE716" s="1366"/>
      <c r="AF716" s="1366"/>
      <c r="AG716" s="1367"/>
      <c r="AH716" s="1365"/>
      <c r="AI716" s="1366"/>
      <c r="AJ716" s="1367"/>
      <c r="AK716" s="1365"/>
      <c r="AL716" s="1366"/>
      <c r="AM716" s="1366"/>
      <c r="AN716" s="1366"/>
      <c r="AO716" s="1367"/>
      <c r="AP716" s="3"/>
      <c r="AQ716" s="3"/>
      <c r="AR716" s="3"/>
      <c r="AS716" s="3"/>
      <c r="BA716" s="3"/>
      <c r="BB716" s="3"/>
      <c r="BC716" s="3"/>
      <c r="BD716" s="3"/>
      <c r="BE716" s="204"/>
      <c r="BF716" s="205" t="s">
        <v>895</v>
      </c>
      <c r="BG716" s="204"/>
      <c r="BH716" s="204"/>
      <c r="BI716" s="3"/>
      <c r="BJ716" s="3"/>
      <c r="BK716" s="3"/>
      <c r="BL716" s="3"/>
      <c r="BM716" s="3"/>
      <c r="BN716" s="3"/>
      <c r="BS716" s="205" t="s">
        <v>1628</v>
      </c>
      <c r="BT716" s="204"/>
      <c r="BU716" s="204"/>
      <c r="CC716" s="3"/>
      <c r="CD716" s="3"/>
      <c r="CE716" s="3"/>
      <c r="CF716" s="3"/>
      <c r="CG716" s="3"/>
      <c r="CH716" s="3"/>
      <c r="CI716" s="3"/>
      <c r="CJ716" s="3"/>
      <c r="CK716" s="3"/>
      <c r="CL716" s="3"/>
      <c r="CM716" s="3"/>
      <c r="CN716" s="3"/>
      <c r="CO716" s="3"/>
      <c r="CP716" s="3" t="s">
        <v>102</v>
      </c>
      <c r="CQ716" s="3"/>
      <c r="CR716" s="3"/>
      <c r="CS716" s="3"/>
      <c r="CT716" s="3"/>
      <c r="CU716" s="3"/>
      <c r="CV716" s="3"/>
      <c r="CW716" s="3"/>
      <c r="CX716" s="3"/>
      <c r="CY716" s="3"/>
      <c r="CZ716" s="3"/>
      <c r="DA716" s="3"/>
      <c r="DB716" s="3"/>
      <c r="DC716" s="3"/>
      <c r="DD716" s="3"/>
      <c r="DE716" s="3"/>
      <c r="DF716" s="3"/>
      <c r="DG716" s="3"/>
      <c r="DH716" s="3"/>
      <c r="DI716" s="3"/>
      <c r="DJ716" s="3"/>
      <c r="DK716" s="3"/>
      <c r="DL716" s="3"/>
      <c r="DM716" s="3"/>
      <c r="DN716" s="3"/>
      <c r="DO716" s="3"/>
      <c r="DP716" s="3"/>
      <c r="DQ716" s="3"/>
      <c r="DR716" s="3"/>
      <c r="DS716" s="3"/>
      <c r="DT716" s="3"/>
      <c r="DU716" s="3" t="s">
        <v>359</v>
      </c>
      <c r="DV716" s="3"/>
      <c r="DW716" s="3"/>
      <c r="DX716" s="3"/>
      <c r="DY716" s="3"/>
      <c r="DZ716" s="3"/>
      <c r="EA716" s="3"/>
      <c r="EB716" s="3"/>
      <c r="EC716" s="3"/>
      <c r="ED716" s="3"/>
      <c r="EE716" s="3"/>
      <c r="EF716" s="3"/>
      <c r="EG716" s="3"/>
      <c r="EH716" s="3"/>
      <c r="EI716" s="3"/>
      <c r="EJ716" s="3"/>
      <c r="EK716" s="3"/>
      <c r="EL716" s="3"/>
      <c r="EM716" s="3"/>
      <c r="EN716" s="3"/>
      <c r="EO716" s="3"/>
      <c r="EP716" s="3"/>
      <c r="EQ716" s="3"/>
      <c r="ER716" s="3"/>
      <c r="ES716" s="3"/>
      <c r="ET716" s="3"/>
      <c r="EU716" s="3"/>
      <c r="EV716" s="3"/>
      <c r="EW716" s="3"/>
      <c r="EX716" s="3"/>
      <c r="EY716" s="4"/>
      <c r="EZ716" s="3" t="s">
        <v>1843</v>
      </c>
      <c r="FA716" s="3"/>
      <c r="FB716" s="3"/>
      <c r="FC716" s="3"/>
      <c r="FD716" s="3"/>
      <c r="FE716" s="3"/>
      <c r="FF716" s="3"/>
      <c r="FG716" s="3"/>
      <c r="FH716" s="3"/>
      <c r="FI716" s="3"/>
      <c r="FJ716" s="3"/>
      <c r="FK716" s="3"/>
      <c r="FL716" s="3"/>
      <c r="FM716" s="3"/>
      <c r="FN716" s="3"/>
      <c r="FO716" s="3"/>
      <c r="FP716" s="3"/>
      <c r="FQ716" s="3"/>
      <c r="FR716" s="3"/>
      <c r="FS716" s="3"/>
      <c r="FT716" s="3"/>
      <c r="FU716" s="3"/>
      <c r="FV716" s="3"/>
      <c r="FW716" s="3"/>
      <c r="FX716" s="3"/>
      <c r="FY716" s="3"/>
      <c r="FZ716" s="3"/>
      <c r="GA716" s="3"/>
      <c r="GB716" s="3"/>
      <c r="GC716" s="3"/>
    </row>
    <row r="717" spans="1:185" ht="12.95" customHeight="1">
      <c r="A717" s="4"/>
      <c r="B717" s="1368"/>
      <c r="C717" s="1369"/>
      <c r="D717" s="1369"/>
      <c r="E717" s="1369"/>
      <c r="F717" s="1370"/>
      <c r="G717" s="1368"/>
      <c r="H717" s="1369"/>
      <c r="I717" s="1369"/>
      <c r="J717" s="1370"/>
      <c r="K717" s="1722"/>
      <c r="L717" s="1723"/>
      <c r="M717" s="1723"/>
      <c r="N717" s="1724"/>
      <c r="O717" s="1368"/>
      <c r="P717" s="1369"/>
      <c r="Q717" s="1369"/>
      <c r="R717" s="1369"/>
      <c r="S717" s="1370"/>
      <c r="T717" s="1368"/>
      <c r="U717" s="1369"/>
      <c r="V717" s="1369"/>
      <c r="W717" s="1370"/>
      <c r="X717" s="1368"/>
      <c r="Y717" s="1369"/>
      <c r="Z717" s="1369"/>
      <c r="AA717" s="1369"/>
      <c r="AB717" s="1370"/>
      <c r="AC717" s="1368"/>
      <c r="AD717" s="1369"/>
      <c r="AE717" s="1369"/>
      <c r="AF717" s="1369"/>
      <c r="AG717" s="1370"/>
      <c r="AH717" s="1368"/>
      <c r="AI717" s="1369"/>
      <c r="AJ717" s="1370"/>
      <c r="AK717" s="1368"/>
      <c r="AL717" s="1369"/>
      <c r="AM717" s="1369"/>
      <c r="AN717" s="1369"/>
      <c r="AO717" s="1370"/>
      <c r="AP717" s="3"/>
      <c r="AQ717" s="3"/>
      <c r="AR717" s="3"/>
      <c r="AS717" s="3"/>
      <c r="AZ717" s="166" t="s">
        <v>649</v>
      </c>
      <c r="BA717" s="3"/>
      <c r="BB717" s="3"/>
      <c r="BC717" s="3"/>
      <c r="BD717" s="3"/>
      <c r="BE717" s="204"/>
      <c r="BF717" s="291" t="s">
        <v>896</v>
      </c>
      <c r="BG717" s="296" t="s">
        <v>897</v>
      </c>
      <c r="BH717" s="295" t="s">
        <v>898</v>
      </c>
      <c r="BI717" s="3"/>
      <c r="BJ717" s="3"/>
      <c r="BK717" s="3"/>
      <c r="BL717" s="3"/>
      <c r="BM717" s="3"/>
      <c r="BN717" s="3"/>
      <c r="BS717" s="291" t="s">
        <v>896</v>
      </c>
      <c r="BT717" s="296" t="s">
        <v>897</v>
      </c>
      <c r="BU717" s="295" t="s">
        <v>898</v>
      </c>
      <c r="CC717" s="3"/>
      <c r="CD717" s="3"/>
      <c r="CE717" s="3"/>
      <c r="CF717" s="3"/>
      <c r="CG717" s="121" t="s">
        <v>474</v>
      </c>
      <c r="CH717" s="122"/>
      <c r="CI717" s="1469"/>
      <c r="CJ717" s="1470"/>
      <c r="CK717" s="121" t="s">
        <v>475</v>
      </c>
      <c r="CL717" s="122"/>
      <c r="CM717" s="1469"/>
      <c r="CN717" s="1470"/>
      <c r="CO717" s="3"/>
      <c r="CP717" s="1386" t="s">
        <v>633</v>
      </c>
      <c r="CQ717" s="1387"/>
      <c r="CR717" s="1387"/>
      <c r="CS717" s="1387"/>
      <c r="CT717" s="1388"/>
      <c r="CU717" s="1462" t="s">
        <v>324</v>
      </c>
      <c r="CV717" s="1462"/>
      <c r="CW717" s="1462"/>
      <c r="CX717" s="1462"/>
      <c r="CY717" s="1462"/>
      <c r="CZ717" s="1462" t="s">
        <v>163</v>
      </c>
      <c r="DA717" s="1462"/>
      <c r="DB717" s="1462"/>
      <c r="DC717" s="1462"/>
      <c r="DD717" s="1462"/>
      <c r="DE717" s="1462" t="s">
        <v>164</v>
      </c>
      <c r="DF717" s="1462"/>
      <c r="DG717" s="1462"/>
      <c r="DH717" s="1462"/>
      <c r="DI717" s="1462"/>
      <c r="DJ717" s="1462" t="s">
        <v>460</v>
      </c>
      <c r="DK717" s="1462"/>
      <c r="DL717" s="1462"/>
      <c r="DM717" s="1462"/>
      <c r="DN717" s="1462"/>
      <c r="DO717" s="1462" t="s">
        <v>30</v>
      </c>
      <c r="DP717" s="1462"/>
      <c r="DQ717" s="1462"/>
      <c r="DR717" s="1462"/>
      <c r="DS717" s="1462"/>
      <c r="DT717" s="89"/>
      <c r="DU717" s="1462" t="s">
        <v>633</v>
      </c>
      <c r="DV717" s="1462"/>
      <c r="DW717" s="1462"/>
      <c r="DX717" s="1462"/>
      <c r="DY717" s="1462"/>
      <c r="DZ717" s="1462" t="s">
        <v>324</v>
      </c>
      <c r="EA717" s="1462"/>
      <c r="EB717" s="1462"/>
      <c r="EC717" s="1462"/>
      <c r="ED717" s="1462"/>
      <c r="EE717" s="1462" t="s">
        <v>163</v>
      </c>
      <c r="EF717" s="1462"/>
      <c r="EG717" s="1462"/>
      <c r="EH717" s="1462"/>
      <c r="EI717" s="1462"/>
      <c r="EJ717" s="1462" t="s">
        <v>164</v>
      </c>
      <c r="EK717" s="1462"/>
      <c r="EL717" s="1462"/>
      <c r="EM717" s="1462"/>
      <c r="EN717" s="1462"/>
      <c r="EO717" s="1462" t="s">
        <v>460</v>
      </c>
      <c r="EP717" s="1462"/>
      <c r="EQ717" s="1462"/>
      <c r="ER717" s="1462"/>
      <c r="ES717" s="1462"/>
      <c r="ET717" s="1462" t="s">
        <v>30</v>
      </c>
      <c r="EU717" s="1462"/>
      <c r="EV717" s="1462"/>
      <c r="EW717" s="1462"/>
      <c r="EX717" s="1462"/>
      <c r="EY717" s="4"/>
      <c r="EZ717" s="1462" t="s">
        <v>633</v>
      </c>
      <c r="FA717" s="1462"/>
      <c r="FB717" s="1462"/>
      <c r="FC717" s="1462"/>
      <c r="FD717" s="1462"/>
      <c r="FE717" s="1462" t="s">
        <v>324</v>
      </c>
      <c r="FF717" s="1462"/>
      <c r="FG717" s="1462"/>
      <c r="FH717" s="1462"/>
      <c r="FI717" s="1462"/>
      <c r="FJ717" s="1462" t="s">
        <v>163</v>
      </c>
      <c r="FK717" s="1462"/>
      <c r="FL717" s="1462"/>
      <c r="FM717" s="1462"/>
      <c r="FN717" s="1462"/>
      <c r="FO717" s="1462" t="s">
        <v>164</v>
      </c>
      <c r="FP717" s="1462"/>
      <c r="FQ717" s="1462"/>
      <c r="FR717" s="1462"/>
      <c r="FS717" s="1462"/>
      <c r="FT717" s="1462" t="s">
        <v>460</v>
      </c>
      <c r="FU717" s="1462"/>
      <c r="FV717" s="1462"/>
      <c r="FW717" s="1462"/>
      <c r="FX717" s="1462"/>
      <c r="FY717" s="1462" t="s">
        <v>30</v>
      </c>
      <c r="FZ717" s="1462"/>
      <c r="GA717" s="1462"/>
      <c r="GB717" s="1462"/>
      <c r="GC717" s="1462"/>
    </row>
    <row r="718" spans="1:185" ht="12.95" customHeight="1">
      <c r="A718" s="4"/>
      <c r="B718" s="1337" t="s">
        <v>324</v>
      </c>
      <c r="C718" s="1338"/>
      <c r="D718" s="1338"/>
      <c r="E718" s="1338"/>
      <c r="F718" s="1339"/>
      <c r="G718" s="1349">
        <v>10</v>
      </c>
      <c r="H718" s="1350"/>
      <c r="I718" s="1350"/>
      <c r="J718" s="1351"/>
      <c r="K718" s="1343">
        <v>554</v>
      </c>
      <c r="L718" s="1344"/>
      <c r="M718" s="1344"/>
      <c r="N718" s="1345"/>
      <c r="O718" s="1340">
        <v>791</v>
      </c>
      <c r="P718" s="1341"/>
      <c r="Q718" s="1341"/>
      <c r="R718" s="1341"/>
      <c r="S718" s="1342"/>
      <c r="T718" s="1340">
        <v>0</v>
      </c>
      <c r="U718" s="1341"/>
      <c r="V718" s="1341"/>
      <c r="W718" s="1342"/>
      <c r="X718" s="1352">
        <f t="shared" ref="X718:X741" si="8">O718+T718</f>
        <v>791</v>
      </c>
      <c r="Y718" s="1353"/>
      <c r="Z718" s="1353"/>
      <c r="AA718" s="1353"/>
      <c r="AB718" s="1354"/>
      <c r="AC718" s="1359">
        <v>0.3</v>
      </c>
      <c r="AD718" s="1360"/>
      <c r="AE718" s="1360"/>
      <c r="AF718" s="1360"/>
      <c r="AG718" s="1361"/>
      <c r="AH718" s="1355">
        <f>IF($AC718&gt;0,($X718/$AZ718), "")</f>
        <v>0.28189593727726303</v>
      </c>
      <c r="AI718" s="1356"/>
      <c r="AJ718" s="1357"/>
      <c r="AK718" s="1337" t="s">
        <v>591</v>
      </c>
      <c r="AL718" s="1338"/>
      <c r="AM718" s="1338"/>
      <c r="AN718" s="1338"/>
      <c r="AO718" s="1339"/>
      <c r="AP718" s="3"/>
      <c r="AQ718" s="3"/>
      <c r="AR718" s="3"/>
      <c r="AS718" s="3"/>
      <c r="AZ718" s="118">
        <f t="shared" ref="AZ718:AZ752" si="9">IF($G718=0,"N/A",VLOOKUP($T$189,TC_Rent,(MATCH($B718,bedrooms,FALSE)),FALSE))</f>
        <v>2806</v>
      </c>
      <c r="BA718" s="3"/>
      <c r="BB718" s="3"/>
      <c r="BC718" s="3"/>
      <c r="BD718" s="3"/>
      <c r="BE718" s="204"/>
      <c r="BF718" s="293">
        <f t="shared" ref="BF718:BF752" si="10">G718</f>
        <v>10</v>
      </c>
      <c r="BG718" s="297">
        <f t="shared" ref="BG718:BG752" si="11">IF($BF$753=0,0,BF718/$BF$753)</f>
        <v>9.7087378640776698E-2</v>
      </c>
      <c r="BH718" s="298">
        <f t="shared" ref="BH718:BH752" si="12">IF(BG718=0,"",BG718*AC718)</f>
        <v>2.9126213592233007E-2</v>
      </c>
      <c r="BI718" s="3"/>
      <c r="BJ718" s="3"/>
      <c r="BK718" s="3"/>
      <c r="BL718" s="3"/>
      <c r="BM718" s="3"/>
      <c r="BN718" s="3"/>
      <c r="BS718" s="293">
        <f t="shared" ref="BS718:BS752" si="13">G718</f>
        <v>10</v>
      </c>
      <c r="BT718" s="297">
        <f t="shared" ref="BT718:BT752" si="14">IF($BS$753=0,0,BS718/$BS$753)</f>
        <v>9.7087378640776698E-2</v>
      </c>
      <c r="BU718" s="298">
        <f t="shared" ref="BU718:BU752" si="15">IF(BT718=0,"",BT718*AH718)</f>
        <v>2.7368537599734274E-2</v>
      </c>
      <c r="CC718" s="3"/>
      <c r="CD718" s="3"/>
      <c r="CE718" s="3"/>
      <c r="CF718" s="3"/>
      <c r="CG718" s="1463">
        <f>IF(AND(AC718&lt;=0.5,AC718&gt;=0.36),1,0)</f>
        <v>0</v>
      </c>
      <c r="CH718" s="1464"/>
      <c r="CI718" s="1469">
        <f>IF(CG718=1,G718,0)</f>
        <v>0</v>
      </c>
      <c r="CJ718" s="1470"/>
      <c r="CK718" s="1463">
        <f t="shared" ref="CK718:CK752" si="16">IF(AND(AC718&lt;=0.35,AC718&gt;0),1,0)</f>
        <v>1</v>
      </c>
      <c r="CL718" s="1464"/>
      <c r="CM718" s="1469">
        <f t="shared" ref="CM718:CM752" si="17">IF(CK718=1,G718,0)</f>
        <v>10</v>
      </c>
      <c r="CN718" s="1470"/>
      <c r="CO718" s="3"/>
      <c r="CP718" s="1458">
        <f t="shared" ref="CP718:CP752" si="18">IF(B718="SRO/Studio",G718,0)</f>
        <v>0</v>
      </c>
      <c r="CQ718" s="1459"/>
      <c r="CR718" s="1459"/>
      <c r="CS718" s="1459"/>
      <c r="CT718" s="1460"/>
      <c r="CU718" s="1443">
        <f t="shared" ref="CU718:CU752" si="19">IF(B718="1 Bedroom",G718,0)</f>
        <v>10</v>
      </c>
      <c r="CV718" s="1443"/>
      <c r="CW718" s="1443"/>
      <c r="CX718" s="1443"/>
      <c r="CY718" s="1443"/>
      <c r="CZ718" s="1443">
        <f t="shared" ref="CZ718:CZ752" si="20">IF(B718="2 Bedrooms",G718,0)</f>
        <v>0</v>
      </c>
      <c r="DA718" s="1443"/>
      <c r="DB718" s="1443"/>
      <c r="DC718" s="1443"/>
      <c r="DD718" s="1443"/>
      <c r="DE718" s="1443">
        <f t="shared" ref="DE718:DE752" si="21">IF(B718="3 Bedrooms",G718,0)</f>
        <v>0</v>
      </c>
      <c r="DF718" s="1443"/>
      <c r="DG718" s="1443"/>
      <c r="DH718" s="1443"/>
      <c r="DI718" s="1443"/>
      <c r="DJ718" s="1443">
        <f t="shared" ref="DJ718:DJ752" si="22">IF(B718="4 Bedrooms",G718,0)</f>
        <v>0</v>
      </c>
      <c r="DK718" s="1443"/>
      <c r="DL718" s="1443"/>
      <c r="DM718" s="1443"/>
      <c r="DN718" s="1443"/>
      <c r="DO718" s="1443">
        <f t="shared" ref="DO718:DO752" si="23">IF(B718="5 Bedrooms",G718,0)</f>
        <v>0</v>
      </c>
      <c r="DP718" s="1443"/>
      <c r="DQ718" s="1443"/>
      <c r="DR718" s="1443"/>
      <c r="DS718" s="1443"/>
      <c r="DT718" s="6"/>
      <c r="DU718" s="1444">
        <f t="shared" ref="DU718:DU752" si="24">IF(AND(B718="SRO/Studio",AC718&lt;=0.3),G718,0)</f>
        <v>0</v>
      </c>
      <c r="DV718" s="1444"/>
      <c r="DW718" s="1444"/>
      <c r="DX718" s="1444"/>
      <c r="DY718" s="1444"/>
      <c r="DZ718" s="1444">
        <f t="shared" ref="DZ718:DZ752" si="25">IF(AND(B718="1 Bedroom",AC718&lt;=0.3),G718,0)</f>
        <v>10</v>
      </c>
      <c r="EA718" s="1444"/>
      <c r="EB718" s="1444"/>
      <c r="EC718" s="1444"/>
      <c r="ED718" s="1444"/>
      <c r="EE718" s="1444">
        <f t="shared" ref="EE718:EE752" si="26">IF(AND(B718="2 Bedrooms",AC718&lt;=0.3),G718,0)</f>
        <v>0</v>
      </c>
      <c r="EF718" s="1444"/>
      <c r="EG718" s="1444"/>
      <c r="EH718" s="1444"/>
      <c r="EI718" s="1444"/>
      <c r="EJ718" s="1444">
        <f t="shared" ref="EJ718:EJ752" si="27">IF(AND(B718="3 Bedrooms",AC718&lt;=0.3),G718,0)</f>
        <v>0</v>
      </c>
      <c r="EK718" s="1444"/>
      <c r="EL718" s="1444"/>
      <c r="EM718" s="1444"/>
      <c r="EN718" s="1444"/>
      <c r="EO718" s="1444">
        <f t="shared" ref="EO718:EO752" si="28">IF(AND(B718="4 Bedrooms",AC718&lt;=0.3),G718,0)</f>
        <v>0</v>
      </c>
      <c r="EP718" s="1444"/>
      <c r="EQ718" s="1444"/>
      <c r="ER718" s="1444"/>
      <c r="ES718" s="1444"/>
      <c r="ET718" s="1444">
        <f t="shared" ref="ET718:ET752" si="29">IF(AND(B718="5 Bedrooms",AC718&lt;=0.3),G718,0)</f>
        <v>0</v>
      </c>
      <c r="EU718" s="1444"/>
      <c r="EV718" s="1444"/>
      <c r="EW718" s="1444"/>
      <c r="EX718" s="1444"/>
      <c r="EY718" s="4"/>
      <c r="EZ718" s="1463" t="str">
        <f t="shared" ref="EZ718:EZ752" si="30">IF(CP718&gt;0,O718,"")</f>
        <v/>
      </c>
      <c r="FA718" s="1465"/>
      <c r="FB718" s="1465"/>
      <c r="FC718" s="1465"/>
      <c r="FD718" s="1464"/>
      <c r="FE718" s="1463">
        <f t="shared" ref="FE718:FE752" si="31">IF(CU718&gt;0,O718,"")</f>
        <v>791</v>
      </c>
      <c r="FF718" s="1465"/>
      <c r="FG718" s="1465"/>
      <c r="FH718" s="1465"/>
      <c r="FI718" s="1464"/>
      <c r="FJ718" s="1463" t="str">
        <f t="shared" ref="FJ718:FJ752" si="32">IF(CZ718&gt;0,O718,"")</f>
        <v/>
      </c>
      <c r="FK718" s="1465"/>
      <c r="FL718" s="1465"/>
      <c r="FM718" s="1465"/>
      <c r="FN718" s="1464"/>
      <c r="FO718" s="1463" t="str">
        <f t="shared" ref="FO718:FO752" si="33">IF(DE718&gt;0,O718,"")</f>
        <v/>
      </c>
      <c r="FP718" s="1465"/>
      <c r="FQ718" s="1465"/>
      <c r="FR718" s="1465"/>
      <c r="FS718" s="1464"/>
      <c r="FT718" s="1463" t="str">
        <f t="shared" ref="FT718:FT752" si="34">IF(DJ718&gt;0,O718,"")</f>
        <v/>
      </c>
      <c r="FU718" s="1465"/>
      <c r="FV718" s="1465"/>
      <c r="FW718" s="1465"/>
      <c r="FX718" s="1464"/>
      <c r="FY718" s="1463" t="str">
        <f t="shared" ref="FY718:FY752" si="35">IF(DO718&gt;0,O718,"")</f>
        <v/>
      </c>
      <c r="FZ718" s="1465"/>
      <c r="GA718" s="1465"/>
      <c r="GB718" s="1465"/>
      <c r="GC718" s="1464"/>
    </row>
    <row r="719" spans="1:185" ht="12.95" customHeight="1">
      <c r="A719" s="4"/>
      <c r="B719" s="1337" t="s">
        <v>324</v>
      </c>
      <c r="C719" s="1338"/>
      <c r="D719" s="1338"/>
      <c r="E719" s="1338"/>
      <c r="F719" s="1339"/>
      <c r="G719" s="1349">
        <v>2</v>
      </c>
      <c r="H719" s="1350"/>
      <c r="I719" s="1350"/>
      <c r="J719" s="1351"/>
      <c r="K719" s="1343">
        <v>554</v>
      </c>
      <c r="L719" s="1344"/>
      <c r="M719" s="1344"/>
      <c r="N719" s="1345"/>
      <c r="O719" s="1340">
        <v>1055</v>
      </c>
      <c r="P719" s="1341"/>
      <c r="Q719" s="1341"/>
      <c r="R719" s="1341"/>
      <c r="S719" s="1342"/>
      <c r="T719" s="1340">
        <v>0</v>
      </c>
      <c r="U719" s="1341"/>
      <c r="V719" s="1341"/>
      <c r="W719" s="1342"/>
      <c r="X719" s="1352">
        <f t="shared" si="8"/>
        <v>1055</v>
      </c>
      <c r="Y719" s="1353"/>
      <c r="Z719" s="1353"/>
      <c r="AA719" s="1353"/>
      <c r="AB719" s="1354"/>
      <c r="AC719" s="1359">
        <v>0.4</v>
      </c>
      <c r="AD719" s="1360"/>
      <c r="AE719" s="1360"/>
      <c r="AF719" s="1360"/>
      <c r="AG719" s="1361"/>
      <c r="AH719" s="1355">
        <f t="shared" ref="AH719:AH752" si="36">IF($AC719&gt;0,($X719/$AZ719), "")</f>
        <v>0.37598004276550251</v>
      </c>
      <c r="AI719" s="1356"/>
      <c r="AJ719" s="1357"/>
      <c r="AK719" s="1337" t="s">
        <v>591</v>
      </c>
      <c r="AL719" s="1338"/>
      <c r="AM719" s="1338"/>
      <c r="AN719" s="1338"/>
      <c r="AO719" s="1339"/>
      <c r="AP719" s="3"/>
      <c r="AQ719" s="3"/>
      <c r="AR719" s="3"/>
      <c r="AS719" s="3"/>
      <c r="AZ719" s="118">
        <f t="shared" si="9"/>
        <v>2806</v>
      </c>
      <c r="BA719" s="3"/>
      <c r="BB719" s="3"/>
      <c r="BC719" s="3"/>
      <c r="BD719" s="3"/>
      <c r="BE719" s="204"/>
      <c r="BF719" s="294">
        <f t="shared" si="10"/>
        <v>2</v>
      </c>
      <c r="BG719" s="297">
        <f t="shared" si="11"/>
        <v>1.9417475728155338E-2</v>
      </c>
      <c r="BH719" s="298">
        <f t="shared" si="12"/>
        <v>7.7669902912621356E-3</v>
      </c>
      <c r="BI719" s="3"/>
      <c r="BJ719" s="3"/>
      <c r="BK719" s="3"/>
      <c r="BL719" s="3"/>
      <c r="BM719" s="3"/>
      <c r="BN719" s="3"/>
      <c r="BS719" s="294">
        <f t="shared" si="13"/>
        <v>2</v>
      </c>
      <c r="BT719" s="297">
        <f t="shared" si="14"/>
        <v>1.9417475728155338E-2</v>
      </c>
      <c r="BU719" s="298">
        <f t="shared" si="15"/>
        <v>7.3005833546699508E-3</v>
      </c>
      <c r="CC719" s="3"/>
      <c r="CD719" s="3"/>
      <c r="CE719" s="3"/>
      <c r="CF719" s="3"/>
      <c r="CG719" s="1463">
        <f t="shared" ref="CG719:CG752" si="37">IF(AND(AC719&lt;=0.5,AC719&gt;=0.36),1,0)</f>
        <v>1</v>
      </c>
      <c r="CH719" s="1464"/>
      <c r="CI719" s="1469">
        <f t="shared" ref="CI719:CI752" si="38">IF(CG719=1,G719,0)</f>
        <v>2</v>
      </c>
      <c r="CJ719" s="1470"/>
      <c r="CK719" s="1463">
        <f t="shared" si="16"/>
        <v>0</v>
      </c>
      <c r="CL719" s="1464"/>
      <c r="CM719" s="1469">
        <f t="shared" si="17"/>
        <v>0</v>
      </c>
      <c r="CN719" s="1470"/>
      <c r="CO719" s="3"/>
      <c r="CP719" s="1458">
        <f t="shared" si="18"/>
        <v>0</v>
      </c>
      <c r="CQ719" s="1459"/>
      <c r="CR719" s="1459"/>
      <c r="CS719" s="1459"/>
      <c r="CT719" s="1460"/>
      <c r="CU719" s="1443">
        <f t="shared" si="19"/>
        <v>2</v>
      </c>
      <c r="CV719" s="1443"/>
      <c r="CW719" s="1443"/>
      <c r="CX719" s="1443"/>
      <c r="CY719" s="1443"/>
      <c r="CZ719" s="1443">
        <f t="shared" si="20"/>
        <v>0</v>
      </c>
      <c r="DA719" s="1443"/>
      <c r="DB719" s="1443"/>
      <c r="DC719" s="1443"/>
      <c r="DD719" s="1443"/>
      <c r="DE719" s="1443">
        <f t="shared" si="21"/>
        <v>0</v>
      </c>
      <c r="DF719" s="1443"/>
      <c r="DG719" s="1443"/>
      <c r="DH719" s="1443"/>
      <c r="DI719" s="1443"/>
      <c r="DJ719" s="1443">
        <f t="shared" si="22"/>
        <v>0</v>
      </c>
      <c r="DK719" s="1443"/>
      <c r="DL719" s="1443"/>
      <c r="DM719" s="1443"/>
      <c r="DN719" s="1443"/>
      <c r="DO719" s="1443">
        <f t="shared" si="23"/>
        <v>0</v>
      </c>
      <c r="DP719" s="1443"/>
      <c r="DQ719" s="1443"/>
      <c r="DR719" s="1443"/>
      <c r="DS719" s="1443"/>
      <c r="DT719" s="6"/>
      <c r="DU719" s="1444">
        <f t="shared" si="24"/>
        <v>0</v>
      </c>
      <c r="DV719" s="1444"/>
      <c r="DW719" s="1444"/>
      <c r="DX719" s="1444"/>
      <c r="DY719" s="1444"/>
      <c r="DZ719" s="1444">
        <f t="shared" si="25"/>
        <v>0</v>
      </c>
      <c r="EA719" s="1444"/>
      <c r="EB719" s="1444"/>
      <c r="EC719" s="1444"/>
      <c r="ED719" s="1444"/>
      <c r="EE719" s="1444">
        <f t="shared" si="26"/>
        <v>0</v>
      </c>
      <c r="EF719" s="1444"/>
      <c r="EG719" s="1444"/>
      <c r="EH719" s="1444"/>
      <c r="EI719" s="1444"/>
      <c r="EJ719" s="1444">
        <f t="shared" si="27"/>
        <v>0</v>
      </c>
      <c r="EK719" s="1444"/>
      <c r="EL719" s="1444"/>
      <c r="EM719" s="1444"/>
      <c r="EN719" s="1444"/>
      <c r="EO719" s="1444">
        <f t="shared" si="28"/>
        <v>0</v>
      </c>
      <c r="EP719" s="1444"/>
      <c r="EQ719" s="1444"/>
      <c r="ER719" s="1444"/>
      <c r="ES719" s="1444"/>
      <c r="ET719" s="1444">
        <f t="shared" si="29"/>
        <v>0</v>
      </c>
      <c r="EU719" s="1444"/>
      <c r="EV719" s="1444"/>
      <c r="EW719" s="1444"/>
      <c r="EX719" s="1444"/>
      <c r="EY719" s="4"/>
      <c r="EZ719" s="1463" t="str">
        <f t="shared" si="30"/>
        <v/>
      </c>
      <c r="FA719" s="1465"/>
      <c r="FB719" s="1465"/>
      <c r="FC719" s="1465"/>
      <c r="FD719" s="1464"/>
      <c r="FE719" s="1463">
        <f t="shared" si="31"/>
        <v>1055</v>
      </c>
      <c r="FF719" s="1465"/>
      <c r="FG719" s="1465"/>
      <c r="FH719" s="1465"/>
      <c r="FI719" s="1464"/>
      <c r="FJ719" s="1463" t="str">
        <f t="shared" si="32"/>
        <v/>
      </c>
      <c r="FK719" s="1465"/>
      <c r="FL719" s="1465"/>
      <c r="FM719" s="1465"/>
      <c r="FN719" s="1464"/>
      <c r="FO719" s="1463" t="str">
        <f t="shared" si="33"/>
        <v/>
      </c>
      <c r="FP719" s="1465"/>
      <c r="FQ719" s="1465"/>
      <c r="FR719" s="1465"/>
      <c r="FS719" s="1464"/>
      <c r="FT719" s="1463" t="str">
        <f t="shared" si="34"/>
        <v/>
      </c>
      <c r="FU719" s="1465"/>
      <c r="FV719" s="1465"/>
      <c r="FW719" s="1465"/>
      <c r="FX719" s="1464"/>
      <c r="FY719" s="1463" t="str">
        <f t="shared" si="35"/>
        <v/>
      </c>
      <c r="FZ719" s="1465"/>
      <c r="GA719" s="1465"/>
      <c r="GB719" s="1465"/>
      <c r="GC719" s="1464"/>
    </row>
    <row r="720" spans="1:185" ht="12.95" customHeight="1">
      <c r="A720" s="4"/>
      <c r="B720" s="1337" t="s">
        <v>324</v>
      </c>
      <c r="C720" s="1338"/>
      <c r="D720" s="1338"/>
      <c r="E720" s="1338"/>
      <c r="F720" s="1339"/>
      <c r="G720" s="1349">
        <v>2</v>
      </c>
      <c r="H720" s="1350"/>
      <c r="I720" s="1350"/>
      <c r="J720" s="1351"/>
      <c r="K720" s="1343">
        <v>554</v>
      </c>
      <c r="L720" s="1344"/>
      <c r="M720" s="1344"/>
      <c r="N720" s="1345"/>
      <c r="O720" s="1340">
        <v>1319</v>
      </c>
      <c r="P720" s="1341"/>
      <c r="Q720" s="1341"/>
      <c r="R720" s="1341"/>
      <c r="S720" s="1342"/>
      <c r="T720" s="1340">
        <v>0</v>
      </c>
      <c r="U720" s="1341"/>
      <c r="V720" s="1341"/>
      <c r="W720" s="1342"/>
      <c r="X720" s="1352">
        <f t="shared" si="8"/>
        <v>1319</v>
      </c>
      <c r="Y720" s="1353"/>
      <c r="Z720" s="1353"/>
      <c r="AA720" s="1353"/>
      <c r="AB720" s="1354"/>
      <c r="AC720" s="1359">
        <v>0.5</v>
      </c>
      <c r="AD720" s="1360"/>
      <c r="AE720" s="1360"/>
      <c r="AF720" s="1360"/>
      <c r="AG720" s="1361"/>
      <c r="AH720" s="1355">
        <f t="shared" si="36"/>
        <v>0.47006414825374199</v>
      </c>
      <c r="AI720" s="1356"/>
      <c r="AJ720" s="1357"/>
      <c r="AK720" s="1337" t="s">
        <v>591</v>
      </c>
      <c r="AL720" s="1338"/>
      <c r="AM720" s="1338"/>
      <c r="AN720" s="1338"/>
      <c r="AO720" s="1339"/>
      <c r="AP720" s="3"/>
      <c r="AQ720" s="3"/>
      <c r="AR720" s="3"/>
      <c r="AS720" s="3"/>
      <c r="AZ720" s="118">
        <f t="shared" si="9"/>
        <v>2806</v>
      </c>
      <c r="BA720" s="3"/>
      <c r="BB720" s="3"/>
      <c r="BC720" s="3"/>
      <c r="BD720" s="3"/>
      <c r="BE720" s="204"/>
      <c r="BF720" s="294">
        <f t="shared" si="10"/>
        <v>2</v>
      </c>
      <c r="BG720" s="297">
        <f t="shared" si="11"/>
        <v>1.9417475728155338E-2</v>
      </c>
      <c r="BH720" s="298">
        <f t="shared" si="12"/>
        <v>9.7087378640776691E-3</v>
      </c>
      <c r="BI720" s="3"/>
      <c r="BJ720" s="3"/>
      <c r="BK720" s="3"/>
      <c r="BL720" s="3"/>
      <c r="BM720" s="3"/>
      <c r="BN720" s="3"/>
      <c r="BS720" s="294">
        <f t="shared" si="13"/>
        <v>2</v>
      </c>
      <c r="BT720" s="297">
        <f t="shared" si="14"/>
        <v>1.9417475728155338E-2</v>
      </c>
      <c r="BU720" s="298">
        <f t="shared" si="15"/>
        <v>9.1274591893930473E-3</v>
      </c>
      <c r="CC720" s="3"/>
      <c r="CD720" s="3"/>
      <c r="CE720" s="3"/>
      <c r="CF720" s="3"/>
      <c r="CG720" s="1463">
        <f t="shared" si="37"/>
        <v>1</v>
      </c>
      <c r="CH720" s="1464"/>
      <c r="CI720" s="1469">
        <f t="shared" si="38"/>
        <v>2</v>
      </c>
      <c r="CJ720" s="1470"/>
      <c r="CK720" s="1463">
        <f t="shared" si="16"/>
        <v>0</v>
      </c>
      <c r="CL720" s="1464"/>
      <c r="CM720" s="1469">
        <f t="shared" si="17"/>
        <v>0</v>
      </c>
      <c r="CN720" s="1470"/>
      <c r="CO720" s="3"/>
      <c r="CP720" s="1458">
        <f t="shared" si="18"/>
        <v>0</v>
      </c>
      <c r="CQ720" s="1459"/>
      <c r="CR720" s="1459"/>
      <c r="CS720" s="1459"/>
      <c r="CT720" s="1460"/>
      <c r="CU720" s="1443">
        <f t="shared" si="19"/>
        <v>2</v>
      </c>
      <c r="CV720" s="1443"/>
      <c r="CW720" s="1443"/>
      <c r="CX720" s="1443"/>
      <c r="CY720" s="1443"/>
      <c r="CZ720" s="1443">
        <f t="shared" si="20"/>
        <v>0</v>
      </c>
      <c r="DA720" s="1443"/>
      <c r="DB720" s="1443"/>
      <c r="DC720" s="1443"/>
      <c r="DD720" s="1443"/>
      <c r="DE720" s="1443">
        <f t="shared" si="21"/>
        <v>0</v>
      </c>
      <c r="DF720" s="1443"/>
      <c r="DG720" s="1443"/>
      <c r="DH720" s="1443"/>
      <c r="DI720" s="1443"/>
      <c r="DJ720" s="1443">
        <f t="shared" si="22"/>
        <v>0</v>
      </c>
      <c r="DK720" s="1443"/>
      <c r="DL720" s="1443"/>
      <c r="DM720" s="1443"/>
      <c r="DN720" s="1443"/>
      <c r="DO720" s="1443">
        <f t="shared" si="23"/>
        <v>0</v>
      </c>
      <c r="DP720" s="1443"/>
      <c r="DQ720" s="1443"/>
      <c r="DR720" s="1443"/>
      <c r="DS720" s="1443"/>
      <c r="DT720" s="6"/>
      <c r="DU720" s="1444">
        <f t="shared" si="24"/>
        <v>0</v>
      </c>
      <c r="DV720" s="1444"/>
      <c r="DW720" s="1444"/>
      <c r="DX720" s="1444"/>
      <c r="DY720" s="1444"/>
      <c r="DZ720" s="1444">
        <f t="shared" si="25"/>
        <v>0</v>
      </c>
      <c r="EA720" s="1444"/>
      <c r="EB720" s="1444"/>
      <c r="EC720" s="1444"/>
      <c r="ED720" s="1444"/>
      <c r="EE720" s="1444">
        <f t="shared" si="26"/>
        <v>0</v>
      </c>
      <c r="EF720" s="1444"/>
      <c r="EG720" s="1444"/>
      <c r="EH720" s="1444"/>
      <c r="EI720" s="1444"/>
      <c r="EJ720" s="1444">
        <f t="shared" si="27"/>
        <v>0</v>
      </c>
      <c r="EK720" s="1444"/>
      <c r="EL720" s="1444"/>
      <c r="EM720" s="1444"/>
      <c r="EN720" s="1444"/>
      <c r="EO720" s="1444">
        <f t="shared" si="28"/>
        <v>0</v>
      </c>
      <c r="EP720" s="1444"/>
      <c r="EQ720" s="1444"/>
      <c r="ER720" s="1444"/>
      <c r="ES720" s="1444"/>
      <c r="ET720" s="1444">
        <f t="shared" si="29"/>
        <v>0</v>
      </c>
      <c r="EU720" s="1444"/>
      <c r="EV720" s="1444"/>
      <c r="EW720" s="1444"/>
      <c r="EX720" s="1444"/>
      <c r="EZ720" s="1463" t="str">
        <f t="shared" si="30"/>
        <v/>
      </c>
      <c r="FA720" s="1465"/>
      <c r="FB720" s="1465"/>
      <c r="FC720" s="1465"/>
      <c r="FD720" s="1464"/>
      <c r="FE720" s="1463">
        <f t="shared" si="31"/>
        <v>1319</v>
      </c>
      <c r="FF720" s="1465"/>
      <c r="FG720" s="1465"/>
      <c r="FH720" s="1465"/>
      <c r="FI720" s="1464"/>
      <c r="FJ720" s="1463" t="str">
        <f t="shared" si="32"/>
        <v/>
      </c>
      <c r="FK720" s="1465"/>
      <c r="FL720" s="1465"/>
      <c r="FM720" s="1465"/>
      <c r="FN720" s="1464"/>
      <c r="FO720" s="1463" t="str">
        <f t="shared" si="33"/>
        <v/>
      </c>
      <c r="FP720" s="1465"/>
      <c r="FQ720" s="1465"/>
      <c r="FR720" s="1465"/>
      <c r="FS720" s="1464"/>
      <c r="FT720" s="1463" t="str">
        <f t="shared" si="34"/>
        <v/>
      </c>
      <c r="FU720" s="1465"/>
      <c r="FV720" s="1465"/>
      <c r="FW720" s="1465"/>
      <c r="FX720" s="1464"/>
      <c r="FY720" s="1463" t="str">
        <f t="shared" si="35"/>
        <v/>
      </c>
      <c r="FZ720" s="1465"/>
      <c r="GA720" s="1465"/>
      <c r="GB720" s="1465"/>
      <c r="GC720" s="1464"/>
    </row>
    <row r="721" spans="1:185" ht="12.95" customHeight="1">
      <c r="B721" s="1337" t="s">
        <v>324</v>
      </c>
      <c r="C721" s="1338"/>
      <c r="D721" s="1338"/>
      <c r="E721" s="1338"/>
      <c r="F721" s="1339"/>
      <c r="G721" s="1349">
        <v>2</v>
      </c>
      <c r="H721" s="1350"/>
      <c r="I721" s="1350"/>
      <c r="J721" s="1351"/>
      <c r="K721" s="1343">
        <v>554</v>
      </c>
      <c r="L721" s="1344"/>
      <c r="M721" s="1344"/>
      <c r="N721" s="1345"/>
      <c r="O721" s="1340">
        <v>1583</v>
      </c>
      <c r="P721" s="1341"/>
      <c r="Q721" s="1341"/>
      <c r="R721" s="1341"/>
      <c r="S721" s="1342"/>
      <c r="T721" s="1340">
        <v>0</v>
      </c>
      <c r="U721" s="1341"/>
      <c r="V721" s="1341"/>
      <c r="W721" s="1342"/>
      <c r="X721" s="1352">
        <f t="shared" si="8"/>
        <v>1583</v>
      </c>
      <c r="Y721" s="1353"/>
      <c r="Z721" s="1353"/>
      <c r="AA721" s="1353"/>
      <c r="AB721" s="1354"/>
      <c r="AC721" s="1359">
        <v>0.6</v>
      </c>
      <c r="AD721" s="1360"/>
      <c r="AE721" s="1360"/>
      <c r="AF721" s="1360"/>
      <c r="AG721" s="1361"/>
      <c r="AH721" s="1355">
        <f t="shared" si="36"/>
        <v>0.56414825374198152</v>
      </c>
      <c r="AI721" s="1356"/>
      <c r="AJ721" s="1357"/>
      <c r="AK721" s="1337" t="s">
        <v>591</v>
      </c>
      <c r="AL721" s="1338"/>
      <c r="AM721" s="1338"/>
      <c r="AN721" s="1338"/>
      <c r="AO721" s="1339"/>
      <c r="AP721" s="3"/>
      <c r="AQ721" s="3"/>
      <c r="AR721" s="3"/>
      <c r="AS721" s="3"/>
      <c r="AY721" s="116"/>
      <c r="AZ721" s="118">
        <f t="shared" si="9"/>
        <v>2806</v>
      </c>
      <c r="BA721" s="3"/>
      <c r="BB721" s="3"/>
      <c r="BC721" s="3"/>
      <c r="BD721" s="3"/>
      <c r="BE721" s="204"/>
      <c r="BF721" s="294">
        <f t="shared" si="10"/>
        <v>2</v>
      </c>
      <c r="BG721" s="297">
        <f t="shared" si="11"/>
        <v>1.9417475728155338E-2</v>
      </c>
      <c r="BH721" s="298">
        <f t="shared" si="12"/>
        <v>1.1650485436893203E-2</v>
      </c>
      <c r="BI721" s="3"/>
      <c r="BJ721" s="3"/>
      <c r="BK721" s="3"/>
      <c r="BL721" s="3"/>
      <c r="BM721" s="3"/>
      <c r="BN721" s="3"/>
      <c r="BS721" s="294">
        <f t="shared" si="13"/>
        <v>2</v>
      </c>
      <c r="BT721" s="297">
        <f t="shared" si="14"/>
        <v>1.9417475728155338E-2</v>
      </c>
      <c r="BU721" s="298">
        <f t="shared" si="15"/>
        <v>1.0954335024116146E-2</v>
      </c>
      <c r="CC721" s="3"/>
      <c r="CD721" s="3"/>
      <c r="CE721" s="3"/>
      <c r="CF721" s="3"/>
      <c r="CG721" s="1463">
        <f t="shared" si="37"/>
        <v>0</v>
      </c>
      <c r="CH721" s="1464"/>
      <c r="CI721" s="1469">
        <f t="shared" si="38"/>
        <v>0</v>
      </c>
      <c r="CJ721" s="1470"/>
      <c r="CK721" s="1463">
        <f t="shared" si="16"/>
        <v>0</v>
      </c>
      <c r="CL721" s="1464"/>
      <c r="CM721" s="1469">
        <f t="shared" si="17"/>
        <v>0</v>
      </c>
      <c r="CN721" s="1470"/>
      <c r="CO721" s="3"/>
      <c r="CP721" s="1458">
        <f t="shared" si="18"/>
        <v>0</v>
      </c>
      <c r="CQ721" s="1459"/>
      <c r="CR721" s="1459"/>
      <c r="CS721" s="1459"/>
      <c r="CT721" s="1460"/>
      <c r="CU721" s="1443">
        <f t="shared" si="19"/>
        <v>2</v>
      </c>
      <c r="CV721" s="1443"/>
      <c r="CW721" s="1443"/>
      <c r="CX721" s="1443"/>
      <c r="CY721" s="1443"/>
      <c r="CZ721" s="1443">
        <f t="shared" si="20"/>
        <v>0</v>
      </c>
      <c r="DA721" s="1443"/>
      <c r="DB721" s="1443"/>
      <c r="DC721" s="1443"/>
      <c r="DD721" s="1443"/>
      <c r="DE721" s="1443">
        <f t="shared" si="21"/>
        <v>0</v>
      </c>
      <c r="DF721" s="1443"/>
      <c r="DG721" s="1443"/>
      <c r="DH721" s="1443"/>
      <c r="DI721" s="1443"/>
      <c r="DJ721" s="1443">
        <f t="shared" si="22"/>
        <v>0</v>
      </c>
      <c r="DK721" s="1443"/>
      <c r="DL721" s="1443"/>
      <c r="DM721" s="1443"/>
      <c r="DN721" s="1443"/>
      <c r="DO721" s="1443">
        <f t="shared" si="23"/>
        <v>0</v>
      </c>
      <c r="DP721" s="1443"/>
      <c r="DQ721" s="1443"/>
      <c r="DR721" s="1443"/>
      <c r="DS721" s="1443"/>
      <c r="DT721" s="6"/>
      <c r="DU721" s="1444">
        <f t="shared" si="24"/>
        <v>0</v>
      </c>
      <c r="DV721" s="1444"/>
      <c r="DW721" s="1444"/>
      <c r="DX721" s="1444"/>
      <c r="DY721" s="1444"/>
      <c r="DZ721" s="1444">
        <f t="shared" si="25"/>
        <v>0</v>
      </c>
      <c r="EA721" s="1444"/>
      <c r="EB721" s="1444"/>
      <c r="EC721" s="1444"/>
      <c r="ED721" s="1444"/>
      <c r="EE721" s="1444">
        <f t="shared" si="26"/>
        <v>0</v>
      </c>
      <c r="EF721" s="1444"/>
      <c r="EG721" s="1444"/>
      <c r="EH721" s="1444"/>
      <c r="EI721" s="1444"/>
      <c r="EJ721" s="1444">
        <f t="shared" si="27"/>
        <v>0</v>
      </c>
      <c r="EK721" s="1444"/>
      <c r="EL721" s="1444"/>
      <c r="EM721" s="1444"/>
      <c r="EN721" s="1444"/>
      <c r="EO721" s="1444">
        <f t="shared" si="28"/>
        <v>0</v>
      </c>
      <c r="EP721" s="1444"/>
      <c r="EQ721" s="1444"/>
      <c r="ER721" s="1444"/>
      <c r="ES721" s="1444"/>
      <c r="ET721" s="1444">
        <f t="shared" si="29"/>
        <v>0</v>
      </c>
      <c r="EU721" s="1444"/>
      <c r="EV721" s="1444"/>
      <c r="EW721" s="1444"/>
      <c r="EX721" s="1444"/>
      <c r="EZ721" s="1463" t="str">
        <f t="shared" si="30"/>
        <v/>
      </c>
      <c r="FA721" s="1465"/>
      <c r="FB721" s="1465"/>
      <c r="FC721" s="1465"/>
      <c r="FD721" s="1464"/>
      <c r="FE721" s="1463">
        <f t="shared" si="31"/>
        <v>1583</v>
      </c>
      <c r="FF721" s="1465"/>
      <c r="FG721" s="1465"/>
      <c r="FH721" s="1465"/>
      <c r="FI721" s="1464"/>
      <c r="FJ721" s="1463" t="str">
        <f t="shared" si="32"/>
        <v/>
      </c>
      <c r="FK721" s="1465"/>
      <c r="FL721" s="1465"/>
      <c r="FM721" s="1465"/>
      <c r="FN721" s="1464"/>
      <c r="FO721" s="1463" t="str">
        <f t="shared" si="33"/>
        <v/>
      </c>
      <c r="FP721" s="1465"/>
      <c r="FQ721" s="1465"/>
      <c r="FR721" s="1465"/>
      <c r="FS721" s="1464"/>
      <c r="FT721" s="1463" t="str">
        <f t="shared" si="34"/>
        <v/>
      </c>
      <c r="FU721" s="1465"/>
      <c r="FV721" s="1465"/>
      <c r="FW721" s="1465"/>
      <c r="FX721" s="1464"/>
      <c r="FY721" s="1463" t="str">
        <f t="shared" si="35"/>
        <v/>
      </c>
      <c r="FZ721" s="1465"/>
      <c r="GA721" s="1465"/>
      <c r="GB721" s="1465"/>
      <c r="GC721" s="1464"/>
    </row>
    <row r="722" spans="1:185" ht="12.95" customHeight="1">
      <c r="B722" s="1337" t="s">
        <v>324</v>
      </c>
      <c r="C722" s="1338"/>
      <c r="D722" s="1338"/>
      <c r="E722" s="1338"/>
      <c r="F722" s="1339"/>
      <c r="G722" s="1349">
        <v>10</v>
      </c>
      <c r="H722" s="1350"/>
      <c r="I722" s="1350"/>
      <c r="J722" s="1351"/>
      <c r="K722" s="1343">
        <v>554</v>
      </c>
      <c r="L722" s="1344"/>
      <c r="M722" s="1344"/>
      <c r="N722" s="1345"/>
      <c r="O722" s="1340">
        <v>2111</v>
      </c>
      <c r="P722" s="1341"/>
      <c r="Q722" s="1341"/>
      <c r="R722" s="1341"/>
      <c r="S722" s="1342"/>
      <c r="T722" s="1340">
        <v>0</v>
      </c>
      <c r="U722" s="1341"/>
      <c r="V722" s="1341"/>
      <c r="W722" s="1342"/>
      <c r="X722" s="1352">
        <f t="shared" si="8"/>
        <v>2111</v>
      </c>
      <c r="Y722" s="1353"/>
      <c r="Z722" s="1353"/>
      <c r="AA722" s="1353"/>
      <c r="AB722" s="1354"/>
      <c r="AC722" s="1359">
        <v>0.8</v>
      </c>
      <c r="AD722" s="1360"/>
      <c r="AE722" s="1360"/>
      <c r="AF722" s="1360"/>
      <c r="AG722" s="1361"/>
      <c r="AH722" s="1355">
        <f t="shared" si="36"/>
        <v>0.75231646471846048</v>
      </c>
      <c r="AI722" s="1356"/>
      <c r="AJ722" s="1357"/>
      <c r="AK722" s="1337" t="s">
        <v>591</v>
      </c>
      <c r="AL722" s="1338"/>
      <c r="AM722" s="1338"/>
      <c r="AN722" s="1338"/>
      <c r="AO722" s="1339"/>
      <c r="AP722" s="3"/>
      <c r="AQ722" s="3"/>
      <c r="AR722" s="3"/>
      <c r="AS722" s="3"/>
      <c r="AY722" s="116"/>
      <c r="AZ722" s="118">
        <f t="shared" si="9"/>
        <v>2806</v>
      </c>
      <c r="BA722" s="3"/>
      <c r="BB722" s="3"/>
      <c r="BC722" s="3"/>
      <c r="BD722" s="3"/>
      <c r="BE722" s="204"/>
      <c r="BF722" s="294">
        <f t="shared" si="10"/>
        <v>10</v>
      </c>
      <c r="BG722" s="297">
        <f t="shared" si="11"/>
        <v>9.7087378640776698E-2</v>
      </c>
      <c r="BH722" s="298">
        <f t="shared" si="12"/>
        <v>7.7669902912621366E-2</v>
      </c>
      <c r="BI722" s="3"/>
      <c r="BJ722" s="3"/>
      <c r="BK722" s="3"/>
      <c r="BL722" s="3"/>
      <c r="BM722" s="3"/>
      <c r="BN722" s="3"/>
      <c r="BS722" s="294">
        <f t="shared" si="13"/>
        <v>10</v>
      </c>
      <c r="BT722" s="297">
        <f t="shared" si="14"/>
        <v>9.7087378640776698E-2</v>
      </c>
      <c r="BU722" s="298">
        <f t="shared" si="15"/>
        <v>7.3040433467811694E-2</v>
      </c>
      <c r="CC722" s="3"/>
      <c r="CD722" s="3"/>
      <c r="CE722" s="3"/>
      <c r="CF722" s="3"/>
      <c r="CG722" s="1463">
        <f t="shared" si="37"/>
        <v>0</v>
      </c>
      <c r="CH722" s="1464"/>
      <c r="CI722" s="1469">
        <f t="shared" si="38"/>
        <v>0</v>
      </c>
      <c r="CJ722" s="1470"/>
      <c r="CK722" s="1463">
        <f t="shared" si="16"/>
        <v>0</v>
      </c>
      <c r="CL722" s="1464"/>
      <c r="CM722" s="1469">
        <f t="shared" si="17"/>
        <v>0</v>
      </c>
      <c r="CN722" s="1470"/>
      <c r="CO722" s="3"/>
      <c r="CP722" s="1458">
        <f t="shared" si="18"/>
        <v>0</v>
      </c>
      <c r="CQ722" s="1459"/>
      <c r="CR722" s="1459"/>
      <c r="CS722" s="1459"/>
      <c r="CT722" s="1460"/>
      <c r="CU722" s="1443">
        <f t="shared" si="19"/>
        <v>10</v>
      </c>
      <c r="CV722" s="1443"/>
      <c r="CW722" s="1443"/>
      <c r="CX722" s="1443"/>
      <c r="CY722" s="1443"/>
      <c r="CZ722" s="1443">
        <f t="shared" si="20"/>
        <v>0</v>
      </c>
      <c r="DA722" s="1443"/>
      <c r="DB722" s="1443"/>
      <c r="DC722" s="1443"/>
      <c r="DD722" s="1443"/>
      <c r="DE722" s="1443">
        <f t="shared" si="21"/>
        <v>0</v>
      </c>
      <c r="DF722" s="1443"/>
      <c r="DG722" s="1443"/>
      <c r="DH722" s="1443"/>
      <c r="DI722" s="1443"/>
      <c r="DJ722" s="1443">
        <f t="shared" si="22"/>
        <v>0</v>
      </c>
      <c r="DK722" s="1443"/>
      <c r="DL722" s="1443"/>
      <c r="DM722" s="1443"/>
      <c r="DN722" s="1443"/>
      <c r="DO722" s="1443">
        <f t="shared" si="23"/>
        <v>0</v>
      </c>
      <c r="DP722" s="1443"/>
      <c r="DQ722" s="1443"/>
      <c r="DR722" s="1443"/>
      <c r="DS722" s="1443"/>
      <c r="DT722" s="6"/>
      <c r="DU722" s="1444">
        <f t="shared" si="24"/>
        <v>0</v>
      </c>
      <c r="DV722" s="1444"/>
      <c r="DW722" s="1444"/>
      <c r="DX722" s="1444"/>
      <c r="DY722" s="1444"/>
      <c r="DZ722" s="1444">
        <f t="shared" si="25"/>
        <v>0</v>
      </c>
      <c r="EA722" s="1444"/>
      <c r="EB722" s="1444"/>
      <c r="EC722" s="1444"/>
      <c r="ED722" s="1444"/>
      <c r="EE722" s="1444">
        <f t="shared" si="26"/>
        <v>0</v>
      </c>
      <c r="EF722" s="1444"/>
      <c r="EG722" s="1444"/>
      <c r="EH722" s="1444"/>
      <c r="EI722" s="1444"/>
      <c r="EJ722" s="1444">
        <f t="shared" si="27"/>
        <v>0</v>
      </c>
      <c r="EK722" s="1444"/>
      <c r="EL722" s="1444"/>
      <c r="EM722" s="1444"/>
      <c r="EN722" s="1444"/>
      <c r="EO722" s="1444">
        <f t="shared" si="28"/>
        <v>0</v>
      </c>
      <c r="EP722" s="1444"/>
      <c r="EQ722" s="1444"/>
      <c r="ER722" s="1444"/>
      <c r="ES722" s="1444"/>
      <c r="ET722" s="1444">
        <f t="shared" si="29"/>
        <v>0</v>
      </c>
      <c r="EU722" s="1444"/>
      <c r="EV722" s="1444"/>
      <c r="EW722" s="1444"/>
      <c r="EX722" s="1444"/>
      <c r="EZ722" s="1463" t="str">
        <f t="shared" si="30"/>
        <v/>
      </c>
      <c r="FA722" s="1465"/>
      <c r="FB722" s="1465"/>
      <c r="FC722" s="1465"/>
      <c r="FD722" s="1464"/>
      <c r="FE722" s="1463">
        <f t="shared" si="31"/>
        <v>2111</v>
      </c>
      <c r="FF722" s="1465"/>
      <c r="FG722" s="1465"/>
      <c r="FH722" s="1465"/>
      <c r="FI722" s="1464"/>
      <c r="FJ722" s="1463" t="str">
        <f t="shared" si="32"/>
        <v/>
      </c>
      <c r="FK722" s="1465"/>
      <c r="FL722" s="1465"/>
      <c r="FM722" s="1465"/>
      <c r="FN722" s="1464"/>
      <c r="FO722" s="1463" t="str">
        <f t="shared" si="33"/>
        <v/>
      </c>
      <c r="FP722" s="1465"/>
      <c r="FQ722" s="1465"/>
      <c r="FR722" s="1465"/>
      <c r="FS722" s="1464"/>
      <c r="FT722" s="1463" t="str">
        <f t="shared" si="34"/>
        <v/>
      </c>
      <c r="FU722" s="1465"/>
      <c r="FV722" s="1465"/>
      <c r="FW722" s="1465"/>
      <c r="FX722" s="1464"/>
      <c r="FY722" s="1463" t="str">
        <f t="shared" si="35"/>
        <v/>
      </c>
      <c r="FZ722" s="1465"/>
      <c r="GA722" s="1465"/>
      <c r="GB722" s="1465"/>
      <c r="GC722" s="1464"/>
    </row>
    <row r="723" spans="1:185" ht="12.95" customHeight="1">
      <c r="B723" s="1337" t="s">
        <v>163</v>
      </c>
      <c r="C723" s="1338"/>
      <c r="D723" s="1338"/>
      <c r="E723" s="1338"/>
      <c r="F723" s="1339"/>
      <c r="G723" s="1349">
        <v>10</v>
      </c>
      <c r="H723" s="1350"/>
      <c r="I723" s="1350"/>
      <c r="J723" s="1351"/>
      <c r="K723" s="1343">
        <v>890</v>
      </c>
      <c r="L723" s="1344"/>
      <c r="M723" s="1344"/>
      <c r="N723" s="1345"/>
      <c r="O723" s="1340">
        <v>950</v>
      </c>
      <c r="P723" s="1341"/>
      <c r="Q723" s="1341"/>
      <c r="R723" s="1341"/>
      <c r="S723" s="1342"/>
      <c r="T723" s="1340">
        <v>0</v>
      </c>
      <c r="U723" s="1341"/>
      <c r="V723" s="1341"/>
      <c r="W723" s="1342"/>
      <c r="X723" s="1352">
        <f t="shared" si="8"/>
        <v>950</v>
      </c>
      <c r="Y723" s="1353"/>
      <c r="Z723" s="1353"/>
      <c r="AA723" s="1353"/>
      <c r="AB723" s="1354"/>
      <c r="AC723" s="1359">
        <v>0.3</v>
      </c>
      <c r="AD723" s="1360"/>
      <c r="AE723" s="1360"/>
      <c r="AF723" s="1360"/>
      <c r="AG723" s="1361"/>
      <c r="AH723" s="1355">
        <f t="shared" si="36"/>
        <v>0.28189910979228489</v>
      </c>
      <c r="AI723" s="1356"/>
      <c r="AJ723" s="1357"/>
      <c r="AK723" s="1337" t="s">
        <v>591</v>
      </c>
      <c r="AL723" s="1338"/>
      <c r="AM723" s="1338"/>
      <c r="AN723" s="1338"/>
      <c r="AO723" s="1339"/>
      <c r="AP723" s="3"/>
      <c r="AQ723" s="3"/>
      <c r="AR723" s="3"/>
      <c r="AS723" s="3"/>
      <c r="AY723" s="116"/>
      <c r="AZ723" s="118">
        <f t="shared" si="9"/>
        <v>3370</v>
      </c>
      <c r="BA723" s="3"/>
      <c r="BB723" s="3"/>
      <c r="BC723" s="3"/>
      <c r="BD723" s="3"/>
      <c r="BE723" s="204"/>
      <c r="BF723" s="294">
        <f t="shared" si="10"/>
        <v>10</v>
      </c>
      <c r="BG723" s="297">
        <f t="shared" si="11"/>
        <v>9.7087378640776698E-2</v>
      </c>
      <c r="BH723" s="298">
        <f t="shared" si="12"/>
        <v>2.9126213592233007E-2</v>
      </c>
      <c r="BI723" s="3"/>
      <c r="BJ723" s="3"/>
      <c r="BK723" s="3"/>
      <c r="BL723" s="3"/>
      <c r="BM723" s="3"/>
      <c r="BN723" s="3"/>
      <c r="BS723" s="294">
        <f t="shared" si="13"/>
        <v>10</v>
      </c>
      <c r="BT723" s="297">
        <f t="shared" si="14"/>
        <v>9.7087378640776698E-2</v>
      </c>
      <c r="BU723" s="298">
        <f t="shared" si="15"/>
        <v>2.7368845610901443E-2</v>
      </c>
      <c r="CC723" s="3"/>
      <c r="CD723" s="3"/>
      <c r="CE723" s="3"/>
      <c r="CF723" s="3"/>
      <c r="CG723" s="1463">
        <f t="shared" si="37"/>
        <v>0</v>
      </c>
      <c r="CH723" s="1464"/>
      <c r="CI723" s="1469">
        <f t="shared" si="38"/>
        <v>0</v>
      </c>
      <c r="CJ723" s="1470"/>
      <c r="CK723" s="1463">
        <f t="shared" si="16"/>
        <v>1</v>
      </c>
      <c r="CL723" s="1464"/>
      <c r="CM723" s="1469">
        <f t="shared" si="17"/>
        <v>10</v>
      </c>
      <c r="CN723" s="1470"/>
      <c r="CO723" s="3"/>
      <c r="CP723" s="1458">
        <f t="shared" si="18"/>
        <v>0</v>
      </c>
      <c r="CQ723" s="1459"/>
      <c r="CR723" s="1459"/>
      <c r="CS723" s="1459"/>
      <c r="CT723" s="1460"/>
      <c r="CU723" s="1443">
        <f t="shared" si="19"/>
        <v>0</v>
      </c>
      <c r="CV723" s="1443"/>
      <c r="CW723" s="1443"/>
      <c r="CX723" s="1443"/>
      <c r="CY723" s="1443"/>
      <c r="CZ723" s="1443">
        <f t="shared" si="20"/>
        <v>10</v>
      </c>
      <c r="DA723" s="1443"/>
      <c r="DB723" s="1443"/>
      <c r="DC723" s="1443"/>
      <c r="DD723" s="1443"/>
      <c r="DE723" s="1443">
        <f t="shared" si="21"/>
        <v>0</v>
      </c>
      <c r="DF723" s="1443"/>
      <c r="DG723" s="1443"/>
      <c r="DH723" s="1443"/>
      <c r="DI723" s="1443"/>
      <c r="DJ723" s="1443">
        <f t="shared" si="22"/>
        <v>0</v>
      </c>
      <c r="DK723" s="1443"/>
      <c r="DL723" s="1443"/>
      <c r="DM723" s="1443"/>
      <c r="DN723" s="1443"/>
      <c r="DO723" s="1443">
        <f t="shared" si="23"/>
        <v>0</v>
      </c>
      <c r="DP723" s="1443"/>
      <c r="DQ723" s="1443"/>
      <c r="DR723" s="1443"/>
      <c r="DS723" s="1443"/>
      <c r="DT723" s="6"/>
      <c r="DU723" s="1444">
        <f t="shared" si="24"/>
        <v>0</v>
      </c>
      <c r="DV723" s="1444"/>
      <c r="DW723" s="1444"/>
      <c r="DX723" s="1444"/>
      <c r="DY723" s="1444"/>
      <c r="DZ723" s="1444">
        <f t="shared" si="25"/>
        <v>0</v>
      </c>
      <c r="EA723" s="1444"/>
      <c r="EB723" s="1444"/>
      <c r="EC723" s="1444"/>
      <c r="ED723" s="1444"/>
      <c r="EE723" s="1444">
        <f t="shared" si="26"/>
        <v>10</v>
      </c>
      <c r="EF723" s="1444"/>
      <c r="EG723" s="1444"/>
      <c r="EH723" s="1444"/>
      <c r="EI723" s="1444"/>
      <c r="EJ723" s="1444">
        <f t="shared" si="27"/>
        <v>0</v>
      </c>
      <c r="EK723" s="1444"/>
      <c r="EL723" s="1444"/>
      <c r="EM723" s="1444"/>
      <c r="EN723" s="1444"/>
      <c r="EO723" s="1444">
        <f t="shared" si="28"/>
        <v>0</v>
      </c>
      <c r="EP723" s="1444"/>
      <c r="EQ723" s="1444"/>
      <c r="ER723" s="1444"/>
      <c r="ES723" s="1444"/>
      <c r="ET723" s="1444">
        <f t="shared" si="29"/>
        <v>0</v>
      </c>
      <c r="EU723" s="1444"/>
      <c r="EV723" s="1444"/>
      <c r="EW723" s="1444"/>
      <c r="EX723" s="1444"/>
      <c r="EZ723" s="1463" t="str">
        <f t="shared" si="30"/>
        <v/>
      </c>
      <c r="FA723" s="1465"/>
      <c r="FB723" s="1465"/>
      <c r="FC723" s="1465"/>
      <c r="FD723" s="1464"/>
      <c r="FE723" s="1463" t="str">
        <f t="shared" si="31"/>
        <v/>
      </c>
      <c r="FF723" s="1465"/>
      <c r="FG723" s="1465"/>
      <c r="FH723" s="1465"/>
      <c r="FI723" s="1464"/>
      <c r="FJ723" s="1463">
        <f t="shared" si="32"/>
        <v>950</v>
      </c>
      <c r="FK723" s="1465"/>
      <c r="FL723" s="1465"/>
      <c r="FM723" s="1465"/>
      <c r="FN723" s="1464"/>
      <c r="FO723" s="1463" t="str">
        <f t="shared" si="33"/>
        <v/>
      </c>
      <c r="FP723" s="1465"/>
      <c r="FQ723" s="1465"/>
      <c r="FR723" s="1465"/>
      <c r="FS723" s="1464"/>
      <c r="FT723" s="1463" t="str">
        <f t="shared" si="34"/>
        <v/>
      </c>
      <c r="FU723" s="1465"/>
      <c r="FV723" s="1465"/>
      <c r="FW723" s="1465"/>
      <c r="FX723" s="1464"/>
      <c r="FY723" s="1463" t="str">
        <f t="shared" si="35"/>
        <v/>
      </c>
      <c r="FZ723" s="1465"/>
      <c r="GA723" s="1465"/>
      <c r="GB723" s="1465"/>
      <c r="GC723" s="1464"/>
    </row>
    <row r="724" spans="1:185" ht="12.95" customHeight="1">
      <c r="B724" s="1337" t="s">
        <v>163</v>
      </c>
      <c r="C724" s="1338"/>
      <c r="D724" s="1338"/>
      <c r="E724" s="1338"/>
      <c r="F724" s="1339"/>
      <c r="G724" s="1349">
        <v>2</v>
      </c>
      <c r="H724" s="1350"/>
      <c r="I724" s="1350"/>
      <c r="J724" s="1351"/>
      <c r="K724" s="1343">
        <v>890</v>
      </c>
      <c r="L724" s="1344"/>
      <c r="M724" s="1344"/>
      <c r="N724" s="1345"/>
      <c r="O724" s="1340">
        <v>1267</v>
      </c>
      <c r="P724" s="1341"/>
      <c r="Q724" s="1341"/>
      <c r="R724" s="1341"/>
      <c r="S724" s="1342"/>
      <c r="T724" s="1340">
        <v>0</v>
      </c>
      <c r="U724" s="1341"/>
      <c r="V724" s="1341"/>
      <c r="W724" s="1342"/>
      <c r="X724" s="1352">
        <f t="shared" si="8"/>
        <v>1267</v>
      </c>
      <c r="Y724" s="1353"/>
      <c r="Z724" s="1353"/>
      <c r="AA724" s="1353"/>
      <c r="AB724" s="1354"/>
      <c r="AC724" s="1359">
        <v>0.4</v>
      </c>
      <c r="AD724" s="1360"/>
      <c r="AE724" s="1360"/>
      <c r="AF724" s="1360"/>
      <c r="AG724" s="1361"/>
      <c r="AH724" s="1355">
        <f t="shared" si="36"/>
        <v>0.37596439169139467</v>
      </c>
      <c r="AI724" s="1356"/>
      <c r="AJ724" s="1357"/>
      <c r="AK724" s="1337" t="s">
        <v>591</v>
      </c>
      <c r="AL724" s="1338"/>
      <c r="AM724" s="1338"/>
      <c r="AN724" s="1338"/>
      <c r="AO724" s="1339"/>
      <c r="AP724" s="3"/>
      <c r="AQ724" s="3"/>
      <c r="AR724" s="3"/>
      <c r="AS724" s="3"/>
      <c r="AY724" s="116"/>
      <c r="AZ724" s="118">
        <f t="shared" si="9"/>
        <v>3370</v>
      </c>
      <c r="BA724" s="3"/>
      <c r="BB724" s="3"/>
      <c r="BC724" s="3"/>
      <c r="BD724" s="3"/>
      <c r="BE724" s="204"/>
      <c r="BF724" s="294">
        <f t="shared" si="10"/>
        <v>2</v>
      </c>
      <c r="BG724" s="297">
        <f t="shared" si="11"/>
        <v>1.9417475728155338E-2</v>
      </c>
      <c r="BH724" s="298">
        <f t="shared" si="12"/>
        <v>7.7669902912621356E-3</v>
      </c>
      <c r="BI724" s="3"/>
      <c r="BJ724" s="3"/>
      <c r="BK724" s="3"/>
      <c r="BL724" s="3"/>
      <c r="BM724" s="3"/>
      <c r="BN724" s="3"/>
      <c r="BS724" s="294">
        <f t="shared" si="13"/>
        <v>2</v>
      </c>
      <c r="BT724" s="297">
        <f t="shared" si="14"/>
        <v>1.9417475728155338E-2</v>
      </c>
      <c r="BU724" s="298">
        <f t="shared" si="15"/>
        <v>7.3002794503183423E-3</v>
      </c>
      <c r="CC724" s="3"/>
      <c r="CE724" s="3"/>
      <c r="CF724" s="3"/>
      <c r="CG724" s="1463">
        <f t="shared" si="37"/>
        <v>1</v>
      </c>
      <c r="CH724" s="1464"/>
      <c r="CI724" s="1469">
        <f t="shared" si="38"/>
        <v>2</v>
      </c>
      <c r="CJ724" s="1470"/>
      <c r="CK724" s="1463">
        <f t="shared" si="16"/>
        <v>0</v>
      </c>
      <c r="CL724" s="1464"/>
      <c r="CM724" s="1469">
        <f t="shared" si="17"/>
        <v>0</v>
      </c>
      <c r="CN724" s="1470"/>
      <c r="CO724" s="3"/>
      <c r="CP724" s="1458">
        <f t="shared" si="18"/>
        <v>0</v>
      </c>
      <c r="CQ724" s="1459"/>
      <c r="CR724" s="1459"/>
      <c r="CS724" s="1459"/>
      <c r="CT724" s="1460"/>
      <c r="CU724" s="1443">
        <f t="shared" si="19"/>
        <v>0</v>
      </c>
      <c r="CV724" s="1443"/>
      <c r="CW724" s="1443"/>
      <c r="CX724" s="1443"/>
      <c r="CY724" s="1443"/>
      <c r="CZ724" s="1443">
        <f t="shared" si="20"/>
        <v>2</v>
      </c>
      <c r="DA724" s="1443"/>
      <c r="DB724" s="1443"/>
      <c r="DC724" s="1443"/>
      <c r="DD724" s="1443"/>
      <c r="DE724" s="1443">
        <f t="shared" si="21"/>
        <v>0</v>
      </c>
      <c r="DF724" s="1443"/>
      <c r="DG724" s="1443"/>
      <c r="DH724" s="1443"/>
      <c r="DI724" s="1443"/>
      <c r="DJ724" s="1443">
        <f t="shared" si="22"/>
        <v>0</v>
      </c>
      <c r="DK724" s="1443"/>
      <c r="DL724" s="1443"/>
      <c r="DM724" s="1443"/>
      <c r="DN724" s="1443"/>
      <c r="DO724" s="1443">
        <f t="shared" si="23"/>
        <v>0</v>
      </c>
      <c r="DP724" s="1443"/>
      <c r="DQ724" s="1443"/>
      <c r="DR724" s="1443"/>
      <c r="DS724" s="1443"/>
      <c r="DT724" s="6"/>
      <c r="DU724" s="1444">
        <f t="shared" si="24"/>
        <v>0</v>
      </c>
      <c r="DV724" s="1444"/>
      <c r="DW724" s="1444"/>
      <c r="DX724" s="1444"/>
      <c r="DY724" s="1444"/>
      <c r="DZ724" s="1444">
        <f t="shared" si="25"/>
        <v>0</v>
      </c>
      <c r="EA724" s="1444"/>
      <c r="EB724" s="1444"/>
      <c r="EC724" s="1444"/>
      <c r="ED724" s="1444"/>
      <c r="EE724" s="1444">
        <f t="shared" si="26"/>
        <v>0</v>
      </c>
      <c r="EF724" s="1444"/>
      <c r="EG724" s="1444"/>
      <c r="EH724" s="1444"/>
      <c r="EI724" s="1444"/>
      <c r="EJ724" s="1444">
        <f t="shared" si="27"/>
        <v>0</v>
      </c>
      <c r="EK724" s="1444"/>
      <c r="EL724" s="1444"/>
      <c r="EM724" s="1444"/>
      <c r="EN724" s="1444"/>
      <c r="EO724" s="1444">
        <f t="shared" si="28"/>
        <v>0</v>
      </c>
      <c r="EP724" s="1444"/>
      <c r="EQ724" s="1444"/>
      <c r="ER724" s="1444"/>
      <c r="ES724" s="1444"/>
      <c r="ET724" s="1444">
        <f t="shared" si="29"/>
        <v>0</v>
      </c>
      <c r="EU724" s="1444"/>
      <c r="EV724" s="1444"/>
      <c r="EW724" s="1444"/>
      <c r="EX724" s="1444"/>
      <c r="EZ724" s="1463" t="str">
        <f t="shared" si="30"/>
        <v/>
      </c>
      <c r="FA724" s="1465"/>
      <c r="FB724" s="1465"/>
      <c r="FC724" s="1465"/>
      <c r="FD724" s="1464"/>
      <c r="FE724" s="1463" t="str">
        <f t="shared" si="31"/>
        <v/>
      </c>
      <c r="FF724" s="1465"/>
      <c r="FG724" s="1465"/>
      <c r="FH724" s="1465"/>
      <c r="FI724" s="1464"/>
      <c r="FJ724" s="1463">
        <f t="shared" si="32"/>
        <v>1267</v>
      </c>
      <c r="FK724" s="1465"/>
      <c r="FL724" s="1465"/>
      <c r="FM724" s="1465"/>
      <c r="FN724" s="1464"/>
      <c r="FO724" s="1463" t="str">
        <f t="shared" si="33"/>
        <v/>
      </c>
      <c r="FP724" s="1465"/>
      <c r="FQ724" s="1465"/>
      <c r="FR724" s="1465"/>
      <c r="FS724" s="1464"/>
      <c r="FT724" s="1463" t="str">
        <f t="shared" si="34"/>
        <v/>
      </c>
      <c r="FU724" s="1465"/>
      <c r="FV724" s="1465"/>
      <c r="FW724" s="1465"/>
      <c r="FX724" s="1464"/>
      <c r="FY724" s="1463" t="str">
        <f t="shared" si="35"/>
        <v/>
      </c>
      <c r="FZ724" s="1465"/>
      <c r="GA724" s="1465"/>
      <c r="GB724" s="1465"/>
      <c r="GC724" s="1464"/>
    </row>
    <row r="725" spans="1:185" ht="12.95" customHeight="1">
      <c r="B725" s="1337" t="s">
        <v>163</v>
      </c>
      <c r="C725" s="1338"/>
      <c r="D725" s="1338"/>
      <c r="E725" s="1338"/>
      <c r="F725" s="1339"/>
      <c r="G725" s="1349">
        <v>2</v>
      </c>
      <c r="H725" s="1350"/>
      <c r="I725" s="1350"/>
      <c r="J725" s="1351"/>
      <c r="K725" s="1343">
        <v>890</v>
      </c>
      <c r="L725" s="1344"/>
      <c r="M725" s="1344"/>
      <c r="N725" s="1345"/>
      <c r="O725" s="1340">
        <v>1583</v>
      </c>
      <c r="P725" s="1341"/>
      <c r="Q725" s="1341"/>
      <c r="R725" s="1341"/>
      <c r="S725" s="1342"/>
      <c r="T725" s="1340">
        <v>0</v>
      </c>
      <c r="U725" s="1341"/>
      <c r="V725" s="1341"/>
      <c r="W725" s="1342"/>
      <c r="X725" s="1352">
        <f t="shared" si="8"/>
        <v>1583</v>
      </c>
      <c r="Y725" s="1353"/>
      <c r="Z725" s="1353"/>
      <c r="AA725" s="1353"/>
      <c r="AB725" s="1354"/>
      <c r="AC725" s="1359">
        <v>0.5</v>
      </c>
      <c r="AD725" s="1360"/>
      <c r="AE725" s="1360"/>
      <c r="AF725" s="1360"/>
      <c r="AG725" s="1361"/>
      <c r="AH725" s="1355">
        <f t="shared" si="36"/>
        <v>0.46973293768545993</v>
      </c>
      <c r="AI725" s="1356"/>
      <c r="AJ725" s="1357"/>
      <c r="AK725" s="1337" t="s">
        <v>591</v>
      </c>
      <c r="AL725" s="1338"/>
      <c r="AM725" s="1338"/>
      <c r="AN725" s="1338"/>
      <c r="AO725" s="1339"/>
      <c r="AP725" s="3"/>
      <c r="AQ725" s="3"/>
      <c r="AR725" s="3"/>
      <c r="AS725" s="3"/>
      <c r="AY725" s="1085"/>
      <c r="AZ725" s="118">
        <f t="shared" si="9"/>
        <v>3370</v>
      </c>
      <c r="BA725" s="3"/>
      <c r="BB725" s="3"/>
      <c r="BC725" s="3"/>
      <c r="BD725" s="3"/>
      <c r="BE725" s="204"/>
      <c r="BF725" s="294">
        <f t="shared" si="10"/>
        <v>2</v>
      </c>
      <c r="BG725" s="297">
        <f t="shared" si="11"/>
        <v>1.9417475728155338E-2</v>
      </c>
      <c r="BH725" s="298">
        <f t="shared" si="12"/>
        <v>9.7087378640776691E-3</v>
      </c>
      <c r="BI725" s="3"/>
      <c r="BJ725" s="3"/>
      <c r="BK725" s="3"/>
      <c r="BL725" s="3"/>
      <c r="BM725" s="3"/>
      <c r="BN725" s="3"/>
      <c r="BS725" s="294">
        <f t="shared" si="13"/>
        <v>2</v>
      </c>
      <c r="BT725" s="297">
        <f t="shared" si="14"/>
        <v>1.9417475728155338E-2</v>
      </c>
      <c r="BU725" s="298">
        <f t="shared" si="15"/>
        <v>9.1210279162225218E-3</v>
      </c>
      <c r="BV725" s="292"/>
      <c r="BW725" s="3"/>
      <c r="BX725" s="3"/>
      <c r="BY725" s="3"/>
      <c r="BZ725" s="3"/>
      <c r="CA725" s="3"/>
      <c r="CB725" s="3"/>
      <c r="CC725" s="3"/>
      <c r="CE725" s="3"/>
      <c r="CF725" s="3"/>
      <c r="CG725" s="1463">
        <f t="shared" si="37"/>
        <v>1</v>
      </c>
      <c r="CH725" s="1464"/>
      <c r="CI725" s="1469">
        <f t="shared" si="38"/>
        <v>2</v>
      </c>
      <c r="CJ725" s="1470"/>
      <c r="CK725" s="1463">
        <f t="shared" si="16"/>
        <v>0</v>
      </c>
      <c r="CL725" s="1464"/>
      <c r="CM725" s="1469">
        <f t="shared" si="17"/>
        <v>0</v>
      </c>
      <c r="CN725" s="1470"/>
      <c r="CO725" s="3"/>
      <c r="CP725" s="1458">
        <f t="shared" si="18"/>
        <v>0</v>
      </c>
      <c r="CQ725" s="1459"/>
      <c r="CR725" s="1459"/>
      <c r="CS725" s="1459"/>
      <c r="CT725" s="1460"/>
      <c r="CU725" s="1443">
        <f t="shared" si="19"/>
        <v>0</v>
      </c>
      <c r="CV725" s="1443"/>
      <c r="CW725" s="1443"/>
      <c r="CX725" s="1443"/>
      <c r="CY725" s="1443"/>
      <c r="CZ725" s="1443">
        <f t="shared" si="20"/>
        <v>2</v>
      </c>
      <c r="DA725" s="1443"/>
      <c r="DB725" s="1443"/>
      <c r="DC725" s="1443"/>
      <c r="DD725" s="1443"/>
      <c r="DE725" s="1443">
        <f t="shared" si="21"/>
        <v>0</v>
      </c>
      <c r="DF725" s="1443"/>
      <c r="DG725" s="1443"/>
      <c r="DH725" s="1443"/>
      <c r="DI725" s="1443"/>
      <c r="DJ725" s="1443">
        <f t="shared" si="22"/>
        <v>0</v>
      </c>
      <c r="DK725" s="1443"/>
      <c r="DL725" s="1443"/>
      <c r="DM725" s="1443"/>
      <c r="DN725" s="1443"/>
      <c r="DO725" s="1443">
        <f t="shared" si="23"/>
        <v>0</v>
      </c>
      <c r="DP725" s="1443"/>
      <c r="DQ725" s="1443"/>
      <c r="DR725" s="1443"/>
      <c r="DS725" s="1443"/>
      <c r="DT725" s="6"/>
      <c r="DU725" s="1444">
        <f t="shared" si="24"/>
        <v>0</v>
      </c>
      <c r="DV725" s="1444"/>
      <c r="DW725" s="1444"/>
      <c r="DX725" s="1444"/>
      <c r="DY725" s="1444"/>
      <c r="DZ725" s="1444">
        <f t="shared" si="25"/>
        <v>0</v>
      </c>
      <c r="EA725" s="1444"/>
      <c r="EB725" s="1444"/>
      <c r="EC725" s="1444"/>
      <c r="ED725" s="1444"/>
      <c r="EE725" s="1444">
        <f t="shared" si="26"/>
        <v>0</v>
      </c>
      <c r="EF725" s="1444"/>
      <c r="EG725" s="1444"/>
      <c r="EH725" s="1444"/>
      <c r="EI725" s="1444"/>
      <c r="EJ725" s="1444">
        <f t="shared" si="27"/>
        <v>0</v>
      </c>
      <c r="EK725" s="1444"/>
      <c r="EL725" s="1444"/>
      <c r="EM725" s="1444"/>
      <c r="EN725" s="1444"/>
      <c r="EO725" s="1444">
        <f t="shared" si="28"/>
        <v>0</v>
      </c>
      <c r="EP725" s="1444"/>
      <c r="EQ725" s="1444"/>
      <c r="ER725" s="1444"/>
      <c r="ES725" s="1444"/>
      <c r="ET725" s="1444">
        <f t="shared" si="29"/>
        <v>0</v>
      </c>
      <c r="EU725" s="1444"/>
      <c r="EV725" s="1444"/>
      <c r="EW725" s="1444"/>
      <c r="EX725" s="1444"/>
      <c r="EZ725" s="1463" t="str">
        <f t="shared" si="30"/>
        <v/>
      </c>
      <c r="FA725" s="1465"/>
      <c r="FB725" s="1465"/>
      <c r="FC725" s="1465"/>
      <c r="FD725" s="1464"/>
      <c r="FE725" s="1463" t="str">
        <f t="shared" si="31"/>
        <v/>
      </c>
      <c r="FF725" s="1465"/>
      <c r="FG725" s="1465"/>
      <c r="FH725" s="1465"/>
      <c r="FI725" s="1464"/>
      <c r="FJ725" s="1463">
        <f t="shared" si="32"/>
        <v>1583</v>
      </c>
      <c r="FK725" s="1465"/>
      <c r="FL725" s="1465"/>
      <c r="FM725" s="1465"/>
      <c r="FN725" s="1464"/>
      <c r="FO725" s="1463" t="str">
        <f t="shared" si="33"/>
        <v/>
      </c>
      <c r="FP725" s="1465"/>
      <c r="FQ725" s="1465"/>
      <c r="FR725" s="1465"/>
      <c r="FS725" s="1464"/>
      <c r="FT725" s="1463" t="str">
        <f t="shared" si="34"/>
        <v/>
      </c>
      <c r="FU725" s="1465"/>
      <c r="FV725" s="1465"/>
      <c r="FW725" s="1465"/>
      <c r="FX725" s="1464"/>
      <c r="FY725" s="1463" t="str">
        <f t="shared" si="35"/>
        <v/>
      </c>
      <c r="FZ725" s="1465"/>
      <c r="GA725" s="1465"/>
      <c r="GB725" s="1465"/>
      <c r="GC725" s="1464"/>
    </row>
    <row r="726" spans="1:185" ht="12.95" customHeight="1">
      <c r="B726" s="1337" t="s">
        <v>163</v>
      </c>
      <c r="C726" s="1338"/>
      <c r="D726" s="1338"/>
      <c r="E726" s="1338"/>
      <c r="F726" s="1339"/>
      <c r="G726" s="1349">
        <v>2</v>
      </c>
      <c r="H726" s="1350"/>
      <c r="I726" s="1350"/>
      <c r="J726" s="1351"/>
      <c r="K726" s="1343">
        <v>890</v>
      </c>
      <c r="L726" s="1344"/>
      <c r="M726" s="1344"/>
      <c r="N726" s="1345"/>
      <c r="O726" s="1340">
        <v>1900</v>
      </c>
      <c r="P726" s="1341"/>
      <c r="Q726" s="1341"/>
      <c r="R726" s="1341"/>
      <c r="S726" s="1342"/>
      <c r="T726" s="1340">
        <v>0</v>
      </c>
      <c r="U726" s="1341"/>
      <c r="V726" s="1341"/>
      <c r="W726" s="1342"/>
      <c r="X726" s="1352">
        <f t="shared" si="8"/>
        <v>1900</v>
      </c>
      <c r="Y726" s="1353"/>
      <c r="Z726" s="1353"/>
      <c r="AA726" s="1353"/>
      <c r="AB726" s="1354"/>
      <c r="AC726" s="1359">
        <v>0.6</v>
      </c>
      <c r="AD726" s="1360"/>
      <c r="AE726" s="1360"/>
      <c r="AF726" s="1360"/>
      <c r="AG726" s="1361"/>
      <c r="AH726" s="1355">
        <f t="shared" si="36"/>
        <v>0.56379821958456977</v>
      </c>
      <c r="AI726" s="1356"/>
      <c r="AJ726" s="1357"/>
      <c r="AK726" s="1337" t="s">
        <v>591</v>
      </c>
      <c r="AL726" s="1338"/>
      <c r="AM726" s="1338"/>
      <c r="AN726" s="1338"/>
      <c r="AO726" s="1339"/>
      <c r="AP726" s="3"/>
      <c r="AQ726" s="3"/>
      <c r="AR726" s="3"/>
      <c r="AS726" s="3"/>
      <c r="AY726" s="1085"/>
      <c r="AZ726" s="118">
        <f t="shared" si="9"/>
        <v>3370</v>
      </c>
      <c r="BA726" s="3"/>
      <c r="BB726" s="3"/>
      <c r="BC726" s="3"/>
      <c r="BD726" s="3"/>
      <c r="BE726" s="204"/>
      <c r="BF726" s="294">
        <f t="shared" si="10"/>
        <v>2</v>
      </c>
      <c r="BG726" s="297">
        <f t="shared" si="11"/>
        <v>1.9417475728155338E-2</v>
      </c>
      <c r="BH726" s="298">
        <f t="shared" si="12"/>
        <v>1.1650485436893203E-2</v>
      </c>
      <c r="BI726" s="3"/>
      <c r="BJ726" s="3"/>
      <c r="BK726" s="3"/>
      <c r="BL726" s="3"/>
      <c r="BM726" s="3"/>
      <c r="BN726" s="3"/>
      <c r="BS726" s="294">
        <f t="shared" si="13"/>
        <v>2</v>
      </c>
      <c r="BT726" s="297">
        <f t="shared" si="14"/>
        <v>1.9417475728155338E-2</v>
      </c>
      <c r="BU726" s="298">
        <f t="shared" si="15"/>
        <v>1.0947538244360577E-2</v>
      </c>
      <c r="BV726" s="3"/>
      <c r="BW726" s="3"/>
      <c r="BX726" s="3"/>
      <c r="BY726" s="3"/>
      <c r="BZ726" s="3"/>
      <c r="CA726" s="3"/>
      <c r="CB726" s="3"/>
      <c r="CC726" s="3"/>
      <c r="CE726" s="3"/>
      <c r="CF726" s="3"/>
      <c r="CG726" s="1463">
        <f t="shared" si="37"/>
        <v>0</v>
      </c>
      <c r="CH726" s="1464"/>
      <c r="CI726" s="1469">
        <f t="shared" si="38"/>
        <v>0</v>
      </c>
      <c r="CJ726" s="1470"/>
      <c r="CK726" s="1463">
        <f t="shared" si="16"/>
        <v>0</v>
      </c>
      <c r="CL726" s="1464"/>
      <c r="CM726" s="1469">
        <f t="shared" si="17"/>
        <v>0</v>
      </c>
      <c r="CN726" s="1470"/>
      <c r="CO726" s="3"/>
      <c r="CP726" s="1458">
        <f t="shared" si="18"/>
        <v>0</v>
      </c>
      <c r="CQ726" s="1459"/>
      <c r="CR726" s="1459"/>
      <c r="CS726" s="1459"/>
      <c r="CT726" s="1460"/>
      <c r="CU726" s="1443">
        <f t="shared" si="19"/>
        <v>0</v>
      </c>
      <c r="CV726" s="1443"/>
      <c r="CW726" s="1443"/>
      <c r="CX726" s="1443"/>
      <c r="CY726" s="1443"/>
      <c r="CZ726" s="1443">
        <f t="shared" si="20"/>
        <v>2</v>
      </c>
      <c r="DA726" s="1443"/>
      <c r="DB726" s="1443"/>
      <c r="DC726" s="1443"/>
      <c r="DD726" s="1443"/>
      <c r="DE726" s="1443">
        <f t="shared" si="21"/>
        <v>0</v>
      </c>
      <c r="DF726" s="1443"/>
      <c r="DG726" s="1443"/>
      <c r="DH726" s="1443"/>
      <c r="DI726" s="1443"/>
      <c r="DJ726" s="1443">
        <f t="shared" si="22"/>
        <v>0</v>
      </c>
      <c r="DK726" s="1443"/>
      <c r="DL726" s="1443"/>
      <c r="DM726" s="1443"/>
      <c r="DN726" s="1443"/>
      <c r="DO726" s="1443">
        <f t="shared" si="23"/>
        <v>0</v>
      </c>
      <c r="DP726" s="1443"/>
      <c r="DQ726" s="1443"/>
      <c r="DR726" s="1443"/>
      <c r="DS726" s="1443"/>
      <c r="DT726" s="6"/>
      <c r="DU726" s="1444">
        <f t="shared" si="24"/>
        <v>0</v>
      </c>
      <c r="DV726" s="1444"/>
      <c r="DW726" s="1444"/>
      <c r="DX726" s="1444"/>
      <c r="DY726" s="1444"/>
      <c r="DZ726" s="1444">
        <f t="shared" si="25"/>
        <v>0</v>
      </c>
      <c r="EA726" s="1444"/>
      <c r="EB726" s="1444"/>
      <c r="EC726" s="1444"/>
      <c r="ED726" s="1444"/>
      <c r="EE726" s="1444">
        <f t="shared" si="26"/>
        <v>0</v>
      </c>
      <c r="EF726" s="1444"/>
      <c r="EG726" s="1444"/>
      <c r="EH726" s="1444"/>
      <c r="EI726" s="1444"/>
      <c r="EJ726" s="1444">
        <f t="shared" si="27"/>
        <v>0</v>
      </c>
      <c r="EK726" s="1444"/>
      <c r="EL726" s="1444"/>
      <c r="EM726" s="1444"/>
      <c r="EN726" s="1444"/>
      <c r="EO726" s="1444">
        <f t="shared" si="28"/>
        <v>0</v>
      </c>
      <c r="EP726" s="1444"/>
      <c r="EQ726" s="1444"/>
      <c r="ER726" s="1444"/>
      <c r="ES726" s="1444"/>
      <c r="ET726" s="1444">
        <f t="shared" si="29"/>
        <v>0</v>
      </c>
      <c r="EU726" s="1444"/>
      <c r="EV726" s="1444"/>
      <c r="EW726" s="1444"/>
      <c r="EX726" s="1444"/>
      <c r="EY726" s="4"/>
      <c r="EZ726" s="1463" t="str">
        <f t="shared" si="30"/>
        <v/>
      </c>
      <c r="FA726" s="1465"/>
      <c r="FB726" s="1465"/>
      <c r="FC726" s="1465"/>
      <c r="FD726" s="1464"/>
      <c r="FE726" s="1463" t="str">
        <f t="shared" si="31"/>
        <v/>
      </c>
      <c r="FF726" s="1465"/>
      <c r="FG726" s="1465"/>
      <c r="FH726" s="1465"/>
      <c r="FI726" s="1464"/>
      <c r="FJ726" s="1463">
        <f t="shared" si="32"/>
        <v>1900</v>
      </c>
      <c r="FK726" s="1465"/>
      <c r="FL726" s="1465"/>
      <c r="FM726" s="1465"/>
      <c r="FN726" s="1464"/>
      <c r="FO726" s="1463" t="str">
        <f t="shared" si="33"/>
        <v/>
      </c>
      <c r="FP726" s="1465"/>
      <c r="FQ726" s="1465"/>
      <c r="FR726" s="1465"/>
      <c r="FS726" s="1464"/>
      <c r="FT726" s="1463" t="str">
        <f t="shared" si="34"/>
        <v/>
      </c>
      <c r="FU726" s="1465"/>
      <c r="FV726" s="1465"/>
      <c r="FW726" s="1465"/>
      <c r="FX726" s="1464"/>
      <c r="FY726" s="1463" t="str">
        <f t="shared" si="35"/>
        <v/>
      </c>
      <c r="FZ726" s="1465"/>
      <c r="GA726" s="1465"/>
      <c r="GB726" s="1465"/>
      <c r="GC726" s="1464"/>
    </row>
    <row r="727" spans="1:185" ht="12.95" customHeight="1">
      <c r="A727" s="4"/>
      <c r="B727" s="1337" t="s">
        <v>163</v>
      </c>
      <c r="C727" s="1338"/>
      <c r="D727" s="1338"/>
      <c r="E727" s="1338"/>
      <c r="F727" s="1339"/>
      <c r="G727" s="1349">
        <v>18</v>
      </c>
      <c r="H727" s="1350"/>
      <c r="I727" s="1350"/>
      <c r="J727" s="1351"/>
      <c r="K727" s="1343">
        <v>890</v>
      </c>
      <c r="L727" s="1344"/>
      <c r="M727" s="1344"/>
      <c r="N727" s="1345"/>
      <c r="O727" s="1340">
        <v>2534</v>
      </c>
      <c r="P727" s="1341"/>
      <c r="Q727" s="1341"/>
      <c r="R727" s="1341"/>
      <c r="S727" s="1342"/>
      <c r="T727" s="1340">
        <v>0</v>
      </c>
      <c r="U727" s="1341"/>
      <c r="V727" s="1341"/>
      <c r="W727" s="1342"/>
      <c r="X727" s="1352">
        <f t="shared" si="8"/>
        <v>2534</v>
      </c>
      <c r="Y727" s="1353"/>
      <c r="Z727" s="1353"/>
      <c r="AA727" s="1353"/>
      <c r="AB727" s="1354"/>
      <c r="AC727" s="1359">
        <v>0.8</v>
      </c>
      <c r="AD727" s="1360"/>
      <c r="AE727" s="1360"/>
      <c r="AF727" s="1360"/>
      <c r="AG727" s="1361"/>
      <c r="AH727" s="1355">
        <f t="shared" si="36"/>
        <v>0.75192878338278935</v>
      </c>
      <c r="AI727" s="1356"/>
      <c r="AJ727" s="1357"/>
      <c r="AK727" s="1337" t="s">
        <v>591</v>
      </c>
      <c r="AL727" s="1338"/>
      <c r="AM727" s="1338"/>
      <c r="AN727" s="1338"/>
      <c r="AO727" s="1339"/>
      <c r="AP727" s="3"/>
      <c r="AQ727" s="3"/>
      <c r="AR727" s="3"/>
      <c r="AS727" s="3"/>
      <c r="AY727" s="1085"/>
      <c r="AZ727" s="118">
        <f t="shared" si="9"/>
        <v>3370</v>
      </c>
      <c r="BA727" s="3"/>
      <c r="BB727" s="3"/>
      <c r="BC727" s="3"/>
      <c r="BD727" s="3"/>
      <c r="BE727" s="204"/>
      <c r="BF727" s="294">
        <f t="shared" si="10"/>
        <v>18</v>
      </c>
      <c r="BG727" s="297">
        <f t="shared" si="11"/>
        <v>0.17475728155339806</v>
      </c>
      <c r="BH727" s="298">
        <f t="shared" si="12"/>
        <v>0.13980582524271845</v>
      </c>
      <c r="BI727" s="3"/>
      <c r="BJ727" s="3"/>
      <c r="BK727" s="3"/>
      <c r="BL727" s="3"/>
      <c r="BM727" s="3"/>
      <c r="BN727" s="3"/>
      <c r="BS727" s="294">
        <f t="shared" si="13"/>
        <v>18</v>
      </c>
      <c r="BT727" s="297">
        <f t="shared" si="14"/>
        <v>0.17475728155339806</v>
      </c>
      <c r="BU727" s="298">
        <f t="shared" si="15"/>
        <v>0.13140503010573018</v>
      </c>
      <c r="BV727" s="3"/>
      <c r="BW727" s="3"/>
      <c r="BX727" s="3"/>
      <c r="BY727" s="3"/>
      <c r="BZ727" s="3"/>
      <c r="CA727" s="3"/>
      <c r="CB727" s="3"/>
      <c r="CC727" s="3"/>
      <c r="CE727" s="3"/>
      <c r="CF727" s="3"/>
      <c r="CG727" s="1463">
        <f t="shared" si="37"/>
        <v>0</v>
      </c>
      <c r="CH727" s="1464"/>
      <c r="CI727" s="1469">
        <f t="shared" si="38"/>
        <v>0</v>
      </c>
      <c r="CJ727" s="1470"/>
      <c r="CK727" s="1463">
        <f t="shared" si="16"/>
        <v>0</v>
      </c>
      <c r="CL727" s="1464"/>
      <c r="CM727" s="1469">
        <f t="shared" si="17"/>
        <v>0</v>
      </c>
      <c r="CN727" s="1470"/>
      <c r="CO727" s="3"/>
      <c r="CP727" s="1458">
        <f t="shared" si="18"/>
        <v>0</v>
      </c>
      <c r="CQ727" s="1459"/>
      <c r="CR727" s="1459"/>
      <c r="CS727" s="1459"/>
      <c r="CT727" s="1460"/>
      <c r="CU727" s="1443">
        <f t="shared" si="19"/>
        <v>0</v>
      </c>
      <c r="CV727" s="1443"/>
      <c r="CW727" s="1443"/>
      <c r="CX727" s="1443"/>
      <c r="CY727" s="1443"/>
      <c r="CZ727" s="1443">
        <f t="shared" si="20"/>
        <v>18</v>
      </c>
      <c r="DA727" s="1443"/>
      <c r="DB727" s="1443"/>
      <c r="DC727" s="1443"/>
      <c r="DD727" s="1443"/>
      <c r="DE727" s="1443">
        <f t="shared" si="21"/>
        <v>0</v>
      </c>
      <c r="DF727" s="1443"/>
      <c r="DG727" s="1443"/>
      <c r="DH727" s="1443"/>
      <c r="DI727" s="1443"/>
      <c r="DJ727" s="1443">
        <f t="shared" si="22"/>
        <v>0</v>
      </c>
      <c r="DK727" s="1443"/>
      <c r="DL727" s="1443"/>
      <c r="DM727" s="1443"/>
      <c r="DN727" s="1443"/>
      <c r="DO727" s="1443">
        <f t="shared" si="23"/>
        <v>0</v>
      </c>
      <c r="DP727" s="1443"/>
      <c r="DQ727" s="1443"/>
      <c r="DR727" s="1443"/>
      <c r="DS727" s="1443"/>
      <c r="DT727" s="6"/>
      <c r="DU727" s="1444">
        <f t="shared" si="24"/>
        <v>0</v>
      </c>
      <c r="DV727" s="1444"/>
      <c r="DW727" s="1444"/>
      <c r="DX727" s="1444"/>
      <c r="DY727" s="1444"/>
      <c r="DZ727" s="1444">
        <f t="shared" si="25"/>
        <v>0</v>
      </c>
      <c r="EA727" s="1444"/>
      <c r="EB727" s="1444"/>
      <c r="EC727" s="1444"/>
      <c r="ED727" s="1444"/>
      <c r="EE727" s="1444">
        <f t="shared" si="26"/>
        <v>0</v>
      </c>
      <c r="EF727" s="1444"/>
      <c r="EG727" s="1444"/>
      <c r="EH727" s="1444"/>
      <c r="EI727" s="1444"/>
      <c r="EJ727" s="1444">
        <f t="shared" si="27"/>
        <v>0</v>
      </c>
      <c r="EK727" s="1444"/>
      <c r="EL727" s="1444"/>
      <c r="EM727" s="1444"/>
      <c r="EN727" s="1444"/>
      <c r="EO727" s="1444">
        <f t="shared" si="28"/>
        <v>0</v>
      </c>
      <c r="EP727" s="1444"/>
      <c r="EQ727" s="1444"/>
      <c r="ER727" s="1444"/>
      <c r="ES727" s="1444"/>
      <c r="ET727" s="1444">
        <f t="shared" si="29"/>
        <v>0</v>
      </c>
      <c r="EU727" s="1444"/>
      <c r="EV727" s="1444"/>
      <c r="EW727" s="1444"/>
      <c r="EX727" s="1444"/>
      <c r="EY727" s="4"/>
      <c r="EZ727" s="1463" t="str">
        <f t="shared" si="30"/>
        <v/>
      </c>
      <c r="FA727" s="1465"/>
      <c r="FB727" s="1465"/>
      <c r="FC727" s="1465"/>
      <c r="FD727" s="1464"/>
      <c r="FE727" s="1463" t="str">
        <f t="shared" si="31"/>
        <v/>
      </c>
      <c r="FF727" s="1465"/>
      <c r="FG727" s="1465"/>
      <c r="FH727" s="1465"/>
      <c r="FI727" s="1464"/>
      <c r="FJ727" s="1463">
        <f t="shared" si="32"/>
        <v>2534</v>
      </c>
      <c r="FK727" s="1465"/>
      <c r="FL727" s="1465"/>
      <c r="FM727" s="1465"/>
      <c r="FN727" s="1464"/>
      <c r="FO727" s="1463" t="str">
        <f t="shared" si="33"/>
        <v/>
      </c>
      <c r="FP727" s="1465"/>
      <c r="FQ727" s="1465"/>
      <c r="FR727" s="1465"/>
      <c r="FS727" s="1464"/>
      <c r="FT727" s="1463" t="str">
        <f t="shared" si="34"/>
        <v/>
      </c>
      <c r="FU727" s="1465"/>
      <c r="FV727" s="1465"/>
      <c r="FW727" s="1465"/>
      <c r="FX727" s="1464"/>
      <c r="FY727" s="1463" t="str">
        <f t="shared" si="35"/>
        <v/>
      </c>
      <c r="FZ727" s="1465"/>
      <c r="GA727" s="1465"/>
      <c r="GB727" s="1465"/>
      <c r="GC727" s="1464"/>
    </row>
    <row r="728" spans="1:185" ht="12.95" customHeight="1">
      <c r="A728" s="4"/>
      <c r="B728" s="1337" t="s">
        <v>164</v>
      </c>
      <c r="C728" s="1338"/>
      <c r="D728" s="1338"/>
      <c r="E728" s="1338"/>
      <c r="F728" s="1339"/>
      <c r="G728" s="1349">
        <v>10</v>
      </c>
      <c r="H728" s="1350"/>
      <c r="I728" s="1350"/>
      <c r="J728" s="1351"/>
      <c r="K728" s="1343">
        <v>1010</v>
      </c>
      <c r="L728" s="1344"/>
      <c r="M728" s="1344"/>
      <c r="N728" s="1345"/>
      <c r="O728" s="1340">
        <v>1097</v>
      </c>
      <c r="P728" s="1341"/>
      <c r="Q728" s="1341"/>
      <c r="R728" s="1341"/>
      <c r="S728" s="1342"/>
      <c r="T728" s="1340">
        <v>0</v>
      </c>
      <c r="U728" s="1341"/>
      <c r="V728" s="1341"/>
      <c r="W728" s="1342"/>
      <c r="X728" s="1352">
        <f t="shared" si="8"/>
        <v>1097</v>
      </c>
      <c r="Y728" s="1353"/>
      <c r="Z728" s="1353"/>
      <c r="AA728" s="1353"/>
      <c r="AB728" s="1354"/>
      <c r="AC728" s="1359">
        <v>0.3</v>
      </c>
      <c r="AD728" s="1360"/>
      <c r="AE728" s="1360"/>
      <c r="AF728" s="1360"/>
      <c r="AG728" s="1361"/>
      <c r="AH728" s="1355">
        <f t="shared" si="36"/>
        <v>0.28186022610483041</v>
      </c>
      <c r="AI728" s="1356"/>
      <c r="AJ728" s="1357"/>
      <c r="AK728" s="1337" t="s">
        <v>591</v>
      </c>
      <c r="AL728" s="1338"/>
      <c r="AM728" s="1338"/>
      <c r="AN728" s="1338"/>
      <c r="AO728" s="1339"/>
      <c r="AP728" s="3"/>
      <c r="AQ728" s="3"/>
      <c r="AR728" s="3"/>
      <c r="AS728" s="3"/>
      <c r="AY728" s="1085"/>
      <c r="AZ728" s="118">
        <f t="shared" si="9"/>
        <v>3892</v>
      </c>
      <c r="BA728" s="3"/>
      <c r="BB728" s="3"/>
      <c r="BC728" s="3"/>
      <c r="BD728" s="3"/>
      <c r="BE728" s="204"/>
      <c r="BF728" s="294">
        <f t="shared" si="10"/>
        <v>10</v>
      </c>
      <c r="BG728" s="297">
        <f t="shared" si="11"/>
        <v>9.7087378640776698E-2</v>
      </c>
      <c r="BH728" s="298">
        <f t="shared" si="12"/>
        <v>2.9126213592233007E-2</v>
      </c>
      <c r="BI728" s="3"/>
      <c r="BJ728" s="3"/>
      <c r="BK728" s="3"/>
      <c r="BL728" s="3"/>
      <c r="BM728" s="3"/>
      <c r="BN728" s="3"/>
      <c r="BS728" s="294">
        <f t="shared" si="13"/>
        <v>10</v>
      </c>
      <c r="BT728" s="297">
        <f t="shared" si="14"/>
        <v>9.7087378640776698E-2</v>
      </c>
      <c r="BU728" s="298">
        <f t="shared" si="15"/>
        <v>2.7365070495614603E-2</v>
      </c>
      <c r="BV728" s="3"/>
      <c r="BW728" s="3"/>
      <c r="BX728" s="3"/>
      <c r="BY728" s="3"/>
      <c r="BZ728" s="3"/>
      <c r="CA728" s="3"/>
      <c r="CB728" s="3"/>
      <c r="CC728" s="3"/>
      <c r="CE728" s="3"/>
      <c r="CF728" s="3"/>
      <c r="CG728" s="1463">
        <f t="shared" si="37"/>
        <v>0</v>
      </c>
      <c r="CH728" s="1464"/>
      <c r="CI728" s="1469">
        <f t="shared" si="38"/>
        <v>0</v>
      </c>
      <c r="CJ728" s="1470"/>
      <c r="CK728" s="1463">
        <f t="shared" si="16"/>
        <v>1</v>
      </c>
      <c r="CL728" s="1464"/>
      <c r="CM728" s="1469">
        <f t="shared" si="17"/>
        <v>10</v>
      </c>
      <c r="CN728" s="1470"/>
      <c r="CO728" s="3"/>
      <c r="CP728" s="1458">
        <f t="shared" si="18"/>
        <v>0</v>
      </c>
      <c r="CQ728" s="1459"/>
      <c r="CR728" s="1459"/>
      <c r="CS728" s="1459"/>
      <c r="CT728" s="1460"/>
      <c r="CU728" s="1443">
        <f t="shared" si="19"/>
        <v>0</v>
      </c>
      <c r="CV728" s="1443"/>
      <c r="CW728" s="1443"/>
      <c r="CX728" s="1443"/>
      <c r="CY728" s="1443"/>
      <c r="CZ728" s="1443">
        <f t="shared" si="20"/>
        <v>0</v>
      </c>
      <c r="DA728" s="1443"/>
      <c r="DB728" s="1443"/>
      <c r="DC728" s="1443"/>
      <c r="DD728" s="1443"/>
      <c r="DE728" s="1443">
        <f t="shared" si="21"/>
        <v>10</v>
      </c>
      <c r="DF728" s="1443"/>
      <c r="DG728" s="1443"/>
      <c r="DH728" s="1443"/>
      <c r="DI728" s="1443"/>
      <c r="DJ728" s="1443">
        <f t="shared" si="22"/>
        <v>0</v>
      </c>
      <c r="DK728" s="1443"/>
      <c r="DL728" s="1443"/>
      <c r="DM728" s="1443"/>
      <c r="DN728" s="1443"/>
      <c r="DO728" s="1443">
        <f t="shared" si="23"/>
        <v>0</v>
      </c>
      <c r="DP728" s="1443"/>
      <c r="DQ728" s="1443"/>
      <c r="DR728" s="1443"/>
      <c r="DS728" s="1443"/>
      <c r="DT728" s="6"/>
      <c r="DU728" s="1444">
        <f t="shared" si="24"/>
        <v>0</v>
      </c>
      <c r="DV728" s="1444"/>
      <c r="DW728" s="1444"/>
      <c r="DX728" s="1444"/>
      <c r="DY728" s="1444"/>
      <c r="DZ728" s="1444">
        <f t="shared" si="25"/>
        <v>0</v>
      </c>
      <c r="EA728" s="1444"/>
      <c r="EB728" s="1444"/>
      <c r="EC728" s="1444"/>
      <c r="ED728" s="1444"/>
      <c r="EE728" s="1444">
        <f t="shared" si="26"/>
        <v>0</v>
      </c>
      <c r="EF728" s="1444"/>
      <c r="EG728" s="1444"/>
      <c r="EH728" s="1444"/>
      <c r="EI728" s="1444"/>
      <c r="EJ728" s="1444">
        <f t="shared" si="27"/>
        <v>10</v>
      </c>
      <c r="EK728" s="1444"/>
      <c r="EL728" s="1444"/>
      <c r="EM728" s="1444"/>
      <c r="EN728" s="1444"/>
      <c r="EO728" s="1444">
        <f t="shared" si="28"/>
        <v>0</v>
      </c>
      <c r="EP728" s="1444"/>
      <c r="EQ728" s="1444"/>
      <c r="ER728" s="1444"/>
      <c r="ES728" s="1444"/>
      <c r="ET728" s="1444">
        <f t="shared" si="29"/>
        <v>0</v>
      </c>
      <c r="EU728" s="1444"/>
      <c r="EV728" s="1444"/>
      <c r="EW728" s="1444"/>
      <c r="EX728" s="1444"/>
      <c r="EY728" s="4"/>
      <c r="EZ728" s="1463" t="str">
        <f t="shared" si="30"/>
        <v/>
      </c>
      <c r="FA728" s="1465"/>
      <c r="FB728" s="1465"/>
      <c r="FC728" s="1465"/>
      <c r="FD728" s="1464"/>
      <c r="FE728" s="1463" t="str">
        <f t="shared" si="31"/>
        <v/>
      </c>
      <c r="FF728" s="1465"/>
      <c r="FG728" s="1465"/>
      <c r="FH728" s="1465"/>
      <c r="FI728" s="1464"/>
      <c r="FJ728" s="1463" t="str">
        <f t="shared" si="32"/>
        <v/>
      </c>
      <c r="FK728" s="1465"/>
      <c r="FL728" s="1465"/>
      <c r="FM728" s="1465"/>
      <c r="FN728" s="1464"/>
      <c r="FO728" s="1463">
        <f t="shared" si="33"/>
        <v>1097</v>
      </c>
      <c r="FP728" s="1465"/>
      <c r="FQ728" s="1465"/>
      <c r="FR728" s="1465"/>
      <c r="FS728" s="1464"/>
      <c r="FT728" s="1463" t="str">
        <f t="shared" si="34"/>
        <v/>
      </c>
      <c r="FU728" s="1465"/>
      <c r="FV728" s="1465"/>
      <c r="FW728" s="1465"/>
      <c r="FX728" s="1464"/>
      <c r="FY728" s="1463" t="str">
        <f t="shared" si="35"/>
        <v/>
      </c>
      <c r="FZ728" s="1465"/>
      <c r="GA728" s="1465"/>
      <c r="GB728" s="1465"/>
      <c r="GC728" s="1464"/>
    </row>
    <row r="729" spans="1:185" ht="12.95" customHeight="1">
      <c r="A729" s="4"/>
      <c r="B729" s="1337" t="s">
        <v>164</v>
      </c>
      <c r="C729" s="1338"/>
      <c r="D729" s="1338"/>
      <c r="E729" s="1338"/>
      <c r="F729" s="1339"/>
      <c r="G729" s="1349">
        <v>2</v>
      </c>
      <c r="H729" s="1350"/>
      <c r="I729" s="1350"/>
      <c r="J729" s="1351"/>
      <c r="K729" s="1343">
        <v>1010</v>
      </c>
      <c r="L729" s="1344"/>
      <c r="M729" s="1344"/>
      <c r="N729" s="1345"/>
      <c r="O729" s="1340">
        <v>1463</v>
      </c>
      <c r="P729" s="1341"/>
      <c r="Q729" s="1341"/>
      <c r="R729" s="1341"/>
      <c r="S729" s="1342"/>
      <c r="T729" s="1340">
        <v>0</v>
      </c>
      <c r="U729" s="1341"/>
      <c r="V729" s="1341"/>
      <c r="W729" s="1342"/>
      <c r="X729" s="1352">
        <f t="shared" si="8"/>
        <v>1463</v>
      </c>
      <c r="Y729" s="1353"/>
      <c r="Z729" s="1353"/>
      <c r="AA729" s="1353"/>
      <c r="AB729" s="1354"/>
      <c r="AC729" s="1359">
        <v>0.4</v>
      </c>
      <c r="AD729" s="1360"/>
      <c r="AE729" s="1360"/>
      <c r="AF729" s="1360"/>
      <c r="AG729" s="1361"/>
      <c r="AH729" s="1355">
        <f t="shared" si="36"/>
        <v>0.37589928057553956</v>
      </c>
      <c r="AI729" s="1356"/>
      <c r="AJ729" s="1357"/>
      <c r="AK729" s="1337" t="s">
        <v>591</v>
      </c>
      <c r="AL729" s="1338"/>
      <c r="AM729" s="1338"/>
      <c r="AN729" s="1338"/>
      <c r="AO729" s="1339"/>
      <c r="AP729" s="3"/>
      <c r="AQ729" s="3"/>
      <c r="AR729" s="3"/>
      <c r="AS729" s="3"/>
      <c r="AY729" s="1085"/>
      <c r="AZ729" s="118">
        <f t="shared" si="9"/>
        <v>3892</v>
      </c>
      <c r="BA729" s="3"/>
      <c r="BB729" s="3"/>
      <c r="BC729" s="3"/>
      <c r="BD729" s="3"/>
      <c r="BE729" s="204"/>
      <c r="BF729" s="294">
        <f t="shared" si="10"/>
        <v>2</v>
      </c>
      <c r="BG729" s="297">
        <f t="shared" si="11"/>
        <v>1.9417475728155338E-2</v>
      </c>
      <c r="BH729" s="298">
        <f t="shared" si="12"/>
        <v>7.7669902912621356E-3</v>
      </c>
      <c r="BI729" s="3"/>
      <c r="BJ729" s="3"/>
      <c r="BK729" s="3"/>
      <c r="BL729" s="3"/>
      <c r="BM729" s="3"/>
      <c r="BN729" s="3"/>
      <c r="BS729" s="294">
        <f t="shared" si="13"/>
        <v>2</v>
      </c>
      <c r="BT729" s="297">
        <f t="shared" si="14"/>
        <v>1.9417475728155338E-2</v>
      </c>
      <c r="BU729" s="298">
        <f t="shared" si="15"/>
        <v>7.2990151568065927E-3</v>
      </c>
      <c r="BV729" s="3"/>
      <c r="BW729" s="3"/>
      <c r="BX729" s="3"/>
      <c r="BY729" s="3"/>
      <c r="BZ729" s="3"/>
      <c r="CA729" s="3"/>
      <c r="CB729" s="3"/>
      <c r="CC729" s="3"/>
      <c r="CE729" s="3"/>
      <c r="CF729" s="3"/>
      <c r="CG729" s="1463">
        <f t="shared" si="37"/>
        <v>1</v>
      </c>
      <c r="CH729" s="1464"/>
      <c r="CI729" s="1469">
        <f t="shared" si="38"/>
        <v>2</v>
      </c>
      <c r="CJ729" s="1470"/>
      <c r="CK729" s="1463">
        <f t="shared" si="16"/>
        <v>0</v>
      </c>
      <c r="CL729" s="1464"/>
      <c r="CM729" s="1469">
        <f t="shared" si="17"/>
        <v>0</v>
      </c>
      <c r="CN729" s="1470"/>
      <c r="CO729" s="3"/>
      <c r="CP729" s="1458">
        <f t="shared" si="18"/>
        <v>0</v>
      </c>
      <c r="CQ729" s="1459"/>
      <c r="CR729" s="1459"/>
      <c r="CS729" s="1459"/>
      <c r="CT729" s="1460"/>
      <c r="CU729" s="1443">
        <f t="shared" si="19"/>
        <v>0</v>
      </c>
      <c r="CV729" s="1443"/>
      <c r="CW729" s="1443"/>
      <c r="CX729" s="1443"/>
      <c r="CY729" s="1443"/>
      <c r="CZ729" s="1443">
        <f t="shared" si="20"/>
        <v>0</v>
      </c>
      <c r="DA729" s="1443"/>
      <c r="DB729" s="1443"/>
      <c r="DC729" s="1443"/>
      <c r="DD729" s="1443"/>
      <c r="DE729" s="1443">
        <f t="shared" si="21"/>
        <v>2</v>
      </c>
      <c r="DF729" s="1443"/>
      <c r="DG729" s="1443"/>
      <c r="DH729" s="1443"/>
      <c r="DI729" s="1443"/>
      <c r="DJ729" s="1443">
        <f t="shared" si="22"/>
        <v>0</v>
      </c>
      <c r="DK729" s="1443"/>
      <c r="DL729" s="1443"/>
      <c r="DM729" s="1443"/>
      <c r="DN729" s="1443"/>
      <c r="DO729" s="1443">
        <f t="shared" si="23"/>
        <v>0</v>
      </c>
      <c r="DP729" s="1443"/>
      <c r="DQ729" s="1443"/>
      <c r="DR729" s="1443"/>
      <c r="DS729" s="1443"/>
      <c r="DT729" s="6"/>
      <c r="DU729" s="1444">
        <f t="shared" si="24"/>
        <v>0</v>
      </c>
      <c r="DV729" s="1444"/>
      <c r="DW729" s="1444"/>
      <c r="DX729" s="1444"/>
      <c r="DY729" s="1444"/>
      <c r="DZ729" s="1444">
        <f t="shared" si="25"/>
        <v>0</v>
      </c>
      <c r="EA729" s="1444"/>
      <c r="EB729" s="1444"/>
      <c r="EC729" s="1444"/>
      <c r="ED729" s="1444"/>
      <c r="EE729" s="1444">
        <f t="shared" si="26"/>
        <v>0</v>
      </c>
      <c r="EF729" s="1444"/>
      <c r="EG729" s="1444"/>
      <c r="EH729" s="1444"/>
      <c r="EI729" s="1444"/>
      <c r="EJ729" s="1444">
        <f t="shared" si="27"/>
        <v>0</v>
      </c>
      <c r="EK729" s="1444"/>
      <c r="EL729" s="1444"/>
      <c r="EM729" s="1444"/>
      <c r="EN729" s="1444"/>
      <c r="EO729" s="1444">
        <f t="shared" si="28"/>
        <v>0</v>
      </c>
      <c r="EP729" s="1444"/>
      <c r="EQ729" s="1444"/>
      <c r="ER729" s="1444"/>
      <c r="ES729" s="1444"/>
      <c r="ET729" s="1444">
        <f t="shared" si="29"/>
        <v>0</v>
      </c>
      <c r="EU729" s="1444"/>
      <c r="EV729" s="1444"/>
      <c r="EW729" s="1444"/>
      <c r="EX729" s="1444"/>
      <c r="EZ729" s="1463" t="str">
        <f t="shared" si="30"/>
        <v/>
      </c>
      <c r="FA729" s="1465"/>
      <c r="FB729" s="1465"/>
      <c r="FC729" s="1465"/>
      <c r="FD729" s="1464"/>
      <c r="FE729" s="1463" t="str">
        <f t="shared" si="31"/>
        <v/>
      </c>
      <c r="FF729" s="1465"/>
      <c r="FG729" s="1465"/>
      <c r="FH729" s="1465"/>
      <c r="FI729" s="1464"/>
      <c r="FJ729" s="1463" t="str">
        <f t="shared" si="32"/>
        <v/>
      </c>
      <c r="FK729" s="1465"/>
      <c r="FL729" s="1465"/>
      <c r="FM729" s="1465"/>
      <c r="FN729" s="1464"/>
      <c r="FO729" s="1463">
        <f t="shared" si="33"/>
        <v>1463</v>
      </c>
      <c r="FP729" s="1465"/>
      <c r="FQ729" s="1465"/>
      <c r="FR729" s="1465"/>
      <c r="FS729" s="1464"/>
      <c r="FT729" s="1463" t="str">
        <f t="shared" si="34"/>
        <v/>
      </c>
      <c r="FU729" s="1465"/>
      <c r="FV729" s="1465"/>
      <c r="FW729" s="1465"/>
      <c r="FX729" s="1464"/>
      <c r="FY729" s="1463" t="str">
        <f t="shared" si="35"/>
        <v/>
      </c>
      <c r="FZ729" s="1465"/>
      <c r="GA729" s="1465"/>
      <c r="GB729" s="1465"/>
      <c r="GC729" s="1464"/>
    </row>
    <row r="730" spans="1:185" ht="12.95" customHeight="1">
      <c r="B730" s="1337" t="s">
        <v>164</v>
      </c>
      <c r="C730" s="1338"/>
      <c r="D730" s="1338"/>
      <c r="E730" s="1338"/>
      <c r="F730" s="1339"/>
      <c r="G730" s="1349">
        <v>2</v>
      </c>
      <c r="H730" s="1350"/>
      <c r="I730" s="1350"/>
      <c r="J730" s="1351"/>
      <c r="K730" s="1343">
        <v>1010</v>
      </c>
      <c r="L730" s="1344"/>
      <c r="M730" s="1344"/>
      <c r="N730" s="1345"/>
      <c r="O730" s="1340">
        <v>1829</v>
      </c>
      <c r="P730" s="1341"/>
      <c r="Q730" s="1341"/>
      <c r="R730" s="1341"/>
      <c r="S730" s="1342"/>
      <c r="T730" s="1340">
        <v>0</v>
      </c>
      <c r="U730" s="1341"/>
      <c r="V730" s="1341"/>
      <c r="W730" s="1342"/>
      <c r="X730" s="1352">
        <f t="shared" si="8"/>
        <v>1829</v>
      </c>
      <c r="Y730" s="1353"/>
      <c r="Z730" s="1353"/>
      <c r="AA730" s="1353"/>
      <c r="AB730" s="1354"/>
      <c r="AC730" s="1359">
        <v>0.5</v>
      </c>
      <c r="AD730" s="1360"/>
      <c r="AE730" s="1360"/>
      <c r="AF730" s="1360"/>
      <c r="AG730" s="1361"/>
      <c r="AH730" s="1355">
        <f t="shared" si="36"/>
        <v>0.46993833504624871</v>
      </c>
      <c r="AI730" s="1356"/>
      <c r="AJ730" s="1357"/>
      <c r="AK730" s="1337" t="s">
        <v>591</v>
      </c>
      <c r="AL730" s="1338"/>
      <c r="AM730" s="1338"/>
      <c r="AN730" s="1338"/>
      <c r="AO730" s="1339"/>
      <c r="AP730" s="3"/>
      <c r="AQ730" s="3"/>
      <c r="AR730" s="3"/>
      <c r="AS730" s="3"/>
      <c r="AY730" s="1085"/>
      <c r="AZ730" s="118">
        <f t="shared" si="9"/>
        <v>3892</v>
      </c>
      <c r="BA730" s="3"/>
      <c r="BB730" s="3"/>
      <c r="BC730" s="3"/>
      <c r="BD730" s="3"/>
      <c r="BE730" s="204"/>
      <c r="BF730" s="294">
        <f t="shared" si="10"/>
        <v>2</v>
      </c>
      <c r="BG730" s="297">
        <f t="shared" si="11"/>
        <v>1.9417475728155338E-2</v>
      </c>
      <c r="BH730" s="298">
        <f t="shared" si="12"/>
        <v>9.7087378640776691E-3</v>
      </c>
      <c r="BI730" s="3"/>
      <c r="BJ730" s="3"/>
      <c r="BK730" s="3"/>
      <c r="BL730" s="3"/>
      <c r="BM730" s="3"/>
      <c r="BN730" s="3"/>
      <c r="BS730" s="294">
        <f t="shared" si="13"/>
        <v>2</v>
      </c>
      <c r="BT730" s="297">
        <f t="shared" si="14"/>
        <v>1.9417475728155338E-2</v>
      </c>
      <c r="BU730" s="298">
        <f t="shared" si="15"/>
        <v>9.1250162144902655E-3</v>
      </c>
      <c r="BV730" s="3"/>
      <c r="BW730" s="3"/>
      <c r="BX730" s="3"/>
      <c r="BY730" s="3"/>
      <c r="BZ730" s="3"/>
      <c r="CA730" s="3"/>
      <c r="CB730" s="3"/>
      <c r="CC730" s="3"/>
      <c r="CE730" s="3"/>
      <c r="CF730" s="3"/>
      <c r="CG730" s="1463">
        <f t="shared" si="37"/>
        <v>1</v>
      </c>
      <c r="CH730" s="1464"/>
      <c r="CI730" s="1469">
        <f t="shared" si="38"/>
        <v>2</v>
      </c>
      <c r="CJ730" s="1470"/>
      <c r="CK730" s="1463">
        <f t="shared" si="16"/>
        <v>0</v>
      </c>
      <c r="CL730" s="1464"/>
      <c r="CM730" s="1469">
        <f t="shared" si="17"/>
        <v>0</v>
      </c>
      <c r="CN730" s="1470"/>
      <c r="CO730" s="3"/>
      <c r="CP730" s="1458">
        <f t="shared" si="18"/>
        <v>0</v>
      </c>
      <c r="CQ730" s="1459"/>
      <c r="CR730" s="1459"/>
      <c r="CS730" s="1459"/>
      <c r="CT730" s="1460"/>
      <c r="CU730" s="1443">
        <f t="shared" si="19"/>
        <v>0</v>
      </c>
      <c r="CV730" s="1443"/>
      <c r="CW730" s="1443"/>
      <c r="CX730" s="1443"/>
      <c r="CY730" s="1443"/>
      <c r="CZ730" s="1443">
        <f t="shared" si="20"/>
        <v>0</v>
      </c>
      <c r="DA730" s="1443"/>
      <c r="DB730" s="1443"/>
      <c r="DC730" s="1443"/>
      <c r="DD730" s="1443"/>
      <c r="DE730" s="1443">
        <f t="shared" si="21"/>
        <v>2</v>
      </c>
      <c r="DF730" s="1443"/>
      <c r="DG730" s="1443"/>
      <c r="DH730" s="1443"/>
      <c r="DI730" s="1443"/>
      <c r="DJ730" s="1443">
        <f t="shared" si="22"/>
        <v>0</v>
      </c>
      <c r="DK730" s="1443"/>
      <c r="DL730" s="1443"/>
      <c r="DM730" s="1443"/>
      <c r="DN730" s="1443"/>
      <c r="DO730" s="1443">
        <f t="shared" si="23"/>
        <v>0</v>
      </c>
      <c r="DP730" s="1443"/>
      <c r="DQ730" s="1443"/>
      <c r="DR730" s="1443"/>
      <c r="DS730" s="1443"/>
      <c r="DT730" s="6"/>
      <c r="DU730" s="1444">
        <f t="shared" si="24"/>
        <v>0</v>
      </c>
      <c r="DV730" s="1444"/>
      <c r="DW730" s="1444"/>
      <c r="DX730" s="1444"/>
      <c r="DY730" s="1444"/>
      <c r="DZ730" s="1444">
        <f t="shared" si="25"/>
        <v>0</v>
      </c>
      <c r="EA730" s="1444"/>
      <c r="EB730" s="1444"/>
      <c r="EC730" s="1444"/>
      <c r="ED730" s="1444"/>
      <c r="EE730" s="1444">
        <f t="shared" si="26"/>
        <v>0</v>
      </c>
      <c r="EF730" s="1444"/>
      <c r="EG730" s="1444"/>
      <c r="EH730" s="1444"/>
      <c r="EI730" s="1444"/>
      <c r="EJ730" s="1444">
        <f t="shared" si="27"/>
        <v>0</v>
      </c>
      <c r="EK730" s="1444"/>
      <c r="EL730" s="1444"/>
      <c r="EM730" s="1444"/>
      <c r="EN730" s="1444"/>
      <c r="EO730" s="1444">
        <f t="shared" si="28"/>
        <v>0</v>
      </c>
      <c r="EP730" s="1444"/>
      <c r="EQ730" s="1444"/>
      <c r="ER730" s="1444"/>
      <c r="ES730" s="1444"/>
      <c r="ET730" s="1444">
        <f t="shared" si="29"/>
        <v>0</v>
      </c>
      <c r="EU730" s="1444"/>
      <c r="EV730" s="1444"/>
      <c r="EW730" s="1444"/>
      <c r="EX730" s="1444"/>
      <c r="EZ730" s="1463" t="str">
        <f t="shared" si="30"/>
        <v/>
      </c>
      <c r="FA730" s="1465"/>
      <c r="FB730" s="1465"/>
      <c r="FC730" s="1465"/>
      <c r="FD730" s="1464"/>
      <c r="FE730" s="1463" t="str">
        <f t="shared" si="31"/>
        <v/>
      </c>
      <c r="FF730" s="1465"/>
      <c r="FG730" s="1465"/>
      <c r="FH730" s="1465"/>
      <c r="FI730" s="1464"/>
      <c r="FJ730" s="1463" t="str">
        <f t="shared" si="32"/>
        <v/>
      </c>
      <c r="FK730" s="1465"/>
      <c r="FL730" s="1465"/>
      <c r="FM730" s="1465"/>
      <c r="FN730" s="1464"/>
      <c r="FO730" s="1463">
        <f t="shared" si="33"/>
        <v>1829</v>
      </c>
      <c r="FP730" s="1465"/>
      <c r="FQ730" s="1465"/>
      <c r="FR730" s="1465"/>
      <c r="FS730" s="1464"/>
      <c r="FT730" s="1463" t="str">
        <f t="shared" si="34"/>
        <v/>
      </c>
      <c r="FU730" s="1465"/>
      <c r="FV730" s="1465"/>
      <c r="FW730" s="1465"/>
      <c r="FX730" s="1464"/>
      <c r="FY730" s="1463" t="str">
        <f t="shared" si="35"/>
        <v/>
      </c>
      <c r="FZ730" s="1465"/>
      <c r="GA730" s="1465"/>
      <c r="GB730" s="1465"/>
      <c r="GC730" s="1464"/>
    </row>
    <row r="731" spans="1:185" ht="12.95" customHeight="1">
      <c r="B731" s="1337" t="s">
        <v>164</v>
      </c>
      <c r="C731" s="1338"/>
      <c r="D731" s="1338"/>
      <c r="E731" s="1338"/>
      <c r="F731" s="1339"/>
      <c r="G731" s="1349">
        <v>2</v>
      </c>
      <c r="H731" s="1350"/>
      <c r="I731" s="1350"/>
      <c r="J731" s="1351"/>
      <c r="K731" s="1343">
        <v>1010</v>
      </c>
      <c r="L731" s="1344"/>
      <c r="M731" s="1344"/>
      <c r="N731" s="1345"/>
      <c r="O731" s="1340">
        <v>2195</v>
      </c>
      <c r="P731" s="1341"/>
      <c r="Q731" s="1341"/>
      <c r="R731" s="1341"/>
      <c r="S731" s="1342"/>
      <c r="T731" s="1340">
        <v>0</v>
      </c>
      <c r="U731" s="1341"/>
      <c r="V731" s="1341"/>
      <c r="W731" s="1342"/>
      <c r="X731" s="1352">
        <f t="shared" si="8"/>
        <v>2195</v>
      </c>
      <c r="Y731" s="1353"/>
      <c r="Z731" s="1353"/>
      <c r="AA731" s="1353"/>
      <c r="AB731" s="1354"/>
      <c r="AC731" s="1359">
        <v>0.6</v>
      </c>
      <c r="AD731" s="1360"/>
      <c r="AE731" s="1360"/>
      <c r="AF731" s="1360"/>
      <c r="AG731" s="1361"/>
      <c r="AH731" s="1355">
        <f t="shared" si="36"/>
        <v>0.56397738951695786</v>
      </c>
      <c r="AI731" s="1356"/>
      <c r="AJ731" s="1357"/>
      <c r="AK731" s="1337" t="s">
        <v>591</v>
      </c>
      <c r="AL731" s="1338"/>
      <c r="AM731" s="1338"/>
      <c r="AN731" s="1338"/>
      <c r="AO731" s="1339"/>
      <c r="AP731" s="3"/>
      <c r="AQ731" s="3"/>
      <c r="AR731" s="3"/>
      <c r="AS731" s="3"/>
      <c r="AY731" s="1085"/>
      <c r="AZ731" s="118">
        <f t="shared" si="9"/>
        <v>3892</v>
      </c>
      <c r="BA731" s="3"/>
      <c r="BB731" s="3"/>
      <c r="BC731" s="3"/>
      <c r="BD731" s="3"/>
      <c r="BE731" s="204"/>
      <c r="BF731" s="294">
        <f t="shared" si="10"/>
        <v>2</v>
      </c>
      <c r="BG731" s="297">
        <f t="shared" si="11"/>
        <v>1.9417475728155338E-2</v>
      </c>
      <c r="BH731" s="298">
        <f t="shared" si="12"/>
        <v>1.1650485436893203E-2</v>
      </c>
      <c r="BI731" s="3"/>
      <c r="BJ731" s="3"/>
      <c r="BK731" s="3"/>
      <c r="BL731" s="3"/>
      <c r="BM731" s="3"/>
      <c r="BN731" s="3"/>
      <c r="BS731" s="294">
        <f t="shared" si="13"/>
        <v>2</v>
      </c>
      <c r="BT731" s="297">
        <f t="shared" si="14"/>
        <v>1.9417475728155338E-2</v>
      </c>
      <c r="BU731" s="298">
        <f t="shared" si="15"/>
        <v>1.0951017272173938E-2</v>
      </c>
      <c r="BV731" s="3"/>
      <c r="BW731" s="3"/>
      <c r="BX731" s="3"/>
      <c r="BY731" s="3"/>
      <c r="BZ731" s="3"/>
      <c r="CA731" s="3"/>
      <c r="CB731" s="3"/>
      <c r="CC731" s="3"/>
      <c r="CE731" s="3"/>
      <c r="CF731" s="3"/>
      <c r="CG731" s="1463">
        <f t="shared" si="37"/>
        <v>0</v>
      </c>
      <c r="CH731" s="1464"/>
      <c r="CI731" s="1469">
        <f t="shared" si="38"/>
        <v>0</v>
      </c>
      <c r="CJ731" s="1470"/>
      <c r="CK731" s="1463">
        <f t="shared" si="16"/>
        <v>0</v>
      </c>
      <c r="CL731" s="1464"/>
      <c r="CM731" s="1469">
        <f t="shared" si="17"/>
        <v>0</v>
      </c>
      <c r="CN731" s="1470"/>
      <c r="CO731" s="3"/>
      <c r="CP731" s="1458">
        <f t="shared" si="18"/>
        <v>0</v>
      </c>
      <c r="CQ731" s="1459"/>
      <c r="CR731" s="1459"/>
      <c r="CS731" s="1459"/>
      <c r="CT731" s="1460"/>
      <c r="CU731" s="1443">
        <f t="shared" si="19"/>
        <v>0</v>
      </c>
      <c r="CV731" s="1443"/>
      <c r="CW731" s="1443"/>
      <c r="CX731" s="1443"/>
      <c r="CY731" s="1443"/>
      <c r="CZ731" s="1443">
        <f t="shared" si="20"/>
        <v>0</v>
      </c>
      <c r="DA731" s="1443"/>
      <c r="DB731" s="1443"/>
      <c r="DC731" s="1443"/>
      <c r="DD731" s="1443"/>
      <c r="DE731" s="1443">
        <f t="shared" si="21"/>
        <v>2</v>
      </c>
      <c r="DF731" s="1443"/>
      <c r="DG731" s="1443"/>
      <c r="DH731" s="1443"/>
      <c r="DI731" s="1443"/>
      <c r="DJ731" s="1443">
        <f t="shared" si="22"/>
        <v>0</v>
      </c>
      <c r="DK731" s="1443"/>
      <c r="DL731" s="1443"/>
      <c r="DM731" s="1443"/>
      <c r="DN731" s="1443"/>
      <c r="DO731" s="1443">
        <f t="shared" si="23"/>
        <v>0</v>
      </c>
      <c r="DP731" s="1443"/>
      <c r="DQ731" s="1443"/>
      <c r="DR731" s="1443"/>
      <c r="DS731" s="1443"/>
      <c r="DT731" s="6"/>
      <c r="DU731" s="1444">
        <f t="shared" si="24"/>
        <v>0</v>
      </c>
      <c r="DV731" s="1444"/>
      <c r="DW731" s="1444"/>
      <c r="DX731" s="1444"/>
      <c r="DY731" s="1444"/>
      <c r="DZ731" s="1444">
        <f t="shared" si="25"/>
        <v>0</v>
      </c>
      <c r="EA731" s="1444"/>
      <c r="EB731" s="1444"/>
      <c r="EC731" s="1444"/>
      <c r="ED731" s="1444"/>
      <c r="EE731" s="1444">
        <f t="shared" si="26"/>
        <v>0</v>
      </c>
      <c r="EF731" s="1444"/>
      <c r="EG731" s="1444"/>
      <c r="EH731" s="1444"/>
      <c r="EI731" s="1444"/>
      <c r="EJ731" s="1444">
        <f t="shared" si="27"/>
        <v>0</v>
      </c>
      <c r="EK731" s="1444"/>
      <c r="EL731" s="1444"/>
      <c r="EM731" s="1444"/>
      <c r="EN731" s="1444"/>
      <c r="EO731" s="1444">
        <f t="shared" si="28"/>
        <v>0</v>
      </c>
      <c r="EP731" s="1444"/>
      <c r="EQ731" s="1444"/>
      <c r="ER731" s="1444"/>
      <c r="ES731" s="1444"/>
      <c r="ET731" s="1444">
        <f t="shared" si="29"/>
        <v>0</v>
      </c>
      <c r="EU731" s="1444"/>
      <c r="EV731" s="1444"/>
      <c r="EW731" s="1444"/>
      <c r="EX731" s="1444"/>
      <c r="EZ731" s="1463" t="str">
        <f t="shared" si="30"/>
        <v/>
      </c>
      <c r="FA731" s="1465"/>
      <c r="FB731" s="1465"/>
      <c r="FC731" s="1465"/>
      <c r="FD731" s="1464"/>
      <c r="FE731" s="1463" t="str">
        <f t="shared" si="31"/>
        <v/>
      </c>
      <c r="FF731" s="1465"/>
      <c r="FG731" s="1465"/>
      <c r="FH731" s="1465"/>
      <c r="FI731" s="1464"/>
      <c r="FJ731" s="1463" t="str">
        <f t="shared" si="32"/>
        <v/>
      </c>
      <c r="FK731" s="1465"/>
      <c r="FL731" s="1465"/>
      <c r="FM731" s="1465"/>
      <c r="FN731" s="1464"/>
      <c r="FO731" s="1463">
        <f t="shared" si="33"/>
        <v>2195</v>
      </c>
      <c r="FP731" s="1465"/>
      <c r="FQ731" s="1465"/>
      <c r="FR731" s="1465"/>
      <c r="FS731" s="1464"/>
      <c r="FT731" s="1463" t="str">
        <f t="shared" si="34"/>
        <v/>
      </c>
      <c r="FU731" s="1465"/>
      <c r="FV731" s="1465"/>
      <c r="FW731" s="1465"/>
      <c r="FX731" s="1464"/>
      <c r="FY731" s="1463" t="str">
        <f t="shared" si="35"/>
        <v/>
      </c>
      <c r="FZ731" s="1465"/>
      <c r="GA731" s="1465"/>
      <c r="GB731" s="1465"/>
      <c r="GC731" s="1464"/>
    </row>
    <row r="732" spans="1:185" ht="12.95" customHeight="1">
      <c r="B732" s="1337" t="s">
        <v>164</v>
      </c>
      <c r="C732" s="1338"/>
      <c r="D732" s="1338"/>
      <c r="E732" s="1338"/>
      <c r="F732" s="1339"/>
      <c r="G732" s="1349">
        <v>16</v>
      </c>
      <c r="H732" s="1350"/>
      <c r="I732" s="1350"/>
      <c r="J732" s="1351"/>
      <c r="K732" s="1343">
        <v>1010</v>
      </c>
      <c r="L732" s="1344"/>
      <c r="M732" s="1344"/>
      <c r="N732" s="1345"/>
      <c r="O732" s="1340">
        <v>2927</v>
      </c>
      <c r="P732" s="1341"/>
      <c r="Q732" s="1341"/>
      <c r="R732" s="1341"/>
      <c r="S732" s="1342"/>
      <c r="T732" s="1340">
        <v>0</v>
      </c>
      <c r="U732" s="1341"/>
      <c r="V732" s="1341"/>
      <c r="W732" s="1342"/>
      <c r="X732" s="1352">
        <f t="shared" si="8"/>
        <v>2927</v>
      </c>
      <c r="Y732" s="1353"/>
      <c r="Z732" s="1353"/>
      <c r="AA732" s="1353"/>
      <c r="AB732" s="1354"/>
      <c r="AC732" s="1359">
        <v>0.8</v>
      </c>
      <c r="AD732" s="1360"/>
      <c r="AE732" s="1360"/>
      <c r="AF732" s="1360"/>
      <c r="AG732" s="1361"/>
      <c r="AH732" s="1355">
        <f t="shared" si="36"/>
        <v>0.75205549845837616</v>
      </c>
      <c r="AI732" s="1356"/>
      <c r="AJ732" s="1357"/>
      <c r="AK732" s="1337" t="s">
        <v>591</v>
      </c>
      <c r="AL732" s="1338"/>
      <c r="AM732" s="1338"/>
      <c r="AN732" s="1338"/>
      <c r="AO732" s="1339"/>
      <c r="AP732" s="3"/>
      <c r="AQ732" s="3"/>
      <c r="AR732" s="3"/>
      <c r="AS732" s="3"/>
      <c r="AY732" s="1085"/>
      <c r="AZ732" s="118">
        <f t="shared" si="9"/>
        <v>3892</v>
      </c>
      <c r="BA732" s="3"/>
      <c r="BB732" s="3"/>
      <c r="BC732" s="3"/>
      <c r="BD732" s="3"/>
      <c r="BE732" s="204"/>
      <c r="BF732" s="294">
        <f t="shared" si="10"/>
        <v>16</v>
      </c>
      <c r="BG732" s="297">
        <f t="shared" si="11"/>
        <v>0.1553398058252427</v>
      </c>
      <c r="BH732" s="298">
        <f t="shared" si="12"/>
        <v>0.12427184466019417</v>
      </c>
      <c r="BI732" s="3"/>
      <c r="BJ732" s="3"/>
      <c r="BK732" s="3"/>
      <c r="BL732" s="3"/>
      <c r="BM732" s="3"/>
      <c r="BN732" s="3"/>
      <c r="BS732" s="294">
        <f t="shared" si="13"/>
        <v>16</v>
      </c>
      <c r="BT732" s="297">
        <f t="shared" si="14"/>
        <v>0.1553398058252427</v>
      </c>
      <c r="BU732" s="298">
        <f t="shared" si="15"/>
        <v>0.11682415510033027</v>
      </c>
      <c r="BV732" s="3"/>
      <c r="BW732" s="3"/>
      <c r="BX732" s="3"/>
      <c r="BY732" s="3"/>
      <c r="BZ732" s="3"/>
      <c r="CA732" s="3"/>
      <c r="CB732" s="3"/>
      <c r="CC732" s="3"/>
      <c r="CE732" s="3"/>
      <c r="CF732" s="3"/>
      <c r="CG732" s="1463">
        <f t="shared" si="37"/>
        <v>0</v>
      </c>
      <c r="CH732" s="1464"/>
      <c r="CI732" s="1469">
        <f t="shared" si="38"/>
        <v>0</v>
      </c>
      <c r="CJ732" s="1470"/>
      <c r="CK732" s="1463">
        <f t="shared" si="16"/>
        <v>0</v>
      </c>
      <c r="CL732" s="1464"/>
      <c r="CM732" s="1469">
        <f t="shared" si="17"/>
        <v>0</v>
      </c>
      <c r="CN732" s="1470"/>
      <c r="CO732" s="3"/>
      <c r="CP732" s="1458">
        <f t="shared" si="18"/>
        <v>0</v>
      </c>
      <c r="CQ732" s="1459"/>
      <c r="CR732" s="1459"/>
      <c r="CS732" s="1459"/>
      <c r="CT732" s="1460"/>
      <c r="CU732" s="1443">
        <f t="shared" si="19"/>
        <v>0</v>
      </c>
      <c r="CV732" s="1443"/>
      <c r="CW732" s="1443"/>
      <c r="CX732" s="1443"/>
      <c r="CY732" s="1443"/>
      <c r="CZ732" s="1443">
        <f t="shared" si="20"/>
        <v>0</v>
      </c>
      <c r="DA732" s="1443"/>
      <c r="DB732" s="1443"/>
      <c r="DC732" s="1443"/>
      <c r="DD732" s="1443"/>
      <c r="DE732" s="1443">
        <f t="shared" si="21"/>
        <v>16</v>
      </c>
      <c r="DF732" s="1443"/>
      <c r="DG732" s="1443"/>
      <c r="DH732" s="1443"/>
      <c r="DI732" s="1443"/>
      <c r="DJ732" s="1443">
        <f t="shared" si="22"/>
        <v>0</v>
      </c>
      <c r="DK732" s="1443"/>
      <c r="DL732" s="1443"/>
      <c r="DM732" s="1443"/>
      <c r="DN732" s="1443"/>
      <c r="DO732" s="1443">
        <f t="shared" si="23"/>
        <v>0</v>
      </c>
      <c r="DP732" s="1443"/>
      <c r="DQ732" s="1443"/>
      <c r="DR732" s="1443"/>
      <c r="DS732" s="1443"/>
      <c r="DT732" s="6"/>
      <c r="DU732" s="1444">
        <f t="shared" si="24"/>
        <v>0</v>
      </c>
      <c r="DV732" s="1444"/>
      <c r="DW732" s="1444"/>
      <c r="DX732" s="1444"/>
      <c r="DY732" s="1444"/>
      <c r="DZ732" s="1444">
        <f t="shared" si="25"/>
        <v>0</v>
      </c>
      <c r="EA732" s="1444"/>
      <c r="EB732" s="1444"/>
      <c r="EC732" s="1444"/>
      <c r="ED732" s="1444"/>
      <c r="EE732" s="1444">
        <f t="shared" si="26"/>
        <v>0</v>
      </c>
      <c r="EF732" s="1444"/>
      <c r="EG732" s="1444"/>
      <c r="EH732" s="1444"/>
      <c r="EI732" s="1444"/>
      <c r="EJ732" s="1444">
        <f t="shared" si="27"/>
        <v>0</v>
      </c>
      <c r="EK732" s="1444"/>
      <c r="EL732" s="1444"/>
      <c r="EM732" s="1444"/>
      <c r="EN732" s="1444"/>
      <c r="EO732" s="1444">
        <f t="shared" si="28"/>
        <v>0</v>
      </c>
      <c r="EP732" s="1444"/>
      <c r="EQ732" s="1444"/>
      <c r="ER732" s="1444"/>
      <c r="ES732" s="1444"/>
      <c r="ET732" s="1444">
        <f t="shared" si="29"/>
        <v>0</v>
      </c>
      <c r="EU732" s="1444"/>
      <c r="EV732" s="1444"/>
      <c r="EW732" s="1444"/>
      <c r="EX732" s="1444"/>
      <c r="EZ732" s="1463" t="str">
        <f t="shared" si="30"/>
        <v/>
      </c>
      <c r="FA732" s="1465"/>
      <c r="FB732" s="1465"/>
      <c r="FC732" s="1465"/>
      <c r="FD732" s="1464"/>
      <c r="FE732" s="1463" t="str">
        <f t="shared" si="31"/>
        <v/>
      </c>
      <c r="FF732" s="1465"/>
      <c r="FG732" s="1465"/>
      <c r="FH732" s="1465"/>
      <c r="FI732" s="1464"/>
      <c r="FJ732" s="1463" t="str">
        <f t="shared" si="32"/>
        <v/>
      </c>
      <c r="FK732" s="1465"/>
      <c r="FL732" s="1465"/>
      <c r="FM732" s="1465"/>
      <c r="FN732" s="1464"/>
      <c r="FO732" s="1463">
        <f t="shared" si="33"/>
        <v>2927</v>
      </c>
      <c r="FP732" s="1465"/>
      <c r="FQ732" s="1465"/>
      <c r="FR732" s="1465"/>
      <c r="FS732" s="1464"/>
      <c r="FT732" s="1463" t="str">
        <f t="shared" si="34"/>
        <v/>
      </c>
      <c r="FU732" s="1465"/>
      <c r="FV732" s="1465"/>
      <c r="FW732" s="1465"/>
      <c r="FX732" s="1464"/>
      <c r="FY732" s="1463" t="str">
        <f t="shared" si="35"/>
        <v/>
      </c>
      <c r="FZ732" s="1465"/>
      <c r="GA732" s="1465"/>
      <c r="GB732" s="1465"/>
      <c r="GC732" s="1464"/>
    </row>
    <row r="733" spans="1:185" ht="12.95" customHeight="1">
      <c r="B733" s="1337" t="s">
        <v>165</v>
      </c>
      <c r="C733" s="1338"/>
      <c r="D733" s="1338"/>
      <c r="E733" s="1338"/>
      <c r="F733" s="1339"/>
      <c r="G733" s="1349">
        <v>2</v>
      </c>
      <c r="H733" s="1350"/>
      <c r="I733" s="1350"/>
      <c r="J733" s="1351"/>
      <c r="K733" s="1343">
        <v>1238</v>
      </c>
      <c r="L733" s="1344"/>
      <c r="M733" s="1344"/>
      <c r="N733" s="1345"/>
      <c r="O733" s="1340">
        <v>1224</v>
      </c>
      <c r="P733" s="1341"/>
      <c r="Q733" s="1341"/>
      <c r="R733" s="1341"/>
      <c r="S733" s="1342"/>
      <c r="T733" s="1340">
        <v>0</v>
      </c>
      <c r="U733" s="1341"/>
      <c r="V733" s="1341"/>
      <c r="W733" s="1342"/>
      <c r="X733" s="1352">
        <f t="shared" si="8"/>
        <v>1224</v>
      </c>
      <c r="Y733" s="1353"/>
      <c r="Z733" s="1353"/>
      <c r="AA733" s="1353"/>
      <c r="AB733" s="1354"/>
      <c r="AC733" s="1359">
        <v>0.3</v>
      </c>
      <c r="AD733" s="1360"/>
      <c r="AE733" s="1360"/>
      <c r="AF733" s="1360"/>
      <c r="AG733" s="1361"/>
      <c r="AH733" s="1355">
        <f t="shared" si="36"/>
        <v>0.28189774297558728</v>
      </c>
      <c r="AI733" s="1356"/>
      <c r="AJ733" s="1357"/>
      <c r="AK733" s="1337" t="s">
        <v>591</v>
      </c>
      <c r="AL733" s="1338"/>
      <c r="AM733" s="1338"/>
      <c r="AN733" s="1338"/>
      <c r="AO733" s="1339"/>
      <c r="AP733" s="3"/>
      <c r="AQ733" s="3"/>
      <c r="AR733" s="3"/>
      <c r="AS733" s="3"/>
      <c r="AY733" s="1085"/>
      <c r="AZ733" s="118">
        <f t="shared" si="9"/>
        <v>4342</v>
      </c>
      <c r="BA733" s="3"/>
      <c r="BB733" s="3"/>
      <c r="BC733" s="3"/>
      <c r="BD733" s="3"/>
      <c r="BE733" s="204"/>
      <c r="BF733" s="294">
        <f t="shared" si="10"/>
        <v>2</v>
      </c>
      <c r="BG733" s="297">
        <f t="shared" si="11"/>
        <v>1.9417475728155338E-2</v>
      </c>
      <c r="BH733" s="298">
        <f t="shared" si="12"/>
        <v>5.8252427184466013E-3</v>
      </c>
      <c r="BI733" s="3"/>
      <c r="BJ733" s="3"/>
      <c r="BK733" s="3"/>
      <c r="BL733" s="3"/>
      <c r="BM733" s="3"/>
      <c r="BN733" s="3"/>
      <c r="BS733" s="294">
        <f t="shared" si="13"/>
        <v>2</v>
      </c>
      <c r="BT733" s="297">
        <f t="shared" si="14"/>
        <v>1.9417475728155338E-2</v>
      </c>
      <c r="BU733" s="298">
        <f t="shared" si="15"/>
        <v>5.4737425820502381E-3</v>
      </c>
      <c r="BV733" s="3"/>
      <c r="BW733" s="3"/>
      <c r="BX733" s="3"/>
      <c r="BY733" s="3"/>
      <c r="BZ733" s="3"/>
      <c r="CA733" s="3"/>
      <c r="CB733" s="3"/>
      <c r="CC733" s="3"/>
      <c r="CE733" s="3"/>
      <c r="CF733" s="3"/>
      <c r="CG733" s="1463">
        <f t="shared" si="37"/>
        <v>0</v>
      </c>
      <c r="CH733" s="1464"/>
      <c r="CI733" s="1469">
        <f t="shared" si="38"/>
        <v>0</v>
      </c>
      <c r="CJ733" s="1470"/>
      <c r="CK733" s="1463">
        <f t="shared" si="16"/>
        <v>1</v>
      </c>
      <c r="CL733" s="1464"/>
      <c r="CM733" s="1469">
        <f t="shared" si="17"/>
        <v>2</v>
      </c>
      <c r="CN733" s="1470"/>
      <c r="CO733" s="3"/>
      <c r="CP733" s="1458">
        <f t="shared" si="18"/>
        <v>0</v>
      </c>
      <c r="CQ733" s="1459"/>
      <c r="CR733" s="1459"/>
      <c r="CS733" s="1459"/>
      <c r="CT733" s="1460"/>
      <c r="CU733" s="1443">
        <f t="shared" si="19"/>
        <v>0</v>
      </c>
      <c r="CV733" s="1443"/>
      <c r="CW733" s="1443"/>
      <c r="CX733" s="1443"/>
      <c r="CY733" s="1443"/>
      <c r="CZ733" s="1443">
        <f t="shared" si="20"/>
        <v>0</v>
      </c>
      <c r="DA733" s="1443"/>
      <c r="DB733" s="1443"/>
      <c r="DC733" s="1443"/>
      <c r="DD733" s="1443"/>
      <c r="DE733" s="1443">
        <f t="shared" si="21"/>
        <v>0</v>
      </c>
      <c r="DF733" s="1443"/>
      <c r="DG733" s="1443"/>
      <c r="DH733" s="1443"/>
      <c r="DI733" s="1443"/>
      <c r="DJ733" s="1443">
        <f t="shared" si="22"/>
        <v>2</v>
      </c>
      <c r="DK733" s="1443"/>
      <c r="DL733" s="1443"/>
      <c r="DM733" s="1443"/>
      <c r="DN733" s="1443"/>
      <c r="DO733" s="1443">
        <f t="shared" si="23"/>
        <v>0</v>
      </c>
      <c r="DP733" s="1443"/>
      <c r="DQ733" s="1443"/>
      <c r="DR733" s="1443"/>
      <c r="DS733" s="1443"/>
      <c r="DT733" s="6"/>
      <c r="DU733" s="1444">
        <f t="shared" si="24"/>
        <v>0</v>
      </c>
      <c r="DV733" s="1444"/>
      <c r="DW733" s="1444"/>
      <c r="DX733" s="1444"/>
      <c r="DY733" s="1444"/>
      <c r="DZ733" s="1444">
        <f t="shared" si="25"/>
        <v>0</v>
      </c>
      <c r="EA733" s="1444"/>
      <c r="EB733" s="1444"/>
      <c r="EC733" s="1444"/>
      <c r="ED733" s="1444"/>
      <c r="EE733" s="1444">
        <f t="shared" si="26"/>
        <v>0</v>
      </c>
      <c r="EF733" s="1444"/>
      <c r="EG733" s="1444"/>
      <c r="EH733" s="1444"/>
      <c r="EI733" s="1444"/>
      <c r="EJ733" s="1444">
        <f t="shared" si="27"/>
        <v>0</v>
      </c>
      <c r="EK733" s="1444"/>
      <c r="EL733" s="1444"/>
      <c r="EM733" s="1444"/>
      <c r="EN733" s="1444"/>
      <c r="EO733" s="1444">
        <f t="shared" si="28"/>
        <v>2</v>
      </c>
      <c r="EP733" s="1444"/>
      <c r="EQ733" s="1444"/>
      <c r="ER733" s="1444"/>
      <c r="ES733" s="1444"/>
      <c r="ET733" s="1444">
        <f t="shared" si="29"/>
        <v>0</v>
      </c>
      <c r="EU733" s="1444"/>
      <c r="EV733" s="1444"/>
      <c r="EW733" s="1444"/>
      <c r="EX733" s="1444"/>
      <c r="EZ733" s="1463" t="str">
        <f t="shared" si="30"/>
        <v/>
      </c>
      <c r="FA733" s="1465"/>
      <c r="FB733" s="1465"/>
      <c r="FC733" s="1465"/>
      <c r="FD733" s="1464"/>
      <c r="FE733" s="1463" t="str">
        <f t="shared" si="31"/>
        <v/>
      </c>
      <c r="FF733" s="1465"/>
      <c r="FG733" s="1465"/>
      <c r="FH733" s="1465"/>
      <c r="FI733" s="1464"/>
      <c r="FJ733" s="1463" t="str">
        <f t="shared" si="32"/>
        <v/>
      </c>
      <c r="FK733" s="1465"/>
      <c r="FL733" s="1465"/>
      <c r="FM733" s="1465"/>
      <c r="FN733" s="1464"/>
      <c r="FO733" s="1463" t="str">
        <f t="shared" si="33"/>
        <v/>
      </c>
      <c r="FP733" s="1465"/>
      <c r="FQ733" s="1465"/>
      <c r="FR733" s="1465"/>
      <c r="FS733" s="1464"/>
      <c r="FT733" s="1463">
        <f t="shared" si="34"/>
        <v>1224</v>
      </c>
      <c r="FU733" s="1465"/>
      <c r="FV733" s="1465"/>
      <c r="FW733" s="1465"/>
      <c r="FX733" s="1464"/>
      <c r="FY733" s="1463" t="str">
        <f t="shared" si="35"/>
        <v/>
      </c>
      <c r="FZ733" s="1465"/>
      <c r="GA733" s="1465"/>
      <c r="GB733" s="1465"/>
      <c r="GC733" s="1464"/>
    </row>
    <row r="734" spans="1:185" ht="12.95" customHeight="1">
      <c r="B734" s="1337" t="s">
        <v>165</v>
      </c>
      <c r="C734" s="1338"/>
      <c r="D734" s="1338"/>
      <c r="E734" s="1338"/>
      <c r="F734" s="1339"/>
      <c r="G734" s="1349">
        <v>1</v>
      </c>
      <c r="H734" s="1350"/>
      <c r="I734" s="1350"/>
      <c r="J734" s="1351"/>
      <c r="K734" s="1343">
        <v>1238</v>
      </c>
      <c r="L734" s="1344"/>
      <c r="M734" s="1344"/>
      <c r="N734" s="1345"/>
      <c r="O734" s="1340">
        <v>1633</v>
      </c>
      <c r="P734" s="1341"/>
      <c r="Q734" s="1341"/>
      <c r="R734" s="1341"/>
      <c r="S734" s="1342"/>
      <c r="T734" s="1340">
        <v>0</v>
      </c>
      <c r="U734" s="1341"/>
      <c r="V734" s="1341"/>
      <c r="W734" s="1342"/>
      <c r="X734" s="1352">
        <f t="shared" si="8"/>
        <v>1633</v>
      </c>
      <c r="Y734" s="1353"/>
      <c r="Z734" s="1353"/>
      <c r="AA734" s="1353"/>
      <c r="AB734" s="1354"/>
      <c r="AC734" s="1359">
        <v>0.4</v>
      </c>
      <c r="AD734" s="1360"/>
      <c r="AE734" s="1360"/>
      <c r="AF734" s="1360"/>
      <c r="AG734" s="1361"/>
      <c r="AH734" s="1355">
        <f t="shared" si="36"/>
        <v>0.3760939659143252</v>
      </c>
      <c r="AI734" s="1356"/>
      <c r="AJ734" s="1357"/>
      <c r="AK734" s="1337" t="s">
        <v>591</v>
      </c>
      <c r="AL734" s="1338"/>
      <c r="AM734" s="1338"/>
      <c r="AN734" s="1338"/>
      <c r="AO734" s="1339"/>
      <c r="AP734" s="3"/>
      <c r="AQ734" s="3"/>
      <c r="AR734" s="3"/>
      <c r="AS734" s="3"/>
      <c r="AY734" s="1085"/>
      <c r="AZ734" s="118">
        <f t="shared" si="9"/>
        <v>4342</v>
      </c>
      <c r="BA734" s="3"/>
      <c r="BB734" s="3"/>
      <c r="BC734" s="3"/>
      <c r="BD734" s="3"/>
      <c r="BE734" s="204"/>
      <c r="BF734" s="294">
        <f t="shared" si="10"/>
        <v>1</v>
      </c>
      <c r="BG734" s="297">
        <f t="shared" si="11"/>
        <v>9.7087378640776691E-3</v>
      </c>
      <c r="BH734" s="298">
        <f t="shared" si="12"/>
        <v>3.8834951456310678E-3</v>
      </c>
      <c r="BI734" s="3"/>
      <c r="BJ734" s="3"/>
      <c r="BK734" s="3"/>
      <c r="BL734" s="3"/>
      <c r="BM734" s="3"/>
      <c r="BN734" s="3"/>
      <c r="BS734" s="294">
        <f t="shared" si="13"/>
        <v>1</v>
      </c>
      <c r="BT734" s="297">
        <f t="shared" si="14"/>
        <v>9.7087378640776691E-3</v>
      </c>
      <c r="BU734" s="298">
        <f t="shared" si="15"/>
        <v>3.6513977273235454E-3</v>
      </c>
      <c r="BV734" s="3"/>
      <c r="BW734" s="3"/>
      <c r="BX734" s="3"/>
      <c r="BY734" s="3"/>
      <c r="BZ734" s="3"/>
      <c r="CA734" s="3"/>
      <c r="CB734" s="3"/>
      <c r="CC734" s="3"/>
      <c r="CE734" s="3"/>
      <c r="CF734" s="3"/>
      <c r="CG734" s="1463">
        <f t="shared" si="37"/>
        <v>1</v>
      </c>
      <c r="CH734" s="1464"/>
      <c r="CI734" s="1469">
        <f t="shared" si="38"/>
        <v>1</v>
      </c>
      <c r="CJ734" s="1470"/>
      <c r="CK734" s="1463">
        <f t="shared" si="16"/>
        <v>0</v>
      </c>
      <c r="CL734" s="1464"/>
      <c r="CM734" s="1469">
        <f t="shared" si="17"/>
        <v>0</v>
      </c>
      <c r="CN734" s="1470"/>
      <c r="CO734" s="3"/>
      <c r="CP734" s="1458">
        <f t="shared" si="18"/>
        <v>0</v>
      </c>
      <c r="CQ734" s="1459"/>
      <c r="CR734" s="1459"/>
      <c r="CS734" s="1459"/>
      <c r="CT734" s="1460"/>
      <c r="CU734" s="1443">
        <f t="shared" si="19"/>
        <v>0</v>
      </c>
      <c r="CV734" s="1443"/>
      <c r="CW734" s="1443"/>
      <c r="CX734" s="1443"/>
      <c r="CY734" s="1443"/>
      <c r="CZ734" s="1443">
        <f t="shared" si="20"/>
        <v>0</v>
      </c>
      <c r="DA734" s="1443"/>
      <c r="DB734" s="1443"/>
      <c r="DC734" s="1443"/>
      <c r="DD734" s="1443"/>
      <c r="DE734" s="1443">
        <f t="shared" si="21"/>
        <v>0</v>
      </c>
      <c r="DF734" s="1443"/>
      <c r="DG734" s="1443"/>
      <c r="DH734" s="1443"/>
      <c r="DI734" s="1443"/>
      <c r="DJ734" s="1443">
        <f t="shared" si="22"/>
        <v>1</v>
      </c>
      <c r="DK734" s="1443"/>
      <c r="DL734" s="1443"/>
      <c r="DM734" s="1443"/>
      <c r="DN734" s="1443"/>
      <c r="DO734" s="1443">
        <f t="shared" si="23"/>
        <v>0</v>
      </c>
      <c r="DP734" s="1443"/>
      <c r="DQ734" s="1443"/>
      <c r="DR734" s="1443"/>
      <c r="DS734" s="1443"/>
      <c r="DT734" s="6"/>
      <c r="DU734" s="1444">
        <f t="shared" si="24"/>
        <v>0</v>
      </c>
      <c r="DV734" s="1444"/>
      <c r="DW734" s="1444"/>
      <c r="DX734" s="1444"/>
      <c r="DY734" s="1444"/>
      <c r="DZ734" s="1444">
        <f t="shared" si="25"/>
        <v>0</v>
      </c>
      <c r="EA734" s="1444"/>
      <c r="EB734" s="1444"/>
      <c r="EC734" s="1444"/>
      <c r="ED734" s="1444"/>
      <c r="EE734" s="1444">
        <f t="shared" si="26"/>
        <v>0</v>
      </c>
      <c r="EF734" s="1444"/>
      <c r="EG734" s="1444"/>
      <c r="EH734" s="1444"/>
      <c r="EI734" s="1444"/>
      <c r="EJ734" s="1444">
        <f t="shared" si="27"/>
        <v>0</v>
      </c>
      <c r="EK734" s="1444"/>
      <c r="EL734" s="1444"/>
      <c r="EM734" s="1444"/>
      <c r="EN734" s="1444"/>
      <c r="EO734" s="1444">
        <f t="shared" si="28"/>
        <v>0</v>
      </c>
      <c r="EP734" s="1444"/>
      <c r="EQ734" s="1444"/>
      <c r="ER734" s="1444"/>
      <c r="ES734" s="1444"/>
      <c r="ET734" s="1444">
        <f t="shared" si="29"/>
        <v>0</v>
      </c>
      <c r="EU734" s="1444"/>
      <c r="EV734" s="1444"/>
      <c r="EW734" s="1444"/>
      <c r="EX734" s="1444"/>
      <c r="EZ734" s="1463" t="str">
        <f t="shared" si="30"/>
        <v/>
      </c>
      <c r="FA734" s="1465"/>
      <c r="FB734" s="1465"/>
      <c r="FC734" s="1465"/>
      <c r="FD734" s="1464"/>
      <c r="FE734" s="1463" t="str">
        <f t="shared" si="31"/>
        <v/>
      </c>
      <c r="FF734" s="1465"/>
      <c r="FG734" s="1465"/>
      <c r="FH734" s="1465"/>
      <c r="FI734" s="1464"/>
      <c r="FJ734" s="1463" t="str">
        <f t="shared" si="32"/>
        <v/>
      </c>
      <c r="FK734" s="1465"/>
      <c r="FL734" s="1465"/>
      <c r="FM734" s="1465"/>
      <c r="FN734" s="1464"/>
      <c r="FO734" s="1463" t="str">
        <f t="shared" si="33"/>
        <v/>
      </c>
      <c r="FP734" s="1465"/>
      <c r="FQ734" s="1465"/>
      <c r="FR734" s="1465"/>
      <c r="FS734" s="1464"/>
      <c r="FT734" s="1463">
        <f t="shared" si="34"/>
        <v>1633</v>
      </c>
      <c r="FU734" s="1465"/>
      <c r="FV734" s="1465"/>
      <c r="FW734" s="1465"/>
      <c r="FX734" s="1464"/>
      <c r="FY734" s="1463" t="str">
        <f t="shared" si="35"/>
        <v/>
      </c>
      <c r="FZ734" s="1465"/>
      <c r="GA734" s="1465"/>
      <c r="GB734" s="1465"/>
      <c r="GC734" s="1464"/>
    </row>
    <row r="735" spans="1:185" ht="12.95" customHeight="1">
      <c r="B735" s="1337" t="s">
        <v>165</v>
      </c>
      <c r="C735" s="1338"/>
      <c r="D735" s="1338"/>
      <c r="E735" s="1338"/>
      <c r="F735" s="1339"/>
      <c r="G735" s="1349">
        <v>1</v>
      </c>
      <c r="H735" s="1350"/>
      <c r="I735" s="1350"/>
      <c r="J735" s="1351"/>
      <c r="K735" s="1343">
        <v>1238</v>
      </c>
      <c r="L735" s="1344"/>
      <c r="M735" s="1344"/>
      <c r="N735" s="1345"/>
      <c r="O735" s="1340">
        <v>2041</v>
      </c>
      <c r="P735" s="1341"/>
      <c r="Q735" s="1341"/>
      <c r="R735" s="1341"/>
      <c r="S735" s="1342"/>
      <c r="T735" s="1340">
        <v>0</v>
      </c>
      <c r="U735" s="1341"/>
      <c r="V735" s="1341"/>
      <c r="W735" s="1342"/>
      <c r="X735" s="1352">
        <f t="shared" si="8"/>
        <v>2041</v>
      </c>
      <c r="Y735" s="1353"/>
      <c r="Z735" s="1353"/>
      <c r="AA735" s="1353"/>
      <c r="AB735" s="1354"/>
      <c r="AC735" s="1359">
        <v>0.5</v>
      </c>
      <c r="AD735" s="1360"/>
      <c r="AE735" s="1360"/>
      <c r="AF735" s="1360"/>
      <c r="AG735" s="1361"/>
      <c r="AH735" s="1355">
        <f t="shared" si="36"/>
        <v>0.47005988023952094</v>
      </c>
      <c r="AI735" s="1356"/>
      <c r="AJ735" s="1357"/>
      <c r="AK735" s="1337" t="s">
        <v>591</v>
      </c>
      <c r="AL735" s="1338"/>
      <c r="AM735" s="1338"/>
      <c r="AN735" s="1338"/>
      <c r="AO735" s="1339"/>
      <c r="AP735" s="3"/>
      <c r="AQ735" s="3"/>
      <c r="AR735" s="3"/>
      <c r="AS735" s="3"/>
      <c r="AY735" s="1085"/>
      <c r="AZ735" s="118">
        <f t="shared" si="9"/>
        <v>4342</v>
      </c>
      <c r="BA735" s="3"/>
      <c r="BB735" s="3"/>
      <c r="BC735" s="3"/>
      <c r="BD735" s="3"/>
      <c r="BE735" s="204"/>
      <c r="BF735" s="294">
        <f t="shared" si="10"/>
        <v>1</v>
      </c>
      <c r="BG735" s="297">
        <f t="shared" si="11"/>
        <v>9.7087378640776691E-3</v>
      </c>
      <c r="BH735" s="298">
        <f t="shared" si="12"/>
        <v>4.8543689320388345E-3</v>
      </c>
      <c r="BI735" s="3"/>
      <c r="BJ735" s="3"/>
      <c r="BK735" s="3"/>
      <c r="BL735" s="3"/>
      <c r="BM735" s="3"/>
      <c r="BN735" s="3"/>
      <c r="BS735" s="294">
        <f t="shared" si="13"/>
        <v>1</v>
      </c>
      <c r="BT735" s="297">
        <f t="shared" si="14"/>
        <v>9.7087378640776691E-3</v>
      </c>
      <c r="BU735" s="298">
        <f t="shared" si="15"/>
        <v>4.5636881576652513E-3</v>
      </c>
      <c r="BV735" s="3"/>
      <c r="BW735" s="3"/>
      <c r="BX735" s="3"/>
      <c r="BY735" s="3"/>
      <c r="BZ735" s="3"/>
      <c r="CA735" s="3"/>
      <c r="CB735" s="3"/>
      <c r="CC735" s="3"/>
      <c r="CE735" s="3"/>
      <c r="CF735" s="3"/>
      <c r="CG735" s="1463">
        <f t="shared" si="37"/>
        <v>1</v>
      </c>
      <c r="CH735" s="1464"/>
      <c r="CI735" s="1469">
        <f t="shared" si="38"/>
        <v>1</v>
      </c>
      <c r="CJ735" s="1470"/>
      <c r="CK735" s="1463">
        <f t="shared" si="16"/>
        <v>0</v>
      </c>
      <c r="CL735" s="1464"/>
      <c r="CM735" s="1469">
        <f t="shared" si="17"/>
        <v>0</v>
      </c>
      <c r="CN735" s="1470"/>
      <c r="CO735" s="3"/>
      <c r="CP735" s="1458">
        <f t="shared" si="18"/>
        <v>0</v>
      </c>
      <c r="CQ735" s="1459"/>
      <c r="CR735" s="1459"/>
      <c r="CS735" s="1459"/>
      <c r="CT735" s="1460"/>
      <c r="CU735" s="1443">
        <f t="shared" si="19"/>
        <v>0</v>
      </c>
      <c r="CV735" s="1443"/>
      <c r="CW735" s="1443"/>
      <c r="CX735" s="1443"/>
      <c r="CY735" s="1443"/>
      <c r="CZ735" s="1443">
        <f t="shared" si="20"/>
        <v>0</v>
      </c>
      <c r="DA735" s="1443"/>
      <c r="DB735" s="1443"/>
      <c r="DC735" s="1443"/>
      <c r="DD735" s="1443"/>
      <c r="DE735" s="1443">
        <f t="shared" si="21"/>
        <v>0</v>
      </c>
      <c r="DF735" s="1443"/>
      <c r="DG735" s="1443"/>
      <c r="DH735" s="1443"/>
      <c r="DI735" s="1443"/>
      <c r="DJ735" s="1443">
        <f t="shared" si="22"/>
        <v>1</v>
      </c>
      <c r="DK735" s="1443"/>
      <c r="DL735" s="1443"/>
      <c r="DM735" s="1443"/>
      <c r="DN735" s="1443"/>
      <c r="DO735" s="1443">
        <f t="shared" si="23"/>
        <v>0</v>
      </c>
      <c r="DP735" s="1443"/>
      <c r="DQ735" s="1443"/>
      <c r="DR735" s="1443"/>
      <c r="DS735" s="1443"/>
      <c r="DT735" s="6"/>
      <c r="DU735" s="1444">
        <f t="shared" si="24"/>
        <v>0</v>
      </c>
      <c r="DV735" s="1444"/>
      <c r="DW735" s="1444"/>
      <c r="DX735" s="1444"/>
      <c r="DY735" s="1444"/>
      <c r="DZ735" s="1444">
        <f t="shared" si="25"/>
        <v>0</v>
      </c>
      <c r="EA735" s="1444"/>
      <c r="EB735" s="1444"/>
      <c r="EC735" s="1444"/>
      <c r="ED735" s="1444"/>
      <c r="EE735" s="1444">
        <f t="shared" si="26"/>
        <v>0</v>
      </c>
      <c r="EF735" s="1444"/>
      <c r="EG735" s="1444"/>
      <c r="EH735" s="1444"/>
      <c r="EI735" s="1444"/>
      <c r="EJ735" s="1444">
        <f t="shared" si="27"/>
        <v>0</v>
      </c>
      <c r="EK735" s="1444"/>
      <c r="EL735" s="1444"/>
      <c r="EM735" s="1444"/>
      <c r="EN735" s="1444"/>
      <c r="EO735" s="1444">
        <f t="shared" si="28"/>
        <v>0</v>
      </c>
      <c r="EP735" s="1444"/>
      <c r="EQ735" s="1444"/>
      <c r="ER735" s="1444"/>
      <c r="ES735" s="1444"/>
      <c r="ET735" s="1444">
        <f t="shared" si="29"/>
        <v>0</v>
      </c>
      <c r="EU735" s="1444"/>
      <c r="EV735" s="1444"/>
      <c r="EW735" s="1444"/>
      <c r="EX735" s="1444"/>
      <c r="EZ735" s="1463" t="str">
        <f t="shared" si="30"/>
        <v/>
      </c>
      <c r="FA735" s="1465"/>
      <c r="FB735" s="1465"/>
      <c r="FC735" s="1465"/>
      <c r="FD735" s="1464"/>
      <c r="FE735" s="1463" t="str">
        <f t="shared" si="31"/>
        <v/>
      </c>
      <c r="FF735" s="1465"/>
      <c r="FG735" s="1465"/>
      <c r="FH735" s="1465"/>
      <c r="FI735" s="1464"/>
      <c r="FJ735" s="1463" t="str">
        <f t="shared" si="32"/>
        <v/>
      </c>
      <c r="FK735" s="1465"/>
      <c r="FL735" s="1465"/>
      <c r="FM735" s="1465"/>
      <c r="FN735" s="1464"/>
      <c r="FO735" s="1463" t="str">
        <f t="shared" si="33"/>
        <v/>
      </c>
      <c r="FP735" s="1465"/>
      <c r="FQ735" s="1465"/>
      <c r="FR735" s="1465"/>
      <c r="FS735" s="1464"/>
      <c r="FT735" s="1463">
        <f t="shared" si="34"/>
        <v>2041</v>
      </c>
      <c r="FU735" s="1465"/>
      <c r="FV735" s="1465"/>
      <c r="FW735" s="1465"/>
      <c r="FX735" s="1464"/>
      <c r="FY735" s="1463" t="str">
        <f t="shared" si="35"/>
        <v/>
      </c>
      <c r="FZ735" s="1465"/>
      <c r="GA735" s="1465"/>
      <c r="GB735" s="1465"/>
      <c r="GC735" s="1464"/>
    </row>
    <row r="736" spans="1:185" ht="12.95" customHeight="1">
      <c r="B736" s="1337" t="s">
        <v>165</v>
      </c>
      <c r="C736" s="1338"/>
      <c r="D736" s="1338"/>
      <c r="E736" s="1338"/>
      <c r="F736" s="1339"/>
      <c r="G736" s="1349">
        <v>1</v>
      </c>
      <c r="H736" s="1350"/>
      <c r="I736" s="1350"/>
      <c r="J736" s="1351"/>
      <c r="K736" s="1343">
        <v>1238</v>
      </c>
      <c r="L736" s="1344"/>
      <c r="M736" s="1344"/>
      <c r="N736" s="1345"/>
      <c r="O736" s="1340">
        <v>2449</v>
      </c>
      <c r="P736" s="1341"/>
      <c r="Q736" s="1341"/>
      <c r="R736" s="1341"/>
      <c r="S736" s="1342"/>
      <c r="T736" s="1340">
        <v>0</v>
      </c>
      <c r="U736" s="1341"/>
      <c r="V736" s="1341"/>
      <c r="W736" s="1342"/>
      <c r="X736" s="1352">
        <f t="shared" si="8"/>
        <v>2449</v>
      </c>
      <c r="Y736" s="1353"/>
      <c r="Z736" s="1353"/>
      <c r="AA736" s="1353"/>
      <c r="AB736" s="1354"/>
      <c r="AC736" s="1359">
        <v>0.6</v>
      </c>
      <c r="AD736" s="1360"/>
      <c r="AE736" s="1360"/>
      <c r="AF736" s="1360"/>
      <c r="AG736" s="1361"/>
      <c r="AH736" s="1355">
        <f t="shared" si="36"/>
        <v>0.56402579456471669</v>
      </c>
      <c r="AI736" s="1356"/>
      <c r="AJ736" s="1357"/>
      <c r="AK736" s="1337" t="s">
        <v>591</v>
      </c>
      <c r="AL736" s="1338"/>
      <c r="AM736" s="1338"/>
      <c r="AN736" s="1338"/>
      <c r="AO736" s="1339"/>
      <c r="AP736" s="3"/>
      <c r="AQ736" s="3"/>
      <c r="AR736" s="3"/>
      <c r="AS736" s="3"/>
      <c r="AY736" s="1085"/>
      <c r="AZ736" s="118">
        <f t="shared" si="9"/>
        <v>4342</v>
      </c>
      <c r="BA736" s="3"/>
      <c r="BB736" s="3"/>
      <c r="BC736" s="3"/>
      <c r="BD736" s="3"/>
      <c r="BE736" s="204"/>
      <c r="BF736" s="294">
        <f t="shared" si="10"/>
        <v>1</v>
      </c>
      <c r="BG736" s="297">
        <f t="shared" si="11"/>
        <v>9.7087378640776691E-3</v>
      </c>
      <c r="BH736" s="298">
        <f t="shared" si="12"/>
        <v>5.8252427184466013E-3</v>
      </c>
      <c r="BI736" s="3"/>
      <c r="BJ736" s="3"/>
      <c r="BK736" s="3"/>
      <c r="BL736" s="3"/>
      <c r="BM736" s="3"/>
      <c r="BN736" s="3"/>
      <c r="BS736" s="294">
        <f t="shared" si="13"/>
        <v>1</v>
      </c>
      <c r="BT736" s="297">
        <f t="shared" si="14"/>
        <v>9.7087378640776691E-3</v>
      </c>
      <c r="BU736" s="298">
        <f t="shared" si="15"/>
        <v>5.4759785880069576E-3</v>
      </c>
      <c r="BV736" s="3"/>
      <c r="BW736" s="3"/>
      <c r="BX736" s="3"/>
      <c r="BY736" s="3"/>
      <c r="BZ736" s="3"/>
      <c r="CA736" s="3"/>
      <c r="CB736" s="3"/>
      <c r="CC736" s="3"/>
      <c r="CE736" s="3"/>
      <c r="CF736" s="3"/>
      <c r="CG736" s="1463">
        <f t="shared" si="37"/>
        <v>0</v>
      </c>
      <c r="CH736" s="1464"/>
      <c r="CI736" s="1469">
        <f t="shared" si="38"/>
        <v>0</v>
      </c>
      <c r="CJ736" s="1470"/>
      <c r="CK736" s="1463">
        <f t="shared" si="16"/>
        <v>0</v>
      </c>
      <c r="CL736" s="1464"/>
      <c r="CM736" s="1469">
        <f t="shared" si="17"/>
        <v>0</v>
      </c>
      <c r="CN736" s="1470"/>
      <c r="CO736" s="3"/>
      <c r="CP736" s="1458">
        <f t="shared" si="18"/>
        <v>0</v>
      </c>
      <c r="CQ736" s="1459"/>
      <c r="CR736" s="1459"/>
      <c r="CS736" s="1459"/>
      <c r="CT736" s="1460"/>
      <c r="CU736" s="1443">
        <f t="shared" si="19"/>
        <v>0</v>
      </c>
      <c r="CV736" s="1443"/>
      <c r="CW736" s="1443"/>
      <c r="CX736" s="1443"/>
      <c r="CY736" s="1443"/>
      <c r="CZ736" s="1443">
        <f t="shared" si="20"/>
        <v>0</v>
      </c>
      <c r="DA736" s="1443"/>
      <c r="DB736" s="1443"/>
      <c r="DC736" s="1443"/>
      <c r="DD736" s="1443"/>
      <c r="DE736" s="1443">
        <f t="shared" si="21"/>
        <v>0</v>
      </c>
      <c r="DF736" s="1443"/>
      <c r="DG736" s="1443"/>
      <c r="DH736" s="1443"/>
      <c r="DI736" s="1443"/>
      <c r="DJ736" s="1443">
        <f t="shared" si="22"/>
        <v>1</v>
      </c>
      <c r="DK736" s="1443"/>
      <c r="DL736" s="1443"/>
      <c r="DM736" s="1443"/>
      <c r="DN736" s="1443"/>
      <c r="DO736" s="1443">
        <f t="shared" si="23"/>
        <v>0</v>
      </c>
      <c r="DP736" s="1443"/>
      <c r="DQ736" s="1443"/>
      <c r="DR736" s="1443"/>
      <c r="DS736" s="1443"/>
      <c r="DT736" s="6"/>
      <c r="DU736" s="1444">
        <f t="shared" si="24"/>
        <v>0</v>
      </c>
      <c r="DV736" s="1444"/>
      <c r="DW736" s="1444"/>
      <c r="DX736" s="1444"/>
      <c r="DY736" s="1444"/>
      <c r="DZ736" s="1444">
        <f t="shared" si="25"/>
        <v>0</v>
      </c>
      <c r="EA736" s="1444"/>
      <c r="EB736" s="1444"/>
      <c r="EC736" s="1444"/>
      <c r="ED736" s="1444"/>
      <c r="EE736" s="1444">
        <f t="shared" si="26"/>
        <v>0</v>
      </c>
      <c r="EF736" s="1444"/>
      <c r="EG736" s="1444"/>
      <c r="EH736" s="1444"/>
      <c r="EI736" s="1444"/>
      <c r="EJ736" s="1444">
        <f t="shared" si="27"/>
        <v>0</v>
      </c>
      <c r="EK736" s="1444"/>
      <c r="EL736" s="1444"/>
      <c r="EM736" s="1444"/>
      <c r="EN736" s="1444"/>
      <c r="EO736" s="1444">
        <f t="shared" si="28"/>
        <v>0</v>
      </c>
      <c r="EP736" s="1444"/>
      <c r="EQ736" s="1444"/>
      <c r="ER736" s="1444"/>
      <c r="ES736" s="1444"/>
      <c r="ET736" s="1444">
        <f t="shared" si="29"/>
        <v>0</v>
      </c>
      <c r="EU736" s="1444"/>
      <c r="EV736" s="1444"/>
      <c r="EW736" s="1444"/>
      <c r="EX736" s="1444"/>
      <c r="EZ736" s="1463" t="str">
        <f t="shared" si="30"/>
        <v/>
      </c>
      <c r="FA736" s="1465"/>
      <c r="FB736" s="1465"/>
      <c r="FC736" s="1465"/>
      <c r="FD736" s="1464"/>
      <c r="FE736" s="1463" t="str">
        <f t="shared" si="31"/>
        <v/>
      </c>
      <c r="FF736" s="1465"/>
      <c r="FG736" s="1465"/>
      <c r="FH736" s="1465"/>
      <c r="FI736" s="1464"/>
      <c r="FJ736" s="1463" t="str">
        <f t="shared" si="32"/>
        <v/>
      </c>
      <c r="FK736" s="1465"/>
      <c r="FL736" s="1465"/>
      <c r="FM736" s="1465"/>
      <c r="FN736" s="1464"/>
      <c r="FO736" s="1463" t="str">
        <f t="shared" si="33"/>
        <v/>
      </c>
      <c r="FP736" s="1465"/>
      <c r="FQ736" s="1465"/>
      <c r="FR736" s="1465"/>
      <c r="FS736" s="1464"/>
      <c r="FT736" s="1463">
        <f t="shared" si="34"/>
        <v>2449</v>
      </c>
      <c r="FU736" s="1465"/>
      <c r="FV736" s="1465"/>
      <c r="FW736" s="1465"/>
      <c r="FX736" s="1464"/>
      <c r="FY736" s="1463" t="str">
        <f t="shared" si="35"/>
        <v/>
      </c>
      <c r="FZ736" s="1465"/>
      <c r="GA736" s="1465"/>
      <c r="GB736" s="1465"/>
      <c r="GC736" s="1464"/>
    </row>
    <row r="737" spans="1:185" ht="12.95" customHeight="1">
      <c r="B737" s="1337" t="s">
        <v>165</v>
      </c>
      <c r="C737" s="1338"/>
      <c r="D737" s="1338"/>
      <c r="E737" s="1338"/>
      <c r="F737" s="1339"/>
      <c r="G737" s="1349">
        <v>6</v>
      </c>
      <c r="H737" s="1350"/>
      <c r="I737" s="1350"/>
      <c r="J737" s="1351"/>
      <c r="K737" s="1343">
        <v>1238</v>
      </c>
      <c r="L737" s="1344"/>
      <c r="M737" s="1344"/>
      <c r="N737" s="1345"/>
      <c r="O737" s="1340">
        <v>3266</v>
      </c>
      <c r="P737" s="1341"/>
      <c r="Q737" s="1341"/>
      <c r="R737" s="1341"/>
      <c r="S737" s="1342"/>
      <c r="T737" s="1340">
        <v>0</v>
      </c>
      <c r="U737" s="1341"/>
      <c r="V737" s="1341"/>
      <c r="W737" s="1342"/>
      <c r="X737" s="1352">
        <f t="shared" si="8"/>
        <v>3266</v>
      </c>
      <c r="Y737" s="1353"/>
      <c r="Z737" s="1353"/>
      <c r="AA737" s="1353"/>
      <c r="AB737" s="1354"/>
      <c r="AC737" s="1359">
        <v>0.8</v>
      </c>
      <c r="AD737" s="1360"/>
      <c r="AE737" s="1360"/>
      <c r="AF737" s="1360"/>
      <c r="AG737" s="1361"/>
      <c r="AH737" s="1355">
        <f t="shared" si="36"/>
        <v>0.7521879318286504</v>
      </c>
      <c r="AI737" s="1356"/>
      <c r="AJ737" s="1357"/>
      <c r="AK737" s="1337" t="s">
        <v>591</v>
      </c>
      <c r="AL737" s="1338"/>
      <c r="AM737" s="1338"/>
      <c r="AN737" s="1338"/>
      <c r="AO737" s="1339"/>
      <c r="AP737" s="3"/>
      <c r="AQ737" s="3"/>
      <c r="AR737" s="3"/>
      <c r="AS737" s="3"/>
      <c r="AY737" s="1085"/>
      <c r="AZ737" s="118">
        <f t="shared" si="9"/>
        <v>4342</v>
      </c>
      <c r="BA737" s="3"/>
      <c r="BB737" s="3"/>
      <c r="BC737" s="3"/>
      <c r="BD737" s="3"/>
      <c r="BE737" s="204"/>
      <c r="BF737" s="294">
        <f t="shared" si="10"/>
        <v>6</v>
      </c>
      <c r="BG737" s="297">
        <f t="shared" si="11"/>
        <v>5.8252427184466021E-2</v>
      </c>
      <c r="BH737" s="298">
        <f t="shared" si="12"/>
        <v>4.6601941747572817E-2</v>
      </c>
      <c r="BI737" s="3"/>
      <c r="BJ737" s="3"/>
      <c r="BK737" s="3"/>
      <c r="BL737" s="3"/>
      <c r="BM737" s="3"/>
      <c r="BN737" s="3"/>
      <c r="BS737" s="294">
        <f t="shared" si="13"/>
        <v>6</v>
      </c>
      <c r="BT737" s="297">
        <f t="shared" si="14"/>
        <v>5.8252427184466021E-2</v>
      </c>
      <c r="BU737" s="298">
        <f t="shared" si="15"/>
        <v>4.381677272788255E-2</v>
      </c>
      <c r="BV737" s="3"/>
      <c r="BW737" s="3"/>
      <c r="BX737" s="3"/>
      <c r="BY737" s="3"/>
      <c r="BZ737" s="3"/>
      <c r="CA737" s="3"/>
      <c r="CB737" s="3"/>
      <c r="CC737" s="3"/>
      <c r="CE737" s="3"/>
      <c r="CF737" s="3"/>
      <c r="CG737" s="1463">
        <f t="shared" si="37"/>
        <v>0</v>
      </c>
      <c r="CH737" s="1464"/>
      <c r="CI737" s="1469">
        <f t="shared" si="38"/>
        <v>0</v>
      </c>
      <c r="CJ737" s="1470"/>
      <c r="CK737" s="1463">
        <f t="shared" si="16"/>
        <v>0</v>
      </c>
      <c r="CL737" s="1464"/>
      <c r="CM737" s="1469">
        <f t="shared" si="17"/>
        <v>0</v>
      </c>
      <c r="CN737" s="1470"/>
      <c r="CO737" s="3"/>
      <c r="CP737" s="1458">
        <f t="shared" si="18"/>
        <v>0</v>
      </c>
      <c r="CQ737" s="1459"/>
      <c r="CR737" s="1459"/>
      <c r="CS737" s="1459"/>
      <c r="CT737" s="1460"/>
      <c r="CU737" s="1443">
        <f t="shared" si="19"/>
        <v>0</v>
      </c>
      <c r="CV737" s="1443"/>
      <c r="CW737" s="1443"/>
      <c r="CX737" s="1443"/>
      <c r="CY737" s="1443"/>
      <c r="CZ737" s="1443">
        <f t="shared" si="20"/>
        <v>0</v>
      </c>
      <c r="DA737" s="1443"/>
      <c r="DB737" s="1443"/>
      <c r="DC737" s="1443"/>
      <c r="DD737" s="1443"/>
      <c r="DE737" s="1443">
        <f t="shared" si="21"/>
        <v>0</v>
      </c>
      <c r="DF737" s="1443"/>
      <c r="DG737" s="1443"/>
      <c r="DH737" s="1443"/>
      <c r="DI737" s="1443"/>
      <c r="DJ737" s="1443">
        <f t="shared" si="22"/>
        <v>6</v>
      </c>
      <c r="DK737" s="1443"/>
      <c r="DL737" s="1443"/>
      <c r="DM737" s="1443"/>
      <c r="DN737" s="1443"/>
      <c r="DO737" s="1443">
        <f t="shared" si="23"/>
        <v>0</v>
      </c>
      <c r="DP737" s="1443"/>
      <c r="DQ737" s="1443"/>
      <c r="DR737" s="1443"/>
      <c r="DS737" s="1443"/>
      <c r="DT737" s="6"/>
      <c r="DU737" s="1444">
        <f t="shared" si="24"/>
        <v>0</v>
      </c>
      <c r="DV737" s="1444"/>
      <c r="DW737" s="1444"/>
      <c r="DX737" s="1444"/>
      <c r="DY737" s="1444"/>
      <c r="DZ737" s="1444">
        <f t="shared" si="25"/>
        <v>0</v>
      </c>
      <c r="EA737" s="1444"/>
      <c r="EB737" s="1444"/>
      <c r="EC737" s="1444"/>
      <c r="ED737" s="1444"/>
      <c r="EE737" s="1444">
        <f t="shared" si="26"/>
        <v>0</v>
      </c>
      <c r="EF737" s="1444"/>
      <c r="EG737" s="1444"/>
      <c r="EH737" s="1444"/>
      <c r="EI737" s="1444"/>
      <c r="EJ737" s="1444">
        <f t="shared" si="27"/>
        <v>0</v>
      </c>
      <c r="EK737" s="1444"/>
      <c r="EL737" s="1444"/>
      <c r="EM737" s="1444"/>
      <c r="EN737" s="1444"/>
      <c r="EO737" s="1444">
        <f t="shared" si="28"/>
        <v>0</v>
      </c>
      <c r="EP737" s="1444"/>
      <c r="EQ737" s="1444"/>
      <c r="ER737" s="1444"/>
      <c r="ES737" s="1444"/>
      <c r="ET737" s="1444">
        <f t="shared" si="29"/>
        <v>0</v>
      </c>
      <c r="EU737" s="1444"/>
      <c r="EV737" s="1444"/>
      <c r="EW737" s="1444"/>
      <c r="EX737" s="1444"/>
      <c r="EZ737" s="1463" t="str">
        <f t="shared" si="30"/>
        <v/>
      </c>
      <c r="FA737" s="1465"/>
      <c r="FB737" s="1465"/>
      <c r="FC737" s="1465"/>
      <c r="FD737" s="1464"/>
      <c r="FE737" s="1463" t="str">
        <f t="shared" si="31"/>
        <v/>
      </c>
      <c r="FF737" s="1465"/>
      <c r="FG737" s="1465"/>
      <c r="FH737" s="1465"/>
      <c r="FI737" s="1464"/>
      <c r="FJ737" s="1463" t="str">
        <f t="shared" si="32"/>
        <v/>
      </c>
      <c r="FK737" s="1465"/>
      <c r="FL737" s="1465"/>
      <c r="FM737" s="1465"/>
      <c r="FN737" s="1464"/>
      <c r="FO737" s="1463" t="str">
        <f t="shared" si="33"/>
        <v/>
      </c>
      <c r="FP737" s="1465"/>
      <c r="FQ737" s="1465"/>
      <c r="FR737" s="1465"/>
      <c r="FS737" s="1464"/>
      <c r="FT737" s="1463">
        <f t="shared" si="34"/>
        <v>3266</v>
      </c>
      <c r="FU737" s="1465"/>
      <c r="FV737" s="1465"/>
      <c r="FW737" s="1465"/>
      <c r="FX737" s="1464"/>
      <c r="FY737" s="1463" t="str">
        <f t="shared" si="35"/>
        <v/>
      </c>
      <c r="FZ737" s="1465"/>
      <c r="GA737" s="1465"/>
      <c r="GB737" s="1465"/>
      <c r="GC737" s="1464"/>
    </row>
    <row r="738" spans="1:185" ht="12.95" customHeight="1">
      <c r="B738" s="1337"/>
      <c r="C738" s="1338"/>
      <c r="D738" s="1338"/>
      <c r="E738" s="1338"/>
      <c r="F738" s="1339"/>
      <c r="G738" s="1349"/>
      <c r="H738" s="1350"/>
      <c r="I738" s="1350"/>
      <c r="J738" s="1351"/>
      <c r="K738" s="1343"/>
      <c r="L738" s="1344"/>
      <c r="M738" s="1344"/>
      <c r="N738" s="1345"/>
      <c r="O738" s="1340"/>
      <c r="P738" s="1341"/>
      <c r="Q738" s="1341"/>
      <c r="R738" s="1341"/>
      <c r="S738" s="1342"/>
      <c r="T738" s="1340"/>
      <c r="U738" s="1341"/>
      <c r="V738" s="1341"/>
      <c r="W738" s="1342"/>
      <c r="X738" s="1352">
        <f t="shared" si="8"/>
        <v>0</v>
      </c>
      <c r="Y738" s="1353"/>
      <c r="Z738" s="1353"/>
      <c r="AA738" s="1353"/>
      <c r="AB738" s="1354"/>
      <c r="AC738" s="1359"/>
      <c r="AD738" s="1360"/>
      <c r="AE738" s="1360"/>
      <c r="AF738" s="1360"/>
      <c r="AG738" s="1361"/>
      <c r="AH738" s="1355" t="str">
        <f t="shared" si="36"/>
        <v/>
      </c>
      <c r="AI738" s="1356"/>
      <c r="AJ738" s="1357"/>
      <c r="AK738" s="1337" t="s">
        <v>591</v>
      </c>
      <c r="AL738" s="1338"/>
      <c r="AM738" s="1338"/>
      <c r="AN738" s="1338"/>
      <c r="AO738" s="1339"/>
      <c r="AP738" s="3"/>
      <c r="AQ738" s="3"/>
      <c r="AR738" s="3"/>
      <c r="AS738" s="3"/>
      <c r="AY738" s="1085"/>
      <c r="AZ738" s="118" t="str">
        <f t="shared" si="9"/>
        <v>N/A</v>
      </c>
      <c r="BA738" s="3"/>
      <c r="BE738" s="204"/>
      <c r="BF738" s="294">
        <f t="shared" si="10"/>
        <v>0</v>
      </c>
      <c r="BG738" s="297">
        <f t="shared" si="11"/>
        <v>0</v>
      </c>
      <c r="BH738" s="298" t="str">
        <f t="shared" si="12"/>
        <v/>
      </c>
      <c r="BK738" s="3"/>
      <c r="BL738" s="3"/>
      <c r="BM738" s="3"/>
      <c r="BN738" s="3"/>
      <c r="BS738" s="294">
        <f t="shared" si="13"/>
        <v>0</v>
      </c>
      <c r="BT738" s="297">
        <f t="shared" si="14"/>
        <v>0</v>
      </c>
      <c r="BU738" s="298" t="str">
        <f t="shared" si="15"/>
        <v/>
      </c>
      <c r="BV738" s="3"/>
      <c r="BW738" s="3"/>
      <c r="BX738" s="3"/>
      <c r="BY738" s="3"/>
      <c r="BZ738" s="3"/>
      <c r="CA738" s="3"/>
      <c r="CB738" s="3"/>
      <c r="CC738" s="3"/>
      <c r="CE738" s="3"/>
      <c r="CF738" s="3"/>
      <c r="CG738" s="1463">
        <f t="shared" si="37"/>
        <v>0</v>
      </c>
      <c r="CH738" s="1464"/>
      <c r="CI738" s="1469">
        <f t="shared" si="38"/>
        <v>0</v>
      </c>
      <c r="CJ738" s="1470"/>
      <c r="CK738" s="1463">
        <f t="shared" si="16"/>
        <v>0</v>
      </c>
      <c r="CL738" s="1464"/>
      <c r="CM738" s="1469">
        <f t="shared" si="17"/>
        <v>0</v>
      </c>
      <c r="CN738" s="1470"/>
      <c r="CO738" s="3"/>
      <c r="CP738" s="1458">
        <f t="shared" si="18"/>
        <v>0</v>
      </c>
      <c r="CQ738" s="1459"/>
      <c r="CR738" s="1459"/>
      <c r="CS738" s="1459"/>
      <c r="CT738" s="1460"/>
      <c r="CU738" s="1443">
        <f t="shared" si="19"/>
        <v>0</v>
      </c>
      <c r="CV738" s="1443"/>
      <c r="CW738" s="1443"/>
      <c r="CX738" s="1443"/>
      <c r="CY738" s="1443"/>
      <c r="CZ738" s="1443">
        <f t="shared" si="20"/>
        <v>0</v>
      </c>
      <c r="DA738" s="1443"/>
      <c r="DB738" s="1443"/>
      <c r="DC738" s="1443"/>
      <c r="DD738" s="1443"/>
      <c r="DE738" s="1443">
        <f t="shared" si="21"/>
        <v>0</v>
      </c>
      <c r="DF738" s="1443"/>
      <c r="DG738" s="1443"/>
      <c r="DH738" s="1443"/>
      <c r="DI738" s="1443"/>
      <c r="DJ738" s="1443">
        <f t="shared" si="22"/>
        <v>0</v>
      </c>
      <c r="DK738" s="1443"/>
      <c r="DL738" s="1443"/>
      <c r="DM738" s="1443"/>
      <c r="DN738" s="1443"/>
      <c r="DO738" s="1443">
        <f t="shared" si="23"/>
        <v>0</v>
      </c>
      <c r="DP738" s="1443"/>
      <c r="DQ738" s="1443"/>
      <c r="DR738" s="1443"/>
      <c r="DS738" s="1443"/>
      <c r="DT738" s="6"/>
      <c r="DU738" s="1444">
        <f t="shared" si="24"/>
        <v>0</v>
      </c>
      <c r="DV738" s="1444"/>
      <c r="DW738" s="1444"/>
      <c r="DX738" s="1444"/>
      <c r="DY738" s="1444"/>
      <c r="DZ738" s="1444">
        <f t="shared" si="25"/>
        <v>0</v>
      </c>
      <c r="EA738" s="1444"/>
      <c r="EB738" s="1444"/>
      <c r="EC738" s="1444"/>
      <c r="ED738" s="1444"/>
      <c r="EE738" s="1444">
        <f t="shared" si="26"/>
        <v>0</v>
      </c>
      <c r="EF738" s="1444"/>
      <c r="EG738" s="1444"/>
      <c r="EH738" s="1444"/>
      <c r="EI738" s="1444"/>
      <c r="EJ738" s="1444">
        <f t="shared" si="27"/>
        <v>0</v>
      </c>
      <c r="EK738" s="1444"/>
      <c r="EL738" s="1444"/>
      <c r="EM738" s="1444"/>
      <c r="EN738" s="1444"/>
      <c r="EO738" s="1444">
        <f t="shared" si="28"/>
        <v>0</v>
      </c>
      <c r="EP738" s="1444"/>
      <c r="EQ738" s="1444"/>
      <c r="ER738" s="1444"/>
      <c r="ES738" s="1444"/>
      <c r="ET738" s="1444">
        <f t="shared" si="29"/>
        <v>0</v>
      </c>
      <c r="EU738" s="1444"/>
      <c r="EV738" s="1444"/>
      <c r="EW738" s="1444"/>
      <c r="EX738" s="1444"/>
      <c r="EZ738" s="1463" t="str">
        <f t="shared" si="30"/>
        <v/>
      </c>
      <c r="FA738" s="1465"/>
      <c r="FB738" s="1465"/>
      <c r="FC738" s="1465"/>
      <c r="FD738" s="1464"/>
      <c r="FE738" s="1463" t="str">
        <f t="shared" si="31"/>
        <v/>
      </c>
      <c r="FF738" s="1465"/>
      <c r="FG738" s="1465"/>
      <c r="FH738" s="1465"/>
      <c r="FI738" s="1464"/>
      <c r="FJ738" s="1463" t="str">
        <f t="shared" si="32"/>
        <v/>
      </c>
      <c r="FK738" s="1465"/>
      <c r="FL738" s="1465"/>
      <c r="FM738" s="1465"/>
      <c r="FN738" s="1464"/>
      <c r="FO738" s="1463" t="str">
        <f t="shared" si="33"/>
        <v/>
      </c>
      <c r="FP738" s="1465"/>
      <c r="FQ738" s="1465"/>
      <c r="FR738" s="1465"/>
      <c r="FS738" s="1464"/>
      <c r="FT738" s="1463" t="str">
        <f t="shared" si="34"/>
        <v/>
      </c>
      <c r="FU738" s="1465"/>
      <c r="FV738" s="1465"/>
      <c r="FW738" s="1465"/>
      <c r="FX738" s="1464"/>
      <c r="FY738" s="1463" t="str">
        <f t="shared" si="35"/>
        <v/>
      </c>
      <c r="FZ738" s="1465"/>
      <c r="GA738" s="1465"/>
      <c r="GB738" s="1465"/>
      <c r="GC738" s="1464"/>
    </row>
    <row r="739" spans="1:185" ht="12.95" customHeight="1">
      <c r="B739" s="1337"/>
      <c r="C739" s="1338"/>
      <c r="D739" s="1338"/>
      <c r="E739" s="1338"/>
      <c r="F739" s="1339"/>
      <c r="G739" s="1349"/>
      <c r="H739" s="1350"/>
      <c r="I739" s="1350"/>
      <c r="J739" s="1351"/>
      <c r="K739" s="1343"/>
      <c r="L739" s="1344"/>
      <c r="M739" s="1344"/>
      <c r="N739" s="1345"/>
      <c r="O739" s="1340"/>
      <c r="P739" s="1341"/>
      <c r="Q739" s="1341"/>
      <c r="R739" s="1341"/>
      <c r="S739" s="1342"/>
      <c r="T739" s="1340"/>
      <c r="U739" s="1341"/>
      <c r="V739" s="1341"/>
      <c r="W739" s="1342"/>
      <c r="X739" s="1352">
        <f t="shared" si="8"/>
        <v>0</v>
      </c>
      <c r="Y739" s="1353"/>
      <c r="Z739" s="1353"/>
      <c r="AA739" s="1353"/>
      <c r="AB739" s="1354"/>
      <c r="AC739" s="1359"/>
      <c r="AD739" s="1360"/>
      <c r="AE739" s="1360"/>
      <c r="AF739" s="1360"/>
      <c r="AG739" s="1361"/>
      <c r="AH739" s="1355" t="str">
        <f t="shared" si="36"/>
        <v/>
      </c>
      <c r="AI739" s="1356"/>
      <c r="AJ739" s="1357"/>
      <c r="AK739" s="1337" t="s">
        <v>591</v>
      </c>
      <c r="AL739" s="1338"/>
      <c r="AM739" s="1338"/>
      <c r="AN739" s="1338"/>
      <c r="AO739" s="1339"/>
      <c r="AP739" s="3"/>
      <c r="AQ739" s="3"/>
      <c r="AR739" s="3"/>
      <c r="AS739" s="3"/>
      <c r="AY739" s="1085"/>
      <c r="AZ739" s="118" t="str">
        <f t="shared" si="9"/>
        <v>N/A</v>
      </c>
      <c r="BA739" s="3"/>
      <c r="BE739" s="204"/>
      <c r="BF739" s="294">
        <f t="shared" si="10"/>
        <v>0</v>
      </c>
      <c r="BG739" s="297">
        <f t="shared" si="11"/>
        <v>0</v>
      </c>
      <c r="BH739" s="298" t="str">
        <f t="shared" si="12"/>
        <v/>
      </c>
      <c r="BK739" s="3"/>
      <c r="BL739" s="3"/>
      <c r="BM739" s="3"/>
      <c r="BN739" s="3"/>
      <c r="BS739" s="294">
        <f t="shared" si="13"/>
        <v>0</v>
      </c>
      <c r="BT739" s="297">
        <f t="shared" si="14"/>
        <v>0</v>
      </c>
      <c r="BU739" s="298" t="str">
        <f t="shared" si="15"/>
        <v/>
      </c>
      <c r="BV739" s="3"/>
      <c r="BW739" s="3"/>
      <c r="BX739" s="3"/>
      <c r="BY739" s="3"/>
      <c r="BZ739" s="3"/>
      <c r="CA739" s="3"/>
      <c r="CB739" s="3"/>
      <c r="CC739" s="3"/>
      <c r="CE739" s="3"/>
      <c r="CF739" s="3"/>
      <c r="CG739" s="1463">
        <f t="shared" si="37"/>
        <v>0</v>
      </c>
      <c r="CH739" s="1464"/>
      <c r="CI739" s="1469">
        <f t="shared" si="38"/>
        <v>0</v>
      </c>
      <c r="CJ739" s="1470"/>
      <c r="CK739" s="1463">
        <f t="shared" si="16"/>
        <v>0</v>
      </c>
      <c r="CL739" s="1464"/>
      <c r="CM739" s="1469">
        <f t="shared" si="17"/>
        <v>0</v>
      </c>
      <c r="CN739" s="1470"/>
      <c r="CO739" s="3"/>
      <c r="CP739" s="1458">
        <f t="shared" si="18"/>
        <v>0</v>
      </c>
      <c r="CQ739" s="1459"/>
      <c r="CR739" s="1459"/>
      <c r="CS739" s="1459"/>
      <c r="CT739" s="1460"/>
      <c r="CU739" s="1443">
        <f t="shared" si="19"/>
        <v>0</v>
      </c>
      <c r="CV739" s="1443"/>
      <c r="CW739" s="1443"/>
      <c r="CX739" s="1443"/>
      <c r="CY739" s="1443"/>
      <c r="CZ739" s="1443">
        <f t="shared" si="20"/>
        <v>0</v>
      </c>
      <c r="DA739" s="1443"/>
      <c r="DB739" s="1443"/>
      <c r="DC739" s="1443"/>
      <c r="DD739" s="1443"/>
      <c r="DE739" s="1443">
        <f t="shared" si="21"/>
        <v>0</v>
      </c>
      <c r="DF739" s="1443"/>
      <c r="DG739" s="1443"/>
      <c r="DH739" s="1443"/>
      <c r="DI739" s="1443"/>
      <c r="DJ739" s="1443">
        <f t="shared" si="22"/>
        <v>0</v>
      </c>
      <c r="DK739" s="1443"/>
      <c r="DL739" s="1443"/>
      <c r="DM739" s="1443"/>
      <c r="DN739" s="1443"/>
      <c r="DO739" s="1443">
        <f t="shared" si="23"/>
        <v>0</v>
      </c>
      <c r="DP739" s="1443"/>
      <c r="DQ739" s="1443"/>
      <c r="DR739" s="1443"/>
      <c r="DS739" s="1443"/>
      <c r="DT739" s="6"/>
      <c r="DU739" s="1444">
        <f t="shared" si="24"/>
        <v>0</v>
      </c>
      <c r="DV739" s="1444"/>
      <c r="DW739" s="1444"/>
      <c r="DX739" s="1444"/>
      <c r="DY739" s="1444"/>
      <c r="DZ739" s="1444">
        <f t="shared" si="25"/>
        <v>0</v>
      </c>
      <c r="EA739" s="1444"/>
      <c r="EB739" s="1444"/>
      <c r="EC739" s="1444"/>
      <c r="ED739" s="1444"/>
      <c r="EE739" s="1444">
        <f t="shared" si="26"/>
        <v>0</v>
      </c>
      <c r="EF739" s="1444"/>
      <c r="EG739" s="1444"/>
      <c r="EH739" s="1444"/>
      <c r="EI739" s="1444"/>
      <c r="EJ739" s="1444">
        <f t="shared" si="27"/>
        <v>0</v>
      </c>
      <c r="EK739" s="1444"/>
      <c r="EL739" s="1444"/>
      <c r="EM739" s="1444"/>
      <c r="EN739" s="1444"/>
      <c r="EO739" s="1444">
        <f t="shared" si="28"/>
        <v>0</v>
      </c>
      <c r="EP739" s="1444"/>
      <c r="EQ739" s="1444"/>
      <c r="ER739" s="1444"/>
      <c r="ES739" s="1444"/>
      <c r="ET739" s="1444">
        <f t="shared" si="29"/>
        <v>0</v>
      </c>
      <c r="EU739" s="1444"/>
      <c r="EV739" s="1444"/>
      <c r="EW739" s="1444"/>
      <c r="EX739" s="1444"/>
      <c r="EZ739" s="1463" t="str">
        <f t="shared" si="30"/>
        <v/>
      </c>
      <c r="FA739" s="1465"/>
      <c r="FB739" s="1465"/>
      <c r="FC739" s="1465"/>
      <c r="FD739" s="1464"/>
      <c r="FE739" s="1463" t="str">
        <f t="shared" si="31"/>
        <v/>
      </c>
      <c r="FF739" s="1465"/>
      <c r="FG739" s="1465"/>
      <c r="FH739" s="1465"/>
      <c r="FI739" s="1464"/>
      <c r="FJ739" s="1463" t="str">
        <f t="shared" si="32"/>
        <v/>
      </c>
      <c r="FK739" s="1465"/>
      <c r="FL739" s="1465"/>
      <c r="FM739" s="1465"/>
      <c r="FN739" s="1464"/>
      <c r="FO739" s="1463" t="str">
        <f t="shared" si="33"/>
        <v/>
      </c>
      <c r="FP739" s="1465"/>
      <c r="FQ739" s="1465"/>
      <c r="FR739" s="1465"/>
      <c r="FS739" s="1464"/>
      <c r="FT739" s="1463" t="str">
        <f t="shared" si="34"/>
        <v/>
      </c>
      <c r="FU739" s="1465"/>
      <c r="FV739" s="1465"/>
      <c r="FW739" s="1465"/>
      <c r="FX739" s="1464"/>
      <c r="FY739" s="1463" t="str">
        <f t="shared" si="35"/>
        <v/>
      </c>
      <c r="FZ739" s="1465"/>
      <c r="GA739" s="1465"/>
      <c r="GB739" s="1465"/>
      <c r="GC739" s="1464"/>
    </row>
    <row r="740" spans="1:185" ht="12.95" customHeight="1">
      <c r="B740" s="1337"/>
      <c r="C740" s="1338"/>
      <c r="D740" s="1338"/>
      <c r="E740" s="1338"/>
      <c r="F740" s="1339"/>
      <c r="G740" s="1349"/>
      <c r="H740" s="1350"/>
      <c r="I740" s="1350"/>
      <c r="J740" s="1351"/>
      <c r="K740" s="1343"/>
      <c r="L740" s="1344"/>
      <c r="M740" s="1344"/>
      <c r="N740" s="1345"/>
      <c r="O740" s="1340"/>
      <c r="P740" s="1341"/>
      <c r="Q740" s="1341"/>
      <c r="R740" s="1341"/>
      <c r="S740" s="1342"/>
      <c r="T740" s="1340"/>
      <c r="U740" s="1341"/>
      <c r="V740" s="1341"/>
      <c r="W740" s="1342"/>
      <c r="X740" s="1352">
        <f t="shared" si="8"/>
        <v>0</v>
      </c>
      <c r="Y740" s="1353"/>
      <c r="Z740" s="1353"/>
      <c r="AA740" s="1353"/>
      <c r="AB740" s="1354"/>
      <c r="AC740" s="1359"/>
      <c r="AD740" s="1360"/>
      <c r="AE740" s="1360"/>
      <c r="AF740" s="1360"/>
      <c r="AG740" s="1361"/>
      <c r="AH740" s="1355" t="str">
        <f t="shared" si="36"/>
        <v/>
      </c>
      <c r="AI740" s="1356"/>
      <c r="AJ740" s="1357"/>
      <c r="AK740" s="1337" t="s">
        <v>591</v>
      </c>
      <c r="AL740" s="1338"/>
      <c r="AM740" s="1338"/>
      <c r="AN740" s="1338"/>
      <c r="AO740" s="1339"/>
      <c r="AP740" s="3"/>
      <c r="AQ740" s="3"/>
      <c r="AR740" s="3"/>
      <c r="AS740" s="3"/>
      <c r="AY740" s="1085"/>
      <c r="AZ740" s="118" t="str">
        <f t="shared" si="9"/>
        <v>N/A</v>
      </c>
      <c r="BA740" s="3"/>
      <c r="BE740" s="204"/>
      <c r="BF740" s="294">
        <f t="shared" si="10"/>
        <v>0</v>
      </c>
      <c r="BG740" s="297">
        <f t="shared" si="11"/>
        <v>0</v>
      </c>
      <c r="BH740" s="298" t="str">
        <f t="shared" si="12"/>
        <v/>
      </c>
      <c r="BK740" s="3"/>
      <c r="BL740" s="3"/>
      <c r="BM740" s="3"/>
      <c r="BN740" s="3"/>
      <c r="BS740" s="294">
        <f t="shared" si="13"/>
        <v>0</v>
      </c>
      <c r="BT740" s="297">
        <f t="shared" si="14"/>
        <v>0</v>
      </c>
      <c r="BU740" s="298" t="str">
        <f t="shared" si="15"/>
        <v/>
      </c>
      <c r="BV740" s="3"/>
      <c r="BW740" s="3"/>
      <c r="BX740" s="3"/>
      <c r="BY740" s="3"/>
      <c r="BZ740" s="3"/>
      <c r="CA740" s="3"/>
      <c r="CB740" s="3"/>
      <c r="CC740" s="3"/>
      <c r="CE740" s="3"/>
      <c r="CF740" s="3"/>
      <c r="CG740" s="1463">
        <f t="shared" si="37"/>
        <v>0</v>
      </c>
      <c r="CH740" s="1464"/>
      <c r="CI740" s="1469">
        <f t="shared" si="38"/>
        <v>0</v>
      </c>
      <c r="CJ740" s="1470"/>
      <c r="CK740" s="1463">
        <f t="shared" si="16"/>
        <v>0</v>
      </c>
      <c r="CL740" s="1464"/>
      <c r="CM740" s="1469">
        <f t="shared" si="17"/>
        <v>0</v>
      </c>
      <c r="CN740" s="1470"/>
      <c r="CO740" s="3"/>
      <c r="CP740" s="1458">
        <f t="shared" si="18"/>
        <v>0</v>
      </c>
      <c r="CQ740" s="1459"/>
      <c r="CR740" s="1459"/>
      <c r="CS740" s="1459"/>
      <c r="CT740" s="1460"/>
      <c r="CU740" s="1443">
        <f t="shared" si="19"/>
        <v>0</v>
      </c>
      <c r="CV740" s="1443"/>
      <c r="CW740" s="1443"/>
      <c r="CX740" s="1443"/>
      <c r="CY740" s="1443"/>
      <c r="CZ740" s="1443">
        <f t="shared" si="20"/>
        <v>0</v>
      </c>
      <c r="DA740" s="1443"/>
      <c r="DB740" s="1443"/>
      <c r="DC740" s="1443"/>
      <c r="DD740" s="1443"/>
      <c r="DE740" s="1443">
        <f t="shared" si="21"/>
        <v>0</v>
      </c>
      <c r="DF740" s="1443"/>
      <c r="DG740" s="1443"/>
      <c r="DH740" s="1443"/>
      <c r="DI740" s="1443"/>
      <c r="DJ740" s="1443">
        <f t="shared" si="22"/>
        <v>0</v>
      </c>
      <c r="DK740" s="1443"/>
      <c r="DL740" s="1443"/>
      <c r="DM740" s="1443"/>
      <c r="DN740" s="1443"/>
      <c r="DO740" s="1443">
        <f t="shared" si="23"/>
        <v>0</v>
      </c>
      <c r="DP740" s="1443"/>
      <c r="DQ740" s="1443"/>
      <c r="DR740" s="1443"/>
      <c r="DS740" s="1443"/>
      <c r="DT740" s="6"/>
      <c r="DU740" s="1444">
        <f t="shared" si="24"/>
        <v>0</v>
      </c>
      <c r="DV740" s="1444"/>
      <c r="DW740" s="1444"/>
      <c r="DX740" s="1444"/>
      <c r="DY740" s="1444"/>
      <c r="DZ740" s="1444">
        <f t="shared" si="25"/>
        <v>0</v>
      </c>
      <c r="EA740" s="1444"/>
      <c r="EB740" s="1444"/>
      <c r="EC740" s="1444"/>
      <c r="ED740" s="1444"/>
      <c r="EE740" s="1444">
        <f t="shared" si="26"/>
        <v>0</v>
      </c>
      <c r="EF740" s="1444"/>
      <c r="EG740" s="1444"/>
      <c r="EH740" s="1444"/>
      <c r="EI740" s="1444"/>
      <c r="EJ740" s="1444">
        <f t="shared" si="27"/>
        <v>0</v>
      </c>
      <c r="EK740" s="1444"/>
      <c r="EL740" s="1444"/>
      <c r="EM740" s="1444"/>
      <c r="EN740" s="1444"/>
      <c r="EO740" s="1444">
        <f t="shared" si="28"/>
        <v>0</v>
      </c>
      <c r="EP740" s="1444"/>
      <c r="EQ740" s="1444"/>
      <c r="ER740" s="1444"/>
      <c r="ES740" s="1444"/>
      <c r="ET740" s="1444">
        <f t="shared" si="29"/>
        <v>0</v>
      </c>
      <c r="EU740" s="1444"/>
      <c r="EV740" s="1444"/>
      <c r="EW740" s="1444"/>
      <c r="EX740" s="1444"/>
      <c r="EZ740" s="1463" t="str">
        <f t="shared" si="30"/>
        <v/>
      </c>
      <c r="FA740" s="1465"/>
      <c r="FB740" s="1465"/>
      <c r="FC740" s="1465"/>
      <c r="FD740" s="1464"/>
      <c r="FE740" s="1463" t="str">
        <f t="shared" si="31"/>
        <v/>
      </c>
      <c r="FF740" s="1465"/>
      <c r="FG740" s="1465"/>
      <c r="FH740" s="1465"/>
      <c r="FI740" s="1464"/>
      <c r="FJ740" s="1463" t="str">
        <f t="shared" si="32"/>
        <v/>
      </c>
      <c r="FK740" s="1465"/>
      <c r="FL740" s="1465"/>
      <c r="FM740" s="1465"/>
      <c r="FN740" s="1464"/>
      <c r="FO740" s="1463" t="str">
        <f t="shared" si="33"/>
        <v/>
      </c>
      <c r="FP740" s="1465"/>
      <c r="FQ740" s="1465"/>
      <c r="FR740" s="1465"/>
      <c r="FS740" s="1464"/>
      <c r="FT740" s="1463" t="str">
        <f t="shared" si="34"/>
        <v/>
      </c>
      <c r="FU740" s="1465"/>
      <c r="FV740" s="1465"/>
      <c r="FW740" s="1465"/>
      <c r="FX740" s="1464"/>
      <c r="FY740" s="1463" t="str">
        <f t="shared" si="35"/>
        <v/>
      </c>
      <c r="FZ740" s="1465"/>
      <c r="GA740" s="1465"/>
      <c r="GB740" s="1465"/>
      <c r="GC740" s="1464"/>
    </row>
    <row r="741" spans="1:185" ht="12.95" customHeight="1">
      <c r="B741" s="1337"/>
      <c r="C741" s="1338"/>
      <c r="D741" s="1338"/>
      <c r="E741" s="1338"/>
      <c r="F741" s="1339"/>
      <c r="G741" s="1349"/>
      <c r="H741" s="1350"/>
      <c r="I741" s="1350"/>
      <c r="J741" s="1351"/>
      <c r="K741" s="1343"/>
      <c r="L741" s="1344"/>
      <c r="M741" s="1344"/>
      <c r="N741" s="1345"/>
      <c r="O741" s="1340"/>
      <c r="P741" s="1341"/>
      <c r="Q741" s="1341"/>
      <c r="R741" s="1341"/>
      <c r="S741" s="1342"/>
      <c r="T741" s="1340"/>
      <c r="U741" s="1341"/>
      <c r="V741" s="1341"/>
      <c r="W741" s="1342"/>
      <c r="X741" s="1352">
        <f t="shared" si="8"/>
        <v>0</v>
      </c>
      <c r="Y741" s="1353"/>
      <c r="Z741" s="1353"/>
      <c r="AA741" s="1353"/>
      <c r="AB741" s="1354"/>
      <c r="AC741" s="1359"/>
      <c r="AD741" s="1360"/>
      <c r="AE741" s="1360"/>
      <c r="AF741" s="1360"/>
      <c r="AG741" s="1361"/>
      <c r="AH741" s="1355" t="str">
        <f t="shared" si="36"/>
        <v/>
      </c>
      <c r="AI741" s="1356"/>
      <c r="AJ741" s="1357"/>
      <c r="AK741" s="1337" t="s">
        <v>591</v>
      </c>
      <c r="AL741" s="1338"/>
      <c r="AM741" s="1338"/>
      <c r="AN741" s="1338"/>
      <c r="AO741" s="1339"/>
      <c r="AP741" s="3"/>
      <c r="AQ741" s="3"/>
      <c r="AR741" s="3"/>
      <c r="AS741" s="3"/>
      <c r="AY741" s="1085"/>
      <c r="AZ741" s="118" t="str">
        <f t="shared" si="9"/>
        <v>N/A</v>
      </c>
      <c r="BA741" s="3"/>
      <c r="BE741" s="204"/>
      <c r="BF741" s="294">
        <f t="shared" si="10"/>
        <v>0</v>
      </c>
      <c r="BG741" s="297">
        <f t="shared" si="11"/>
        <v>0</v>
      </c>
      <c r="BH741" s="298" t="str">
        <f t="shared" si="12"/>
        <v/>
      </c>
      <c r="BK741" s="3"/>
      <c r="BL741" s="3"/>
      <c r="BM741" s="3"/>
      <c r="BN741" s="3"/>
      <c r="BS741" s="294">
        <f t="shared" si="13"/>
        <v>0</v>
      </c>
      <c r="BT741" s="297">
        <f t="shared" si="14"/>
        <v>0</v>
      </c>
      <c r="BU741" s="298" t="str">
        <f t="shared" si="15"/>
        <v/>
      </c>
      <c r="BV741" s="3"/>
      <c r="BW741" s="3"/>
      <c r="BX741" s="3"/>
      <c r="BY741" s="3"/>
      <c r="BZ741" s="3"/>
      <c r="CA741" s="3"/>
      <c r="CB741" s="3"/>
      <c r="CC741" s="3"/>
      <c r="CE741" s="3"/>
      <c r="CF741" s="3"/>
      <c r="CG741" s="1463">
        <f t="shared" si="37"/>
        <v>0</v>
      </c>
      <c r="CH741" s="1464"/>
      <c r="CI741" s="1469">
        <f t="shared" si="38"/>
        <v>0</v>
      </c>
      <c r="CJ741" s="1470"/>
      <c r="CK741" s="1463">
        <f t="shared" si="16"/>
        <v>0</v>
      </c>
      <c r="CL741" s="1464"/>
      <c r="CM741" s="1469">
        <f t="shared" si="17"/>
        <v>0</v>
      </c>
      <c r="CN741" s="1470"/>
      <c r="CO741" s="3"/>
      <c r="CP741" s="1458">
        <f t="shared" si="18"/>
        <v>0</v>
      </c>
      <c r="CQ741" s="1459"/>
      <c r="CR741" s="1459"/>
      <c r="CS741" s="1459"/>
      <c r="CT741" s="1460"/>
      <c r="CU741" s="1443">
        <f t="shared" si="19"/>
        <v>0</v>
      </c>
      <c r="CV741" s="1443"/>
      <c r="CW741" s="1443"/>
      <c r="CX741" s="1443"/>
      <c r="CY741" s="1443"/>
      <c r="CZ741" s="1443">
        <f t="shared" si="20"/>
        <v>0</v>
      </c>
      <c r="DA741" s="1443"/>
      <c r="DB741" s="1443"/>
      <c r="DC741" s="1443"/>
      <c r="DD741" s="1443"/>
      <c r="DE741" s="1443">
        <f t="shared" si="21"/>
        <v>0</v>
      </c>
      <c r="DF741" s="1443"/>
      <c r="DG741" s="1443"/>
      <c r="DH741" s="1443"/>
      <c r="DI741" s="1443"/>
      <c r="DJ741" s="1443">
        <f t="shared" si="22"/>
        <v>0</v>
      </c>
      <c r="DK741" s="1443"/>
      <c r="DL741" s="1443"/>
      <c r="DM741" s="1443"/>
      <c r="DN741" s="1443"/>
      <c r="DO741" s="1443">
        <f t="shared" si="23"/>
        <v>0</v>
      </c>
      <c r="DP741" s="1443"/>
      <c r="DQ741" s="1443"/>
      <c r="DR741" s="1443"/>
      <c r="DS741" s="1443"/>
      <c r="DT741" s="6"/>
      <c r="DU741" s="1444">
        <f t="shared" si="24"/>
        <v>0</v>
      </c>
      <c r="DV741" s="1444"/>
      <c r="DW741" s="1444"/>
      <c r="DX741" s="1444"/>
      <c r="DY741" s="1444"/>
      <c r="DZ741" s="1444">
        <f t="shared" si="25"/>
        <v>0</v>
      </c>
      <c r="EA741" s="1444"/>
      <c r="EB741" s="1444"/>
      <c r="EC741" s="1444"/>
      <c r="ED741" s="1444"/>
      <c r="EE741" s="1444">
        <f t="shared" si="26"/>
        <v>0</v>
      </c>
      <c r="EF741" s="1444"/>
      <c r="EG741" s="1444"/>
      <c r="EH741" s="1444"/>
      <c r="EI741" s="1444"/>
      <c r="EJ741" s="1444">
        <f t="shared" si="27"/>
        <v>0</v>
      </c>
      <c r="EK741" s="1444"/>
      <c r="EL741" s="1444"/>
      <c r="EM741" s="1444"/>
      <c r="EN741" s="1444"/>
      <c r="EO741" s="1444">
        <f t="shared" si="28"/>
        <v>0</v>
      </c>
      <c r="EP741" s="1444"/>
      <c r="EQ741" s="1444"/>
      <c r="ER741" s="1444"/>
      <c r="ES741" s="1444"/>
      <c r="ET741" s="1444">
        <f t="shared" si="29"/>
        <v>0</v>
      </c>
      <c r="EU741" s="1444"/>
      <c r="EV741" s="1444"/>
      <c r="EW741" s="1444"/>
      <c r="EX741" s="1444"/>
      <c r="EZ741" s="1463" t="str">
        <f t="shared" si="30"/>
        <v/>
      </c>
      <c r="FA741" s="1465"/>
      <c r="FB741" s="1465"/>
      <c r="FC741" s="1465"/>
      <c r="FD741" s="1464"/>
      <c r="FE741" s="1463" t="str">
        <f t="shared" si="31"/>
        <v/>
      </c>
      <c r="FF741" s="1465"/>
      <c r="FG741" s="1465"/>
      <c r="FH741" s="1465"/>
      <c r="FI741" s="1464"/>
      <c r="FJ741" s="1463" t="str">
        <f t="shared" si="32"/>
        <v/>
      </c>
      <c r="FK741" s="1465"/>
      <c r="FL741" s="1465"/>
      <c r="FM741" s="1465"/>
      <c r="FN741" s="1464"/>
      <c r="FO741" s="1463" t="str">
        <f t="shared" si="33"/>
        <v/>
      </c>
      <c r="FP741" s="1465"/>
      <c r="FQ741" s="1465"/>
      <c r="FR741" s="1465"/>
      <c r="FS741" s="1464"/>
      <c r="FT741" s="1463" t="str">
        <f t="shared" si="34"/>
        <v/>
      </c>
      <c r="FU741" s="1465"/>
      <c r="FV741" s="1465"/>
      <c r="FW741" s="1465"/>
      <c r="FX741" s="1464"/>
      <c r="FY741" s="1463" t="str">
        <f t="shared" si="35"/>
        <v/>
      </c>
      <c r="FZ741" s="1465"/>
      <c r="GA741" s="1465"/>
      <c r="GB741" s="1465"/>
      <c r="GC741" s="1464"/>
    </row>
    <row r="742" spans="1:185" ht="12.95" customHeight="1">
      <c r="B742" s="1337"/>
      <c r="C742" s="1338"/>
      <c r="D742" s="1338"/>
      <c r="E742" s="1338"/>
      <c r="F742" s="1339"/>
      <c r="G742" s="1349"/>
      <c r="H742" s="1350"/>
      <c r="I742" s="1350"/>
      <c r="J742" s="1351"/>
      <c r="K742" s="1343"/>
      <c r="L742" s="1344"/>
      <c r="M742" s="1344"/>
      <c r="N742" s="1345"/>
      <c r="O742" s="1340"/>
      <c r="P742" s="1341"/>
      <c r="Q742" s="1341"/>
      <c r="R742" s="1341"/>
      <c r="S742" s="1342"/>
      <c r="T742" s="1340"/>
      <c r="U742" s="1341"/>
      <c r="V742" s="1341"/>
      <c r="W742" s="1342"/>
      <c r="X742" s="1352">
        <f t="shared" ref="X742:X751" si="39">O742+T742</f>
        <v>0</v>
      </c>
      <c r="Y742" s="1353"/>
      <c r="Z742" s="1353"/>
      <c r="AA742" s="1353"/>
      <c r="AB742" s="1354"/>
      <c r="AC742" s="1359"/>
      <c r="AD742" s="1360"/>
      <c r="AE742" s="1360"/>
      <c r="AF742" s="1360"/>
      <c r="AG742" s="1361"/>
      <c r="AH742" s="1355" t="str">
        <f t="shared" si="36"/>
        <v/>
      </c>
      <c r="AI742" s="1356"/>
      <c r="AJ742" s="1357"/>
      <c r="AK742" s="1337" t="s">
        <v>591</v>
      </c>
      <c r="AL742" s="1338"/>
      <c r="AM742" s="1338"/>
      <c r="AN742" s="1338"/>
      <c r="AO742" s="1339"/>
      <c r="AP742" s="3"/>
      <c r="AQ742" s="3"/>
      <c r="AR742" s="3"/>
      <c r="AS742" s="3"/>
      <c r="AY742" s="1085"/>
      <c r="AZ742" s="118" t="str">
        <f t="shared" si="9"/>
        <v>N/A</v>
      </c>
      <c r="BA742" s="3"/>
      <c r="BB742" s="3"/>
      <c r="BE742" s="204"/>
      <c r="BF742" s="294">
        <f t="shared" si="10"/>
        <v>0</v>
      </c>
      <c r="BG742" s="297">
        <f t="shared" si="11"/>
        <v>0</v>
      </c>
      <c r="BH742" s="298" t="str">
        <f t="shared" si="12"/>
        <v/>
      </c>
      <c r="BL742" s="3"/>
      <c r="BM742" s="3"/>
      <c r="BN742" s="3"/>
      <c r="BS742" s="294">
        <f t="shared" si="13"/>
        <v>0</v>
      </c>
      <c r="BT742" s="297">
        <f t="shared" si="14"/>
        <v>0</v>
      </c>
      <c r="BU742" s="298" t="str">
        <f t="shared" si="15"/>
        <v/>
      </c>
      <c r="BV742" s="3"/>
      <c r="BW742" s="3"/>
      <c r="BX742" s="3"/>
      <c r="BY742" s="3"/>
      <c r="BZ742" s="3"/>
      <c r="CA742" s="3"/>
      <c r="CB742" s="3"/>
      <c r="CC742" s="3"/>
      <c r="CE742" s="3"/>
      <c r="CF742" s="3"/>
      <c r="CG742" s="1463">
        <f t="shared" si="37"/>
        <v>0</v>
      </c>
      <c r="CH742" s="1464"/>
      <c r="CI742" s="1469">
        <f t="shared" si="38"/>
        <v>0</v>
      </c>
      <c r="CJ742" s="1470"/>
      <c r="CK742" s="1463">
        <f t="shared" si="16"/>
        <v>0</v>
      </c>
      <c r="CL742" s="1464"/>
      <c r="CM742" s="1469">
        <f t="shared" si="17"/>
        <v>0</v>
      </c>
      <c r="CN742" s="1470"/>
      <c r="CO742" s="3"/>
      <c r="CP742" s="1458">
        <f t="shared" si="18"/>
        <v>0</v>
      </c>
      <c r="CQ742" s="1459"/>
      <c r="CR742" s="1459"/>
      <c r="CS742" s="1459"/>
      <c r="CT742" s="1460"/>
      <c r="CU742" s="1443">
        <f t="shared" si="19"/>
        <v>0</v>
      </c>
      <c r="CV742" s="1443"/>
      <c r="CW742" s="1443"/>
      <c r="CX742" s="1443"/>
      <c r="CY742" s="1443"/>
      <c r="CZ742" s="1443">
        <f t="shared" si="20"/>
        <v>0</v>
      </c>
      <c r="DA742" s="1443"/>
      <c r="DB742" s="1443"/>
      <c r="DC742" s="1443"/>
      <c r="DD742" s="1443"/>
      <c r="DE742" s="1443">
        <f t="shared" si="21"/>
        <v>0</v>
      </c>
      <c r="DF742" s="1443"/>
      <c r="DG742" s="1443"/>
      <c r="DH742" s="1443"/>
      <c r="DI742" s="1443"/>
      <c r="DJ742" s="1443">
        <f t="shared" si="22"/>
        <v>0</v>
      </c>
      <c r="DK742" s="1443"/>
      <c r="DL742" s="1443"/>
      <c r="DM742" s="1443"/>
      <c r="DN742" s="1443"/>
      <c r="DO742" s="1443">
        <f t="shared" si="23"/>
        <v>0</v>
      </c>
      <c r="DP742" s="1443"/>
      <c r="DQ742" s="1443"/>
      <c r="DR742" s="1443"/>
      <c r="DS742" s="1443"/>
      <c r="DT742" s="6"/>
      <c r="DU742" s="1444">
        <f t="shared" si="24"/>
        <v>0</v>
      </c>
      <c r="DV742" s="1444"/>
      <c r="DW742" s="1444"/>
      <c r="DX742" s="1444"/>
      <c r="DY742" s="1444"/>
      <c r="DZ742" s="1444">
        <f t="shared" si="25"/>
        <v>0</v>
      </c>
      <c r="EA742" s="1444"/>
      <c r="EB742" s="1444"/>
      <c r="EC742" s="1444"/>
      <c r="ED742" s="1444"/>
      <c r="EE742" s="1444">
        <f t="shared" si="26"/>
        <v>0</v>
      </c>
      <c r="EF742" s="1444"/>
      <c r="EG742" s="1444"/>
      <c r="EH742" s="1444"/>
      <c r="EI742" s="1444"/>
      <c r="EJ742" s="1444">
        <f t="shared" si="27"/>
        <v>0</v>
      </c>
      <c r="EK742" s="1444"/>
      <c r="EL742" s="1444"/>
      <c r="EM742" s="1444"/>
      <c r="EN742" s="1444"/>
      <c r="EO742" s="1444">
        <f t="shared" si="28"/>
        <v>0</v>
      </c>
      <c r="EP742" s="1444"/>
      <c r="EQ742" s="1444"/>
      <c r="ER742" s="1444"/>
      <c r="ES742" s="1444"/>
      <c r="ET742" s="1444">
        <f t="shared" si="29"/>
        <v>0</v>
      </c>
      <c r="EU742" s="1444"/>
      <c r="EV742" s="1444"/>
      <c r="EW742" s="1444"/>
      <c r="EX742" s="1444"/>
      <c r="EZ742" s="1463" t="str">
        <f t="shared" si="30"/>
        <v/>
      </c>
      <c r="FA742" s="1465"/>
      <c r="FB742" s="1465"/>
      <c r="FC742" s="1465"/>
      <c r="FD742" s="1464"/>
      <c r="FE742" s="1463" t="str">
        <f t="shared" si="31"/>
        <v/>
      </c>
      <c r="FF742" s="1465"/>
      <c r="FG742" s="1465"/>
      <c r="FH742" s="1465"/>
      <c r="FI742" s="1464"/>
      <c r="FJ742" s="1463" t="str">
        <f t="shared" si="32"/>
        <v/>
      </c>
      <c r="FK742" s="1465"/>
      <c r="FL742" s="1465"/>
      <c r="FM742" s="1465"/>
      <c r="FN742" s="1464"/>
      <c r="FO742" s="1463" t="str">
        <f t="shared" si="33"/>
        <v/>
      </c>
      <c r="FP742" s="1465"/>
      <c r="FQ742" s="1465"/>
      <c r="FR742" s="1465"/>
      <c r="FS742" s="1464"/>
      <c r="FT742" s="1463" t="str">
        <f t="shared" si="34"/>
        <v/>
      </c>
      <c r="FU742" s="1465"/>
      <c r="FV742" s="1465"/>
      <c r="FW742" s="1465"/>
      <c r="FX742" s="1464"/>
      <c r="FY742" s="1463" t="str">
        <f t="shared" si="35"/>
        <v/>
      </c>
      <c r="FZ742" s="1465"/>
      <c r="GA742" s="1465"/>
      <c r="GB742" s="1465"/>
      <c r="GC742" s="1464"/>
    </row>
    <row r="743" spans="1:185" s="3" customFormat="1" ht="12.95" customHeight="1">
      <c r="A743"/>
      <c r="B743" s="1337"/>
      <c r="C743" s="1338"/>
      <c r="D743" s="1338"/>
      <c r="E743" s="1338"/>
      <c r="F743" s="1339"/>
      <c r="G743" s="1349"/>
      <c r="H743" s="1350"/>
      <c r="I743" s="1350"/>
      <c r="J743" s="1351"/>
      <c r="K743" s="1343"/>
      <c r="L743" s="1344"/>
      <c r="M743" s="1344"/>
      <c r="N743" s="1345"/>
      <c r="O743" s="1340"/>
      <c r="P743" s="1341"/>
      <c r="Q743" s="1341"/>
      <c r="R743" s="1341"/>
      <c r="S743" s="1342"/>
      <c r="T743" s="1340"/>
      <c r="U743" s="1341"/>
      <c r="V743" s="1341"/>
      <c r="W743" s="1342"/>
      <c r="X743" s="1352">
        <f t="shared" si="39"/>
        <v>0</v>
      </c>
      <c r="Y743" s="1353"/>
      <c r="Z743" s="1353"/>
      <c r="AA743" s="1353"/>
      <c r="AB743" s="1354"/>
      <c r="AC743" s="1359"/>
      <c r="AD743" s="1360"/>
      <c r="AE743" s="1360"/>
      <c r="AF743" s="1360"/>
      <c r="AG743" s="1361"/>
      <c r="AH743" s="1355" t="str">
        <f t="shared" si="36"/>
        <v/>
      </c>
      <c r="AI743" s="1356"/>
      <c r="AJ743" s="1357"/>
      <c r="AK743" s="1337" t="s">
        <v>591</v>
      </c>
      <c r="AL743" s="1338"/>
      <c r="AM743" s="1338"/>
      <c r="AN743" s="1338"/>
      <c r="AO743" s="1339"/>
      <c r="AT743"/>
      <c r="AU743"/>
      <c r="AV743"/>
      <c r="AW743"/>
      <c r="AX743"/>
      <c r="AY743" s="1085"/>
      <c r="AZ743" s="118" t="str">
        <f t="shared" si="9"/>
        <v>N/A</v>
      </c>
      <c r="BD743"/>
      <c r="BE743"/>
      <c r="BF743" s="294">
        <f t="shared" si="10"/>
        <v>0</v>
      </c>
      <c r="BG743" s="297">
        <f t="shared" si="11"/>
        <v>0</v>
      </c>
      <c r="BH743" s="298" t="str">
        <f t="shared" si="12"/>
        <v/>
      </c>
      <c r="BI743"/>
      <c r="BJ743"/>
      <c r="BK743"/>
      <c r="BL743"/>
      <c r="BM743"/>
      <c r="BN743"/>
      <c r="BO743"/>
      <c r="BP743"/>
      <c r="BQ743"/>
      <c r="BR743"/>
      <c r="BS743" s="294">
        <f t="shared" si="13"/>
        <v>0</v>
      </c>
      <c r="BT743" s="297">
        <f t="shared" si="14"/>
        <v>0</v>
      </c>
      <c r="BU743" s="298" t="str">
        <f t="shared" si="15"/>
        <v/>
      </c>
      <c r="CD743"/>
      <c r="CG743" s="1463">
        <f t="shared" si="37"/>
        <v>0</v>
      </c>
      <c r="CH743" s="1464"/>
      <c r="CI743" s="1469">
        <f t="shared" si="38"/>
        <v>0</v>
      </c>
      <c r="CJ743" s="1470"/>
      <c r="CK743" s="1463">
        <f t="shared" si="16"/>
        <v>0</v>
      </c>
      <c r="CL743" s="1464"/>
      <c r="CM743" s="1469">
        <f t="shared" si="17"/>
        <v>0</v>
      </c>
      <c r="CN743" s="1470"/>
      <c r="CP743" s="1458">
        <f t="shared" si="18"/>
        <v>0</v>
      </c>
      <c r="CQ743" s="1459"/>
      <c r="CR743" s="1459"/>
      <c r="CS743" s="1459"/>
      <c r="CT743" s="1460"/>
      <c r="CU743" s="1443">
        <f t="shared" si="19"/>
        <v>0</v>
      </c>
      <c r="CV743" s="1443"/>
      <c r="CW743" s="1443"/>
      <c r="CX743" s="1443"/>
      <c r="CY743" s="1443"/>
      <c r="CZ743" s="1443">
        <f t="shared" si="20"/>
        <v>0</v>
      </c>
      <c r="DA743" s="1443"/>
      <c r="DB743" s="1443"/>
      <c r="DC743" s="1443"/>
      <c r="DD743" s="1443"/>
      <c r="DE743" s="1443">
        <f t="shared" si="21"/>
        <v>0</v>
      </c>
      <c r="DF743" s="1443"/>
      <c r="DG743" s="1443"/>
      <c r="DH743" s="1443"/>
      <c r="DI743" s="1443"/>
      <c r="DJ743" s="1443">
        <f t="shared" si="22"/>
        <v>0</v>
      </c>
      <c r="DK743" s="1443"/>
      <c r="DL743" s="1443"/>
      <c r="DM743" s="1443"/>
      <c r="DN743" s="1443"/>
      <c r="DO743" s="1443">
        <f t="shared" si="23"/>
        <v>0</v>
      </c>
      <c r="DP743" s="1443"/>
      <c r="DQ743" s="1443"/>
      <c r="DR743" s="1443"/>
      <c r="DS743" s="1443"/>
      <c r="DT743" s="6"/>
      <c r="DU743" s="1444">
        <f t="shared" si="24"/>
        <v>0</v>
      </c>
      <c r="DV743" s="1444"/>
      <c r="DW743" s="1444"/>
      <c r="DX743" s="1444"/>
      <c r="DY743" s="1444"/>
      <c r="DZ743" s="1444">
        <f t="shared" si="25"/>
        <v>0</v>
      </c>
      <c r="EA743" s="1444"/>
      <c r="EB743" s="1444"/>
      <c r="EC743" s="1444"/>
      <c r="ED743" s="1444"/>
      <c r="EE743" s="1444">
        <f t="shared" si="26"/>
        <v>0</v>
      </c>
      <c r="EF743" s="1444"/>
      <c r="EG743" s="1444"/>
      <c r="EH743" s="1444"/>
      <c r="EI743" s="1444"/>
      <c r="EJ743" s="1444">
        <f t="shared" si="27"/>
        <v>0</v>
      </c>
      <c r="EK743" s="1444"/>
      <c r="EL743" s="1444"/>
      <c r="EM743" s="1444"/>
      <c r="EN743" s="1444"/>
      <c r="EO743" s="1444">
        <f t="shared" si="28"/>
        <v>0</v>
      </c>
      <c r="EP743" s="1444"/>
      <c r="EQ743" s="1444"/>
      <c r="ER743" s="1444"/>
      <c r="ES743" s="1444"/>
      <c r="ET743" s="1444">
        <f t="shared" si="29"/>
        <v>0</v>
      </c>
      <c r="EU743" s="1444"/>
      <c r="EV743" s="1444"/>
      <c r="EW743" s="1444"/>
      <c r="EX743" s="1444"/>
      <c r="EY743"/>
      <c r="EZ743" s="1463" t="str">
        <f t="shared" si="30"/>
        <v/>
      </c>
      <c r="FA743" s="1465"/>
      <c r="FB743" s="1465"/>
      <c r="FC743" s="1465"/>
      <c r="FD743" s="1464"/>
      <c r="FE743" s="1463" t="str">
        <f t="shared" si="31"/>
        <v/>
      </c>
      <c r="FF743" s="1465"/>
      <c r="FG743" s="1465"/>
      <c r="FH743" s="1465"/>
      <c r="FI743" s="1464"/>
      <c r="FJ743" s="1463" t="str">
        <f t="shared" si="32"/>
        <v/>
      </c>
      <c r="FK743" s="1465"/>
      <c r="FL743" s="1465"/>
      <c r="FM743" s="1465"/>
      <c r="FN743" s="1464"/>
      <c r="FO743" s="1463" t="str">
        <f t="shared" si="33"/>
        <v/>
      </c>
      <c r="FP743" s="1465"/>
      <c r="FQ743" s="1465"/>
      <c r="FR743" s="1465"/>
      <c r="FS743" s="1464"/>
      <c r="FT743" s="1463" t="str">
        <f t="shared" si="34"/>
        <v/>
      </c>
      <c r="FU743" s="1465"/>
      <c r="FV743" s="1465"/>
      <c r="FW743" s="1465"/>
      <c r="FX743" s="1464"/>
      <c r="FY743" s="1463" t="str">
        <f t="shared" si="35"/>
        <v/>
      </c>
      <c r="FZ743" s="1465"/>
      <c r="GA743" s="1465"/>
      <c r="GB743" s="1465"/>
      <c r="GC743" s="1464"/>
    </row>
    <row r="744" spans="1:185" ht="12.95" customHeight="1">
      <c r="B744" s="1337"/>
      <c r="C744" s="1338"/>
      <c r="D744" s="1338"/>
      <c r="E744" s="1338"/>
      <c r="F744" s="1339"/>
      <c r="G744" s="1349"/>
      <c r="H744" s="1350"/>
      <c r="I744" s="1350"/>
      <c r="J744" s="1351"/>
      <c r="K744" s="1343"/>
      <c r="L744" s="1344"/>
      <c r="M744" s="1344"/>
      <c r="N744" s="1345"/>
      <c r="O744" s="1340"/>
      <c r="P744" s="1341"/>
      <c r="Q744" s="1341"/>
      <c r="R744" s="1341"/>
      <c r="S744" s="1342"/>
      <c r="T744" s="1340"/>
      <c r="U744" s="1341"/>
      <c r="V744" s="1341"/>
      <c r="W744" s="1342"/>
      <c r="X744" s="1352">
        <f t="shared" si="39"/>
        <v>0</v>
      </c>
      <c r="Y744" s="1353"/>
      <c r="Z744" s="1353"/>
      <c r="AA744" s="1353"/>
      <c r="AB744" s="1354"/>
      <c r="AC744" s="1359"/>
      <c r="AD744" s="1360"/>
      <c r="AE744" s="1360"/>
      <c r="AF744" s="1360"/>
      <c r="AG744" s="1361"/>
      <c r="AH744" s="1355" t="str">
        <f t="shared" si="36"/>
        <v/>
      </c>
      <c r="AI744" s="1356"/>
      <c r="AJ744" s="1357"/>
      <c r="AK744" s="1337" t="s">
        <v>591</v>
      </c>
      <c r="AL744" s="1338"/>
      <c r="AM744" s="1338"/>
      <c r="AN744" s="1338"/>
      <c r="AO744" s="1339"/>
      <c r="AP744" s="3"/>
      <c r="AQ744" s="3"/>
      <c r="AR744" s="3"/>
      <c r="AS744" s="3"/>
      <c r="AY744" s="1085"/>
      <c r="AZ744" s="118" t="str">
        <f t="shared" si="9"/>
        <v>N/A</v>
      </c>
      <c r="BA744" s="3"/>
      <c r="BB744" s="3"/>
      <c r="BC744" s="3"/>
      <c r="BD744" s="3"/>
      <c r="BE744" s="3"/>
      <c r="BF744" s="294">
        <f t="shared" si="10"/>
        <v>0</v>
      </c>
      <c r="BG744" s="297">
        <f t="shared" si="11"/>
        <v>0</v>
      </c>
      <c r="BH744" s="298" t="str">
        <f t="shared" si="12"/>
        <v/>
      </c>
      <c r="BI744" s="3"/>
      <c r="BJ744" s="3"/>
      <c r="BK744" s="3"/>
      <c r="BL744" s="3"/>
      <c r="BM744" s="3"/>
      <c r="BN744" s="3"/>
      <c r="BS744" s="294">
        <f t="shared" si="13"/>
        <v>0</v>
      </c>
      <c r="BT744" s="297">
        <f t="shared" si="14"/>
        <v>0</v>
      </c>
      <c r="BU744" s="298" t="str">
        <f t="shared" si="15"/>
        <v/>
      </c>
      <c r="BV744" s="3"/>
      <c r="BW744" s="3"/>
      <c r="BX744" s="3"/>
      <c r="BY744" s="3"/>
      <c r="BZ744" s="3"/>
      <c r="CA744" s="3"/>
      <c r="CB744" s="3"/>
      <c r="CC744" s="3"/>
      <c r="CE744" s="3"/>
      <c r="CF744" s="3"/>
      <c r="CG744" s="1463">
        <f t="shared" si="37"/>
        <v>0</v>
      </c>
      <c r="CH744" s="1464"/>
      <c r="CI744" s="1469">
        <f t="shared" si="38"/>
        <v>0</v>
      </c>
      <c r="CJ744" s="1470"/>
      <c r="CK744" s="1463">
        <f t="shared" si="16"/>
        <v>0</v>
      </c>
      <c r="CL744" s="1464"/>
      <c r="CM744" s="1469">
        <f t="shared" si="17"/>
        <v>0</v>
      </c>
      <c r="CN744" s="1470"/>
      <c r="CO744" s="3"/>
      <c r="CP744" s="1458">
        <f t="shared" si="18"/>
        <v>0</v>
      </c>
      <c r="CQ744" s="1459"/>
      <c r="CR744" s="1459"/>
      <c r="CS744" s="1459"/>
      <c r="CT744" s="1460"/>
      <c r="CU744" s="1443">
        <f t="shared" si="19"/>
        <v>0</v>
      </c>
      <c r="CV744" s="1443"/>
      <c r="CW744" s="1443"/>
      <c r="CX744" s="1443"/>
      <c r="CY744" s="1443"/>
      <c r="CZ744" s="1443">
        <f t="shared" si="20"/>
        <v>0</v>
      </c>
      <c r="DA744" s="1443"/>
      <c r="DB744" s="1443"/>
      <c r="DC744" s="1443"/>
      <c r="DD744" s="1443"/>
      <c r="DE744" s="1443">
        <f t="shared" si="21"/>
        <v>0</v>
      </c>
      <c r="DF744" s="1443"/>
      <c r="DG744" s="1443"/>
      <c r="DH744" s="1443"/>
      <c r="DI744" s="1443"/>
      <c r="DJ744" s="1443">
        <f t="shared" si="22"/>
        <v>0</v>
      </c>
      <c r="DK744" s="1443"/>
      <c r="DL744" s="1443"/>
      <c r="DM744" s="1443"/>
      <c r="DN744" s="1443"/>
      <c r="DO744" s="1443">
        <f t="shared" si="23"/>
        <v>0</v>
      </c>
      <c r="DP744" s="1443"/>
      <c r="DQ744" s="1443"/>
      <c r="DR744" s="1443"/>
      <c r="DS744" s="1443"/>
      <c r="DT744" s="6"/>
      <c r="DU744" s="1444">
        <f t="shared" si="24"/>
        <v>0</v>
      </c>
      <c r="DV744" s="1444"/>
      <c r="DW744" s="1444"/>
      <c r="DX744" s="1444"/>
      <c r="DY744" s="1444"/>
      <c r="DZ744" s="1444">
        <f t="shared" si="25"/>
        <v>0</v>
      </c>
      <c r="EA744" s="1444"/>
      <c r="EB744" s="1444"/>
      <c r="EC744" s="1444"/>
      <c r="ED744" s="1444"/>
      <c r="EE744" s="1444">
        <f t="shared" si="26"/>
        <v>0</v>
      </c>
      <c r="EF744" s="1444"/>
      <c r="EG744" s="1444"/>
      <c r="EH744" s="1444"/>
      <c r="EI744" s="1444"/>
      <c r="EJ744" s="1444">
        <f t="shared" si="27"/>
        <v>0</v>
      </c>
      <c r="EK744" s="1444"/>
      <c r="EL744" s="1444"/>
      <c r="EM744" s="1444"/>
      <c r="EN744" s="1444"/>
      <c r="EO744" s="1444">
        <f t="shared" si="28"/>
        <v>0</v>
      </c>
      <c r="EP744" s="1444"/>
      <c r="EQ744" s="1444"/>
      <c r="ER744" s="1444"/>
      <c r="ES744" s="1444"/>
      <c r="ET744" s="1444">
        <f t="shared" si="29"/>
        <v>0</v>
      </c>
      <c r="EU744" s="1444"/>
      <c r="EV744" s="1444"/>
      <c r="EW744" s="1444"/>
      <c r="EX744" s="1444"/>
      <c r="EZ744" s="1463" t="str">
        <f t="shared" si="30"/>
        <v/>
      </c>
      <c r="FA744" s="1465"/>
      <c r="FB744" s="1465"/>
      <c r="FC744" s="1465"/>
      <c r="FD744" s="1464"/>
      <c r="FE744" s="1463" t="str">
        <f t="shared" si="31"/>
        <v/>
      </c>
      <c r="FF744" s="1465"/>
      <c r="FG744" s="1465"/>
      <c r="FH744" s="1465"/>
      <c r="FI744" s="1464"/>
      <c r="FJ744" s="1463" t="str">
        <f t="shared" si="32"/>
        <v/>
      </c>
      <c r="FK744" s="1465"/>
      <c r="FL744" s="1465"/>
      <c r="FM744" s="1465"/>
      <c r="FN744" s="1464"/>
      <c r="FO744" s="1463" t="str">
        <f t="shared" si="33"/>
        <v/>
      </c>
      <c r="FP744" s="1465"/>
      <c r="FQ744" s="1465"/>
      <c r="FR744" s="1465"/>
      <c r="FS744" s="1464"/>
      <c r="FT744" s="1463" t="str">
        <f t="shared" si="34"/>
        <v/>
      </c>
      <c r="FU744" s="1465"/>
      <c r="FV744" s="1465"/>
      <c r="FW744" s="1465"/>
      <c r="FX744" s="1464"/>
      <c r="FY744" s="1463" t="str">
        <f t="shared" si="35"/>
        <v/>
      </c>
      <c r="FZ744" s="1465"/>
      <c r="GA744" s="1465"/>
      <c r="GB744" s="1465"/>
      <c r="GC744" s="1464"/>
    </row>
    <row r="745" spans="1:185" ht="12.95" customHeight="1">
      <c r="B745" s="1337"/>
      <c r="C745" s="1338"/>
      <c r="D745" s="1338"/>
      <c r="E745" s="1338"/>
      <c r="F745" s="1339"/>
      <c r="G745" s="1349"/>
      <c r="H745" s="1350"/>
      <c r="I745" s="1350"/>
      <c r="J745" s="1351"/>
      <c r="K745" s="1343"/>
      <c r="L745" s="1344"/>
      <c r="M745" s="1344"/>
      <c r="N745" s="1345"/>
      <c r="O745" s="1340"/>
      <c r="P745" s="1341"/>
      <c r="Q745" s="1341"/>
      <c r="R745" s="1341"/>
      <c r="S745" s="1342"/>
      <c r="T745" s="1340"/>
      <c r="U745" s="1341"/>
      <c r="V745" s="1341"/>
      <c r="W745" s="1342"/>
      <c r="X745" s="1352">
        <f t="shared" si="39"/>
        <v>0</v>
      </c>
      <c r="Y745" s="1353"/>
      <c r="Z745" s="1353"/>
      <c r="AA745" s="1353"/>
      <c r="AB745" s="1354"/>
      <c r="AC745" s="1359"/>
      <c r="AD745" s="1360"/>
      <c r="AE745" s="1360"/>
      <c r="AF745" s="1360"/>
      <c r="AG745" s="1361"/>
      <c r="AH745" s="1355" t="str">
        <f t="shared" si="36"/>
        <v/>
      </c>
      <c r="AI745" s="1356"/>
      <c r="AJ745" s="1357"/>
      <c r="AK745" s="1337" t="s">
        <v>591</v>
      </c>
      <c r="AL745" s="1338"/>
      <c r="AM745" s="1338"/>
      <c r="AN745" s="1338"/>
      <c r="AO745" s="1339"/>
      <c r="AP745" s="3"/>
      <c r="AQ745" s="3"/>
      <c r="AR745" s="3"/>
      <c r="AS745" s="3"/>
      <c r="AY745" s="1085"/>
      <c r="AZ745" s="118" t="str">
        <f t="shared" si="9"/>
        <v>N/A</v>
      </c>
      <c r="BA745" s="3"/>
      <c r="BB745" s="3"/>
      <c r="BC745" s="3"/>
      <c r="BD745" s="3"/>
      <c r="BE745" s="3"/>
      <c r="BF745" s="294">
        <f t="shared" si="10"/>
        <v>0</v>
      </c>
      <c r="BG745" s="297">
        <f t="shared" si="11"/>
        <v>0</v>
      </c>
      <c r="BH745" s="298" t="str">
        <f t="shared" si="12"/>
        <v/>
      </c>
      <c r="BI745" s="3"/>
      <c r="BJ745" s="3"/>
      <c r="BK745" s="3"/>
      <c r="BL745" s="3"/>
      <c r="BM745" s="3"/>
      <c r="BN745" s="3"/>
      <c r="BS745" s="294">
        <f t="shared" si="13"/>
        <v>0</v>
      </c>
      <c r="BT745" s="297">
        <f t="shared" si="14"/>
        <v>0</v>
      </c>
      <c r="BU745" s="298" t="str">
        <f t="shared" si="15"/>
        <v/>
      </c>
      <c r="BV745" s="3"/>
      <c r="BW745" s="3"/>
      <c r="BX745" s="3"/>
      <c r="BY745" s="3"/>
      <c r="BZ745" s="3"/>
      <c r="CA745" s="3"/>
      <c r="CB745" s="3"/>
      <c r="CC745" s="3"/>
      <c r="CE745" s="3"/>
      <c r="CF745" s="3"/>
      <c r="CG745" s="1463">
        <f t="shared" si="37"/>
        <v>0</v>
      </c>
      <c r="CH745" s="1464"/>
      <c r="CI745" s="1469">
        <f t="shared" si="38"/>
        <v>0</v>
      </c>
      <c r="CJ745" s="1470"/>
      <c r="CK745" s="1463">
        <f t="shared" si="16"/>
        <v>0</v>
      </c>
      <c r="CL745" s="1464"/>
      <c r="CM745" s="1469">
        <f t="shared" si="17"/>
        <v>0</v>
      </c>
      <c r="CN745" s="1470"/>
      <c r="CO745" s="3"/>
      <c r="CP745" s="1458">
        <f t="shared" si="18"/>
        <v>0</v>
      </c>
      <c r="CQ745" s="1459"/>
      <c r="CR745" s="1459"/>
      <c r="CS745" s="1459"/>
      <c r="CT745" s="1460"/>
      <c r="CU745" s="1443">
        <f t="shared" si="19"/>
        <v>0</v>
      </c>
      <c r="CV745" s="1443"/>
      <c r="CW745" s="1443"/>
      <c r="CX745" s="1443"/>
      <c r="CY745" s="1443"/>
      <c r="CZ745" s="1443">
        <f t="shared" si="20"/>
        <v>0</v>
      </c>
      <c r="DA745" s="1443"/>
      <c r="DB745" s="1443"/>
      <c r="DC745" s="1443"/>
      <c r="DD745" s="1443"/>
      <c r="DE745" s="1443">
        <f t="shared" si="21"/>
        <v>0</v>
      </c>
      <c r="DF745" s="1443"/>
      <c r="DG745" s="1443"/>
      <c r="DH745" s="1443"/>
      <c r="DI745" s="1443"/>
      <c r="DJ745" s="1443">
        <f t="shared" si="22"/>
        <v>0</v>
      </c>
      <c r="DK745" s="1443"/>
      <c r="DL745" s="1443"/>
      <c r="DM745" s="1443"/>
      <c r="DN745" s="1443"/>
      <c r="DO745" s="1443">
        <f t="shared" si="23"/>
        <v>0</v>
      </c>
      <c r="DP745" s="1443"/>
      <c r="DQ745" s="1443"/>
      <c r="DR745" s="1443"/>
      <c r="DS745" s="1443"/>
      <c r="DT745" s="6"/>
      <c r="DU745" s="1444">
        <f t="shared" si="24"/>
        <v>0</v>
      </c>
      <c r="DV745" s="1444"/>
      <c r="DW745" s="1444"/>
      <c r="DX745" s="1444"/>
      <c r="DY745" s="1444"/>
      <c r="DZ745" s="1444">
        <f t="shared" si="25"/>
        <v>0</v>
      </c>
      <c r="EA745" s="1444"/>
      <c r="EB745" s="1444"/>
      <c r="EC745" s="1444"/>
      <c r="ED745" s="1444"/>
      <c r="EE745" s="1444">
        <f t="shared" si="26"/>
        <v>0</v>
      </c>
      <c r="EF745" s="1444"/>
      <c r="EG745" s="1444"/>
      <c r="EH745" s="1444"/>
      <c r="EI745" s="1444"/>
      <c r="EJ745" s="1444">
        <f t="shared" si="27"/>
        <v>0</v>
      </c>
      <c r="EK745" s="1444"/>
      <c r="EL745" s="1444"/>
      <c r="EM745" s="1444"/>
      <c r="EN745" s="1444"/>
      <c r="EO745" s="1444">
        <f t="shared" si="28"/>
        <v>0</v>
      </c>
      <c r="EP745" s="1444"/>
      <c r="EQ745" s="1444"/>
      <c r="ER745" s="1444"/>
      <c r="ES745" s="1444"/>
      <c r="ET745" s="1444">
        <f t="shared" si="29"/>
        <v>0</v>
      </c>
      <c r="EU745" s="1444"/>
      <c r="EV745" s="1444"/>
      <c r="EW745" s="1444"/>
      <c r="EX745" s="1444"/>
      <c r="EZ745" s="1463" t="str">
        <f t="shared" si="30"/>
        <v/>
      </c>
      <c r="FA745" s="1465"/>
      <c r="FB745" s="1465"/>
      <c r="FC745" s="1465"/>
      <c r="FD745" s="1464"/>
      <c r="FE745" s="1463" t="str">
        <f t="shared" si="31"/>
        <v/>
      </c>
      <c r="FF745" s="1465"/>
      <c r="FG745" s="1465"/>
      <c r="FH745" s="1465"/>
      <c r="FI745" s="1464"/>
      <c r="FJ745" s="1463" t="str">
        <f t="shared" si="32"/>
        <v/>
      </c>
      <c r="FK745" s="1465"/>
      <c r="FL745" s="1465"/>
      <c r="FM745" s="1465"/>
      <c r="FN745" s="1464"/>
      <c r="FO745" s="1463" t="str">
        <f t="shared" si="33"/>
        <v/>
      </c>
      <c r="FP745" s="1465"/>
      <c r="FQ745" s="1465"/>
      <c r="FR745" s="1465"/>
      <c r="FS745" s="1464"/>
      <c r="FT745" s="1463" t="str">
        <f t="shared" si="34"/>
        <v/>
      </c>
      <c r="FU745" s="1465"/>
      <c r="FV745" s="1465"/>
      <c r="FW745" s="1465"/>
      <c r="FX745" s="1464"/>
      <c r="FY745" s="1463" t="str">
        <f t="shared" si="35"/>
        <v/>
      </c>
      <c r="FZ745" s="1465"/>
      <c r="GA745" s="1465"/>
      <c r="GB745" s="1465"/>
      <c r="GC745" s="1464"/>
    </row>
    <row r="746" spans="1:185" ht="12.95" customHeight="1">
      <c r="B746" s="1337"/>
      <c r="C746" s="1338"/>
      <c r="D746" s="1338"/>
      <c r="E746" s="1338"/>
      <c r="F746" s="1339"/>
      <c r="G746" s="1349"/>
      <c r="H746" s="1350"/>
      <c r="I746" s="1350"/>
      <c r="J746" s="1351"/>
      <c r="K746" s="1343"/>
      <c r="L746" s="1344"/>
      <c r="M746" s="1344"/>
      <c r="N746" s="1345"/>
      <c r="O746" s="1340"/>
      <c r="P746" s="1341"/>
      <c r="Q746" s="1341"/>
      <c r="R746" s="1341"/>
      <c r="S746" s="1342"/>
      <c r="T746" s="1340"/>
      <c r="U746" s="1341"/>
      <c r="V746" s="1341"/>
      <c r="W746" s="1342"/>
      <c r="X746" s="1352">
        <f t="shared" si="39"/>
        <v>0</v>
      </c>
      <c r="Y746" s="1353"/>
      <c r="Z746" s="1353"/>
      <c r="AA746" s="1353"/>
      <c r="AB746" s="1354"/>
      <c r="AC746" s="1359"/>
      <c r="AD746" s="1360"/>
      <c r="AE746" s="1360"/>
      <c r="AF746" s="1360"/>
      <c r="AG746" s="1361"/>
      <c r="AH746" s="1355" t="str">
        <f t="shared" si="36"/>
        <v/>
      </c>
      <c r="AI746" s="1356"/>
      <c r="AJ746" s="1357"/>
      <c r="AK746" s="1337" t="s">
        <v>591</v>
      </c>
      <c r="AL746" s="1338"/>
      <c r="AM746" s="1338"/>
      <c r="AN746" s="1338"/>
      <c r="AO746" s="1339"/>
      <c r="AP746" s="3"/>
      <c r="AQ746" s="3"/>
      <c r="AR746" s="3"/>
      <c r="AS746" s="3"/>
      <c r="AY746" s="1085"/>
      <c r="AZ746" s="118" t="str">
        <f t="shared" si="9"/>
        <v>N/A</v>
      </c>
      <c r="BA746" s="34"/>
      <c r="BB746" s="34"/>
      <c r="BC746" s="34"/>
      <c r="BD746" s="34"/>
      <c r="BE746" s="34"/>
      <c r="BF746" s="294">
        <f t="shared" si="10"/>
        <v>0</v>
      </c>
      <c r="BG746" s="297">
        <f t="shared" si="11"/>
        <v>0</v>
      </c>
      <c r="BH746" s="298" t="str">
        <f t="shared" si="12"/>
        <v/>
      </c>
      <c r="BI746" s="34"/>
      <c r="BJ746" s="34"/>
      <c r="BK746" s="34"/>
      <c r="BL746" s="34"/>
      <c r="BM746" s="34"/>
      <c r="BN746" s="34"/>
      <c r="BS746" s="294">
        <f t="shared" si="13"/>
        <v>0</v>
      </c>
      <c r="BT746" s="297">
        <f t="shared" si="14"/>
        <v>0</v>
      </c>
      <c r="BU746" s="298" t="str">
        <f t="shared" si="15"/>
        <v/>
      </c>
      <c r="BV746" s="3"/>
      <c r="BW746" s="3"/>
      <c r="BX746" s="3"/>
      <c r="BY746" s="3"/>
      <c r="BZ746" s="3"/>
      <c r="CA746" s="3"/>
      <c r="CB746" s="3"/>
      <c r="CC746" s="3"/>
      <c r="CE746" s="3"/>
      <c r="CF746" s="3"/>
      <c r="CG746" s="1463">
        <f t="shared" si="37"/>
        <v>0</v>
      </c>
      <c r="CH746" s="1464"/>
      <c r="CI746" s="1469">
        <f t="shared" si="38"/>
        <v>0</v>
      </c>
      <c r="CJ746" s="1470"/>
      <c r="CK746" s="1463">
        <f t="shared" si="16"/>
        <v>0</v>
      </c>
      <c r="CL746" s="1464"/>
      <c r="CM746" s="1469">
        <f t="shared" si="17"/>
        <v>0</v>
      </c>
      <c r="CN746" s="1470"/>
      <c r="CO746" s="3"/>
      <c r="CP746" s="1458">
        <f t="shared" si="18"/>
        <v>0</v>
      </c>
      <c r="CQ746" s="1459"/>
      <c r="CR746" s="1459"/>
      <c r="CS746" s="1459"/>
      <c r="CT746" s="1460"/>
      <c r="CU746" s="1443">
        <f t="shared" si="19"/>
        <v>0</v>
      </c>
      <c r="CV746" s="1443"/>
      <c r="CW746" s="1443"/>
      <c r="CX746" s="1443"/>
      <c r="CY746" s="1443"/>
      <c r="CZ746" s="1443">
        <f t="shared" si="20"/>
        <v>0</v>
      </c>
      <c r="DA746" s="1443"/>
      <c r="DB746" s="1443"/>
      <c r="DC746" s="1443"/>
      <c r="DD746" s="1443"/>
      <c r="DE746" s="1443">
        <f t="shared" si="21"/>
        <v>0</v>
      </c>
      <c r="DF746" s="1443"/>
      <c r="DG746" s="1443"/>
      <c r="DH746" s="1443"/>
      <c r="DI746" s="1443"/>
      <c r="DJ746" s="1443">
        <f t="shared" si="22"/>
        <v>0</v>
      </c>
      <c r="DK746" s="1443"/>
      <c r="DL746" s="1443"/>
      <c r="DM746" s="1443"/>
      <c r="DN746" s="1443"/>
      <c r="DO746" s="1443">
        <f t="shared" si="23"/>
        <v>0</v>
      </c>
      <c r="DP746" s="1443"/>
      <c r="DQ746" s="1443"/>
      <c r="DR746" s="1443"/>
      <c r="DS746" s="1443"/>
      <c r="DT746" s="6"/>
      <c r="DU746" s="1444">
        <f t="shared" si="24"/>
        <v>0</v>
      </c>
      <c r="DV746" s="1444"/>
      <c r="DW746" s="1444"/>
      <c r="DX746" s="1444"/>
      <c r="DY746" s="1444"/>
      <c r="DZ746" s="1444">
        <f t="shared" si="25"/>
        <v>0</v>
      </c>
      <c r="EA746" s="1444"/>
      <c r="EB746" s="1444"/>
      <c r="EC746" s="1444"/>
      <c r="ED746" s="1444"/>
      <c r="EE746" s="1444">
        <f t="shared" si="26"/>
        <v>0</v>
      </c>
      <c r="EF746" s="1444"/>
      <c r="EG746" s="1444"/>
      <c r="EH746" s="1444"/>
      <c r="EI746" s="1444"/>
      <c r="EJ746" s="1444">
        <f t="shared" si="27"/>
        <v>0</v>
      </c>
      <c r="EK746" s="1444"/>
      <c r="EL746" s="1444"/>
      <c r="EM746" s="1444"/>
      <c r="EN746" s="1444"/>
      <c r="EO746" s="1444">
        <f t="shared" si="28"/>
        <v>0</v>
      </c>
      <c r="EP746" s="1444"/>
      <c r="EQ746" s="1444"/>
      <c r="ER746" s="1444"/>
      <c r="ES746" s="1444"/>
      <c r="ET746" s="1444">
        <f t="shared" si="29"/>
        <v>0</v>
      </c>
      <c r="EU746" s="1444"/>
      <c r="EV746" s="1444"/>
      <c r="EW746" s="1444"/>
      <c r="EX746" s="1444"/>
      <c r="EZ746" s="1463" t="str">
        <f t="shared" si="30"/>
        <v/>
      </c>
      <c r="FA746" s="1465"/>
      <c r="FB746" s="1465"/>
      <c r="FC746" s="1465"/>
      <c r="FD746" s="1464"/>
      <c r="FE746" s="1463" t="str">
        <f t="shared" si="31"/>
        <v/>
      </c>
      <c r="FF746" s="1465"/>
      <c r="FG746" s="1465"/>
      <c r="FH746" s="1465"/>
      <c r="FI746" s="1464"/>
      <c r="FJ746" s="1463" t="str">
        <f t="shared" si="32"/>
        <v/>
      </c>
      <c r="FK746" s="1465"/>
      <c r="FL746" s="1465"/>
      <c r="FM746" s="1465"/>
      <c r="FN746" s="1464"/>
      <c r="FO746" s="1463" t="str">
        <f t="shared" si="33"/>
        <v/>
      </c>
      <c r="FP746" s="1465"/>
      <c r="FQ746" s="1465"/>
      <c r="FR746" s="1465"/>
      <c r="FS746" s="1464"/>
      <c r="FT746" s="1463" t="str">
        <f t="shared" si="34"/>
        <v/>
      </c>
      <c r="FU746" s="1465"/>
      <c r="FV746" s="1465"/>
      <c r="FW746" s="1465"/>
      <c r="FX746" s="1464"/>
      <c r="FY746" s="1463" t="str">
        <f t="shared" si="35"/>
        <v/>
      </c>
      <c r="FZ746" s="1465"/>
      <c r="GA746" s="1465"/>
      <c r="GB746" s="1465"/>
      <c r="GC746" s="1464"/>
    </row>
    <row r="747" spans="1:185" ht="12.95" customHeight="1">
      <c r="B747" s="1337"/>
      <c r="C747" s="1338"/>
      <c r="D747" s="1338"/>
      <c r="E747" s="1338"/>
      <c r="F747" s="1339"/>
      <c r="G747" s="1349"/>
      <c r="H747" s="1350"/>
      <c r="I747" s="1350"/>
      <c r="J747" s="1351"/>
      <c r="K747" s="1343"/>
      <c r="L747" s="1344"/>
      <c r="M747" s="1344"/>
      <c r="N747" s="1345"/>
      <c r="O747" s="1340"/>
      <c r="P747" s="1341"/>
      <c r="Q747" s="1341"/>
      <c r="R747" s="1341"/>
      <c r="S747" s="1342"/>
      <c r="T747" s="1340"/>
      <c r="U747" s="1341"/>
      <c r="V747" s="1341"/>
      <c r="W747" s="1342"/>
      <c r="X747" s="1352">
        <f t="shared" si="39"/>
        <v>0</v>
      </c>
      <c r="Y747" s="1353"/>
      <c r="Z747" s="1353"/>
      <c r="AA747" s="1353"/>
      <c r="AB747" s="1354"/>
      <c r="AC747" s="1359"/>
      <c r="AD747" s="1360"/>
      <c r="AE747" s="1360"/>
      <c r="AF747" s="1360"/>
      <c r="AG747" s="1361"/>
      <c r="AH747" s="1355" t="str">
        <f t="shared" si="36"/>
        <v/>
      </c>
      <c r="AI747" s="1356"/>
      <c r="AJ747" s="1357"/>
      <c r="AK747" s="1337" t="s">
        <v>591</v>
      </c>
      <c r="AL747" s="1338"/>
      <c r="AM747" s="1338"/>
      <c r="AN747" s="1338"/>
      <c r="AO747" s="1339"/>
      <c r="AP747" s="3"/>
      <c r="AQ747" s="3"/>
      <c r="AR747" s="3"/>
      <c r="AS747" s="3"/>
      <c r="AY747" s="1085"/>
      <c r="AZ747" s="118" t="str">
        <f t="shared" si="9"/>
        <v>N/A</v>
      </c>
      <c r="BA747" s="34"/>
      <c r="BB747" s="34"/>
      <c r="BC747" s="34"/>
      <c r="BD747" s="34"/>
      <c r="BE747" s="34"/>
      <c r="BF747" s="294">
        <f t="shared" si="10"/>
        <v>0</v>
      </c>
      <c r="BG747" s="297">
        <f t="shared" si="11"/>
        <v>0</v>
      </c>
      <c r="BH747" s="298" t="str">
        <f t="shared" si="12"/>
        <v/>
      </c>
      <c r="BI747" s="34"/>
      <c r="BJ747" s="34"/>
      <c r="BK747" s="34"/>
      <c r="BL747" s="34"/>
      <c r="BM747" s="34"/>
      <c r="BN747" s="34"/>
      <c r="BS747" s="294">
        <f t="shared" si="13"/>
        <v>0</v>
      </c>
      <c r="BT747" s="297">
        <f t="shared" si="14"/>
        <v>0</v>
      </c>
      <c r="BU747" s="298" t="str">
        <f t="shared" si="15"/>
        <v/>
      </c>
      <c r="BV747" s="3"/>
      <c r="BW747" s="3"/>
      <c r="BX747" s="3"/>
      <c r="BY747" s="3"/>
      <c r="BZ747" s="3"/>
      <c r="CA747" s="3"/>
      <c r="CB747" s="3"/>
      <c r="CC747" s="3"/>
      <c r="CE747" s="3"/>
      <c r="CF747" s="3"/>
      <c r="CG747" s="1463">
        <f t="shared" si="37"/>
        <v>0</v>
      </c>
      <c r="CH747" s="1464"/>
      <c r="CI747" s="1469">
        <f t="shared" si="38"/>
        <v>0</v>
      </c>
      <c r="CJ747" s="1470"/>
      <c r="CK747" s="1463">
        <f t="shared" si="16"/>
        <v>0</v>
      </c>
      <c r="CL747" s="1464"/>
      <c r="CM747" s="1469">
        <f t="shared" si="17"/>
        <v>0</v>
      </c>
      <c r="CN747" s="1470"/>
      <c r="CO747" s="3"/>
      <c r="CP747" s="1458">
        <f t="shared" si="18"/>
        <v>0</v>
      </c>
      <c r="CQ747" s="1459"/>
      <c r="CR747" s="1459"/>
      <c r="CS747" s="1459"/>
      <c r="CT747" s="1460"/>
      <c r="CU747" s="1443">
        <f t="shared" si="19"/>
        <v>0</v>
      </c>
      <c r="CV747" s="1443"/>
      <c r="CW747" s="1443"/>
      <c r="CX747" s="1443"/>
      <c r="CY747" s="1443"/>
      <c r="CZ747" s="1443">
        <f t="shared" si="20"/>
        <v>0</v>
      </c>
      <c r="DA747" s="1443"/>
      <c r="DB747" s="1443"/>
      <c r="DC747" s="1443"/>
      <c r="DD747" s="1443"/>
      <c r="DE747" s="1443">
        <f t="shared" si="21"/>
        <v>0</v>
      </c>
      <c r="DF747" s="1443"/>
      <c r="DG747" s="1443"/>
      <c r="DH747" s="1443"/>
      <c r="DI747" s="1443"/>
      <c r="DJ747" s="1443">
        <f t="shared" si="22"/>
        <v>0</v>
      </c>
      <c r="DK747" s="1443"/>
      <c r="DL747" s="1443"/>
      <c r="DM747" s="1443"/>
      <c r="DN747" s="1443"/>
      <c r="DO747" s="1443">
        <f t="shared" si="23"/>
        <v>0</v>
      </c>
      <c r="DP747" s="1443"/>
      <c r="DQ747" s="1443"/>
      <c r="DR747" s="1443"/>
      <c r="DS747" s="1443"/>
      <c r="DT747" s="6"/>
      <c r="DU747" s="1444">
        <f t="shared" si="24"/>
        <v>0</v>
      </c>
      <c r="DV747" s="1444"/>
      <c r="DW747" s="1444"/>
      <c r="DX747" s="1444"/>
      <c r="DY747" s="1444"/>
      <c r="DZ747" s="1444">
        <f t="shared" si="25"/>
        <v>0</v>
      </c>
      <c r="EA747" s="1444"/>
      <c r="EB747" s="1444"/>
      <c r="EC747" s="1444"/>
      <c r="ED747" s="1444"/>
      <c r="EE747" s="1444">
        <f t="shared" si="26"/>
        <v>0</v>
      </c>
      <c r="EF747" s="1444"/>
      <c r="EG747" s="1444"/>
      <c r="EH747" s="1444"/>
      <c r="EI747" s="1444"/>
      <c r="EJ747" s="1444">
        <f t="shared" si="27"/>
        <v>0</v>
      </c>
      <c r="EK747" s="1444"/>
      <c r="EL747" s="1444"/>
      <c r="EM747" s="1444"/>
      <c r="EN747" s="1444"/>
      <c r="EO747" s="1444">
        <f t="shared" si="28"/>
        <v>0</v>
      </c>
      <c r="EP747" s="1444"/>
      <c r="EQ747" s="1444"/>
      <c r="ER747" s="1444"/>
      <c r="ES747" s="1444"/>
      <c r="ET747" s="1444">
        <f t="shared" si="29"/>
        <v>0</v>
      </c>
      <c r="EU747" s="1444"/>
      <c r="EV747" s="1444"/>
      <c r="EW747" s="1444"/>
      <c r="EX747" s="1444"/>
      <c r="EZ747" s="1463" t="str">
        <f t="shared" si="30"/>
        <v/>
      </c>
      <c r="FA747" s="1465"/>
      <c r="FB747" s="1465"/>
      <c r="FC747" s="1465"/>
      <c r="FD747" s="1464"/>
      <c r="FE747" s="1463" t="str">
        <f t="shared" si="31"/>
        <v/>
      </c>
      <c r="FF747" s="1465"/>
      <c r="FG747" s="1465"/>
      <c r="FH747" s="1465"/>
      <c r="FI747" s="1464"/>
      <c r="FJ747" s="1463" t="str">
        <f t="shared" si="32"/>
        <v/>
      </c>
      <c r="FK747" s="1465"/>
      <c r="FL747" s="1465"/>
      <c r="FM747" s="1465"/>
      <c r="FN747" s="1464"/>
      <c r="FO747" s="1463" t="str">
        <f t="shared" si="33"/>
        <v/>
      </c>
      <c r="FP747" s="1465"/>
      <c r="FQ747" s="1465"/>
      <c r="FR747" s="1465"/>
      <c r="FS747" s="1464"/>
      <c r="FT747" s="1463" t="str">
        <f t="shared" si="34"/>
        <v/>
      </c>
      <c r="FU747" s="1465"/>
      <c r="FV747" s="1465"/>
      <c r="FW747" s="1465"/>
      <c r="FX747" s="1464"/>
      <c r="FY747" s="1463" t="str">
        <f t="shared" si="35"/>
        <v/>
      </c>
      <c r="FZ747" s="1465"/>
      <c r="GA747" s="1465"/>
      <c r="GB747" s="1465"/>
      <c r="GC747" s="1464"/>
    </row>
    <row r="748" spans="1:185" s="3" customFormat="1" ht="12.95" customHeight="1">
      <c r="A748"/>
      <c r="B748" s="1337"/>
      <c r="C748" s="1338"/>
      <c r="D748" s="1338"/>
      <c r="E748" s="1338"/>
      <c r="F748" s="1339"/>
      <c r="G748" s="1349"/>
      <c r="H748" s="1350"/>
      <c r="I748" s="1350"/>
      <c r="J748" s="1351"/>
      <c r="K748" s="1343"/>
      <c r="L748" s="1344"/>
      <c r="M748" s="1344"/>
      <c r="N748" s="1345"/>
      <c r="O748" s="1340"/>
      <c r="P748" s="1341"/>
      <c r="Q748" s="1341"/>
      <c r="R748" s="1341"/>
      <c r="S748" s="1342"/>
      <c r="T748" s="1340"/>
      <c r="U748" s="1341"/>
      <c r="V748" s="1341"/>
      <c r="W748" s="1342"/>
      <c r="X748" s="1352">
        <f t="shared" si="39"/>
        <v>0</v>
      </c>
      <c r="Y748" s="1353"/>
      <c r="Z748" s="1353"/>
      <c r="AA748" s="1353"/>
      <c r="AB748" s="1354"/>
      <c r="AC748" s="1359"/>
      <c r="AD748" s="1360"/>
      <c r="AE748" s="1360"/>
      <c r="AF748" s="1360"/>
      <c r="AG748" s="1361"/>
      <c r="AH748" s="1355" t="str">
        <f t="shared" si="36"/>
        <v/>
      </c>
      <c r="AI748" s="1356"/>
      <c r="AJ748" s="1357"/>
      <c r="AK748" s="1337" t="s">
        <v>591</v>
      </c>
      <c r="AL748" s="1338"/>
      <c r="AM748" s="1338"/>
      <c r="AN748" s="1338"/>
      <c r="AO748" s="1339"/>
      <c r="AT748"/>
      <c r="AU748"/>
      <c r="AV748"/>
      <c r="AW748"/>
      <c r="AX748"/>
      <c r="AY748" s="1085"/>
      <c r="AZ748" s="118" t="str">
        <f t="shared" si="9"/>
        <v>N/A</v>
      </c>
      <c r="BA748" s="34"/>
      <c r="BB748" s="34"/>
      <c r="BC748" s="34"/>
      <c r="BD748" s="34"/>
      <c r="BE748" s="34"/>
      <c r="BF748" s="294">
        <f t="shared" si="10"/>
        <v>0</v>
      </c>
      <c r="BG748" s="297">
        <f t="shared" si="11"/>
        <v>0</v>
      </c>
      <c r="BH748" s="298" t="str">
        <f t="shared" si="12"/>
        <v/>
      </c>
      <c r="BJ748" s="34"/>
      <c r="BK748" s="34"/>
      <c r="BL748" s="34"/>
      <c r="BM748" s="34"/>
      <c r="BN748" s="34"/>
      <c r="BO748"/>
      <c r="BP748"/>
      <c r="BQ748"/>
      <c r="BR748"/>
      <c r="BS748" s="294">
        <f t="shared" si="13"/>
        <v>0</v>
      </c>
      <c r="BT748" s="297">
        <f t="shared" si="14"/>
        <v>0</v>
      </c>
      <c r="BU748" s="298" t="str">
        <f t="shared" si="15"/>
        <v/>
      </c>
      <c r="CD748"/>
      <c r="CG748" s="1463">
        <f t="shared" si="37"/>
        <v>0</v>
      </c>
      <c r="CH748" s="1464"/>
      <c r="CI748" s="1469">
        <f t="shared" si="38"/>
        <v>0</v>
      </c>
      <c r="CJ748" s="1470"/>
      <c r="CK748" s="1463">
        <f t="shared" si="16"/>
        <v>0</v>
      </c>
      <c r="CL748" s="1464"/>
      <c r="CM748" s="1469">
        <f t="shared" si="17"/>
        <v>0</v>
      </c>
      <c r="CN748" s="1470"/>
      <c r="CP748" s="1458">
        <f t="shared" si="18"/>
        <v>0</v>
      </c>
      <c r="CQ748" s="1459"/>
      <c r="CR748" s="1459"/>
      <c r="CS748" s="1459"/>
      <c r="CT748" s="1460"/>
      <c r="CU748" s="1443">
        <f t="shared" si="19"/>
        <v>0</v>
      </c>
      <c r="CV748" s="1443"/>
      <c r="CW748" s="1443"/>
      <c r="CX748" s="1443"/>
      <c r="CY748" s="1443"/>
      <c r="CZ748" s="1443">
        <f t="shared" si="20"/>
        <v>0</v>
      </c>
      <c r="DA748" s="1443"/>
      <c r="DB748" s="1443"/>
      <c r="DC748" s="1443"/>
      <c r="DD748" s="1443"/>
      <c r="DE748" s="1443">
        <f t="shared" si="21"/>
        <v>0</v>
      </c>
      <c r="DF748" s="1443"/>
      <c r="DG748" s="1443"/>
      <c r="DH748" s="1443"/>
      <c r="DI748" s="1443"/>
      <c r="DJ748" s="1443">
        <f t="shared" si="22"/>
        <v>0</v>
      </c>
      <c r="DK748" s="1443"/>
      <c r="DL748" s="1443"/>
      <c r="DM748" s="1443"/>
      <c r="DN748" s="1443"/>
      <c r="DO748" s="1443">
        <f t="shared" si="23"/>
        <v>0</v>
      </c>
      <c r="DP748" s="1443"/>
      <c r="DQ748" s="1443"/>
      <c r="DR748" s="1443"/>
      <c r="DS748" s="1443"/>
      <c r="DT748" s="6"/>
      <c r="DU748" s="1444">
        <f t="shared" si="24"/>
        <v>0</v>
      </c>
      <c r="DV748" s="1444"/>
      <c r="DW748" s="1444"/>
      <c r="DX748" s="1444"/>
      <c r="DY748" s="1444"/>
      <c r="DZ748" s="1444">
        <f t="shared" si="25"/>
        <v>0</v>
      </c>
      <c r="EA748" s="1444"/>
      <c r="EB748" s="1444"/>
      <c r="EC748" s="1444"/>
      <c r="ED748" s="1444"/>
      <c r="EE748" s="1444">
        <f t="shared" si="26"/>
        <v>0</v>
      </c>
      <c r="EF748" s="1444"/>
      <c r="EG748" s="1444"/>
      <c r="EH748" s="1444"/>
      <c r="EI748" s="1444"/>
      <c r="EJ748" s="1444">
        <f t="shared" si="27"/>
        <v>0</v>
      </c>
      <c r="EK748" s="1444"/>
      <c r="EL748" s="1444"/>
      <c r="EM748" s="1444"/>
      <c r="EN748" s="1444"/>
      <c r="EO748" s="1444">
        <f t="shared" si="28"/>
        <v>0</v>
      </c>
      <c r="EP748" s="1444"/>
      <c r="EQ748" s="1444"/>
      <c r="ER748" s="1444"/>
      <c r="ES748" s="1444"/>
      <c r="ET748" s="1444">
        <f t="shared" si="29"/>
        <v>0</v>
      </c>
      <c r="EU748" s="1444"/>
      <c r="EV748" s="1444"/>
      <c r="EW748" s="1444"/>
      <c r="EX748" s="1444"/>
      <c r="EY748"/>
      <c r="EZ748" s="1463" t="str">
        <f t="shared" si="30"/>
        <v/>
      </c>
      <c r="FA748" s="1465"/>
      <c r="FB748" s="1465"/>
      <c r="FC748" s="1465"/>
      <c r="FD748" s="1464"/>
      <c r="FE748" s="1463" t="str">
        <f t="shared" si="31"/>
        <v/>
      </c>
      <c r="FF748" s="1465"/>
      <c r="FG748" s="1465"/>
      <c r="FH748" s="1465"/>
      <c r="FI748" s="1464"/>
      <c r="FJ748" s="1463" t="str">
        <f t="shared" si="32"/>
        <v/>
      </c>
      <c r="FK748" s="1465"/>
      <c r="FL748" s="1465"/>
      <c r="FM748" s="1465"/>
      <c r="FN748" s="1464"/>
      <c r="FO748" s="1463" t="str">
        <f t="shared" si="33"/>
        <v/>
      </c>
      <c r="FP748" s="1465"/>
      <c r="FQ748" s="1465"/>
      <c r="FR748" s="1465"/>
      <c r="FS748" s="1464"/>
      <c r="FT748" s="1463" t="str">
        <f t="shared" si="34"/>
        <v/>
      </c>
      <c r="FU748" s="1465"/>
      <c r="FV748" s="1465"/>
      <c r="FW748" s="1465"/>
      <c r="FX748" s="1464"/>
      <c r="FY748" s="1463" t="str">
        <f t="shared" si="35"/>
        <v/>
      </c>
      <c r="FZ748" s="1465"/>
      <c r="GA748" s="1465"/>
      <c r="GB748" s="1465"/>
      <c r="GC748" s="1464"/>
    </row>
    <row r="749" spans="1:185" s="3" customFormat="1" ht="12.95" customHeight="1">
      <c r="A749"/>
      <c r="B749" s="1337"/>
      <c r="C749" s="1338"/>
      <c r="D749" s="1338"/>
      <c r="E749" s="1338"/>
      <c r="F749" s="1339"/>
      <c r="G749" s="1349"/>
      <c r="H749" s="1350"/>
      <c r="I749" s="1350"/>
      <c r="J749" s="1351"/>
      <c r="K749" s="1343"/>
      <c r="L749" s="1344"/>
      <c r="M749" s="1344"/>
      <c r="N749" s="1345"/>
      <c r="O749" s="1340"/>
      <c r="P749" s="1341"/>
      <c r="Q749" s="1341"/>
      <c r="R749" s="1341"/>
      <c r="S749" s="1342"/>
      <c r="T749" s="1340"/>
      <c r="U749" s="1341"/>
      <c r="V749" s="1341"/>
      <c r="W749" s="1342"/>
      <c r="X749" s="1352">
        <f t="shared" si="39"/>
        <v>0</v>
      </c>
      <c r="Y749" s="1353"/>
      <c r="Z749" s="1353"/>
      <c r="AA749" s="1353"/>
      <c r="AB749" s="1354"/>
      <c r="AC749" s="1359"/>
      <c r="AD749" s="1360"/>
      <c r="AE749" s="1360"/>
      <c r="AF749" s="1360"/>
      <c r="AG749" s="1361"/>
      <c r="AH749" s="1355" t="str">
        <f t="shared" si="36"/>
        <v/>
      </c>
      <c r="AI749" s="1356"/>
      <c r="AJ749" s="1357"/>
      <c r="AK749" s="1337" t="s">
        <v>591</v>
      </c>
      <c r="AL749" s="1338"/>
      <c r="AM749" s="1338"/>
      <c r="AN749" s="1338"/>
      <c r="AO749" s="1339"/>
      <c r="AT749"/>
      <c r="AU749"/>
      <c r="AV749"/>
      <c r="AW749"/>
      <c r="AX749"/>
      <c r="AY749" s="1085"/>
      <c r="AZ749" s="118" t="str">
        <f t="shared" si="9"/>
        <v>N/A</v>
      </c>
      <c r="BA749" s="34"/>
      <c r="BB749" s="34"/>
      <c r="BC749" s="34"/>
      <c r="BD749" s="34"/>
      <c r="BE749" s="34"/>
      <c r="BF749" s="294">
        <f t="shared" si="10"/>
        <v>0</v>
      </c>
      <c r="BG749" s="297">
        <f t="shared" si="11"/>
        <v>0</v>
      </c>
      <c r="BH749" s="298" t="str">
        <f t="shared" si="12"/>
        <v/>
      </c>
      <c r="BJ749" s="34"/>
      <c r="BK749" s="34"/>
      <c r="BL749" s="34"/>
      <c r="BM749" s="34"/>
      <c r="BN749" s="34"/>
      <c r="BO749"/>
      <c r="BP749"/>
      <c r="BQ749"/>
      <c r="BR749"/>
      <c r="BS749" s="294">
        <f t="shared" si="13"/>
        <v>0</v>
      </c>
      <c r="BT749" s="297">
        <f t="shared" si="14"/>
        <v>0</v>
      </c>
      <c r="BU749" s="298" t="str">
        <f t="shared" si="15"/>
        <v/>
      </c>
      <c r="CD749"/>
      <c r="CG749" s="1463">
        <f t="shared" si="37"/>
        <v>0</v>
      </c>
      <c r="CH749" s="1464"/>
      <c r="CI749" s="1469">
        <f t="shared" si="38"/>
        <v>0</v>
      </c>
      <c r="CJ749" s="1470"/>
      <c r="CK749" s="1463">
        <f t="shared" si="16"/>
        <v>0</v>
      </c>
      <c r="CL749" s="1464"/>
      <c r="CM749" s="1469">
        <f t="shared" si="17"/>
        <v>0</v>
      </c>
      <c r="CN749" s="1470"/>
      <c r="CP749" s="1458">
        <f t="shared" si="18"/>
        <v>0</v>
      </c>
      <c r="CQ749" s="1459"/>
      <c r="CR749" s="1459"/>
      <c r="CS749" s="1459"/>
      <c r="CT749" s="1460"/>
      <c r="CU749" s="1443">
        <f t="shared" si="19"/>
        <v>0</v>
      </c>
      <c r="CV749" s="1443"/>
      <c r="CW749" s="1443"/>
      <c r="CX749" s="1443"/>
      <c r="CY749" s="1443"/>
      <c r="CZ749" s="1443">
        <f t="shared" si="20"/>
        <v>0</v>
      </c>
      <c r="DA749" s="1443"/>
      <c r="DB749" s="1443"/>
      <c r="DC749" s="1443"/>
      <c r="DD749" s="1443"/>
      <c r="DE749" s="1443">
        <f t="shared" si="21"/>
        <v>0</v>
      </c>
      <c r="DF749" s="1443"/>
      <c r="DG749" s="1443"/>
      <c r="DH749" s="1443"/>
      <c r="DI749" s="1443"/>
      <c r="DJ749" s="1443">
        <f t="shared" si="22"/>
        <v>0</v>
      </c>
      <c r="DK749" s="1443"/>
      <c r="DL749" s="1443"/>
      <c r="DM749" s="1443"/>
      <c r="DN749" s="1443"/>
      <c r="DO749" s="1443">
        <f t="shared" si="23"/>
        <v>0</v>
      </c>
      <c r="DP749" s="1443"/>
      <c r="DQ749" s="1443"/>
      <c r="DR749" s="1443"/>
      <c r="DS749" s="1443"/>
      <c r="DT749" s="6"/>
      <c r="DU749" s="1444">
        <f t="shared" si="24"/>
        <v>0</v>
      </c>
      <c r="DV749" s="1444"/>
      <c r="DW749" s="1444"/>
      <c r="DX749" s="1444"/>
      <c r="DY749" s="1444"/>
      <c r="DZ749" s="1444">
        <f t="shared" si="25"/>
        <v>0</v>
      </c>
      <c r="EA749" s="1444"/>
      <c r="EB749" s="1444"/>
      <c r="EC749" s="1444"/>
      <c r="ED749" s="1444"/>
      <c r="EE749" s="1444">
        <f t="shared" si="26"/>
        <v>0</v>
      </c>
      <c r="EF749" s="1444"/>
      <c r="EG749" s="1444"/>
      <c r="EH749" s="1444"/>
      <c r="EI749" s="1444"/>
      <c r="EJ749" s="1444">
        <f t="shared" si="27"/>
        <v>0</v>
      </c>
      <c r="EK749" s="1444"/>
      <c r="EL749" s="1444"/>
      <c r="EM749" s="1444"/>
      <c r="EN749" s="1444"/>
      <c r="EO749" s="1444">
        <f t="shared" si="28"/>
        <v>0</v>
      </c>
      <c r="EP749" s="1444"/>
      <c r="EQ749" s="1444"/>
      <c r="ER749" s="1444"/>
      <c r="ES749" s="1444"/>
      <c r="ET749" s="1444">
        <f t="shared" si="29"/>
        <v>0</v>
      </c>
      <c r="EU749" s="1444"/>
      <c r="EV749" s="1444"/>
      <c r="EW749" s="1444"/>
      <c r="EX749" s="1444"/>
      <c r="EY749"/>
      <c r="EZ749" s="1463" t="str">
        <f t="shared" si="30"/>
        <v/>
      </c>
      <c r="FA749" s="1465"/>
      <c r="FB749" s="1465"/>
      <c r="FC749" s="1465"/>
      <c r="FD749" s="1464"/>
      <c r="FE749" s="1463" t="str">
        <f t="shared" si="31"/>
        <v/>
      </c>
      <c r="FF749" s="1465"/>
      <c r="FG749" s="1465"/>
      <c r="FH749" s="1465"/>
      <c r="FI749" s="1464"/>
      <c r="FJ749" s="1463" t="str">
        <f t="shared" si="32"/>
        <v/>
      </c>
      <c r="FK749" s="1465"/>
      <c r="FL749" s="1465"/>
      <c r="FM749" s="1465"/>
      <c r="FN749" s="1464"/>
      <c r="FO749" s="1463" t="str">
        <f t="shared" si="33"/>
        <v/>
      </c>
      <c r="FP749" s="1465"/>
      <c r="FQ749" s="1465"/>
      <c r="FR749" s="1465"/>
      <c r="FS749" s="1464"/>
      <c r="FT749" s="1463" t="str">
        <f t="shared" si="34"/>
        <v/>
      </c>
      <c r="FU749" s="1465"/>
      <c r="FV749" s="1465"/>
      <c r="FW749" s="1465"/>
      <c r="FX749" s="1464"/>
      <c r="FY749" s="1463" t="str">
        <f t="shared" si="35"/>
        <v/>
      </c>
      <c r="FZ749" s="1465"/>
      <c r="GA749" s="1465"/>
      <c r="GB749" s="1465"/>
      <c r="GC749" s="1464"/>
    </row>
    <row r="750" spans="1:185" s="3" customFormat="1" ht="12.95" customHeight="1">
      <c r="A750"/>
      <c r="B750" s="1337"/>
      <c r="C750" s="1338"/>
      <c r="D750" s="1338"/>
      <c r="E750" s="1338"/>
      <c r="F750" s="1339"/>
      <c r="G750" s="1349"/>
      <c r="H750" s="1350"/>
      <c r="I750" s="1350"/>
      <c r="J750" s="1351"/>
      <c r="K750" s="1343"/>
      <c r="L750" s="1344"/>
      <c r="M750" s="1344"/>
      <c r="N750" s="1345"/>
      <c r="O750" s="1340"/>
      <c r="P750" s="1341"/>
      <c r="Q750" s="1341"/>
      <c r="R750" s="1341"/>
      <c r="S750" s="1342"/>
      <c r="T750" s="1340"/>
      <c r="U750" s="1341"/>
      <c r="V750" s="1341"/>
      <c r="W750" s="1342"/>
      <c r="X750" s="1352">
        <f t="shared" si="39"/>
        <v>0</v>
      </c>
      <c r="Y750" s="1353"/>
      <c r="Z750" s="1353"/>
      <c r="AA750" s="1353"/>
      <c r="AB750" s="1354"/>
      <c r="AC750" s="1359"/>
      <c r="AD750" s="1360"/>
      <c r="AE750" s="1360"/>
      <c r="AF750" s="1360"/>
      <c r="AG750" s="1361"/>
      <c r="AH750" s="1355" t="str">
        <f t="shared" si="36"/>
        <v/>
      </c>
      <c r="AI750" s="1356"/>
      <c r="AJ750" s="1357"/>
      <c r="AK750" s="1337" t="s">
        <v>591</v>
      </c>
      <c r="AL750" s="1338"/>
      <c r="AM750" s="1338"/>
      <c r="AN750" s="1338"/>
      <c r="AO750" s="1339"/>
      <c r="AT750"/>
      <c r="AU750"/>
      <c r="AV750"/>
      <c r="AW750"/>
      <c r="AX750"/>
      <c r="AY750"/>
      <c r="AZ750" s="118" t="str">
        <f t="shared" si="9"/>
        <v>N/A</v>
      </c>
      <c r="BA750" s="34"/>
      <c r="BB750" s="34"/>
      <c r="BC750" s="34"/>
      <c r="BD750" s="34"/>
      <c r="BE750" s="34"/>
      <c r="BF750" s="294">
        <f t="shared" si="10"/>
        <v>0</v>
      </c>
      <c r="BG750" s="297">
        <f t="shared" si="11"/>
        <v>0</v>
      </c>
      <c r="BH750" s="298" t="str">
        <f t="shared" si="12"/>
        <v/>
      </c>
      <c r="BJ750" s="34"/>
      <c r="BK750" s="34"/>
      <c r="BL750" s="34"/>
      <c r="BM750" s="34"/>
      <c r="BN750" s="34"/>
      <c r="BO750"/>
      <c r="BP750"/>
      <c r="BQ750"/>
      <c r="BR750"/>
      <c r="BS750" s="294">
        <f t="shared" si="13"/>
        <v>0</v>
      </c>
      <c r="BT750" s="297">
        <f t="shared" si="14"/>
        <v>0</v>
      </c>
      <c r="BU750" s="298" t="str">
        <f t="shared" si="15"/>
        <v/>
      </c>
      <c r="CD750"/>
      <c r="CG750" s="1463">
        <f t="shared" si="37"/>
        <v>0</v>
      </c>
      <c r="CH750" s="1464"/>
      <c r="CI750" s="1469">
        <f t="shared" si="38"/>
        <v>0</v>
      </c>
      <c r="CJ750" s="1470"/>
      <c r="CK750" s="1463">
        <f t="shared" si="16"/>
        <v>0</v>
      </c>
      <c r="CL750" s="1464"/>
      <c r="CM750" s="1469">
        <f t="shared" si="17"/>
        <v>0</v>
      </c>
      <c r="CN750" s="1470"/>
      <c r="CP750" s="1458">
        <f t="shared" si="18"/>
        <v>0</v>
      </c>
      <c r="CQ750" s="1459"/>
      <c r="CR750" s="1459"/>
      <c r="CS750" s="1459"/>
      <c r="CT750" s="1460"/>
      <c r="CU750" s="1443">
        <f t="shared" si="19"/>
        <v>0</v>
      </c>
      <c r="CV750" s="1443"/>
      <c r="CW750" s="1443"/>
      <c r="CX750" s="1443"/>
      <c r="CY750" s="1443"/>
      <c r="CZ750" s="1443">
        <f t="shared" si="20"/>
        <v>0</v>
      </c>
      <c r="DA750" s="1443"/>
      <c r="DB750" s="1443"/>
      <c r="DC750" s="1443"/>
      <c r="DD750" s="1443"/>
      <c r="DE750" s="1443">
        <f t="shared" si="21"/>
        <v>0</v>
      </c>
      <c r="DF750" s="1443"/>
      <c r="DG750" s="1443"/>
      <c r="DH750" s="1443"/>
      <c r="DI750" s="1443"/>
      <c r="DJ750" s="1443">
        <f t="shared" si="22"/>
        <v>0</v>
      </c>
      <c r="DK750" s="1443"/>
      <c r="DL750" s="1443"/>
      <c r="DM750" s="1443"/>
      <c r="DN750" s="1443"/>
      <c r="DO750" s="1443">
        <f t="shared" si="23"/>
        <v>0</v>
      </c>
      <c r="DP750" s="1443"/>
      <c r="DQ750" s="1443"/>
      <c r="DR750" s="1443"/>
      <c r="DS750" s="1443"/>
      <c r="DT750" s="6"/>
      <c r="DU750" s="1444">
        <f t="shared" si="24"/>
        <v>0</v>
      </c>
      <c r="DV750" s="1444"/>
      <c r="DW750" s="1444"/>
      <c r="DX750" s="1444"/>
      <c r="DY750" s="1444"/>
      <c r="DZ750" s="1444">
        <f t="shared" si="25"/>
        <v>0</v>
      </c>
      <c r="EA750" s="1444"/>
      <c r="EB750" s="1444"/>
      <c r="EC750" s="1444"/>
      <c r="ED750" s="1444"/>
      <c r="EE750" s="1444">
        <f t="shared" si="26"/>
        <v>0</v>
      </c>
      <c r="EF750" s="1444"/>
      <c r="EG750" s="1444"/>
      <c r="EH750" s="1444"/>
      <c r="EI750" s="1444"/>
      <c r="EJ750" s="1444">
        <f t="shared" si="27"/>
        <v>0</v>
      </c>
      <c r="EK750" s="1444"/>
      <c r="EL750" s="1444"/>
      <c r="EM750" s="1444"/>
      <c r="EN750" s="1444"/>
      <c r="EO750" s="1444">
        <f t="shared" si="28"/>
        <v>0</v>
      </c>
      <c r="EP750" s="1444"/>
      <c r="EQ750" s="1444"/>
      <c r="ER750" s="1444"/>
      <c r="ES750" s="1444"/>
      <c r="ET750" s="1444">
        <f t="shared" si="29"/>
        <v>0</v>
      </c>
      <c r="EU750" s="1444"/>
      <c r="EV750" s="1444"/>
      <c r="EW750" s="1444"/>
      <c r="EX750" s="1444"/>
      <c r="EY750"/>
      <c r="EZ750" s="1463" t="str">
        <f t="shared" si="30"/>
        <v/>
      </c>
      <c r="FA750" s="1465"/>
      <c r="FB750" s="1465"/>
      <c r="FC750" s="1465"/>
      <c r="FD750" s="1464"/>
      <c r="FE750" s="1463" t="str">
        <f t="shared" si="31"/>
        <v/>
      </c>
      <c r="FF750" s="1465"/>
      <c r="FG750" s="1465"/>
      <c r="FH750" s="1465"/>
      <c r="FI750" s="1464"/>
      <c r="FJ750" s="1463" t="str">
        <f t="shared" si="32"/>
        <v/>
      </c>
      <c r="FK750" s="1465"/>
      <c r="FL750" s="1465"/>
      <c r="FM750" s="1465"/>
      <c r="FN750" s="1464"/>
      <c r="FO750" s="1463" t="str">
        <f t="shared" si="33"/>
        <v/>
      </c>
      <c r="FP750" s="1465"/>
      <c r="FQ750" s="1465"/>
      <c r="FR750" s="1465"/>
      <c r="FS750" s="1464"/>
      <c r="FT750" s="1463" t="str">
        <f t="shared" si="34"/>
        <v/>
      </c>
      <c r="FU750" s="1465"/>
      <c r="FV750" s="1465"/>
      <c r="FW750" s="1465"/>
      <c r="FX750" s="1464"/>
      <c r="FY750" s="1463" t="str">
        <f t="shared" si="35"/>
        <v/>
      </c>
      <c r="FZ750" s="1465"/>
      <c r="GA750" s="1465"/>
      <c r="GB750" s="1465"/>
      <c r="GC750" s="1464"/>
    </row>
    <row r="751" spans="1:185" s="3" customFormat="1" ht="12.95" customHeight="1">
      <c r="A751"/>
      <c r="B751" s="1337"/>
      <c r="C751" s="1338"/>
      <c r="D751" s="1338"/>
      <c r="E751" s="1338"/>
      <c r="F751" s="1339"/>
      <c r="G751" s="1349"/>
      <c r="H751" s="1350"/>
      <c r="I751" s="1350"/>
      <c r="J751" s="1351"/>
      <c r="K751" s="1343"/>
      <c r="L751" s="1344"/>
      <c r="M751" s="1344"/>
      <c r="N751" s="1345"/>
      <c r="O751" s="1340"/>
      <c r="P751" s="1341"/>
      <c r="Q751" s="1341"/>
      <c r="R751" s="1341"/>
      <c r="S751" s="1342"/>
      <c r="T751" s="1340"/>
      <c r="U751" s="1341"/>
      <c r="V751" s="1341"/>
      <c r="W751" s="1342"/>
      <c r="X751" s="1352">
        <f t="shared" si="39"/>
        <v>0</v>
      </c>
      <c r="Y751" s="1353"/>
      <c r="Z751" s="1353"/>
      <c r="AA751" s="1353"/>
      <c r="AB751" s="1354"/>
      <c r="AC751" s="1359"/>
      <c r="AD751" s="1360"/>
      <c r="AE751" s="1360"/>
      <c r="AF751" s="1360"/>
      <c r="AG751" s="1361"/>
      <c r="AH751" s="1355" t="str">
        <f t="shared" si="36"/>
        <v/>
      </c>
      <c r="AI751" s="1356"/>
      <c r="AJ751" s="1357"/>
      <c r="AK751" s="1337" t="s">
        <v>591</v>
      </c>
      <c r="AL751" s="1338"/>
      <c r="AM751" s="1338"/>
      <c r="AN751" s="1338"/>
      <c r="AO751" s="1339"/>
      <c r="AT751"/>
      <c r="AU751"/>
      <c r="AV751"/>
      <c r="AW751"/>
      <c r="AX751"/>
      <c r="AY751"/>
      <c r="AZ751" s="118" t="str">
        <f t="shared" si="9"/>
        <v>N/A</v>
      </c>
      <c r="BA751" s="34"/>
      <c r="BB751" s="34"/>
      <c r="BC751" s="34"/>
      <c r="BD751" s="34"/>
      <c r="BE751" s="34"/>
      <c r="BF751" s="294">
        <f t="shared" si="10"/>
        <v>0</v>
      </c>
      <c r="BG751" s="297">
        <f t="shared" si="11"/>
        <v>0</v>
      </c>
      <c r="BH751" s="298" t="str">
        <f t="shared" si="12"/>
        <v/>
      </c>
      <c r="BJ751" s="34"/>
      <c r="BK751" s="34"/>
      <c r="BL751" s="34"/>
      <c r="BM751" s="34"/>
      <c r="BN751" s="34"/>
      <c r="BO751"/>
      <c r="BP751"/>
      <c r="BQ751"/>
      <c r="BR751"/>
      <c r="BS751" s="294">
        <f t="shared" si="13"/>
        <v>0</v>
      </c>
      <c r="BT751" s="297">
        <f t="shared" si="14"/>
        <v>0</v>
      </c>
      <c r="BU751" s="298" t="str">
        <f t="shared" si="15"/>
        <v/>
      </c>
      <c r="CD751"/>
      <c r="CG751" s="1463">
        <f t="shared" si="37"/>
        <v>0</v>
      </c>
      <c r="CH751" s="1464"/>
      <c r="CI751" s="1469">
        <f t="shared" si="38"/>
        <v>0</v>
      </c>
      <c r="CJ751" s="1470"/>
      <c r="CK751" s="1463">
        <f t="shared" si="16"/>
        <v>0</v>
      </c>
      <c r="CL751" s="1464"/>
      <c r="CM751" s="1469">
        <f t="shared" si="17"/>
        <v>0</v>
      </c>
      <c r="CN751" s="1470"/>
      <c r="CP751" s="1458">
        <f t="shared" si="18"/>
        <v>0</v>
      </c>
      <c r="CQ751" s="1459"/>
      <c r="CR751" s="1459"/>
      <c r="CS751" s="1459"/>
      <c r="CT751" s="1460"/>
      <c r="CU751" s="1443">
        <f t="shared" si="19"/>
        <v>0</v>
      </c>
      <c r="CV751" s="1443"/>
      <c r="CW751" s="1443"/>
      <c r="CX751" s="1443"/>
      <c r="CY751" s="1443"/>
      <c r="CZ751" s="1443">
        <f t="shared" si="20"/>
        <v>0</v>
      </c>
      <c r="DA751" s="1443"/>
      <c r="DB751" s="1443"/>
      <c r="DC751" s="1443"/>
      <c r="DD751" s="1443"/>
      <c r="DE751" s="1443">
        <f t="shared" si="21"/>
        <v>0</v>
      </c>
      <c r="DF751" s="1443"/>
      <c r="DG751" s="1443"/>
      <c r="DH751" s="1443"/>
      <c r="DI751" s="1443"/>
      <c r="DJ751" s="1443">
        <f t="shared" si="22"/>
        <v>0</v>
      </c>
      <c r="DK751" s="1443"/>
      <c r="DL751" s="1443"/>
      <c r="DM751" s="1443"/>
      <c r="DN751" s="1443"/>
      <c r="DO751" s="1443">
        <f t="shared" si="23"/>
        <v>0</v>
      </c>
      <c r="DP751" s="1443"/>
      <c r="DQ751" s="1443"/>
      <c r="DR751" s="1443"/>
      <c r="DS751" s="1443"/>
      <c r="DT751" s="6"/>
      <c r="DU751" s="1444">
        <f t="shared" si="24"/>
        <v>0</v>
      </c>
      <c r="DV751" s="1444"/>
      <c r="DW751" s="1444"/>
      <c r="DX751" s="1444"/>
      <c r="DY751" s="1444"/>
      <c r="DZ751" s="1444">
        <f t="shared" si="25"/>
        <v>0</v>
      </c>
      <c r="EA751" s="1444"/>
      <c r="EB751" s="1444"/>
      <c r="EC751" s="1444"/>
      <c r="ED751" s="1444"/>
      <c r="EE751" s="1444">
        <f t="shared" si="26"/>
        <v>0</v>
      </c>
      <c r="EF751" s="1444"/>
      <c r="EG751" s="1444"/>
      <c r="EH751" s="1444"/>
      <c r="EI751" s="1444"/>
      <c r="EJ751" s="1444">
        <f t="shared" si="27"/>
        <v>0</v>
      </c>
      <c r="EK751" s="1444"/>
      <c r="EL751" s="1444"/>
      <c r="EM751" s="1444"/>
      <c r="EN751" s="1444"/>
      <c r="EO751" s="1444">
        <f t="shared" si="28"/>
        <v>0</v>
      </c>
      <c r="EP751" s="1444"/>
      <c r="EQ751" s="1444"/>
      <c r="ER751" s="1444"/>
      <c r="ES751" s="1444"/>
      <c r="ET751" s="1444">
        <f t="shared" si="29"/>
        <v>0</v>
      </c>
      <c r="EU751" s="1444"/>
      <c r="EV751" s="1444"/>
      <c r="EW751" s="1444"/>
      <c r="EX751" s="1444"/>
      <c r="EY751"/>
      <c r="EZ751" s="1463" t="str">
        <f t="shared" si="30"/>
        <v/>
      </c>
      <c r="FA751" s="1465"/>
      <c r="FB751" s="1465"/>
      <c r="FC751" s="1465"/>
      <c r="FD751" s="1464"/>
      <c r="FE751" s="1463" t="str">
        <f t="shared" si="31"/>
        <v/>
      </c>
      <c r="FF751" s="1465"/>
      <c r="FG751" s="1465"/>
      <c r="FH751" s="1465"/>
      <c r="FI751" s="1464"/>
      <c r="FJ751" s="1463" t="str">
        <f t="shared" si="32"/>
        <v/>
      </c>
      <c r="FK751" s="1465"/>
      <c r="FL751" s="1465"/>
      <c r="FM751" s="1465"/>
      <c r="FN751" s="1464"/>
      <c r="FO751" s="1463" t="str">
        <f t="shared" si="33"/>
        <v/>
      </c>
      <c r="FP751" s="1465"/>
      <c r="FQ751" s="1465"/>
      <c r="FR751" s="1465"/>
      <c r="FS751" s="1464"/>
      <c r="FT751" s="1463" t="str">
        <f t="shared" si="34"/>
        <v/>
      </c>
      <c r="FU751" s="1465"/>
      <c r="FV751" s="1465"/>
      <c r="FW751" s="1465"/>
      <c r="FX751" s="1464"/>
      <c r="FY751" s="1463" t="str">
        <f t="shared" si="35"/>
        <v/>
      </c>
      <c r="FZ751" s="1465"/>
      <c r="GA751" s="1465"/>
      <c r="GB751" s="1465"/>
      <c r="GC751" s="1464"/>
    </row>
    <row r="752" spans="1:185" s="3" customFormat="1" ht="12.95" customHeight="1">
      <c r="A752"/>
      <c r="B752" s="1337"/>
      <c r="C752" s="1338"/>
      <c r="D752" s="1338"/>
      <c r="E752" s="1338"/>
      <c r="F752" s="1339"/>
      <c r="G752" s="1349"/>
      <c r="H752" s="1350"/>
      <c r="I752" s="1350"/>
      <c r="J752" s="1351"/>
      <c r="K752" s="1343"/>
      <c r="L752" s="1344"/>
      <c r="M752" s="1344"/>
      <c r="N752" s="1345"/>
      <c r="O752" s="1340"/>
      <c r="P752" s="1341"/>
      <c r="Q752" s="1341"/>
      <c r="R752" s="1341"/>
      <c r="S752" s="1342"/>
      <c r="T752" s="1340"/>
      <c r="U752" s="1341"/>
      <c r="V752" s="1341"/>
      <c r="W752" s="1342"/>
      <c r="X752" s="1352">
        <f>O752+T752</f>
        <v>0</v>
      </c>
      <c r="Y752" s="1353"/>
      <c r="Z752" s="1353"/>
      <c r="AA752" s="1353"/>
      <c r="AB752" s="1354"/>
      <c r="AC752" s="1359"/>
      <c r="AD752" s="1360"/>
      <c r="AE752" s="1360"/>
      <c r="AF752" s="1360"/>
      <c r="AG752" s="1361"/>
      <c r="AH752" s="1355" t="str">
        <f t="shared" si="36"/>
        <v/>
      </c>
      <c r="AI752" s="1356"/>
      <c r="AJ752" s="1357"/>
      <c r="AK752" s="1337" t="s">
        <v>591</v>
      </c>
      <c r="AL752" s="1338"/>
      <c r="AM752" s="1338"/>
      <c r="AN752" s="1338"/>
      <c r="AO752" s="1339"/>
      <c r="AT752"/>
      <c r="AU752"/>
      <c r="AV752"/>
      <c r="AW752"/>
      <c r="AX752"/>
      <c r="AY752"/>
      <c r="AZ752" s="118" t="str">
        <f t="shared" si="9"/>
        <v>N/A</v>
      </c>
      <c r="BA752" s="34"/>
      <c r="BB752" s="34"/>
      <c r="BC752" s="34"/>
      <c r="BE752"/>
      <c r="BF752" s="294">
        <f t="shared" si="10"/>
        <v>0</v>
      </c>
      <c r="BG752" s="297">
        <f t="shared" si="11"/>
        <v>0</v>
      </c>
      <c r="BH752" s="298" t="str">
        <f t="shared" si="12"/>
        <v/>
      </c>
      <c r="BJ752" s="34"/>
      <c r="BK752" s="34"/>
      <c r="BL752" s="34"/>
      <c r="BM752" s="34"/>
      <c r="BN752" s="34"/>
      <c r="BO752"/>
      <c r="BP752"/>
      <c r="BQ752"/>
      <c r="BR752"/>
      <c r="BS752" s="860">
        <f t="shared" si="13"/>
        <v>0</v>
      </c>
      <c r="BT752" s="297">
        <f t="shared" si="14"/>
        <v>0</v>
      </c>
      <c r="BU752" s="298" t="str">
        <f t="shared" si="15"/>
        <v/>
      </c>
      <c r="CD752"/>
      <c r="CG752" s="1463">
        <f t="shared" si="37"/>
        <v>0</v>
      </c>
      <c r="CH752" s="1464"/>
      <c r="CI752" s="1469">
        <f t="shared" si="38"/>
        <v>0</v>
      </c>
      <c r="CJ752" s="1470"/>
      <c r="CK752" s="1463">
        <f t="shared" si="16"/>
        <v>0</v>
      </c>
      <c r="CL752" s="1464"/>
      <c r="CM752" s="1469">
        <f t="shared" si="17"/>
        <v>0</v>
      </c>
      <c r="CN752" s="1470"/>
      <c r="CP752" s="1458">
        <f t="shared" si="18"/>
        <v>0</v>
      </c>
      <c r="CQ752" s="1459"/>
      <c r="CR752" s="1459"/>
      <c r="CS752" s="1459"/>
      <c r="CT752" s="1460"/>
      <c r="CU752" s="1443">
        <f t="shared" si="19"/>
        <v>0</v>
      </c>
      <c r="CV752" s="1443"/>
      <c r="CW752" s="1443"/>
      <c r="CX752" s="1443"/>
      <c r="CY752" s="1443"/>
      <c r="CZ752" s="1443">
        <f t="shared" si="20"/>
        <v>0</v>
      </c>
      <c r="DA752" s="1443"/>
      <c r="DB752" s="1443"/>
      <c r="DC752" s="1443"/>
      <c r="DD752" s="1443"/>
      <c r="DE752" s="1443">
        <f t="shared" si="21"/>
        <v>0</v>
      </c>
      <c r="DF752" s="1443"/>
      <c r="DG752" s="1443"/>
      <c r="DH752" s="1443"/>
      <c r="DI752" s="1443"/>
      <c r="DJ752" s="1443">
        <f t="shared" si="22"/>
        <v>0</v>
      </c>
      <c r="DK752" s="1443"/>
      <c r="DL752" s="1443"/>
      <c r="DM752" s="1443"/>
      <c r="DN752" s="1443"/>
      <c r="DO752" s="1443">
        <f t="shared" si="23"/>
        <v>0</v>
      </c>
      <c r="DP752" s="1443"/>
      <c r="DQ752" s="1443"/>
      <c r="DR752" s="1443"/>
      <c r="DS752" s="1443"/>
      <c r="DT752" s="6"/>
      <c r="DU752" s="1444">
        <f t="shared" si="24"/>
        <v>0</v>
      </c>
      <c r="DV752" s="1444"/>
      <c r="DW752" s="1444"/>
      <c r="DX752" s="1444"/>
      <c r="DY752" s="1444"/>
      <c r="DZ752" s="1444">
        <f t="shared" si="25"/>
        <v>0</v>
      </c>
      <c r="EA752" s="1444"/>
      <c r="EB752" s="1444"/>
      <c r="EC752" s="1444"/>
      <c r="ED752" s="1444"/>
      <c r="EE752" s="1444">
        <f t="shared" si="26"/>
        <v>0</v>
      </c>
      <c r="EF752" s="1444"/>
      <c r="EG752" s="1444"/>
      <c r="EH752" s="1444"/>
      <c r="EI752" s="1444"/>
      <c r="EJ752" s="1444">
        <f t="shared" si="27"/>
        <v>0</v>
      </c>
      <c r="EK752" s="1444"/>
      <c r="EL752" s="1444"/>
      <c r="EM752" s="1444"/>
      <c r="EN752" s="1444"/>
      <c r="EO752" s="1444">
        <f t="shared" si="28"/>
        <v>0</v>
      </c>
      <c r="EP752" s="1444"/>
      <c r="EQ752" s="1444"/>
      <c r="ER752" s="1444"/>
      <c r="ES752" s="1444"/>
      <c r="ET752" s="1444">
        <f t="shared" si="29"/>
        <v>0</v>
      </c>
      <c r="EU752" s="1444"/>
      <c r="EV752" s="1444"/>
      <c r="EW752" s="1444"/>
      <c r="EX752" s="1444"/>
      <c r="EY752"/>
      <c r="EZ752" s="1463" t="str">
        <f t="shared" si="30"/>
        <v/>
      </c>
      <c r="FA752" s="1465"/>
      <c r="FB752" s="1465"/>
      <c r="FC752" s="1465"/>
      <c r="FD752" s="1464"/>
      <c r="FE752" s="1463" t="str">
        <f t="shared" si="31"/>
        <v/>
      </c>
      <c r="FF752" s="1465"/>
      <c r="FG752" s="1465"/>
      <c r="FH752" s="1465"/>
      <c r="FI752" s="1464"/>
      <c r="FJ752" s="1463" t="str">
        <f t="shared" si="32"/>
        <v/>
      </c>
      <c r="FK752" s="1465"/>
      <c r="FL752" s="1465"/>
      <c r="FM752" s="1465"/>
      <c r="FN752" s="1464"/>
      <c r="FO752" s="1463" t="str">
        <f t="shared" si="33"/>
        <v/>
      </c>
      <c r="FP752" s="1465"/>
      <c r="FQ752" s="1465"/>
      <c r="FR752" s="1465"/>
      <c r="FS752" s="1464"/>
      <c r="FT752" s="1463" t="str">
        <f t="shared" si="34"/>
        <v/>
      </c>
      <c r="FU752" s="1465"/>
      <c r="FV752" s="1465"/>
      <c r="FW752" s="1465"/>
      <c r="FX752" s="1464"/>
      <c r="FY752" s="1463" t="str">
        <f t="shared" si="35"/>
        <v/>
      </c>
      <c r="FZ752" s="1465"/>
      <c r="GA752" s="1465"/>
      <c r="GB752" s="1465"/>
      <c r="GC752" s="1464"/>
    </row>
    <row r="753" spans="1:185" s="3" customFormat="1" ht="12.95" customHeight="1">
      <c r="A753"/>
      <c r="B753" s="1449" t="s">
        <v>125</v>
      </c>
      <c r="C753" s="1450"/>
      <c r="D753" s="1450"/>
      <c r="E753" s="1450"/>
      <c r="F753" s="1451"/>
      <c r="G753" s="1621">
        <f>SUM(G718:G752)</f>
        <v>103</v>
      </c>
      <c r="H753" s="1622"/>
      <c r="I753" s="1622"/>
      <c r="J753" s="1623"/>
      <c r="K753" s="902" t="s">
        <v>124</v>
      </c>
      <c r="L753" s="5"/>
      <c r="M753" s="5"/>
      <c r="N753" s="46"/>
      <c r="O753" s="1352">
        <f>SUMPRODUCT(G718:G752,O718:O752)</f>
        <v>198489</v>
      </c>
      <c r="P753" s="1353"/>
      <c r="Q753" s="1353"/>
      <c r="R753" s="1353"/>
      <c r="S753" s="1354"/>
      <c r="T753"/>
      <c r="U753"/>
      <c r="V753"/>
      <c r="W753"/>
      <c r="X753" s="904" t="s">
        <v>900</v>
      </c>
      <c r="Y753" s="903"/>
      <c r="Z753" s="903"/>
      <c r="AA753" s="903"/>
      <c r="AB753" s="905"/>
      <c r="AC753" s="1604">
        <f>BH753</f>
        <v>0.58349514563106797</v>
      </c>
      <c r="AD753" s="1605"/>
      <c r="AE753" s="1605"/>
      <c r="AF753" s="1605"/>
      <c r="AG753" s="1606"/>
      <c r="AH753" s="1604">
        <f>IFERROR(BU753,"")</f>
        <v>0.5484799239856023</v>
      </c>
      <c r="AI753" s="1605"/>
      <c r="AJ753" s="1606"/>
      <c r="AK753"/>
      <c r="AL753"/>
      <c r="AM753"/>
      <c r="AN753"/>
      <c r="AO753"/>
      <c r="AP753" s="205"/>
      <c r="AQ753" s="205"/>
      <c r="AR753" s="205"/>
      <c r="AS753" s="205"/>
      <c r="AT753"/>
      <c r="AU753"/>
      <c r="AV753"/>
      <c r="AW753"/>
      <c r="AX753"/>
      <c r="AY753"/>
      <c r="AZ753" s="34"/>
      <c r="BA753" s="34"/>
      <c r="BB753" s="34"/>
      <c r="BC753" s="34"/>
      <c r="BE753" s="290" t="s">
        <v>899</v>
      </c>
      <c r="BF753" s="299">
        <f>SUM(BF718:BF752)</f>
        <v>103</v>
      </c>
      <c r="BG753" s="300">
        <f>SUM(BG718:BG752)</f>
        <v>0.99999999999999978</v>
      </c>
      <c r="BH753" s="300">
        <f>SUM(BH718:BH752)</f>
        <v>0.58349514563106797</v>
      </c>
      <c r="BI753"/>
      <c r="BJ753"/>
      <c r="BK753"/>
      <c r="BL753"/>
      <c r="BO753"/>
      <c r="BP753"/>
      <c r="BQ753"/>
      <c r="BR753"/>
      <c r="BS753" s="859">
        <f>SUM(BS718:BS752)</f>
        <v>103</v>
      </c>
      <c r="BT753" s="300">
        <f>SUM(BT718:BT752)</f>
        <v>0.99999999999999978</v>
      </c>
      <c r="BU753" s="300">
        <f>SUM(BU718:BU752)</f>
        <v>0.5484799239856023</v>
      </c>
      <c r="CI753" s="1463">
        <f>SUM(CI718:CJ752)</f>
        <v>14</v>
      </c>
      <c r="CJ753" s="1464"/>
      <c r="CM753" s="1463">
        <f>SUM(CM718:CN752)</f>
        <v>32</v>
      </c>
      <c r="CN753" s="1464"/>
      <c r="CP753" s="1463">
        <f>SUM(CP718:CT752)</f>
        <v>0</v>
      </c>
      <c r="CQ753" s="1465"/>
      <c r="CR753" s="1465"/>
      <c r="CS753" s="1465"/>
      <c r="CT753" s="1464"/>
      <c r="CU753" s="1461">
        <f>SUM(CU718:CY752)</f>
        <v>26</v>
      </c>
      <c r="CV753" s="1461"/>
      <c r="CW753" s="1461"/>
      <c r="CX753" s="1461"/>
      <c r="CY753" s="1461"/>
      <c r="CZ753" s="1461">
        <f>SUM(CZ718:DD752)</f>
        <v>34</v>
      </c>
      <c r="DA753" s="1461"/>
      <c r="DB753" s="1461"/>
      <c r="DC753" s="1461"/>
      <c r="DD753" s="1461"/>
      <c r="DE753" s="1461">
        <f>SUM(DE718:DI752)</f>
        <v>32</v>
      </c>
      <c r="DF753" s="1461"/>
      <c r="DG753" s="1461"/>
      <c r="DH753" s="1461"/>
      <c r="DI753" s="1461"/>
      <c r="DJ753" s="1461">
        <f>SUM(DJ718:DN752)</f>
        <v>11</v>
      </c>
      <c r="DK753" s="1461"/>
      <c r="DL753" s="1461"/>
      <c r="DM753" s="1461"/>
      <c r="DN753" s="1461"/>
      <c r="DO753" s="1461">
        <f>SUM(DO718:DS752)</f>
        <v>0</v>
      </c>
      <c r="DP753" s="1461"/>
      <c r="DQ753" s="1461"/>
      <c r="DR753" s="1461"/>
      <c r="DS753" s="1461"/>
      <c r="DT753" s="354"/>
      <c r="DU753" s="1461">
        <f>SUM(DU718:DY752)</f>
        <v>0</v>
      </c>
      <c r="DV753" s="1461"/>
      <c r="DW753" s="1461"/>
      <c r="DX753" s="1461"/>
      <c r="DY753" s="1461"/>
      <c r="DZ753" s="1461">
        <f>SUM(DZ718:ED752)</f>
        <v>10</v>
      </c>
      <c r="EA753" s="1461"/>
      <c r="EB753" s="1461"/>
      <c r="EC753" s="1461"/>
      <c r="ED753" s="1461"/>
      <c r="EE753" s="1461">
        <f>SUM(EE718:EI752)</f>
        <v>10</v>
      </c>
      <c r="EF753" s="1461"/>
      <c r="EG753" s="1461"/>
      <c r="EH753" s="1461"/>
      <c r="EI753" s="1461"/>
      <c r="EJ753" s="1461">
        <f>SUM(EJ718:EN752)</f>
        <v>10</v>
      </c>
      <c r="EK753" s="1461"/>
      <c r="EL753" s="1461"/>
      <c r="EM753" s="1461"/>
      <c r="EN753" s="1461"/>
      <c r="EO753" s="1461">
        <f>SUM(EO718:ES752)</f>
        <v>2</v>
      </c>
      <c r="EP753" s="1461"/>
      <c r="EQ753" s="1461"/>
      <c r="ER753" s="1461"/>
      <c r="ES753" s="1461"/>
      <c r="ET753" s="1461">
        <f>SUM(ET718:EX752)</f>
        <v>0</v>
      </c>
      <c r="EU753" s="1461"/>
      <c r="EV753" s="1461"/>
      <c r="EW753" s="1461"/>
      <c r="EX753" s="1461"/>
      <c r="EY753"/>
      <c r="EZ753" s="1461">
        <f>SUM(EZ718:FD752)</f>
        <v>0</v>
      </c>
      <c r="FA753" s="1461"/>
      <c r="FB753" s="1461"/>
      <c r="FC753" s="1461"/>
      <c r="FD753" s="1461"/>
      <c r="FE753" s="1461">
        <f>SUM(FE718:FI752)</f>
        <v>6859</v>
      </c>
      <c r="FF753" s="1461"/>
      <c r="FG753" s="1461"/>
      <c r="FH753" s="1461"/>
      <c r="FI753" s="1461"/>
      <c r="FJ753" s="1461">
        <f>SUM(FJ718:FN752)</f>
        <v>8234</v>
      </c>
      <c r="FK753" s="1461"/>
      <c r="FL753" s="1461"/>
      <c r="FM753" s="1461"/>
      <c r="FN753" s="1461"/>
      <c r="FO753" s="1461">
        <f>SUM(FO718:FS752)</f>
        <v>9511</v>
      </c>
      <c r="FP753" s="1461"/>
      <c r="FQ753" s="1461"/>
      <c r="FR753" s="1461"/>
      <c r="FS753" s="1461"/>
      <c r="FT753" s="1461">
        <f>SUM(FT718:FX752)</f>
        <v>10613</v>
      </c>
      <c r="FU753" s="1461"/>
      <c r="FV753" s="1461"/>
      <c r="FW753" s="1461"/>
      <c r="FX753" s="1461"/>
      <c r="FY753" s="1461">
        <f>SUM(FY718:GC752)</f>
        <v>0</v>
      </c>
      <c r="FZ753" s="1461"/>
      <c r="GA753" s="1461"/>
      <c r="GB753" s="1461"/>
      <c r="GC753" s="1461"/>
    </row>
    <row r="754" spans="1:185" s="3" customFormat="1" ht="12.95" customHeight="1">
      <c r="A754"/>
      <c r="B754" s="1620" t="s">
        <v>1894</v>
      </c>
      <c r="C754" s="1620"/>
      <c r="D754" s="1620"/>
      <c r="E754" s="1620"/>
      <c r="F754" s="1620"/>
      <c r="G754" s="1620"/>
      <c r="H754" s="1620"/>
      <c r="I754" s="1620"/>
      <c r="J754" s="1620"/>
      <c r="K754" s="1620"/>
      <c r="L754" s="1620"/>
      <c r="M754" s="1620"/>
      <c r="N754" s="1620"/>
      <c r="O754" s="1620"/>
      <c r="P754" s="1620"/>
      <c r="Q754" s="1620"/>
      <c r="R754" s="1620"/>
      <c r="S754" s="1620"/>
      <c r="T754" s="1620"/>
      <c r="U754" s="1620"/>
      <c r="V754" s="1620"/>
      <c r="W754" s="1620"/>
      <c r="X754" s="1620"/>
      <c r="Y754" s="1620"/>
      <c r="Z754" s="1620"/>
      <c r="AA754" s="1620"/>
      <c r="AB754" s="1620"/>
      <c r="AC754" s="1620"/>
      <c r="AD754" s="1620"/>
      <c r="AE754" s="1620"/>
      <c r="AF754" s="1620"/>
      <c r="AG754" s="1620"/>
      <c r="AH754" s="1620"/>
      <c r="AI754"/>
      <c r="AJ754"/>
      <c r="AK754"/>
      <c r="AT754"/>
      <c r="AU754"/>
      <c r="AV754"/>
      <c r="AW754"/>
      <c r="AX754"/>
      <c r="AY754"/>
      <c r="CD754"/>
      <c r="DN754" s="56" t="s">
        <v>1861</v>
      </c>
      <c r="DO754" s="1463">
        <f>CP753+CU753+CZ753+DE753+DJ753+DO753</f>
        <v>103</v>
      </c>
      <c r="DP754" s="1465"/>
      <c r="DQ754" s="1465"/>
      <c r="DR754" s="1465"/>
      <c r="DS754" s="1464"/>
      <c r="DT754" s="354"/>
      <c r="EI754"/>
      <c r="EJ754"/>
      <c r="EK754"/>
      <c r="EL754"/>
      <c r="EM754"/>
      <c r="EN754"/>
      <c r="EO754"/>
      <c r="EP754"/>
      <c r="EQ754"/>
      <c r="ER754"/>
      <c r="ES754"/>
      <c r="ET754"/>
      <c r="EU754"/>
      <c r="EV754"/>
      <c r="EW754"/>
      <c r="EX754"/>
      <c r="EY754"/>
      <c r="EZ754"/>
      <c r="FA754"/>
      <c r="FB754"/>
      <c r="FC754"/>
      <c r="FD754"/>
      <c r="FE754"/>
      <c r="FF754"/>
      <c r="FG754"/>
      <c r="FH754"/>
      <c r="FI754"/>
      <c r="FJ754"/>
      <c r="FK754"/>
      <c r="FL754"/>
      <c r="FM754"/>
      <c r="FN754"/>
      <c r="FO754"/>
      <c r="FP754"/>
      <c r="FQ754"/>
      <c r="FR754"/>
      <c r="FS754"/>
      <c r="FT754"/>
      <c r="FU754"/>
      <c r="FV754"/>
      <c r="FW754"/>
      <c r="FX754"/>
      <c r="FY754"/>
      <c r="FZ754"/>
      <c r="GA754"/>
      <c r="GB754"/>
      <c r="GC754"/>
    </row>
    <row r="755" spans="1:185" ht="12.95" customHeight="1">
      <c r="B755" s="1620"/>
      <c r="C755" s="1620"/>
      <c r="D755" s="1620"/>
      <c r="E755" s="1620"/>
      <c r="F755" s="1620"/>
      <c r="G755" s="1620"/>
      <c r="H755" s="1620"/>
      <c r="I755" s="1620"/>
      <c r="J755" s="1620"/>
      <c r="K755" s="1620"/>
      <c r="L755" s="1620"/>
      <c r="M755" s="1620"/>
      <c r="N755" s="1620"/>
      <c r="O755" s="1620"/>
      <c r="P755" s="1620"/>
      <c r="Q755" s="1620"/>
      <c r="R755" s="1620"/>
      <c r="S755" s="1620"/>
      <c r="T755" s="1620"/>
      <c r="U755" s="1620"/>
      <c r="V755" s="1620"/>
      <c r="W755" s="1620"/>
      <c r="X755" s="1620"/>
      <c r="Y755" s="1620"/>
      <c r="Z755" s="1620"/>
      <c r="AA755" s="1620"/>
      <c r="AB755" s="1620"/>
      <c r="AC755" s="1620"/>
      <c r="AD755" s="1620"/>
      <c r="AE755" s="1620"/>
      <c r="AF755" s="1620"/>
      <c r="AG755" s="1620"/>
      <c r="AH755" s="1620"/>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T755" s="861">
        <f>CP753*1</f>
        <v>0</v>
      </c>
      <c r="CU755" s="3"/>
      <c r="CV755" s="3"/>
      <c r="CW755" s="3"/>
      <c r="CX755" s="3"/>
      <c r="CY755" s="861">
        <f>CU753*1</f>
        <v>26</v>
      </c>
      <c r="CZ755" s="3"/>
      <c r="DA755" s="3"/>
      <c r="DB755" s="3"/>
      <c r="DC755" s="3"/>
      <c r="DD755" s="861">
        <f>CZ753*2</f>
        <v>68</v>
      </c>
      <c r="DE755" s="3"/>
      <c r="DF755" s="3"/>
      <c r="DG755" s="3"/>
      <c r="DH755" s="3"/>
      <c r="DI755" s="861">
        <f>DE753*3</f>
        <v>96</v>
      </c>
      <c r="DJ755" s="3"/>
      <c r="DK755" s="3"/>
      <c r="DL755" s="3"/>
      <c r="DM755" s="3"/>
      <c r="DN755" s="861">
        <f>DJ753*4</f>
        <v>44</v>
      </c>
      <c r="DO755" s="3"/>
      <c r="DP755" s="3"/>
      <c r="DQ755" s="3"/>
      <c r="DR755" s="3"/>
      <c r="DS755" s="861">
        <f>DO753*5</f>
        <v>0</v>
      </c>
      <c r="DU755" s="861">
        <f>CT755+CY755+DD755+DI755+DN755+DS755</f>
        <v>234</v>
      </c>
      <c r="DV755" s="57" t="s">
        <v>1863</v>
      </c>
      <c r="DW755" s="3"/>
      <c r="DX755" s="3"/>
      <c r="DY755" s="3"/>
      <c r="DZ755" s="3"/>
      <c r="EA755" s="3"/>
      <c r="EB755" s="3"/>
      <c r="EC755" s="3"/>
      <c r="ED755" s="3"/>
      <c r="EE755" s="3"/>
      <c r="EF755" s="3"/>
      <c r="EG755" s="3"/>
      <c r="EH755" s="3"/>
    </row>
    <row r="756" spans="1:185" ht="12.95" customHeight="1">
      <c r="A756" s="3"/>
      <c r="B756" s="3"/>
      <c r="C756" s="118" t="s">
        <v>1892</v>
      </c>
      <c r="D756" s="1032"/>
      <c r="E756" s="1032"/>
      <c r="F756" s="1032"/>
      <c r="G756" s="1033"/>
      <c r="H756" s="1033"/>
      <c r="I756" s="1033"/>
      <c r="J756" s="1033"/>
      <c r="K756" s="1032"/>
      <c r="L756" s="1032"/>
      <c r="M756" s="1032"/>
      <c r="N756" s="1032"/>
      <c r="O756" s="1461">
        <f>DU755</f>
        <v>234</v>
      </c>
      <c r="P756" s="1461"/>
      <c r="Q756" s="1461"/>
      <c r="R756" s="1461"/>
      <c r="S756" s="969"/>
      <c r="T756" s="969"/>
      <c r="U756" s="118" t="s">
        <v>1893</v>
      </c>
      <c r="V756" s="1032"/>
      <c r="W756" s="1032"/>
      <c r="X756" s="1032"/>
      <c r="Y756" s="1033"/>
      <c r="Z756" s="1033"/>
      <c r="AA756" s="1033"/>
      <c r="AB756" s="1033"/>
      <c r="AC756" s="1032"/>
      <c r="AD756" s="1032"/>
      <c r="AE756" s="1032"/>
      <c r="AF756" s="1032"/>
      <c r="AG756" s="1627">
        <v>0</v>
      </c>
      <c r="AH756" s="1627"/>
      <c r="AI756" s="1627"/>
      <c r="AJ756" s="1627"/>
      <c r="AK756" s="3"/>
      <c r="AL756" s="3"/>
      <c r="AM756" s="3"/>
      <c r="AN756" s="3"/>
      <c r="AO756" s="3"/>
      <c r="AP756" s="3"/>
      <c r="AQ756" s="3"/>
      <c r="AR756" s="3"/>
      <c r="AS756" s="3"/>
      <c r="AZ756" s="3"/>
      <c r="BA756" s="3"/>
      <c r="BB756" s="290"/>
      <c r="BC756" s="290"/>
      <c r="BD756" s="290"/>
      <c r="BE756" s="290"/>
      <c r="BF756" s="290"/>
      <c r="BG756" s="290"/>
      <c r="BH756" s="290"/>
      <c r="BI756" s="290"/>
      <c r="BJ756" s="290"/>
      <c r="BK756" s="290"/>
      <c r="BL756" s="290"/>
      <c r="BM756" s="290"/>
      <c r="BN756" s="290"/>
      <c r="BO756" s="290"/>
      <c r="BP756" s="290"/>
      <c r="BQ756" s="290"/>
      <c r="BR756" s="290"/>
      <c r="BS756" s="290"/>
      <c r="BT756" s="290"/>
      <c r="BU756" s="290"/>
      <c r="BV756" s="290"/>
      <c r="BW756" s="290"/>
      <c r="BX756" s="290"/>
      <c r="BY756" s="290"/>
      <c r="BZ756" s="290"/>
      <c r="CA756" s="290"/>
      <c r="CB756" s="290"/>
      <c r="CC756" s="290"/>
      <c r="CE756" s="3"/>
      <c r="CF756" s="290"/>
      <c r="CG756" s="290"/>
      <c r="CH756" s="290"/>
      <c r="CI756" s="290"/>
      <c r="CJ756" s="290"/>
      <c r="CK756" s="290"/>
      <c r="CL756" s="290"/>
      <c r="CM756" s="290"/>
      <c r="CN756" s="290"/>
      <c r="CO756" s="290"/>
      <c r="CP756" s="290"/>
      <c r="CQ756" s="290"/>
      <c r="CR756" s="290"/>
      <c r="CS756" s="290"/>
      <c r="CT756" s="290"/>
      <c r="CU756" s="290"/>
      <c r="CV756" s="290"/>
      <c r="CW756" s="290"/>
      <c r="CX756" s="290"/>
      <c r="CY756" s="290"/>
      <c r="CZ756" s="290"/>
      <c r="DA756" s="290"/>
      <c r="DB756" s="290"/>
      <c r="DC756" s="290"/>
      <c r="DD756" s="290"/>
      <c r="DE756" s="290"/>
      <c r="DF756" s="290"/>
      <c r="DG756" s="290"/>
      <c r="DH756" s="290"/>
      <c r="DI756" s="290"/>
      <c r="DJ756" s="290"/>
      <c r="DK756" s="290"/>
      <c r="DL756" s="290"/>
      <c r="DM756" s="290"/>
      <c r="DN756" s="290"/>
      <c r="DO756" s="290"/>
      <c r="DP756" s="290"/>
      <c r="DQ756" s="290"/>
      <c r="DR756" s="290"/>
      <c r="DS756" s="290"/>
      <c r="DT756" s="290"/>
      <c r="DU756" s="290"/>
      <c r="DV756" s="290"/>
      <c r="DW756" s="290"/>
      <c r="FB756" s="290"/>
      <c r="FC756" s="290"/>
    </row>
    <row r="757" spans="1:185" ht="12.95" customHeight="1">
      <c r="B757" s="57"/>
      <c r="C757" s="1385" t="str">
        <f>IF(G753&lt;&gt;AG440,"! Total Low-Income Units in the Unit Mix Table above does not match the number of Total Low-Income Units on row #"&amp;TEXT(ROW(D440),"#"),"")</f>
        <v/>
      </c>
      <c r="D757" s="1385"/>
      <c r="E757" s="1385"/>
      <c r="F757" s="1385"/>
      <c r="G757" s="1385"/>
      <c r="H757" s="1385"/>
      <c r="I757" s="1385"/>
      <c r="J757" s="1385"/>
      <c r="K757" s="1385"/>
      <c r="L757" s="1385"/>
      <c r="M757" s="1385"/>
      <c r="N757" s="1385"/>
      <c r="O757" s="1385"/>
      <c r="P757" s="1385"/>
      <c r="Q757" s="1385"/>
      <c r="R757" s="1385"/>
      <c r="S757" s="1385"/>
      <c r="T757" s="1385"/>
      <c r="U757" s="1385"/>
      <c r="V757" s="1385"/>
      <c r="W757" s="1385"/>
      <c r="X757" s="1385"/>
      <c r="Y757" s="1385"/>
      <c r="Z757" s="1385"/>
      <c r="AA757" s="1385"/>
      <c r="AB757" s="1385"/>
      <c r="AC757" s="1385"/>
      <c r="AD757" s="1385"/>
      <c r="AE757" s="1385"/>
      <c r="AF757" s="1385"/>
      <c r="AG757" s="1385"/>
      <c r="AH757" s="1385"/>
      <c r="AI757" s="1385"/>
      <c r="AJ757" s="1385"/>
      <c r="AK757" s="1385"/>
      <c r="AL757" s="1385"/>
      <c r="AM757" s="1385"/>
      <c r="AP757" s="290"/>
      <c r="AQ757" s="290"/>
      <c r="AR757" s="290"/>
      <c r="AS757" s="290"/>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85" ht="12.95" customHeight="1">
      <c r="B758" s="57"/>
      <c r="C758" s="1385"/>
      <c r="D758" s="1385"/>
      <c r="E758" s="1385"/>
      <c r="F758" s="1385"/>
      <c r="G758" s="1385"/>
      <c r="H758" s="1385"/>
      <c r="I758" s="1385"/>
      <c r="J758" s="1385"/>
      <c r="K758" s="1385"/>
      <c r="L758" s="1385"/>
      <c r="M758" s="1385"/>
      <c r="N758" s="1385"/>
      <c r="O758" s="1385"/>
      <c r="P758" s="1385"/>
      <c r="Q758" s="1385"/>
      <c r="R758" s="1385"/>
      <c r="S758" s="1385"/>
      <c r="T758" s="1385"/>
      <c r="U758" s="1385"/>
      <c r="V758" s="1385"/>
      <c r="W758" s="1385"/>
      <c r="X758" s="1385"/>
      <c r="Y758" s="1385"/>
      <c r="Z758" s="1385"/>
      <c r="AA758" s="1385"/>
      <c r="AB758" s="1385"/>
      <c r="AC758" s="1385"/>
      <c r="AD758" s="1385"/>
      <c r="AE758" s="1385"/>
      <c r="AF758" s="1385"/>
      <c r="AG758" s="1385"/>
      <c r="AH758" s="1385"/>
      <c r="AI758" s="1385"/>
      <c r="AJ758" s="1385"/>
      <c r="AK758" s="1385"/>
      <c r="AL758" s="1385"/>
      <c r="AM758" s="1385"/>
      <c r="AP758" s="290"/>
      <c r="AQ758" s="290"/>
      <c r="AR758" s="290"/>
      <c r="AS758" s="290"/>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85" ht="12.95" customHeight="1">
      <c r="B759" s="3"/>
      <c r="C759" s="118" t="s">
        <v>1891</v>
      </c>
      <c r="D759" s="1034"/>
      <c r="E759" s="1034"/>
      <c r="F759" s="1034"/>
      <c r="G759" s="1034"/>
      <c r="H759" s="1034"/>
      <c r="I759" s="1034"/>
      <c r="J759" s="1034"/>
      <c r="K759" s="1034"/>
      <c r="L759" s="1034"/>
      <c r="M759" s="1034"/>
      <c r="N759" s="1034"/>
      <c r="O759" s="1034"/>
      <c r="P759" s="1034"/>
      <c r="Q759" s="1034"/>
      <c r="R759" s="1034"/>
      <c r="S759" s="1034"/>
      <c r="T759" s="1034"/>
      <c r="U759" s="1034"/>
      <c r="V759" s="1034"/>
      <c r="W759" s="1034"/>
      <c r="X759" s="1034"/>
      <c r="Y759" s="1034"/>
      <c r="Z759" s="1034"/>
      <c r="AA759" s="1034"/>
      <c r="AB759" s="1034"/>
      <c r="AC759" s="1034"/>
      <c r="AD759" s="1624" t="s">
        <v>591</v>
      </c>
      <c r="AE759" s="1624"/>
      <c r="AF759" s="1624"/>
      <c r="AG759" s="1034"/>
      <c r="AH759" s="1034"/>
      <c r="AI759" s="1034"/>
      <c r="AJ759" s="1034"/>
      <c r="AK759" s="1034"/>
      <c r="AL759" s="1034"/>
      <c r="AM759" s="1034"/>
      <c r="AN759" s="1034"/>
      <c r="AO759" s="1034"/>
      <c r="AP759" s="1034"/>
      <c r="AQ759" s="1034"/>
      <c r="AR759" s="1034"/>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85" ht="12.95" customHeight="1">
      <c r="C760" s="1035" t="s">
        <v>2089</v>
      </c>
      <c r="D760" s="1034"/>
      <c r="E760" s="1034"/>
      <c r="F760" s="1034"/>
      <c r="G760" s="1034"/>
      <c r="H760" s="1034"/>
      <c r="I760" s="1034"/>
      <c r="J760" s="1034"/>
      <c r="K760" s="1034"/>
      <c r="L760" s="1034"/>
      <c r="M760" s="1034"/>
      <c r="N760" s="1034"/>
      <c r="O760" s="1034"/>
      <c r="P760" s="1034"/>
      <c r="Q760" s="1034"/>
      <c r="R760" s="1034"/>
      <c r="S760" s="1034"/>
      <c r="T760" s="1034"/>
      <c r="U760" s="1034"/>
      <c r="V760" s="1034"/>
      <c r="W760" s="1034"/>
      <c r="X760" s="1034"/>
      <c r="Y760" s="1034"/>
      <c r="Z760" s="1034"/>
      <c r="AA760" s="1034"/>
      <c r="AB760" s="1034"/>
      <c r="AC760" s="1034"/>
      <c r="AD760" s="1034"/>
      <c r="AE760" s="1034"/>
      <c r="AF760" s="1034"/>
      <c r="AG760" s="1034"/>
      <c r="AH760" s="1034"/>
      <c r="AI760" s="1034"/>
      <c r="AJ760" s="1034"/>
      <c r="AK760" s="1034"/>
      <c r="AL760" s="1034"/>
      <c r="AM760" s="1034"/>
      <c r="AN760" s="1034"/>
      <c r="AO760" s="1034"/>
      <c r="AP760" s="1034"/>
      <c r="AQ760" s="1034"/>
      <c r="AR760" s="1034"/>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85" ht="12.95" customHeight="1">
      <c r="A761" s="2" t="s">
        <v>576</v>
      </c>
      <c r="B761" s="56"/>
      <c r="C761" s="57" t="s">
        <v>423</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DU761" s="3"/>
      <c r="DV761" s="3"/>
      <c r="DW761" s="3"/>
      <c r="FB761" s="3"/>
      <c r="FC761" s="3"/>
    </row>
    <row r="762" spans="1:185" ht="12.95" customHeight="1">
      <c r="A762" s="3"/>
      <c r="B762" s="1032"/>
      <c r="C762" s="118" t="s">
        <v>176</v>
      </c>
      <c r="D762" s="1032"/>
      <c r="E762" s="1032"/>
      <c r="F762" s="1032"/>
      <c r="G762" s="354"/>
      <c r="H762" s="354"/>
      <c r="I762" s="354"/>
      <c r="J762" s="354"/>
      <c r="K762" s="354"/>
      <c r="L762" s="1032"/>
      <c r="M762" s="1032"/>
      <c r="N762" s="1032"/>
      <c r="O762" s="1032"/>
      <c r="P762" s="1032"/>
      <c r="Q762" s="354"/>
      <c r="R762" s="354"/>
      <c r="S762" s="354"/>
      <c r="T762" s="354"/>
      <c r="U762" s="354"/>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DU762" s="3"/>
      <c r="DV762" s="3"/>
      <c r="DW762" s="3"/>
      <c r="FB762" s="3"/>
      <c r="FC762" s="3"/>
    </row>
    <row r="763" spans="1:185" ht="12.95" customHeight="1">
      <c r="A763" s="3"/>
      <c r="B763" s="1032"/>
      <c r="C763" s="1267" t="s">
        <v>2090</v>
      </c>
      <c r="D763" s="1267"/>
      <c r="E763" s="1267"/>
      <c r="F763" s="1267"/>
      <c r="G763" s="1267"/>
      <c r="H763" s="1267"/>
      <c r="I763" s="1267"/>
      <c r="J763" s="1267"/>
      <c r="K763" s="1267"/>
      <c r="L763" s="1267"/>
      <c r="M763" s="1267"/>
      <c r="N763" s="1267"/>
      <c r="O763" s="1267"/>
      <c r="P763" s="1267"/>
      <c r="Q763" s="1267"/>
      <c r="R763" s="1267"/>
      <c r="S763" s="1267"/>
      <c r="T763" s="1267"/>
      <c r="U763" s="1267"/>
      <c r="V763" s="1267"/>
      <c r="W763" s="1267"/>
      <c r="X763" s="1267"/>
      <c r="Y763" s="1267"/>
      <c r="Z763" s="1267"/>
      <c r="AA763" s="1267"/>
      <c r="AB763" s="1267"/>
      <c r="AC763" s="1267"/>
      <c r="AD763" s="1267"/>
      <c r="AE763" s="1267"/>
      <c r="AF763" s="1267"/>
      <c r="AG763" s="1267"/>
      <c r="AH763" s="1267"/>
      <c r="AI763" s="1267"/>
      <c r="AJ763" s="1267"/>
      <c r="AK763" s="1267"/>
      <c r="AL763" s="1267"/>
      <c r="AM763" s="1267"/>
      <c r="AN763" s="1267"/>
      <c r="AO763" s="1267"/>
      <c r="AP763" s="1267"/>
      <c r="AQ763" s="1267"/>
      <c r="AR763" s="1267"/>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85" ht="12.95" customHeight="1">
      <c r="A764" s="3"/>
      <c r="B764" s="1032"/>
      <c r="C764" s="1267"/>
      <c r="D764" s="1267"/>
      <c r="E764" s="1267"/>
      <c r="F764" s="1267"/>
      <c r="G764" s="1267"/>
      <c r="H764" s="1267"/>
      <c r="I764" s="1267"/>
      <c r="J764" s="1267"/>
      <c r="K764" s="1267"/>
      <c r="L764" s="1267"/>
      <c r="M764" s="1267"/>
      <c r="N764" s="1267"/>
      <c r="O764" s="1267"/>
      <c r="P764" s="1267"/>
      <c r="Q764" s="1267"/>
      <c r="R764" s="1267"/>
      <c r="S764" s="1267"/>
      <c r="T764" s="1267"/>
      <c r="U764" s="1267"/>
      <c r="V764" s="1267"/>
      <c r="W764" s="1267"/>
      <c r="X764" s="1267"/>
      <c r="Y764" s="1267"/>
      <c r="Z764" s="1267"/>
      <c r="AA764" s="1267"/>
      <c r="AB764" s="1267"/>
      <c r="AC764" s="1267"/>
      <c r="AD764" s="1267"/>
      <c r="AE764" s="1267"/>
      <c r="AF764" s="1267"/>
      <c r="AG764" s="1267"/>
      <c r="AH764" s="1267"/>
      <c r="AI764" s="1267"/>
      <c r="AJ764" s="1267"/>
      <c r="AK764" s="1267"/>
      <c r="AL764" s="1267"/>
      <c r="AM764" s="1267"/>
      <c r="AN764" s="1267"/>
      <c r="AO764" s="1267"/>
      <c r="AP764" s="1267"/>
      <c r="AQ764" s="1267"/>
      <c r="AR764" s="1267"/>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DU764" s="3"/>
      <c r="DV764" s="3"/>
      <c r="DW764" s="3"/>
      <c r="FB764" s="3"/>
      <c r="FC764" s="3"/>
    </row>
    <row r="765" spans="1:185" ht="12.95" customHeight="1">
      <c r="A765" s="3"/>
      <c r="B765" s="1032"/>
      <c r="C765" s="1267"/>
      <c r="D765" s="1267"/>
      <c r="E765" s="1267"/>
      <c r="F765" s="1267"/>
      <c r="G765" s="1267"/>
      <c r="H765" s="1267"/>
      <c r="I765" s="1267"/>
      <c r="J765" s="1267"/>
      <c r="K765" s="1267"/>
      <c r="L765" s="1267"/>
      <c r="M765" s="1267"/>
      <c r="N765" s="1267"/>
      <c r="O765" s="1267"/>
      <c r="P765" s="1267"/>
      <c r="Q765" s="1267"/>
      <c r="R765" s="1267"/>
      <c r="S765" s="1267"/>
      <c r="T765" s="1267"/>
      <c r="U765" s="1267"/>
      <c r="V765" s="1267"/>
      <c r="W765" s="1267"/>
      <c r="X765" s="1267"/>
      <c r="Y765" s="1267"/>
      <c r="Z765" s="1267"/>
      <c r="AA765" s="1267"/>
      <c r="AB765" s="1267"/>
      <c r="AC765" s="1267"/>
      <c r="AD765" s="1267"/>
      <c r="AE765" s="1267"/>
      <c r="AF765" s="1267"/>
      <c r="AG765" s="1267"/>
      <c r="AH765" s="1267"/>
      <c r="AI765" s="1267"/>
      <c r="AJ765" s="1267"/>
      <c r="AK765" s="1267"/>
      <c r="AL765" s="1267"/>
      <c r="AM765" s="1267"/>
      <c r="AN765" s="1267"/>
      <c r="AO765" s="1267"/>
      <c r="AP765" s="1267"/>
      <c r="AQ765" s="1267"/>
      <c r="AR765" s="1267"/>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row>
    <row r="766" spans="1:185" ht="12.95" customHeight="1">
      <c r="A766" s="3"/>
      <c r="B766" s="1032"/>
      <c r="C766" s="1267" t="s">
        <v>2091</v>
      </c>
      <c r="D766" s="1267"/>
      <c r="E766" s="1267"/>
      <c r="F766" s="1267"/>
      <c r="G766" s="1267"/>
      <c r="H766" s="1267"/>
      <c r="I766" s="1267"/>
      <c r="J766" s="1267"/>
      <c r="K766" s="1267"/>
      <c r="L766" s="1267"/>
      <c r="M766" s="1267"/>
      <c r="N766" s="1267"/>
      <c r="O766" s="1267"/>
      <c r="P766" s="1267"/>
      <c r="Q766" s="1267"/>
      <c r="R766" s="1267"/>
      <c r="S766" s="1267"/>
      <c r="T766" s="1267"/>
      <c r="U766" s="1267"/>
      <c r="V766" s="1267"/>
      <c r="W766" s="1267"/>
      <c r="X766" s="1267"/>
      <c r="Y766" s="1267"/>
      <c r="Z766" s="1267"/>
      <c r="AA766" s="1267"/>
      <c r="AB766" s="1267"/>
      <c r="AC766" s="1267"/>
      <c r="AD766" s="1267"/>
      <c r="AE766" s="1267"/>
      <c r="AF766" s="1267"/>
      <c r="AG766" s="1267"/>
      <c r="AH766" s="1267"/>
      <c r="AI766" s="1267"/>
      <c r="AJ766" s="1267"/>
      <c r="AK766" s="1267"/>
      <c r="AL766" s="1267"/>
      <c r="AM766" s="1267"/>
      <c r="AN766" s="1267"/>
      <c r="AO766" s="1267"/>
      <c r="AP766" s="1267"/>
      <c r="AQ766" s="1267"/>
      <c r="AR766" s="1267"/>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DX766" s="290"/>
      <c r="DY766" s="290"/>
      <c r="DZ766" s="290"/>
      <c r="EA766" s="290"/>
      <c r="EB766" s="290"/>
      <c r="EC766" s="290"/>
      <c r="ED766" s="290"/>
      <c r="EE766" s="290"/>
      <c r="EF766" s="290"/>
      <c r="EG766" s="290"/>
      <c r="EH766" s="290"/>
      <c r="EI766" s="290"/>
      <c r="EJ766" s="290"/>
      <c r="EK766" s="290"/>
      <c r="EL766" s="290"/>
      <c r="EM766" s="290"/>
      <c r="EN766" s="290"/>
      <c r="EO766" s="290"/>
      <c r="EP766" s="290"/>
      <c r="EQ766" s="290"/>
      <c r="ER766" s="290"/>
      <c r="ES766" s="290"/>
      <c r="ET766" s="290"/>
      <c r="EU766" s="290"/>
      <c r="EV766" s="290"/>
      <c r="EW766" s="290"/>
      <c r="EX766" s="290"/>
      <c r="EY766" s="290"/>
      <c r="EZ766" s="290"/>
      <c r="FA766" s="290"/>
    </row>
    <row r="767" spans="1:185" ht="12.95" customHeight="1">
      <c r="A767" s="3"/>
      <c r="B767" s="1032"/>
      <c r="C767" s="1267"/>
      <c r="D767" s="1267"/>
      <c r="E767" s="1267"/>
      <c r="F767" s="1267"/>
      <c r="G767" s="1267"/>
      <c r="H767" s="1267"/>
      <c r="I767" s="1267"/>
      <c r="J767" s="1267"/>
      <c r="K767" s="1267"/>
      <c r="L767" s="1267"/>
      <c r="M767" s="1267"/>
      <c r="N767" s="1267"/>
      <c r="O767" s="1267"/>
      <c r="P767" s="1267"/>
      <c r="Q767" s="1267"/>
      <c r="R767" s="1267"/>
      <c r="S767" s="1267"/>
      <c r="T767" s="1267"/>
      <c r="U767" s="1267"/>
      <c r="V767" s="1267"/>
      <c r="W767" s="1267"/>
      <c r="X767" s="1267"/>
      <c r="Y767" s="1267"/>
      <c r="Z767" s="1267"/>
      <c r="AA767" s="1267"/>
      <c r="AB767" s="1267"/>
      <c r="AC767" s="1267"/>
      <c r="AD767" s="1267"/>
      <c r="AE767" s="1267"/>
      <c r="AF767" s="1267"/>
      <c r="AG767" s="1267"/>
      <c r="AH767" s="1267"/>
      <c r="AI767" s="1267"/>
      <c r="AJ767" s="1267"/>
      <c r="AK767" s="1267"/>
      <c r="AL767" s="1267"/>
      <c r="AM767" s="1267"/>
      <c r="AN767" s="1267"/>
      <c r="AO767" s="1267"/>
      <c r="AP767" s="1267"/>
      <c r="AQ767" s="1267"/>
      <c r="AR767" s="1267"/>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row>
    <row r="768" spans="1:185" ht="12.95" customHeight="1">
      <c r="A768" s="3"/>
      <c r="B768" s="1032"/>
      <c r="C768" s="1267"/>
      <c r="D768" s="1267"/>
      <c r="E768" s="1267"/>
      <c r="F768" s="1267"/>
      <c r="G768" s="1267"/>
      <c r="H768" s="1267"/>
      <c r="I768" s="1267"/>
      <c r="J768" s="1267"/>
      <c r="K768" s="1267"/>
      <c r="L768" s="1267"/>
      <c r="M768" s="1267"/>
      <c r="N768" s="1267"/>
      <c r="O768" s="1267"/>
      <c r="P768" s="1267"/>
      <c r="Q768" s="1267"/>
      <c r="R768" s="1267"/>
      <c r="S768" s="1267"/>
      <c r="T768" s="1267"/>
      <c r="U768" s="1267"/>
      <c r="V768" s="1267"/>
      <c r="W768" s="1267"/>
      <c r="X768" s="1267"/>
      <c r="Y768" s="1267"/>
      <c r="Z768" s="1267"/>
      <c r="AA768" s="1267"/>
      <c r="AB768" s="1267"/>
      <c r="AC768" s="1267"/>
      <c r="AD768" s="1267"/>
      <c r="AE768" s="1267"/>
      <c r="AF768" s="1267"/>
      <c r="AG768" s="1267"/>
      <c r="AH768" s="1267"/>
      <c r="AI768" s="1267"/>
      <c r="AJ768" s="1267"/>
      <c r="AK768" s="1267"/>
      <c r="AL768" s="1267"/>
      <c r="AM768" s="1267"/>
      <c r="AN768" s="1267"/>
      <c r="AO768" s="1267"/>
      <c r="AP768" s="1267"/>
      <c r="AQ768" s="1267"/>
      <c r="AR768" s="1267"/>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26" ht="12.95" customHeight="1">
      <c r="J769" s="1362" t="s">
        <v>388</v>
      </c>
      <c r="K769" s="1363"/>
      <c r="L769" s="1363"/>
      <c r="M769" s="1363"/>
      <c r="N769" s="1364"/>
      <c r="O769" s="1619" t="s">
        <v>284</v>
      </c>
      <c r="P769" s="1619"/>
      <c r="Q769" s="1619"/>
      <c r="R769" s="1619"/>
      <c r="S769" s="1619"/>
      <c r="T769" s="1719" t="s">
        <v>1679</v>
      </c>
      <c r="U769" s="1720"/>
      <c r="V769" s="1720"/>
      <c r="W769" s="1721"/>
      <c r="X769" s="1362" t="s">
        <v>447</v>
      </c>
      <c r="Y769" s="1363"/>
      <c r="Z769" s="1363"/>
      <c r="AA769" s="1363"/>
      <c r="AB769" s="1364"/>
      <c r="AC769" s="1362" t="s">
        <v>285</v>
      </c>
      <c r="AD769" s="1363"/>
      <c r="AE769" s="1363"/>
      <c r="AF769" s="1363"/>
      <c r="AG769" s="1364"/>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row>
    <row r="770" spans="1:126" ht="12.95" customHeight="1">
      <c r="J770" s="1365"/>
      <c r="K770" s="1366"/>
      <c r="L770" s="1366"/>
      <c r="M770" s="1366"/>
      <c r="N770" s="1367"/>
      <c r="O770" s="1619"/>
      <c r="P770" s="1619"/>
      <c r="Q770" s="1619"/>
      <c r="R770" s="1619"/>
      <c r="S770" s="1619"/>
      <c r="T770" s="1722"/>
      <c r="U770" s="1723"/>
      <c r="V770" s="1723"/>
      <c r="W770" s="1724"/>
      <c r="X770" s="1365"/>
      <c r="Y770" s="1366"/>
      <c r="Z770" s="1366"/>
      <c r="AA770" s="1366"/>
      <c r="AB770" s="1367"/>
      <c r="AC770" s="1365"/>
      <c r="AD770" s="1366"/>
      <c r="AE770" s="1366"/>
      <c r="AF770" s="1366"/>
      <c r="AG770" s="1367"/>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row>
    <row r="771" spans="1:126" ht="12.95" customHeight="1">
      <c r="J771" s="1365"/>
      <c r="K771" s="1366"/>
      <c r="L771" s="1366"/>
      <c r="M771" s="1366"/>
      <c r="N771" s="1367"/>
      <c r="O771" s="1619"/>
      <c r="P771" s="1619"/>
      <c r="Q771" s="1619"/>
      <c r="R771" s="1619"/>
      <c r="S771" s="1619"/>
      <c r="T771" s="1722"/>
      <c r="U771" s="1723"/>
      <c r="V771" s="1723"/>
      <c r="W771" s="1724"/>
      <c r="X771" s="1365"/>
      <c r="Y771" s="1366"/>
      <c r="Z771" s="1366"/>
      <c r="AA771" s="1366"/>
      <c r="AB771" s="1367"/>
      <c r="AC771" s="1365"/>
      <c r="AD771" s="1366"/>
      <c r="AE771" s="1366"/>
      <c r="AF771" s="1366"/>
      <c r="AG771" s="1367"/>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row>
    <row r="772" spans="1:126" ht="12.95" customHeight="1">
      <c r="J772" s="1368"/>
      <c r="K772" s="1369"/>
      <c r="L772" s="1369"/>
      <c r="M772" s="1369"/>
      <c r="N772" s="1370"/>
      <c r="O772" s="1619"/>
      <c r="P772" s="1619"/>
      <c r="Q772" s="1619"/>
      <c r="R772" s="1619"/>
      <c r="S772" s="1619"/>
      <c r="T772" s="1725"/>
      <c r="U772" s="1726"/>
      <c r="V772" s="1726"/>
      <c r="W772" s="1727"/>
      <c r="X772" s="1368"/>
      <c r="Y772" s="1369"/>
      <c r="Z772" s="1369"/>
      <c r="AA772" s="1369"/>
      <c r="AB772" s="1370"/>
      <c r="AC772" s="1368"/>
      <c r="AD772" s="1369"/>
      <c r="AE772" s="1369"/>
      <c r="AF772" s="1369"/>
      <c r="AG772" s="1370"/>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P772" s="3" t="s">
        <v>103</v>
      </c>
      <c r="CQ772" s="3"/>
      <c r="CR772" s="3"/>
      <c r="CS772" s="3"/>
      <c r="CT772" s="3"/>
      <c r="CU772" s="3"/>
      <c r="CV772" s="3"/>
      <c r="CW772" s="3"/>
      <c r="CX772" s="3"/>
      <c r="CY772" s="3"/>
      <c r="CZ772" s="3"/>
      <c r="DA772" s="3"/>
      <c r="DB772" s="3"/>
      <c r="DC772" s="3"/>
      <c r="DD772" s="3"/>
      <c r="DE772" s="3"/>
      <c r="DF772" s="3"/>
      <c r="DG772" s="3"/>
      <c r="DH772" s="3"/>
      <c r="DI772" s="3"/>
      <c r="DJ772" s="3"/>
      <c r="DK772" s="3"/>
      <c r="DL772" s="3"/>
      <c r="DM772" s="3"/>
      <c r="DN772" s="3"/>
      <c r="DO772" s="3"/>
      <c r="DP772" s="3"/>
      <c r="DQ772" s="3"/>
      <c r="DR772" s="3"/>
      <c r="DS772" s="3"/>
      <c r="DT772" s="6"/>
      <c r="DU772" s="3"/>
      <c r="DV772" s="3"/>
    </row>
    <row r="773" spans="1:126" ht="12.95" customHeight="1">
      <c r="J773" s="1337" t="s">
        <v>163</v>
      </c>
      <c r="K773" s="1338"/>
      <c r="L773" s="1338"/>
      <c r="M773" s="1338"/>
      <c r="N773" s="1339"/>
      <c r="O773" s="1613">
        <v>1</v>
      </c>
      <c r="P773" s="1613"/>
      <c r="Q773" s="1613"/>
      <c r="R773" s="1613"/>
      <c r="S773" s="1613"/>
      <c r="T773" s="1343">
        <v>890</v>
      </c>
      <c r="U773" s="1344"/>
      <c r="V773" s="1344"/>
      <c r="W773" s="1345"/>
      <c r="X773" s="1340"/>
      <c r="Y773" s="1341"/>
      <c r="Z773" s="1341"/>
      <c r="AA773" s="1341"/>
      <c r="AB773" s="1342"/>
      <c r="AC773" s="1352">
        <f>X773*O773</f>
        <v>0</v>
      </c>
      <c r="AD773" s="1353"/>
      <c r="AE773" s="1353"/>
      <c r="AF773" s="1353"/>
      <c r="AG773" s="1354"/>
      <c r="AH773" s="1021"/>
      <c r="AI773" s="116"/>
      <c r="AJ773" s="116"/>
      <c r="AK773" s="1021"/>
      <c r="AL773" s="1021"/>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P773" s="1458">
        <f>IF(J773="SRO/Studio",O773,0)</f>
        <v>0</v>
      </c>
      <c r="CQ773" s="1459"/>
      <c r="CR773" s="1459"/>
      <c r="CS773" s="1459"/>
      <c r="CT773" s="1460"/>
      <c r="CU773" s="1443">
        <f>IF(J773="1 Bedroom",O773,0)</f>
        <v>0</v>
      </c>
      <c r="CV773" s="1443"/>
      <c r="CW773" s="1443"/>
      <c r="CX773" s="1443"/>
      <c r="CY773" s="1443"/>
      <c r="CZ773" s="1443">
        <f>IF(J773="2 Bedrooms",O773,0)</f>
        <v>1</v>
      </c>
      <c r="DA773" s="1443"/>
      <c r="DB773" s="1443"/>
      <c r="DC773" s="1443"/>
      <c r="DD773" s="1443"/>
      <c r="DE773" s="1443">
        <f>IF(J773="3 Bedrooms",O773,0)</f>
        <v>0</v>
      </c>
      <c r="DF773" s="1443"/>
      <c r="DG773" s="1443"/>
      <c r="DH773" s="1443"/>
      <c r="DI773" s="1443"/>
      <c r="DJ773" s="1443">
        <f>IF(J773="4 Bedrooms",O773,0)</f>
        <v>0</v>
      </c>
      <c r="DK773" s="1443"/>
      <c r="DL773" s="1443"/>
      <c r="DM773" s="1443"/>
      <c r="DN773" s="1443"/>
      <c r="DO773" s="1443">
        <f>IF(J773="5 Bedrooms",O773,0)</f>
        <v>0</v>
      </c>
      <c r="DP773" s="1443"/>
      <c r="DQ773" s="1443"/>
      <c r="DR773" s="1443"/>
      <c r="DS773" s="1443"/>
      <c r="DT773" s="6"/>
      <c r="DU773" s="3"/>
      <c r="DV773" s="3"/>
    </row>
    <row r="774" spans="1:126" ht="12.95" customHeight="1">
      <c r="J774" s="1337"/>
      <c r="K774" s="1338"/>
      <c r="L774" s="1338"/>
      <c r="M774" s="1338"/>
      <c r="N774" s="1339"/>
      <c r="O774" s="1613"/>
      <c r="P774" s="1613"/>
      <c r="Q774" s="1613"/>
      <c r="R774" s="1613"/>
      <c r="S774" s="1613"/>
      <c r="T774" s="1343"/>
      <c r="U774" s="1344"/>
      <c r="V774" s="1344"/>
      <c r="W774" s="1345"/>
      <c r="X774" s="1340"/>
      <c r="Y774" s="1341"/>
      <c r="Z774" s="1341"/>
      <c r="AA774" s="1341"/>
      <c r="AB774" s="1342"/>
      <c r="AC774" s="1352">
        <f>X774*O774</f>
        <v>0</v>
      </c>
      <c r="AD774" s="1353"/>
      <c r="AE774" s="1353"/>
      <c r="AF774" s="1353"/>
      <c r="AG774" s="1354"/>
      <c r="AH774" s="1021"/>
      <c r="AI774" s="1021"/>
      <c r="AJ774" s="1021"/>
      <c r="AK774" s="1021"/>
      <c r="AL774" s="1021"/>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P774" s="1458">
        <f>IF(J774="SRO/Studio",O774,0)</f>
        <v>0</v>
      </c>
      <c r="CQ774" s="1459"/>
      <c r="CR774" s="1459"/>
      <c r="CS774" s="1459"/>
      <c r="CT774" s="1460"/>
      <c r="CU774" s="1443">
        <f>IF(J774="1 Bedroom",O774,0)</f>
        <v>0</v>
      </c>
      <c r="CV774" s="1443"/>
      <c r="CW774" s="1443"/>
      <c r="CX774" s="1443"/>
      <c r="CY774" s="1443"/>
      <c r="CZ774" s="1443">
        <f>IF(J774="2 Bedrooms",O774,0)</f>
        <v>0</v>
      </c>
      <c r="DA774" s="1443"/>
      <c r="DB774" s="1443"/>
      <c r="DC774" s="1443"/>
      <c r="DD774" s="1443"/>
      <c r="DE774" s="1443">
        <f>IF(J774="3 Bedrooms",O774,0)</f>
        <v>0</v>
      </c>
      <c r="DF774" s="1443"/>
      <c r="DG774" s="1443"/>
      <c r="DH774" s="1443"/>
      <c r="DI774" s="1443"/>
      <c r="DJ774" s="1443">
        <f>IF(J774="4 Bedrooms",O774,0)</f>
        <v>0</v>
      </c>
      <c r="DK774" s="1443"/>
      <c r="DL774" s="1443"/>
      <c r="DM774" s="1443"/>
      <c r="DN774" s="1443"/>
      <c r="DO774" s="1443">
        <f>IF(J774="5 Bedrooms",O774,0)</f>
        <v>0</v>
      </c>
      <c r="DP774" s="1443"/>
      <c r="DQ774" s="1443"/>
      <c r="DR774" s="1443"/>
      <c r="DS774" s="1443"/>
      <c r="DT774" s="6"/>
      <c r="DU774" s="3"/>
      <c r="DV774" s="3"/>
    </row>
    <row r="775" spans="1:126" ht="12.95" customHeight="1">
      <c r="J775" s="1337"/>
      <c r="K775" s="1338"/>
      <c r="L775" s="1338"/>
      <c r="M775" s="1338"/>
      <c r="N775" s="1339"/>
      <c r="O775" s="1613"/>
      <c r="P775" s="1613"/>
      <c r="Q775" s="1613"/>
      <c r="R775" s="1613"/>
      <c r="S775" s="1613"/>
      <c r="T775" s="1343"/>
      <c r="U775" s="1344"/>
      <c r="V775" s="1344"/>
      <c r="W775" s="1345"/>
      <c r="X775" s="1340"/>
      <c r="Y775" s="1341"/>
      <c r="Z775" s="1341"/>
      <c r="AA775" s="1341"/>
      <c r="AB775" s="1342"/>
      <c r="AC775" s="1352">
        <f>X775*O775</f>
        <v>0</v>
      </c>
      <c r="AD775" s="1353"/>
      <c r="AE775" s="1353"/>
      <c r="AF775" s="1353"/>
      <c r="AG775" s="1354"/>
      <c r="AH775" s="1021"/>
      <c r="AI775" s="1021"/>
      <c r="AJ775" s="1021"/>
      <c r="AK775" s="1021"/>
      <c r="AL775" s="1021"/>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P775" s="1458">
        <f>IF(J775="SRO/Studio",O775,0)</f>
        <v>0</v>
      </c>
      <c r="CQ775" s="1459"/>
      <c r="CR775" s="1459"/>
      <c r="CS775" s="1459"/>
      <c r="CT775" s="1460"/>
      <c r="CU775" s="1443">
        <f>IF(J775="1 Bedroom",O775,0)</f>
        <v>0</v>
      </c>
      <c r="CV775" s="1443"/>
      <c r="CW775" s="1443"/>
      <c r="CX775" s="1443"/>
      <c r="CY775" s="1443"/>
      <c r="CZ775" s="1443">
        <f>IF(J775="2 Bedrooms",O775,0)</f>
        <v>0</v>
      </c>
      <c r="DA775" s="1443"/>
      <c r="DB775" s="1443"/>
      <c r="DC775" s="1443"/>
      <c r="DD775" s="1443"/>
      <c r="DE775" s="1443">
        <f>IF(J775="3 Bedrooms",O775,0)</f>
        <v>0</v>
      </c>
      <c r="DF775" s="1443"/>
      <c r="DG775" s="1443"/>
      <c r="DH775" s="1443"/>
      <c r="DI775" s="1443"/>
      <c r="DJ775" s="1443">
        <f>IF(J775="4 Bedrooms",O775,0)</f>
        <v>0</v>
      </c>
      <c r="DK775" s="1443"/>
      <c r="DL775" s="1443"/>
      <c r="DM775" s="1443"/>
      <c r="DN775" s="1443"/>
      <c r="DO775" s="1443">
        <f>IF(J775="5 Bedrooms",O775,0)</f>
        <v>0</v>
      </c>
      <c r="DP775" s="1443"/>
      <c r="DQ775" s="1443"/>
      <c r="DR775" s="1443"/>
      <c r="DS775" s="1443"/>
      <c r="DT775" s="1012"/>
    </row>
    <row r="776" spans="1:126" ht="12.95" customHeight="1">
      <c r="J776" s="1337"/>
      <c r="K776" s="1338"/>
      <c r="L776" s="1338"/>
      <c r="M776" s="1338"/>
      <c r="N776" s="1339"/>
      <c r="O776" s="1613"/>
      <c r="P776" s="1613"/>
      <c r="Q776" s="1613"/>
      <c r="R776" s="1613"/>
      <c r="S776" s="1613"/>
      <c r="T776" s="1343"/>
      <c r="U776" s="1344"/>
      <c r="V776" s="1344"/>
      <c r="W776" s="1345"/>
      <c r="X776" s="1340"/>
      <c r="Y776" s="1341"/>
      <c r="Z776" s="1341"/>
      <c r="AA776" s="1341"/>
      <c r="AB776" s="1342"/>
      <c r="AC776" s="1352">
        <f>X776*O776</f>
        <v>0</v>
      </c>
      <c r="AD776" s="1353"/>
      <c r="AE776" s="1353"/>
      <c r="AF776" s="1353"/>
      <c r="AG776" s="1354"/>
      <c r="AH776" s="1021"/>
      <c r="AI776" s="1021"/>
      <c r="AJ776" s="1021"/>
      <c r="AK776" s="1021"/>
      <c r="AL776" s="1021"/>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P776" s="1458">
        <f>IF(J776="SRO/Studio",O776,0)</f>
        <v>0</v>
      </c>
      <c r="CQ776" s="1459"/>
      <c r="CR776" s="1459"/>
      <c r="CS776" s="1459"/>
      <c r="CT776" s="1460"/>
      <c r="CU776" s="1443">
        <f>IF(J776="1 Bedroom",O776,0)</f>
        <v>0</v>
      </c>
      <c r="CV776" s="1443"/>
      <c r="CW776" s="1443"/>
      <c r="CX776" s="1443"/>
      <c r="CY776" s="1443"/>
      <c r="CZ776" s="1443">
        <f>IF(J776="2 Bedrooms",O776,0)</f>
        <v>0</v>
      </c>
      <c r="DA776" s="1443"/>
      <c r="DB776" s="1443"/>
      <c r="DC776" s="1443"/>
      <c r="DD776" s="1443"/>
      <c r="DE776" s="1443">
        <f>IF(J776="3 Bedrooms",O776,0)</f>
        <v>0</v>
      </c>
      <c r="DF776" s="1443"/>
      <c r="DG776" s="1443"/>
      <c r="DH776" s="1443"/>
      <c r="DI776" s="1443"/>
      <c r="DJ776" s="1443">
        <f>IF(J776="4 Bedrooms",O776,0)</f>
        <v>0</v>
      </c>
      <c r="DK776" s="1443"/>
      <c r="DL776" s="1443"/>
      <c r="DM776" s="1443"/>
      <c r="DN776" s="1443"/>
      <c r="DO776" s="1443">
        <f>IF(J776="5 Bedrooms",O776,0)</f>
        <v>0</v>
      </c>
      <c r="DP776" s="1443"/>
      <c r="DQ776" s="1443"/>
      <c r="DR776" s="1443"/>
      <c r="DS776" s="1443"/>
    </row>
    <row r="777" spans="1:126" ht="12.95" customHeight="1">
      <c r="J777" s="1449" t="s">
        <v>125</v>
      </c>
      <c r="K777" s="1450"/>
      <c r="L777" s="1450"/>
      <c r="M777" s="1450"/>
      <c r="N777" s="1451"/>
      <c r="O777" s="1469">
        <f>SUM(O773:S776)</f>
        <v>1</v>
      </c>
      <c r="P777" s="1471"/>
      <c r="Q777" s="1471"/>
      <c r="R777" s="1471"/>
      <c r="S777" s="1470"/>
      <c r="X777" s="1449" t="s">
        <v>124</v>
      </c>
      <c r="Y777" s="1450"/>
      <c r="Z777" s="1450"/>
      <c r="AA777" s="1450"/>
      <c r="AB777" s="1451"/>
      <c r="AC777" s="1352">
        <f>SUM(AC773:AG776)</f>
        <v>0</v>
      </c>
      <c r="AD777" s="1353"/>
      <c r="AE777" s="1353"/>
      <c r="AF777" s="1353"/>
      <c r="AG777" s="1354"/>
      <c r="AI777" s="1021"/>
      <c r="AJ777" s="1021"/>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P777" s="1469">
        <f>SUM(CP773:CT776)</f>
        <v>0</v>
      </c>
      <c r="CQ777" s="1471"/>
      <c r="CR777" s="1471"/>
      <c r="CS777" s="1471"/>
      <c r="CT777" s="1470"/>
      <c r="CU777" s="1472">
        <f>SUM(CU773:CY776)</f>
        <v>0</v>
      </c>
      <c r="CV777" s="1473"/>
      <c r="CW777" s="1473"/>
      <c r="CX777" s="1473"/>
      <c r="CY777" s="1474"/>
      <c r="CZ777" s="1472">
        <f>SUM(CZ773:DD776)</f>
        <v>1</v>
      </c>
      <c r="DA777" s="1473"/>
      <c r="DB777" s="1473"/>
      <c r="DC777" s="1473"/>
      <c r="DD777" s="1474"/>
      <c r="DE777" s="1472">
        <f>SUM(DE773:DI776)</f>
        <v>0</v>
      </c>
      <c r="DF777" s="1473"/>
      <c r="DG777" s="1473"/>
      <c r="DH777" s="1473"/>
      <c r="DI777" s="1474"/>
      <c r="DJ777" s="1472">
        <f>SUM(DJ773:DN776)</f>
        <v>0</v>
      </c>
      <c r="DK777" s="1473"/>
      <c r="DL777" s="1473"/>
      <c r="DM777" s="1473"/>
      <c r="DN777" s="1474"/>
      <c r="DO777" s="1472">
        <f>SUM(DO773:DS776)</f>
        <v>0</v>
      </c>
      <c r="DP777" s="1473"/>
      <c r="DQ777" s="1473"/>
      <c r="DR777" s="1473"/>
      <c r="DS777" s="1474"/>
      <c r="DU777" s="861">
        <f>CP777+CU777+CZ777+DE777+DJ777+DO777</f>
        <v>1</v>
      </c>
      <c r="DV777" s="57" t="s">
        <v>1860</v>
      </c>
    </row>
    <row r="778" spans="1:126" ht="12.95" customHeight="1">
      <c r="J778" s="56"/>
      <c r="K778" s="56"/>
      <c r="L778" s="56"/>
      <c r="M778" s="56"/>
      <c r="N778" s="56"/>
      <c r="O778" s="6"/>
      <c r="P778" s="6"/>
      <c r="Q778" s="6"/>
      <c r="R778" s="6"/>
      <c r="S778" s="6"/>
      <c r="T778" s="56"/>
      <c r="U778" s="56"/>
      <c r="V778" s="56"/>
      <c r="W778" s="56"/>
      <c r="X778" s="56"/>
      <c r="Y778" s="176"/>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T778" s="861">
        <f>CP777*1</f>
        <v>0</v>
      </c>
      <c r="CU778" s="3"/>
      <c r="CV778" s="3"/>
      <c r="CW778" s="3"/>
      <c r="CX778" s="3"/>
      <c r="CY778" s="861">
        <f>CU777*1</f>
        <v>0</v>
      </c>
      <c r="CZ778" s="3"/>
      <c r="DA778" s="3"/>
      <c r="DB778" s="3"/>
      <c r="DC778" s="3"/>
      <c r="DD778" s="861">
        <f>CZ777*2</f>
        <v>2</v>
      </c>
      <c r="DE778" s="3"/>
      <c r="DF778" s="3"/>
      <c r="DG778" s="3"/>
      <c r="DH778" s="3"/>
      <c r="DI778" s="861">
        <f>DE777*3</f>
        <v>0</v>
      </c>
      <c r="DJ778" s="3"/>
      <c r="DK778" s="3"/>
      <c r="DL778" s="3"/>
      <c r="DM778" s="3"/>
      <c r="DN778" s="861">
        <f>DJ777*4</f>
        <v>0</v>
      </c>
      <c r="DO778" s="3"/>
      <c r="DP778" s="3"/>
      <c r="DQ778" s="3"/>
      <c r="DR778" s="3"/>
      <c r="DS778" s="861">
        <f>DO777*5</f>
        <v>0</v>
      </c>
      <c r="DU778" s="861">
        <f>CT778+CY778+DD778+DI778+DN778+DS778</f>
        <v>2</v>
      </c>
      <c r="DV778" s="57" t="s">
        <v>1862</v>
      </c>
    </row>
    <row r="779" spans="1:126" ht="12.95" customHeight="1">
      <c r="B779" s="56"/>
      <c r="C779" s="56"/>
      <c r="D779" s="56"/>
      <c r="E779" s="56"/>
      <c r="F779" s="56"/>
      <c r="G779" s="6"/>
      <c r="H779" s="6"/>
      <c r="I779" s="6"/>
      <c r="J779" s="1663" t="s">
        <v>669</v>
      </c>
      <c r="K779" s="1663"/>
      <c r="L779" s="56"/>
      <c r="M779" s="35" t="s">
        <v>977</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26" ht="12.95" customHeight="1">
      <c r="B780" s="56"/>
      <c r="C780" s="56"/>
      <c r="D780" s="56"/>
      <c r="E780" s="56"/>
      <c r="F780" s="56"/>
      <c r="G780" s="6"/>
      <c r="H780" s="6"/>
      <c r="I780" s="6"/>
      <c r="J780" s="6"/>
      <c r="K780" s="6"/>
      <c r="L780" s="56"/>
      <c r="M780" s="35" t="s">
        <v>2092</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26" ht="12.95" customHeight="1">
      <c r="A781" s="2" t="s">
        <v>586</v>
      </c>
      <c r="B781" s="57"/>
      <c r="C781" s="57" t="s">
        <v>286</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26" ht="12.95" customHeight="1">
      <c r="B782" s="56"/>
      <c r="C782" s="56"/>
      <c r="D782" s="56"/>
      <c r="E782" s="56"/>
      <c r="F782" s="56"/>
      <c r="G782" s="6"/>
      <c r="H782" s="6"/>
      <c r="I782" s="6"/>
      <c r="J782" s="512"/>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26" ht="12.95" customHeight="1">
      <c r="J783" s="1362" t="s">
        <v>388</v>
      </c>
      <c r="K783" s="1363"/>
      <c r="L783" s="1363"/>
      <c r="M783" s="1363"/>
      <c r="N783" s="1364"/>
      <c r="O783" s="1619" t="s">
        <v>284</v>
      </c>
      <c r="P783" s="1619"/>
      <c r="Q783" s="1619"/>
      <c r="R783" s="1619"/>
      <c r="S783" s="1619"/>
      <c r="T783" s="1719" t="s">
        <v>1679</v>
      </c>
      <c r="U783" s="1720"/>
      <c r="V783" s="1720"/>
      <c r="W783" s="1721"/>
      <c r="X783" s="1362" t="s">
        <v>447</v>
      </c>
      <c r="Y783" s="1363"/>
      <c r="Z783" s="1363"/>
      <c r="AA783" s="1363"/>
      <c r="AB783" s="1364"/>
      <c r="AC783" s="1362" t="s">
        <v>285</v>
      </c>
      <c r="AD783" s="1363"/>
      <c r="AE783" s="1363"/>
      <c r="AF783" s="1363"/>
      <c r="AG783" s="1364"/>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26" ht="12.95" customHeight="1">
      <c r="J784" s="1365"/>
      <c r="K784" s="1366"/>
      <c r="L784" s="1366"/>
      <c r="M784" s="1366"/>
      <c r="N784" s="1367"/>
      <c r="O784" s="1619"/>
      <c r="P784" s="1619"/>
      <c r="Q784" s="1619"/>
      <c r="R784" s="1619"/>
      <c r="S784" s="1619"/>
      <c r="T784" s="1722"/>
      <c r="U784" s="1723"/>
      <c r="V784" s="1723"/>
      <c r="W784" s="1724"/>
      <c r="X784" s="1365"/>
      <c r="Y784" s="1366"/>
      <c r="Z784" s="1366"/>
      <c r="AA784" s="1366"/>
      <c r="AB784" s="1367"/>
      <c r="AC784" s="1365"/>
      <c r="AD784" s="1366"/>
      <c r="AE784" s="1366"/>
      <c r="AF784" s="1366"/>
      <c r="AG784" s="1367"/>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4" ht="12.95" customHeight="1">
      <c r="J785" s="1365"/>
      <c r="K785" s="1366"/>
      <c r="L785" s="1366"/>
      <c r="M785" s="1366"/>
      <c r="N785" s="1367"/>
      <c r="O785" s="1619"/>
      <c r="P785" s="1619"/>
      <c r="Q785" s="1619"/>
      <c r="R785" s="1619"/>
      <c r="S785" s="1619"/>
      <c r="T785" s="1722"/>
      <c r="U785" s="1723"/>
      <c r="V785" s="1723"/>
      <c r="W785" s="1724"/>
      <c r="X785" s="1365"/>
      <c r="Y785" s="1366"/>
      <c r="Z785" s="1366"/>
      <c r="AA785" s="1366"/>
      <c r="AB785" s="1367"/>
      <c r="AC785" s="1365"/>
      <c r="AD785" s="1366"/>
      <c r="AE785" s="1366"/>
      <c r="AF785" s="1366"/>
      <c r="AG785" s="1367"/>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4" ht="12.95" customHeight="1">
      <c r="J786" s="1368"/>
      <c r="K786" s="1369"/>
      <c r="L786" s="1369"/>
      <c r="M786" s="1369"/>
      <c r="N786" s="1370"/>
      <c r="O786" s="1619"/>
      <c r="P786" s="1619"/>
      <c r="Q786" s="1619"/>
      <c r="R786" s="1619"/>
      <c r="S786" s="1619"/>
      <c r="T786" s="1725"/>
      <c r="U786" s="1726"/>
      <c r="V786" s="1726"/>
      <c r="W786" s="1727"/>
      <c r="X786" s="1368"/>
      <c r="Y786" s="1369"/>
      <c r="Z786" s="1369"/>
      <c r="AA786" s="1369"/>
      <c r="AB786" s="1370"/>
      <c r="AC786" s="1368"/>
      <c r="AD786" s="1369"/>
      <c r="AE786" s="1369"/>
      <c r="AF786" s="1369"/>
      <c r="AG786" s="1370"/>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P786" s="34" t="s">
        <v>104</v>
      </c>
      <c r="CQ786" s="34"/>
      <c r="CR786" s="34"/>
      <c r="CS786" s="3"/>
      <c r="CT786" s="3"/>
      <c r="CU786" s="3"/>
      <c r="CV786" s="3"/>
      <c r="CW786" s="3"/>
      <c r="CX786" s="3"/>
      <c r="CY786" s="3"/>
      <c r="CZ786" s="3"/>
      <c r="DA786" s="3"/>
      <c r="DB786" s="3"/>
      <c r="DC786" s="3"/>
      <c r="DD786" s="3"/>
      <c r="DE786" s="3"/>
      <c r="DF786" s="3"/>
      <c r="DG786" s="3"/>
      <c r="DH786" s="3"/>
      <c r="DI786" s="3"/>
      <c r="DJ786" s="3"/>
      <c r="DK786" s="3"/>
      <c r="DL786" s="3"/>
      <c r="DM786" s="3"/>
      <c r="DN786" s="3"/>
      <c r="DO786" s="3"/>
      <c r="DP786" s="3"/>
      <c r="DQ786" s="3"/>
      <c r="DR786" s="3"/>
      <c r="DS786" s="3"/>
      <c r="DT786" s="3"/>
      <c r="DU786" s="3" t="s">
        <v>1867</v>
      </c>
      <c r="DV786" s="3"/>
      <c r="DW786" s="3"/>
      <c r="DX786" s="3"/>
      <c r="DY786" s="3"/>
      <c r="DZ786" s="3"/>
      <c r="EA786" s="3"/>
      <c r="EB786" s="3"/>
      <c r="EC786" s="3"/>
      <c r="ED786" s="3"/>
      <c r="EE786" s="3"/>
      <c r="EF786" s="3"/>
      <c r="EG786" s="3"/>
      <c r="EH786" s="3"/>
    </row>
    <row r="787" spans="1:154" ht="12.95" customHeight="1">
      <c r="J787" s="1337"/>
      <c r="K787" s="1338"/>
      <c r="L787" s="1338"/>
      <c r="M787" s="1338"/>
      <c r="N787" s="1339"/>
      <c r="O787" s="1613"/>
      <c r="P787" s="1613"/>
      <c r="Q787" s="1613"/>
      <c r="R787" s="1613"/>
      <c r="S787" s="1613"/>
      <c r="T787" s="1343"/>
      <c r="U787" s="1344"/>
      <c r="V787" s="1344"/>
      <c r="W787" s="1345"/>
      <c r="X787" s="1340"/>
      <c r="Y787" s="1341"/>
      <c r="Z787" s="1341"/>
      <c r="AA787" s="1341"/>
      <c r="AB787" s="1342"/>
      <c r="AC787" s="1352">
        <f t="shared" ref="AC787:AC796" si="40">X787*O787</f>
        <v>0</v>
      </c>
      <c r="AD787" s="1353"/>
      <c r="AE787" s="1353"/>
      <c r="AF787" s="1353"/>
      <c r="AG787" s="1354"/>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P787" s="1458">
        <f t="shared" ref="CP787:CP796" si="41">IF(J787="SRO/Studio",O787,0)</f>
        <v>0</v>
      </c>
      <c r="CQ787" s="1459"/>
      <c r="CR787" s="1459"/>
      <c r="CS787" s="1459"/>
      <c r="CT787" s="1460"/>
      <c r="CU787" s="1458">
        <f t="shared" ref="CU787:CU796" si="42">IF(J787="1 Bedroom",O787,0)</f>
        <v>0</v>
      </c>
      <c r="CV787" s="1459"/>
      <c r="CW787" s="1459"/>
      <c r="CX787" s="1459"/>
      <c r="CY787" s="1460"/>
      <c r="CZ787" s="1458">
        <f t="shared" ref="CZ787:CZ796" si="43">IF(J787="2 Bedrooms",O787,0)</f>
        <v>0</v>
      </c>
      <c r="DA787" s="1459"/>
      <c r="DB787" s="1459"/>
      <c r="DC787" s="1459"/>
      <c r="DD787" s="1460"/>
      <c r="DE787" s="1458">
        <f t="shared" ref="DE787:DE796" si="44">IF(J787="3 Bedrooms",O787,0)</f>
        <v>0</v>
      </c>
      <c r="DF787" s="1459"/>
      <c r="DG787" s="1459"/>
      <c r="DH787" s="1459"/>
      <c r="DI787" s="1460"/>
      <c r="DJ787" s="1458">
        <f t="shared" ref="DJ787:DJ796" si="45">IF(J787="4 Bedrooms",O787,0)</f>
        <v>0</v>
      </c>
      <c r="DK787" s="1459"/>
      <c r="DL787" s="1459"/>
      <c r="DM787" s="1459"/>
      <c r="DN787" s="1460"/>
      <c r="DO787" s="1458">
        <f t="shared" ref="DO787:DO796" si="46">IF(J787="5 Bedrooms",O787,0)</f>
        <v>0</v>
      </c>
      <c r="DP787" s="1459"/>
      <c r="DQ787" s="1459"/>
      <c r="DR787" s="1459"/>
      <c r="DS787" s="1460"/>
      <c r="DT787" s="6"/>
      <c r="DU787" s="1458">
        <f t="shared" ref="DU787:DU796" si="47">IF(AND(CP787&gt;=1,AH787&gt;=0.1,AH787&lt;=1),O787,0)</f>
        <v>0</v>
      </c>
      <c r="DV787" s="1459"/>
      <c r="DW787" s="1459"/>
      <c r="DX787" s="1459"/>
      <c r="DY787" s="1460"/>
      <c r="DZ787" s="1458">
        <f t="shared" ref="DZ787:DZ796" si="48">IF(AND(CU787&gt;=1,AH787&gt;=0.1,AH787&lt;=1),O787,0)</f>
        <v>0</v>
      </c>
      <c r="EA787" s="1459"/>
      <c r="EB787" s="1459"/>
      <c r="EC787" s="1459"/>
      <c r="ED787" s="1460"/>
      <c r="EE787" s="1458">
        <f t="shared" ref="EE787:EE796" si="49">IF(AND(CZ787&gt;=1,AH787&gt;=0.1,AH787&lt;=1),O787,0)</f>
        <v>0</v>
      </c>
      <c r="EF787" s="1459"/>
      <c r="EG787" s="1459"/>
      <c r="EH787" s="1459"/>
      <c r="EI787" s="1460"/>
      <c r="EJ787" s="1458">
        <f t="shared" ref="EJ787:EJ796" si="50">IF(AND(DE787&gt;=1,AH787&gt;=0.1,AH787&lt;=1),O787,0)</f>
        <v>0</v>
      </c>
      <c r="EK787" s="1459"/>
      <c r="EL787" s="1459"/>
      <c r="EM787" s="1459"/>
      <c r="EN787" s="1460"/>
      <c r="EO787" s="1458">
        <f t="shared" ref="EO787:EO796" si="51">IF(AND(DJ787&gt;=1,AH787&gt;=0.1,AH787&lt;=1),O787,0)</f>
        <v>0</v>
      </c>
      <c r="EP787" s="1459"/>
      <c r="EQ787" s="1459"/>
      <c r="ER787" s="1459"/>
      <c r="ES787" s="1460"/>
      <c r="ET787" s="1458">
        <f t="shared" ref="ET787:ET796" si="52">IF(AND(DO787&gt;=1,AH787&gt;=0.1,AH787&lt;=1),O787,0)</f>
        <v>0</v>
      </c>
      <c r="EU787" s="1459"/>
      <c r="EV787" s="1459"/>
      <c r="EW787" s="1459"/>
      <c r="EX787" s="1460"/>
    </row>
    <row r="788" spans="1:154" s="14" customFormat="1" ht="12.95" customHeight="1">
      <c r="A788"/>
      <c r="B788"/>
      <c r="C788"/>
      <c r="D788"/>
      <c r="E788"/>
      <c r="F788"/>
      <c r="G788"/>
      <c r="H788"/>
      <c r="I788"/>
      <c r="J788" s="1337"/>
      <c r="K788" s="1338"/>
      <c r="L788" s="1338"/>
      <c r="M788" s="1338"/>
      <c r="N788" s="1339"/>
      <c r="O788" s="1613"/>
      <c r="P788" s="1613"/>
      <c r="Q788" s="1613"/>
      <c r="R788" s="1613"/>
      <c r="S788" s="1613"/>
      <c r="T788" s="1343"/>
      <c r="U788" s="1344"/>
      <c r="V788" s="1344"/>
      <c r="W788" s="1345"/>
      <c r="X788" s="1340"/>
      <c r="Y788" s="1341"/>
      <c r="Z788" s="1341"/>
      <c r="AA788" s="1341"/>
      <c r="AB788" s="1342"/>
      <c r="AC788" s="1352">
        <f t="shared" si="40"/>
        <v>0</v>
      </c>
      <c r="AD788" s="1353"/>
      <c r="AE788" s="1353"/>
      <c r="AF788" s="1353"/>
      <c r="AG788" s="1354"/>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P788" s="1458">
        <f t="shared" si="41"/>
        <v>0</v>
      </c>
      <c r="CQ788" s="1459"/>
      <c r="CR788" s="1459"/>
      <c r="CS788" s="1459"/>
      <c r="CT788" s="1460"/>
      <c r="CU788" s="1458">
        <f t="shared" si="42"/>
        <v>0</v>
      </c>
      <c r="CV788" s="1459"/>
      <c r="CW788" s="1459"/>
      <c r="CX788" s="1459"/>
      <c r="CY788" s="1460"/>
      <c r="CZ788" s="1458">
        <f t="shared" si="43"/>
        <v>0</v>
      </c>
      <c r="DA788" s="1459"/>
      <c r="DB788" s="1459"/>
      <c r="DC788" s="1459"/>
      <c r="DD788" s="1460"/>
      <c r="DE788" s="1458">
        <f t="shared" si="44"/>
        <v>0</v>
      </c>
      <c r="DF788" s="1459"/>
      <c r="DG788" s="1459"/>
      <c r="DH788" s="1459"/>
      <c r="DI788" s="1460"/>
      <c r="DJ788" s="1458">
        <f t="shared" si="45"/>
        <v>0</v>
      </c>
      <c r="DK788" s="1459"/>
      <c r="DL788" s="1459"/>
      <c r="DM788" s="1459"/>
      <c r="DN788" s="1460"/>
      <c r="DO788" s="1458">
        <f t="shared" si="46"/>
        <v>0</v>
      </c>
      <c r="DP788" s="1459"/>
      <c r="DQ788" s="1459"/>
      <c r="DR788" s="1459"/>
      <c r="DS788" s="1460"/>
      <c r="DT788" s="6"/>
      <c r="DU788" s="1458">
        <f t="shared" si="47"/>
        <v>0</v>
      </c>
      <c r="DV788" s="1459"/>
      <c r="DW788" s="1459"/>
      <c r="DX788" s="1459"/>
      <c r="DY788" s="1460"/>
      <c r="DZ788" s="1458">
        <f t="shared" si="48"/>
        <v>0</v>
      </c>
      <c r="EA788" s="1459"/>
      <c r="EB788" s="1459"/>
      <c r="EC788" s="1459"/>
      <c r="ED788" s="1460"/>
      <c r="EE788" s="1458">
        <f t="shared" si="49"/>
        <v>0</v>
      </c>
      <c r="EF788" s="1459"/>
      <c r="EG788" s="1459"/>
      <c r="EH788" s="1459"/>
      <c r="EI788" s="1460"/>
      <c r="EJ788" s="1458">
        <f t="shared" si="50"/>
        <v>0</v>
      </c>
      <c r="EK788" s="1459"/>
      <c r="EL788" s="1459"/>
      <c r="EM788" s="1459"/>
      <c r="EN788" s="1460"/>
      <c r="EO788" s="1458">
        <f t="shared" si="51"/>
        <v>0</v>
      </c>
      <c r="EP788" s="1459"/>
      <c r="EQ788" s="1459"/>
      <c r="ER788" s="1459"/>
      <c r="ES788" s="1460"/>
      <c r="ET788" s="1458">
        <f t="shared" si="52"/>
        <v>0</v>
      </c>
      <c r="EU788" s="1459"/>
      <c r="EV788" s="1459"/>
      <c r="EW788" s="1459"/>
      <c r="EX788" s="1460"/>
    </row>
    <row r="789" spans="1:154" s="14" customFormat="1" ht="12.95" customHeight="1">
      <c r="A789"/>
      <c r="B789"/>
      <c r="C789"/>
      <c r="D789"/>
      <c r="E789"/>
      <c r="F789"/>
      <c r="G789"/>
      <c r="H789"/>
      <c r="I789"/>
      <c r="J789" s="1337"/>
      <c r="K789" s="1338"/>
      <c r="L789" s="1338"/>
      <c r="M789" s="1338"/>
      <c r="N789" s="1339"/>
      <c r="O789" s="1613"/>
      <c r="P789" s="1613"/>
      <c r="Q789" s="1613"/>
      <c r="R789" s="1613"/>
      <c r="S789" s="1613"/>
      <c r="T789" s="1343"/>
      <c r="U789" s="1344"/>
      <c r="V789" s="1344"/>
      <c r="W789" s="1345"/>
      <c r="X789" s="1340"/>
      <c r="Y789" s="1341"/>
      <c r="Z789" s="1341"/>
      <c r="AA789" s="1341"/>
      <c r="AB789" s="1342"/>
      <c r="AC789" s="1352">
        <f t="shared" si="40"/>
        <v>0</v>
      </c>
      <c r="AD789" s="1353"/>
      <c r="AE789" s="1353"/>
      <c r="AF789" s="1353"/>
      <c r="AG789" s="1354"/>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P789" s="1458">
        <f t="shared" si="41"/>
        <v>0</v>
      </c>
      <c r="CQ789" s="1459"/>
      <c r="CR789" s="1459"/>
      <c r="CS789" s="1459"/>
      <c r="CT789" s="1460"/>
      <c r="CU789" s="1458">
        <f t="shared" si="42"/>
        <v>0</v>
      </c>
      <c r="CV789" s="1459"/>
      <c r="CW789" s="1459"/>
      <c r="CX789" s="1459"/>
      <c r="CY789" s="1460"/>
      <c r="CZ789" s="1458">
        <f t="shared" si="43"/>
        <v>0</v>
      </c>
      <c r="DA789" s="1459"/>
      <c r="DB789" s="1459"/>
      <c r="DC789" s="1459"/>
      <c r="DD789" s="1460"/>
      <c r="DE789" s="1458">
        <f t="shared" si="44"/>
        <v>0</v>
      </c>
      <c r="DF789" s="1459"/>
      <c r="DG789" s="1459"/>
      <c r="DH789" s="1459"/>
      <c r="DI789" s="1460"/>
      <c r="DJ789" s="1458">
        <f t="shared" si="45"/>
        <v>0</v>
      </c>
      <c r="DK789" s="1459"/>
      <c r="DL789" s="1459"/>
      <c r="DM789" s="1459"/>
      <c r="DN789" s="1460"/>
      <c r="DO789" s="1458">
        <f t="shared" si="46"/>
        <v>0</v>
      </c>
      <c r="DP789" s="1459"/>
      <c r="DQ789" s="1459"/>
      <c r="DR789" s="1459"/>
      <c r="DS789" s="1460"/>
      <c r="DT789" s="6"/>
      <c r="DU789" s="1458">
        <f t="shared" si="47"/>
        <v>0</v>
      </c>
      <c r="DV789" s="1459"/>
      <c r="DW789" s="1459"/>
      <c r="DX789" s="1459"/>
      <c r="DY789" s="1460"/>
      <c r="DZ789" s="1458">
        <f t="shared" si="48"/>
        <v>0</v>
      </c>
      <c r="EA789" s="1459"/>
      <c r="EB789" s="1459"/>
      <c r="EC789" s="1459"/>
      <c r="ED789" s="1460"/>
      <c r="EE789" s="1458">
        <f t="shared" si="49"/>
        <v>0</v>
      </c>
      <c r="EF789" s="1459"/>
      <c r="EG789" s="1459"/>
      <c r="EH789" s="1459"/>
      <c r="EI789" s="1460"/>
      <c r="EJ789" s="1458">
        <f t="shared" si="50"/>
        <v>0</v>
      </c>
      <c r="EK789" s="1459"/>
      <c r="EL789" s="1459"/>
      <c r="EM789" s="1459"/>
      <c r="EN789" s="1460"/>
      <c r="EO789" s="1458">
        <f t="shared" si="51"/>
        <v>0</v>
      </c>
      <c r="EP789" s="1459"/>
      <c r="EQ789" s="1459"/>
      <c r="ER789" s="1459"/>
      <c r="ES789" s="1460"/>
      <c r="ET789" s="1458">
        <f t="shared" si="52"/>
        <v>0</v>
      </c>
      <c r="EU789" s="1459"/>
      <c r="EV789" s="1459"/>
      <c r="EW789" s="1459"/>
      <c r="EX789" s="1460"/>
    </row>
    <row r="790" spans="1:154" s="14" customFormat="1" ht="12.95" customHeight="1">
      <c r="A790"/>
      <c r="B790"/>
      <c r="C790"/>
      <c r="D790"/>
      <c r="E790"/>
      <c r="F790"/>
      <c r="G790"/>
      <c r="H790"/>
      <c r="I790"/>
      <c r="J790" s="1337"/>
      <c r="K790" s="1338"/>
      <c r="L790" s="1338"/>
      <c r="M790" s="1338"/>
      <c r="N790" s="1339"/>
      <c r="O790" s="1613"/>
      <c r="P790" s="1613"/>
      <c r="Q790" s="1613"/>
      <c r="R790" s="1613"/>
      <c r="S790" s="1613"/>
      <c r="T790" s="1343"/>
      <c r="U790" s="1344"/>
      <c r="V790" s="1344"/>
      <c r="W790" s="1345"/>
      <c r="X790" s="1340"/>
      <c r="Y790" s="1341"/>
      <c r="Z790" s="1341"/>
      <c r="AA790" s="1341"/>
      <c r="AB790" s="1342"/>
      <c r="AC790" s="1352">
        <f t="shared" si="40"/>
        <v>0</v>
      </c>
      <c r="AD790" s="1353"/>
      <c r="AE790" s="1353"/>
      <c r="AF790" s="1353"/>
      <c r="AG790" s="1354"/>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P790" s="1458">
        <f t="shared" si="41"/>
        <v>0</v>
      </c>
      <c r="CQ790" s="1459"/>
      <c r="CR790" s="1459"/>
      <c r="CS790" s="1459"/>
      <c r="CT790" s="1460"/>
      <c r="CU790" s="1458">
        <f t="shared" si="42"/>
        <v>0</v>
      </c>
      <c r="CV790" s="1459"/>
      <c r="CW790" s="1459"/>
      <c r="CX790" s="1459"/>
      <c r="CY790" s="1460"/>
      <c r="CZ790" s="1458">
        <f t="shared" si="43"/>
        <v>0</v>
      </c>
      <c r="DA790" s="1459"/>
      <c r="DB790" s="1459"/>
      <c r="DC790" s="1459"/>
      <c r="DD790" s="1460"/>
      <c r="DE790" s="1458">
        <f t="shared" si="44"/>
        <v>0</v>
      </c>
      <c r="DF790" s="1459"/>
      <c r="DG790" s="1459"/>
      <c r="DH790" s="1459"/>
      <c r="DI790" s="1460"/>
      <c r="DJ790" s="1458">
        <f t="shared" si="45"/>
        <v>0</v>
      </c>
      <c r="DK790" s="1459"/>
      <c r="DL790" s="1459"/>
      <c r="DM790" s="1459"/>
      <c r="DN790" s="1460"/>
      <c r="DO790" s="1458">
        <f t="shared" si="46"/>
        <v>0</v>
      </c>
      <c r="DP790" s="1459"/>
      <c r="DQ790" s="1459"/>
      <c r="DR790" s="1459"/>
      <c r="DS790" s="1460"/>
      <c r="DT790" s="6"/>
      <c r="DU790" s="1458">
        <f t="shared" si="47"/>
        <v>0</v>
      </c>
      <c r="DV790" s="1459"/>
      <c r="DW790" s="1459"/>
      <c r="DX790" s="1459"/>
      <c r="DY790" s="1460"/>
      <c r="DZ790" s="1458">
        <f t="shared" si="48"/>
        <v>0</v>
      </c>
      <c r="EA790" s="1459"/>
      <c r="EB790" s="1459"/>
      <c r="EC790" s="1459"/>
      <c r="ED790" s="1460"/>
      <c r="EE790" s="1458">
        <f t="shared" si="49"/>
        <v>0</v>
      </c>
      <c r="EF790" s="1459"/>
      <c r="EG790" s="1459"/>
      <c r="EH790" s="1459"/>
      <c r="EI790" s="1460"/>
      <c r="EJ790" s="1458">
        <f t="shared" si="50"/>
        <v>0</v>
      </c>
      <c r="EK790" s="1459"/>
      <c r="EL790" s="1459"/>
      <c r="EM790" s="1459"/>
      <c r="EN790" s="1460"/>
      <c r="EO790" s="1458">
        <f t="shared" si="51"/>
        <v>0</v>
      </c>
      <c r="EP790" s="1459"/>
      <c r="EQ790" s="1459"/>
      <c r="ER790" s="1459"/>
      <c r="ES790" s="1460"/>
      <c r="ET790" s="1458">
        <f t="shared" si="52"/>
        <v>0</v>
      </c>
      <c r="EU790" s="1459"/>
      <c r="EV790" s="1459"/>
      <c r="EW790" s="1459"/>
      <c r="EX790" s="1460"/>
    </row>
    <row r="791" spans="1:154" s="14" customFormat="1" ht="12.95" customHeight="1">
      <c r="A791"/>
      <c r="B791"/>
      <c r="C791"/>
      <c r="D791"/>
      <c r="E791"/>
      <c r="F791"/>
      <c r="G791"/>
      <c r="H791"/>
      <c r="I791"/>
      <c r="J791" s="1337"/>
      <c r="K791" s="1338"/>
      <c r="L791" s="1338"/>
      <c r="M791" s="1338"/>
      <c r="N791" s="1339"/>
      <c r="O791" s="1613"/>
      <c r="P791" s="1613"/>
      <c r="Q791" s="1613"/>
      <c r="R791" s="1613"/>
      <c r="S791" s="1613"/>
      <c r="T791" s="1343"/>
      <c r="U791" s="1344"/>
      <c r="V791" s="1344"/>
      <c r="W791" s="1345"/>
      <c r="X791" s="1340"/>
      <c r="Y791" s="1341"/>
      <c r="Z791" s="1341"/>
      <c r="AA791" s="1341"/>
      <c r="AB791" s="1342"/>
      <c r="AC791" s="1352">
        <f t="shared" si="40"/>
        <v>0</v>
      </c>
      <c r="AD791" s="1353"/>
      <c r="AE791" s="1353"/>
      <c r="AF791" s="1353"/>
      <c r="AG791" s="1354"/>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P791" s="1458">
        <f t="shared" si="41"/>
        <v>0</v>
      </c>
      <c r="CQ791" s="1459"/>
      <c r="CR791" s="1459"/>
      <c r="CS791" s="1459"/>
      <c r="CT791" s="1460"/>
      <c r="CU791" s="1458">
        <f t="shared" si="42"/>
        <v>0</v>
      </c>
      <c r="CV791" s="1459"/>
      <c r="CW791" s="1459"/>
      <c r="CX791" s="1459"/>
      <c r="CY791" s="1460"/>
      <c r="CZ791" s="1458">
        <f t="shared" si="43"/>
        <v>0</v>
      </c>
      <c r="DA791" s="1459"/>
      <c r="DB791" s="1459"/>
      <c r="DC791" s="1459"/>
      <c r="DD791" s="1460"/>
      <c r="DE791" s="1458">
        <f t="shared" si="44"/>
        <v>0</v>
      </c>
      <c r="DF791" s="1459"/>
      <c r="DG791" s="1459"/>
      <c r="DH791" s="1459"/>
      <c r="DI791" s="1460"/>
      <c r="DJ791" s="1458">
        <f t="shared" si="45"/>
        <v>0</v>
      </c>
      <c r="DK791" s="1459"/>
      <c r="DL791" s="1459"/>
      <c r="DM791" s="1459"/>
      <c r="DN791" s="1460"/>
      <c r="DO791" s="1458">
        <f t="shared" si="46"/>
        <v>0</v>
      </c>
      <c r="DP791" s="1459"/>
      <c r="DQ791" s="1459"/>
      <c r="DR791" s="1459"/>
      <c r="DS791" s="1460"/>
      <c r="DT791" s="6"/>
      <c r="DU791" s="1458">
        <f t="shared" si="47"/>
        <v>0</v>
      </c>
      <c r="DV791" s="1459"/>
      <c r="DW791" s="1459"/>
      <c r="DX791" s="1459"/>
      <c r="DY791" s="1460"/>
      <c r="DZ791" s="1458">
        <f t="shared" si="48"/>
        <v>0</v>
      </c>
      <c r="EA791" s="1459"/>
      <c r="EB791" s="1459"/>
      <c r="EC791" s="1459"/>
      <c r="ED791" s="1460"/>
      <c r="EE791" s="1458">
        <f t="shared" si="49"/>
        <v>0</v>
      </c>
      <c r="EF791" s="1459"/>
      <c r="EG791" s="1459"/>
      <c r="EH791" s="1459"/>
      <c r="EI791" s="1460"/>
      <c r="EJ791" s="1458">
        <f t="shared" si="50"/>
        <v>0</v>
      </c>
      <c r="EK791" s="1459"/>
      <c r="EL791" s="1459"/>
      <c r="EM791" s="1459"/>
      <c r="EN791" s="1460"/>
      <c r="EO791" s="1458">
        <f t="shared" si="51"/>
        <v>0</v>
      </c>
      <c r="EP791" s="1459"/>
      <c r="EQ791" s="1459"/>
      <c r="ER791" s="1459"/>
      <c r="ES791" s="1460"/>
      <c r="ET791" s="1458">
        <f t="shared" si="52"/>
        <v>0</v>
      </c>
      <c r="EU791" s="1459"/>
      <c r="EV791" s="1459"/>
      <c r="EW791" s="1459"/>
      <c r="EX791" s="1460"/>
    </row>
    <row r="792" spans="1:154" s="14" customFormat="1" ht="12.95" customHeight="1">
      <c r="A792"/>
      <c r="B792"/>
      <c r="C792"/>
      <c r="D792"/>
      <c r="E792"/>
      <c r="F792"/>
      <c r="G792"/>
      <c r="H792"/>
      <c r="I792"/>
      <c r="J792" s="1337"/>
      <c r="K792" s="1338"/>
      <c r="L792" s="1338"/>
      <c r="M792" s="1338"/>
      <c r="N792" s="1339"/>
      <c r="O792" s="1613"/>
      <c r="P792" s="1613"/>
      <c r="Q792" s="1613"/>
      <c r="R792" s="1613"/>
      <c r="S792" s="1613"/>
      <c r="T792" s="1343"/>
      <c r="U792" s="1344"/>
      <c r="V792" s="1344"/>
      <c r="W792" s="1345"/>
      <c r="X792" s="1340"/>
      <c r="Y792" s="1341"/>
      <c r="Z792" s="1341"/>
      <c r="AA792" s="1341"/>
      <c r="AB792" s="1342"/>
      <c r="AC792" s="1352">
        <f t="shared" si="40"/>
        <v>0</v>
      </c>
      <c r="AD792" s="1353"/>
      <c r="AE792" s="1353"/>
      <c r="AF792" s="1353"/>
      <c r="AG792" s="1354"/>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P792" s="1458">
        <f t="shared" si="41"/>
        <v>0</v>
      </c>
      <c r="CQ792" s="1459"/>
      <c r="CR792" s="1459"/>
      <c r="CS792" s="1459"/>
      <c r="CT792" s="1460"/>
      <c r="CU792" s="1458">
        <f t="shared" si="42"/>
        <v>0</v>
      </c>
      <c r="CV792" s="1459"/>
      <c r="CW792" s="1459"/>
      <c r="CX792" s="1459"/>
      <c r="CY792" s="1460"/>
      <c r="CZ792" s="1458">
        <f t="shared" si="43"/>
        <v>0</v>
      </c>
      <c r="DA792" s="1459"/>
      <c r="DB792" s="1459"/>
      <c r="DC792" s="1459"/>
      <c r="DD792" s="1460"/>
      <c r="DE792" s="1458">
        <f t="shared" si="44"/>
        <v>0</v>
      </c>
      <c r="DF792" s="1459"/>
      <c r="DG792" s="1459"/>
      <c r="DH792" s="1459"/>
      <c r="DI792" s="1460"/>
      <c r="DJ792" s="1458">
        <f t="shared" si="45"/>
        <v>0</v>
      </c>
      <c r="DK792" s="1459"/>
      <c r="DL792" s="1459"/>
      <c r="DM792" s="1459"/>
      <c r="DN792" s="1460"/>
      <c r="DO792" s="1458">
        <f t="shared" si="46"/>
        <v>0</v>
      </c>
      <c r="DP792" s="1459"/>
      <c r="DQ792" s="1459"/>
      <c r="DR792" s="1459"/>
      <c r="DS792" s="1460"/>
      <c r="DT792" s="6"/>
      <c r="DU792" s="1458">
        <f t="shared" si="47"/>
        <v>0</v>
      </c>
      <c r="DV792" s="1459"/>
      <c r="DW792" s="1459"/>
      <c r="DX792" s="1459"/>
      <c r="DY792" s="1460"/>
      <c r="DZ792" s="1458">
        <f t="shared" si="48"/>
        <v>0</v>
      </c>
      <c r="EA792" s="1459"/>
      <c r="EB792" s="1459"/>
      <c r="EC792" s="1459"/>
      <c r="ED792" s="1460"/>
      <c r="EE792" s="1458">
        <f t="shared" si="49"/>
        <v>0</v>
      </c>
      <c r="EF792" s="1459"/>
      <c r="EG792" s="1459"/>
      <c r="EH792" s="1459"/>
      <c r="EI792" s="1460"/>
      <c r="EJ792" s="1458">
        <f t="shared" si="50"/>
        <v>0</v>
      </c>
      <c r="EK792" s="1459"/>
      <c r="EL792" s="1459"/>
      <c r="EM792" s="1459"/>
      <c r="EN792" s="1460"/>
      <c r="EO792" s="1458">
        <f t="shared" si="51"/>
        <v>0</v>
      </c>
      <c r="EP792" s="1459"/>
      <c r="EQ792" s="1459"/>
      <c r="ER792" s="1459"/>
      <c r="ES792" s="1460"/>
      <c r="ET792" s="1458">
        <f t="shared" si="52"/>
        <v>0</v>
      </c>
      <c r="EU792" s="1459"/>
      <c r="EV792" s="1459"/>
      <c r="EW792" s="1459"/>
      <c r="EX792" s="1460"/>
    </row>
    <row r="793" spans="1:154" s="14" customFormat="1" ht="12.95" customHeight="1">
      <c r="A793"/>
      <c r="B793"/>
      <c r="C793"/>
      <c r="D793"/>
      <c r="E793"/>
      <c r="F793"/>
      <c r="G793"/>
      <c r="H793"/>
      <c r="I793"/>
      <c r="J793" s="1337"/>
      <c r="K793" s="1338"/>
      <c r="L793" s="1338"/>
      <c r="M793" s="1338"/>
      <c r="N793" s="1339"/>
      <c r="O793" s="1613"/>
      <c r="P793" s="1613"/>
      <c r="Q793" s="1613"/>
      <c r="R793" s="1613"/>
      <c r="S793" s="1613"/>
      <c r="T793" s="1343"/>
      <c r="U793" s="1344"/>
      <c r="V793" s="1344"/>
      <c r="W793" s="1345"/>
      <c r="X793" s="1340"/>
      <c r="Y793" s="1341"/>
      <c r="Z793" s="1341"/>
      <c r="AA793" s="1341"/>
      <c r="AB793" s="1342"/>
      <c r="AC793" s="1352">
        <f t="shared" si="40"/>
        <v>0</v>
      </c>
      <c r="AD793" s="1353"/>
      <c r="AE793" s="1353"/>
      <c r="AF793" s="1353"/>
      <c r="AG793" s="1354"/>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P793" s="1458">
        <f t="shared" si="41"/>
        <v>0</v>
      </c>
      <c r="CQ793" s="1459"/>
      <c r="CR793" s="1459"/>
      <c r="CS793" s="1459"/>
      <c r="CT793" s="1460"/>
      <c r="CU793" s="1458">
        <f t="shared" si="42"/>
        <v>0</v>
      </c>
      <c r="CV793" s="1459"/>
      <c r="CW793" s="1459"/>
      <c r="CX793" s="1459"/>
      <c r="CY793" s="1460"/>
      <c r="CZ793" s="1458">
        <f t="shared" si="43"/>
        <v>0</v>
      </c>
      <c r="DA793" s="1459"/>
      <c r="DB793" s="1459"/>
      <c r="DC793" s="1459"/>
      <c r="DD793" s="1460"/>
      <c r="DE793" s="1458">
        <f t="shared" si="44"/>
        <v>0</v>
      </c>
      <c r="DF793" s="1459"/>
      <c r="DG793" s="1459"/>
      <c r="DH793" s="1459"/>
      <c r="DI793" s="1460"/>
      <c r="DJ793" s="1458">
        <f t="shared" si="45"/>
        <v>0</v>
      </c>
      <c r="DK793" s="1459"/>
      <c r="DL793" s="1459"/>
      <c r="DM793" s="1459"/>
      <c r="DN793" s="1460"/>
      <c r="DO793" s="1458">
        <f t="shared" si="46"/>
        <v>0</v>
      </c>
      <c r="DP793" s="1459"/>
      <c r="DQ793" s="1459"/>
      <c r="DR793" s="1459"/>
      <c r="DS793" s="1460"/>
      <c r="DT793" s="6"/>
      <c r="DU793" s="1458">
        <f t="shared" si="47"/>
        <v>0</v>
      </c>
      <c r="DV793" s="1459"/>
      <c r="DW793" s="1459"/>
      <c r="DX793" s="1459"/>
      <c r="DY793" s="1460"/>
      <c r="DZ793" s="1458">
        <f t="shared" si="48"/>
        <v>0</v>
      </c>
      <c r="EA793" s="1459"/>
      <c r="EB793" s="1459"/>
      <c r="EC793" s="1459"/>
      <c r="ED793" s="1460"/>
      <c r="EE793" s="1458">
        <f t="shared" si="49"/>
        <v>0</v>
      </c>
      <c r="EF793" s="1459"/>
      <c r="EG793" s="1459"/>
      <c r="EH793" s="1459"/>
      <c r="EI793" s="1460"/>
      <c r="EJ793" s="1458">
        <f t="shared" si="50"/>
        <v>0</v>
      </c>
      <c r="EK793" s="1459"/>
      <c r="EL793" s="1459"/>
      <c r="EM793" s="1459"/>
      <c r="EN793" s="1460"/>
      <c r="EO793" s="1458">
        <f t="shared" si="51"/>
        <v>0</v>
      </c>
      <c r="EP793" s="1459"/>
      <c r="EQ793" s="1459"/>
      <c r="ER793" s="1459"/>
      <c r="ES793" s="1460"/>
      <c r="ET793" s="1458">
        <f t="shared" si="52"/>
        <v>0</v>
      </c>
      <c r="EU793" s="1459"/>
      <c r="EV793" s="1459"/>
      <c r="EW793" s="1459"/>
      <c r="EX793" s="1460"/>
    </row>
    <row r="794" spans="1:154" s="14" customFormat="1" ht="12.95" customHeight="1">
      <c r="A794"/>
      <c r="B794"/>
      <c r="C794"/>
      <c r="D794"/>
      <c r="E794"/>
      <c r="F794"/>
      <c r="G794"/>
      <c r="H794"/>
      <c r="I794"/>
      <c r="J794" s="1337"/>
      <c r="K794" s="1338"/>
      <c r="L794" s="1338"/>
      <c r="M794" s="1338"/>
      <c r="N794" s="1339"/>
      <c r="O794" s="1613"/>
      <c r="P794" s="1613"/>
      <c r="Q794" s="1613"/>
      <c r="R794" s="1613"/>
      <c r="S794" s="1613"/>
      <c r="T794" s="1343"/>
      <c r="U794" s="1344"/>
      <c r="V794" s="1344"/>
      <c r="W794" s="1345"/>
      <c r="X794" s="1340"/>
      <c r="Y794" s="1341"/>
      <c r="Z794" s="1341"/>
      <c r="AA794" s="1341"/>
      <c r="AB794" s="1342"/>
      <c r="AC794" s="1352">
        <f t="shared" si="40"/>
        <v>0</v>
      </c>
      <c r="AD794" s="1353"/>
      <c r="AE794" s="1353"/>
      <c r="AF794" s="1353"/>
      <c r="AG794" s="1354"/>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P794" s="1458">
        <f t="shared" si="41"/>
        <v>0</v>
      </c>
      <c r="CQ794" s="1459"/>
      <c r="CR794" s="1459"/>
      <c r="CS794" s="1459"/>
      <c r="CT794" s="1460"/>
      <c r="CU794" s="1458">
        <f t="shared" si="42"/>
        <v>0</v>
      </c>
      <c r="CV794" s="1459"/>
      <c r="CW794" s="1459"/>
      <c r="CX794" s="1459"/>
      <c r="CY794" s="1460"/>
      <c r="CZ794" s="1458">
        <f t="shared" si="43"/>
        <v>0</v>
      </c>
      <c r="DA794" s="1459"/>
      <c r="DB794" s="1459"/>
      <c r="DC794" s="1459"/>
      <c r="DD794" s="1460"/>
      <c r="DE794" s="1458">
        <f t="shared" si="44"/>
        <v>0</v>
      </c>
      <c r="DF794" s="1459"/>
      <c r="DG794" s="1459"/>
      <c r="DH794" s="1459"/>
      <c r="DI794" s="1460"/>
      <c r="DJ794" s="1458">
        <f t="shared" si="45"/>
        <v>0</v>
      </c>
      <c r="DK794" s="1459"/>
      <c r="DL794" s="1459"/>
      <c r="DM794" s="1459"/>
      <c r="DN794" s="1460"/>
      <c r="DO794" s="1458">
        <f t="shared" si="46"/>
        <v>0</v>
      </c>
      <c r="DP794" s="1459"/>
      <c r="DQ794" s="1459"/>
      <c r="DR794" s="1459"/>
      <c r="DS794" s="1460"/>
      <c r="DT794" s="6"/>
      <c r="DU794" s="1458">
        <f t="shared" si="47"/>
        <v>0</v>
      </c>
      <c r="DV794" s="1459"/>
      <c r="DW794" s="1459"/>
      <c r="DX794" s="1459"/>
      <c r="DY794" s="1460"/>
      <c r="DZ794" s="1458">
        <f t="shared" si="48"/>
        <v>0</v>
      </c>
      <c r="EA794" s="1459"/>
      <c r="EB794" s="1459"/>
      <c r="EC794" s="1459"/>
      <c r="ED794" s="1460"/>
      <c r="EE794" s="1458">
        <f t="shared" si="49"/>
        <v>0</v>
      </c>
      <c r="EF794" s="1459"/>
      <c r="EG794" s="1459"/>
      <c r="EH794" s="1459"/>
      <c r="EI794" s="1460"/>
      <c r="EJ794" s="1458">
        <f t="shared" si="50"/>
        <v>0</v>
      </c>
      <c r="EK794" s="1459"/>
      <c r="EL794" s="1459"/>
      <c r="EM794" s="1459"/>
      <c r="EN794" s="1460"/>
      <c r="EO794" s="1458">
        <f t="shared" si="51"/>
        <v>0</v>
      </c>
      <c r="EP794" s="1459"/>
      <c r="EQ794" s="1459"/>
      <c r="ER794" s="1459"/>
      <c r="ES794" s="1460"/>
      <c r="ET794" s="1458">
        <f t="shared" si="52"/>
        <v>0</v>
      </c>
      <c r="EU794" s="1459"/>
      <c r="EV794" s="1459"/>
      <c r="EW794" s="1459"/>
      <c r="EX794" s="1460"/>
    </row>
    <row r="795" spans="1:154" s="14" customFormat="1" ht="12.95" customHeight="1">
      <c r="A795"/>
      <c r="B795"/>
      <c r="C795"/>
      <c r="D795"/>
      <c r="E795"/>
      <c r="F795"/>
      <c r="G795"/>
      <c r="H795"/>
      <c r="I795"/>
      <c r="J795" s="1337"/>
      <c r="K795" s="1338"/>
      <c r="L795" s="1338"/>
      <c r="M795" s="1338"/>
      <c r="N795" s="1339"/>
      <c r="O795" s="1613"/>
      <c r="P795" s="1613"/>
      <c r="Q795" s="1613"/>
      <c r="R795" s="1613"/>
      <c r="S795" s="1613"/>
      <c r="T795" s="1343"/>
      <c r="U795" s="1344"/>
      <c r="V795" s="1344"/>
      <c r="W795" s="1345"/>
      <c r="X795" s="1340"/>
      <c r="Y795" s="1341"/>
      <c r="Z795" s="1341"/>
      <c r="AA795" s="1341"/>
      <c r="AB795" s="1342"/>
      <c r="AC795" s="1352">
        <f t="shared" si="40"/>
        <v>0</v>
      </c>
      <c r="AD795" s="1353"/>
      <c r="AE795" s="1353"/>
      <c r="AF795" s="1353"/>
      <c r="AG795" s="1354"/>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P795" s="1458">
        <f t="shared" si="41"/>
        <v>0</v>
      </c>
      <c r="CQ795" s="1459"/>
      <c r="CR795" s="1459"/>
      <c r="CS795" s="1459"/>
      <c r="CT795" s="1460"/>
      <c r="CU795" s="1458">
        <f t="shared" si="42"/>
        <v>0</v>
      </c>
      <c r="CV795" s="1459"/>
      <c r="CW795" s="1459"/>
      <c r="CX795" s="1459"/>
      <c r="CY795" s="1460"/>
      <c r="CZ795" s="1458">
        <f t="shared" si="43"/>
        <v>0</v>
      </c>
      <c r="DA795" s="1459"/>
      <c r="DB795" s="1459"/>
      <c r="DC795" s="1459"/>
      <c r="DD795" s="1460"/>
      <c r="DE795" s="1458">
        <f t="shared" si="44"/>
        <v>0</v>
      </c>
      <c r="DF795" s="1459"/>
      <c r="DG795" s="1459"/>
      <c r="DH795" s="1459"/>
      <c r="DI795" s="1460"/>
      <c r="DJ795" s="1458">
        <f t="shared" si="45"/>
        <v>0</v>
      </c>
      <c r="DK795" s="1459"/>
      <c r="DL795" s="1459"/>
      <c r="DM795" s="1459"/>
      <c r="DN795" s="1460"/>
      <c r="DO795" s="1458">
        <f t="shared" si="46"/>
        <v>0</v>
      </c>
      <c r="DP795" s="1459"/>
      <c r="DQ795" s="1459"/>
      <c r="DR795" s="1459"/>
      <c r="DS795" s="1460"/>
      <c r="DT795" s="6"/>
      <c r="DU795" s="1458">
        <f t="shared" si="47"/>
        <v>0</v>
      </c>
      <c r="DV795" s="1459"/>
      <c r="DW795" s="1459"/>
      <c r="DX795" s="1459"/>
      <c r="DY795" s="1460"/>
      <c r="DZ795" s="1458">
        <f t="shared" si="48"/>
        <v>0</v>
      </c>
      <c r="EA795" s="1459"/>
      <c r="EB795" s="1459"/>
      <c r="EC795" s="1459"/>
      <c r="ED795" s="1460"/>
      <c r="EE795" s="1458">
        <f t="shared" si="49"/>
        <v>0</v>
      </c>
      <c r="EF795" s="1459"/>
      <c r="EG795" s="1459"/>
      <c r="EH795" s="1459"/>
      <c r="EI795" s="1460"/>
      <c r="EJ795" s="1458">
        <f t="shared" si="50"/>
        <v>0</v>
      </c>
      <c r="EK795" s="1459"/>
      <c r="EL795" s="1459"/>
      <c r="EM795" s="1459"/>
      <c r="EN795" s="1460"/>
      <c r="EO795" s="1458">
        <f t="shared" si="51"/>
        <v>0</v>
      </c>
      <c r="EP795" s="1459"/>
      <c r="EQ795" s="1459"/>
      <c r="ER795" s="1459"/>
      <c r="ES795" s="1460"/>
      <c r="ET795" s="1458">
        <f t="shared" si="52"/>
        <v>0</v>
      </c>
      <c r="EU795" s="1459"/>
      <c r="EV795" s="1459"/>
      <c r="EW795" s="1459"/>
      <c r="EX795" s="1460"/>
    </row>
    <row r="796" spans="1:154" s="4" customFormat="1" ht="12.95" customHeight="1">
      <c r="A796"/>
      <c r="B796"/>
      <c r="C796"/>
      <c r="D796"/>
      <c r="E796"/>
      <c r="F796"/>
      <c r="G796"/>
      <c r="H796"/>
      <c r="I796"/>
      <c r="J796" s="1337"/>
      <c r="K796" s="1338"/>
      <c r="L796" s="1338"/>
      <c r="M796" s="1338"/>
      <c r="N796" s="1339"/>
      <c r="O796" s="1613"/>
      <c r="P796" s="1613"/>
      <c r="Q796" s="1613"/>
      <c r="R796" s="1613"/>
      <c r="S796" s="1613"/>
      <c r="T796" s="1343"/>
      <c r="U796" s="1344"/>
      <c r="V796" s="1344"/>
      <c r="W796" s="1345"/>
      <c r="X796" s="1340"/>
      <c r="Y796" s="1341"/>
      <c r="Z796" s="1341"/>
      <c r="AA796" s="1341"/>
      <c r="AB796" s="1342"/>
      <c r="AC796" s="1352">
        <f t="shared" si="40"/>
        <v>0</v>
      </c>
      <c r="AD796" s="1353"/>
      <c r="AE796" s="1353"/>
      <c r="AF796" s="1353"/>
      <c r="AG796" s="1354"/>
      <c r="AH796"/>
      <c r="AI796"/>
      <c r="AJ796"/>
      <c r="AK796"/>
      <c r="AL796"/>
      <c r="AM796"/>
      <c r="AN796"/>
      <c r="AO796"/>
      <c r="AP796"/>
      <c r="AQ796"/>
      <c r="AR796"/>
      <c r="AS796"/>
      <c r="AT796"/>
      <c r="AU796"/>
      <c r="AV796"/>
      <c r="AW796"/>
      <c r="AX796"/>
      <c r="AY796"/>
      <c r="AZ796" s="3"/>
      <c r="CP796" s="1458">
        <f t="shared" si="41"/>
        <v>0</v>
      </c>
      <c r="CQ796" s="1459"/>
      <c r="CR796" s="1459"/>
      <c r="CS796" s="1459"/>
      <c r="CT796" s="1460"/>
      <c r="CU796" s="1458">
        <f t="shared" si="42"/>
        <v>0</v>
      </c>
      <c r="CV796" s="1459"/>
      <c r="CW796" s="1459"/>
      <c r="CX796" s="1459"/>
      <c r="CY796" s="1460"/>
      <c r="CZ796" s="1458">
        <f t="shared" si="43"/>
        <v>0</v>
      </c>
      <c r="DA796" s="1459"/>
      <c r="DB796" s="1459"/>
      <c r="DC796" s="1459"/>
      <c r="DD796" s="1460"/>
      <c r="DE796" s="1458">
        <f t="shared" si="44"/>
        <v>0</v>
      </c>
      <c r="DF796" s="1459"/>
      <c r="DG796" s="1459"/>
      <c r="DH796" s="1459"/>
      <c r="DI796" s="1460"/>
      <c r="DJ796" s="1458">
        <f t="shared" si="45"/>
        <v>0</v>
      </c>
      <c r="DK796" s="1459"/>
      <c r="DL796" s="1459"/>
      <c r="DM796" s="1459"/>
      <c r="DN796" s="1460"/>
      <c r="DO796" s="1458">
        <f t="shared" si="46"/>
        <v>0</v>
      </c>
      <c r="DP796" s="1459"/>
      <c r="DQ796" s="1459"/>
      <c r="DR796" s="1459"/>
      <c r="DS796" s="1460"/>
      <c r="DT796" s="6"/>
      <c r="DU796" s="1458">
        <f t="shared" si="47"/>
        <v>0</v>
      </c>
      <c r="DV796" s="1459"/>
      <c r="DW796" s="1459"/>
      <c r="DX796" s="1459"/>
      <c r="DY796" s="1460"/>
      <c r="DZ796" s="1458">
        <f t="shared" si="48"/>
        <v>0</v>
      </c>
      <c r="EA796" s="1459"/>
      <c r="EB796" s="1459"/>
      <c r="EC796" s="1459"/>
      <c r="ED796" s="1460"/>
      <c r="EE796" s="1458">
        <f t="shared" si="49"/>
        <v>0</v>
      </c>
      <c r="EF796" s="1459"/>
      <c r="EG796" s="1459"/>
      <c r="EH796" s="1459"/>
      <c r="EI796" s="1460"/>
      <c r="EJ796" s="1458">
        <f t="shared" si="50"/>
        <v>0</v>
      </c>
      <c r="EK796" s="1459"/>
      <c r="EL796" s="1459"/>
      <c r="EM796" s="1459"/>
      <c r="EN796" s="1460"/>
      <c r="EO796" s="1458">
        <f t="shared" si="51"/>
        <v>0</v>
      </c>
      <c r="EP796" s="1459"/>
      <c r="EQ796" s="1459"/>
      <c r="ER796" s="1459"/>
      <c r="ES796" s="1460"/>
      <c r="ET796" s="1458">
        <f t="shared" si="52"/>
        <v>0</v>
      </c>
      <c r="EU796" s="1459"/>
      <c r="EV796" s="1459"/>
      <c r="EW796" s="1459"/>
      <c r="EX796" s="1460"/>
    </row>
    <row r="797" spans="1:154" s="4" customFormat="1" ht="12.95" customHeight="1">
      <c r="A797"/>
      <c r="B797"/>
      <c r="C797"/>
      <c r="D797"/>
      <c r="E797"/>
      <c r="F797"/>
      <c r="G797"/>
      <c r="H797"/>
      <c r="I797"/>
      <c r="J797" s="1449" t="s">
        <v>125</v>
      </c>
      <c r="K797" s="1450"/>
      <c r="L797" s="1450"/>
      <c r="M797" s="1450"/>
      <c r="N797" s="1451"/>
      <c r="O797" s="1729">
        <f>SUM(O787:S796)</f>
        <v>0</v>
      </c>
      <c r="P797" s="1729"/>
      <c r="Q797" s="1729"/>
      <c r="R797" s="1729"/>
      <c r="S797" s="1729"/>
      <c r="T797"/>
      <c r="U797"/>
      <c r="V797"/>
      <c r="W797"/>
      <c r="X797" s="902" t="s">
        <v>124</v>
      </c>
      <c r="Y797" s="11"/>
      <c r="Z797" s="11"/>
      <c r="AA797" s="11"/>
      <c r="AB797" s="909"/>
      <c r="AC797" s="1352">
        <f>SUM(AC787:AG796)</f>
        <v>0</v>
      </c>
      <c r="AD797" s="1353"/>
      <c r="AE797" s="1353"/>
      <c r="AF797" s="1353"/>
      <c r="AG797" s="1354"/>
      <c r="AH797"/>
      <c r="AI797"/>
      <c r="AJ797"/>
      <c r="AK797"/>
      <c r="AL797"/>
      <c r="AM797"/>
      <c r="AN797"/>
      <c r="AO797"/>
      <c r="AP797"/>
      <c r="AQ797"/>
      <c r="AR797"/>
      <c r="AS797"/>
      <c r="AT797"/>
      <c r="AU797"/>
      <c r="AV797"/>
      <c r="AW797"/>
      <c r="AX797"/>
      <c r="AY797"/>
      <c r="AZ797" s="3"/>
      <c r="BA797"/>
      <c r="CP797" s="1469">
        <f>SUM(CP787:CT796)</f>
        <v>0</v>
      </c>
      <c r="CQ797" s="1471"/>
      <c r="CR797" s="1471"/>
      <c r="CS797" s="1471"/>
      <c r="CT797" s="1470"/>
      <c r="CU797" s="1472">
        <f>SUM(CU787:CY796)</f>
        <v>0</v>
      </c>
      <c r="CV797" s="1473"/>
      <c r="CW797" s="1473"/>
      <c r="CX797" s="1473"/>
      <c r="CY797" s="1474"/>
      <c r="CZ797" s="1472">
        <f>SUM(CZ787:DD796)</f>
        <v>0</v>
      </c>
      <c r="DA797" s="1473"/>
      <c r="DB797" s="1473"/>
      <c r="DC797" s="1473"/>
      <c r="DD797" s="1474"/>
      <c r="DE797" s="1472">
        <f>SUM(DE787:DI796)</f>
        <v>0</v>
      </c>
      <c r="DF797" s="1473"/>
      <c r="DG797" s="1473"/>
      <c r="DH797" s="1473"/>
      <c r="DI797" s="1474"/>
      <c r="DJ797" s="1472">
        <f>SUM(DJ787:DN796)</f>
        <v>0</v>
      </c>
      <c r="DK797" s="1473"/>
      <c r="DL797" s="1473"/>
      <c r="DM797" s="1473"/>
      <c r="DN797" s="1474"/>
      <c r="DO797" s="1472">
        <f>SUM(DO787:DS796)</f>
        <v>0</v>
      </c>
      <c r="DP797" s="1473"/>
      <c r="DQ797" s="1473"/>
      <c r="DR797" s="1473"/>
      <c r="DS797" s="1474"/>
      <c r="DT797" s="1012"/>
      <c r="DU797" s="1469">
        <f>SUM(DU787:DY796)</f>
        <v>0</v>
      </c>
      <c r="DV797" s="1471"/>
      <c r="DW797" s="1471"/>
      <c r="DX797" s="1471"/>
      <c r="DY797" s="1470"/>
      <c r="DZ797" s="1469">
        <f>SUM(DZ787:ED796)</f>
        <v>0</v>
      </c>
      <c r="EA797" s="1471"/>
      <c r="EB797" s="1471"/>
      <c r="EC797" s="1471"/>
      <c r="ED797" s="1470"/>
      <c r="EE797" s="1469">
        <f>SUM(EE787:EI796)</f>
        <v>0</v>
      </c>
      <c r="EF797" s="1471"/>
      <c r="EG797" s="1471"/>
      <c r="EH797" s="1471"/>
      <c r="EI797" s="1470"/>
      <c r="EJ797" s="1469">
        <f>SUM(EJ787:EN796)</f>
        <v>0</v>
      </c>
      <c r="EK797" s="1471"/>
      <c r="EL797" s="1471"/>
      <c r="EM797" s="1471"/>
      <c r="EN797" s="1470"/>
      <c r="EO797" s="1469">
        <f>SUM(EO787:ES796)</f>
        <v>0</v>
      </c>
      <c r="EP797" s="1471"/>
      <c r="EQ797" s="1471"/>
      <c r="ER797" s="1471"/>
      <c r="ES797" s="1470"/>
      <c r="ET797" s="1469">
        <f>SUM(ET787:EX796)</f>
        <v>0</v>
      </c>
      <c r="EU797" s="1471"/>
      <c r="EV797" s="1471"/>
      <c r="EW797" s="1471"/>
      <c r="EX797" s="1470"/>
    </row>
    <row r="798" spans="1:154" s="4" customFormat="1" ht="12.95" customHeight="1">
      <c r="A798"/>
      <c r="B798"/>
      <c r="C798" s="1732" t="str">
        <f>IF(O797&lt;&gt;AG438,"! Total market rate units in the Unit Mix Table above does not match the number of  market rate units on row #"&amp;TEXT(ROW(D438),"#"),"")</f>
        <v/>
      </c>
      <c r="D798" s="1732"/>
      <c r="E798" s="1732"/>
      <c r="F798" s="1732"/>
      <c r="G798" s="1732"/>
      <c r="H798" s="1732"/>
      <c r="I798" s="1732"/>
      <c r="J798" s="1732"/>
      <c r="K798" s="1732"/>
      <c r="L798" s="1732"/>
      <c r="M798" s="1732"/>
      <c r="N798" s="1732"/>
      <c r="O798" s="1732"/>
      <c r="P798" s="1732"/>
      <c r="Q798" s="1732"/>
      <c r="R798" s="1732"/>
      <c r="S798" s="1732"/>
      <c r="T798" s="1732"/>
      <c r="U798" s="1732"/>
      <c r="V798" s="1732"/>
      <c r="W798" s="1732"/>
      <c r="X798" s="1732"/>
      <c r="Y798" s="1732"/>
      <c r="Z798" s="1732"/>
      <c r="AA798" s="1732"/>
      <c r="AB798" s="1732"/>
      <c r="AC798" s="1732"/>
      <c r="AD798" s="1732"/>
      <c r="AE798" s="1732"/>
      <c r="AF798" s="1732"/>
      <c r="AG798" s="1732"/>
      <c r="AH798" s="1732"/>
      <c r="AI798" s="1732"/>
      <c r="AJ798" s="1732"/>
      <c r="AK798" s="1732"/>
      <c r="AL798" s="1732"/>
      <c r="AM798" s="1732"/>
      <c r="AN798" s="1732"/>
      <c r="AO798"/>
      <c r="AP798"/>
      <c r="AQ798"/>
      <c r="AR798"/>
      <c r="AS798"/>
      <c r="AT798"/>
      <c r="AU798"/>
      <c r="AV798"/>
      <c r="AW798"/>
      <c r="AX798"/>
      <c r="AY798"/>
      <c r="AZ798" s="30"/>
      <c r="BA798" s="30"/>
      <c r="CP798"/>
      <c r="CQ798"/>
      <c r="CR798"/>
      <c r="CS798"/>
      <c r="CT798" s="861">
        <f>CP797*1</f>
        <v>0</v>
      </c>
      <c r="CU798" s="3"/>
      <c r="CV798" s="3"/>
      <c r="CW798" s="3"/>
      <c r="CX798" s="3"/>
      <c r="CY798" s="861">
        <f>CU797*1</f>
        <v>0</v>
      </c>
      <c r="CZ798" s="3"/>
      <c r="DA798" s="3"/>
      <c r="DB798" s="3"/>
      <c r="DC798" s="3"/>
      <c r="DD798" s="861">
        <f>CZ797*2</f>
        <v>0</v>
      </c>
      <c r="DE798" s="3"/>
      <c r="DF798" s="3"/>
      <c r="DG798" s="3"/>
      <c r="DH798" s="3"/>
      <c r="DI798" s="861">
        <f>DE797*3</f>
        <v>0</v>
      </c>
      <c r="DJ798" s="3"/>
      <c r="DK798" s="3"/>
      <c r="DL798" s="3"/>
      <c r="DM798" s="3"/>
      <c r="DN798" s="861">
        <f>DJ797*4</f>
        <v>0</v>
      </c>
      <c r="DO798" s="3"/>
      <c r="DP798" s="3"/>
      <c r="DQ798" s="3"/>
      <c r="DR798" s="3"/>
      <c r="DS798" s="861">
        <f>DO797*5</f>
        <v>0</v>
      </c>
      <c r="DT798" s="3"/>
      <c r="DU798"/>
      <c r="DV798"/>
      <c r="DW798"/>
      <c r="DX798"/>
      <c r="DY798" s="3"/>
      <c r="DZ798" s="3"/>
      <c r="EA798" s="3"/>
      <c r="EB798" s="3"/>
      <c r="EC798" s="3"/>
      <c r="ED798" s="3"/>
      <c r="EE798" s="3"/>
      <c r="EF798" s="3"/>
      <c r="EG798" s="3"/>
      <c r="EH798" s="3"/>
      <c r="EI798" s="3"/>
      <c r="EJ798" s="3"/>
      <c r="EK798" s="3"/>
      <c r="EL798" s="3"/>
      <c r="EM798" s="3"/>
      <c r="EN798" s="3"/>
      <c r="EO798" s="3"/>
      <c r="EP798" s="3"/>
      <c r="EQ798" s="3"/>
      <c r="ER798" s="3"/>
      <c r="ES798" s="3"/>
      <c r="ET798" s="3"/>
      <c r="EU798" s="3"/>
      <c r="EV798" s="3"/>
      <c r="EW798" s="3"/>
      <c r="EX798" s="3"/>
    </row>
    <row r="799" spans="1:154" s="4" customFormat="1" ht="12.95" customHeight="1">
      <c r="A799"/>
      <c r="B799"/>
      <c r="C799" s="1732"/>
      <c r="D799" s="1732"/>
      <c r="E799" s="1732"/>
      <c r="F799" s="1732"/>
      <c r="G799" s="1732"/>
      <c r="H799" s="1732"/>
      <c r="I799" s="1732"/>
      <c r="J799" s="1732"/>
      <c r="K799" s="1732"/>
      <c r="L799" s="1732"/>
      <c r="M799" s="1732"/>
      <c r="N799" s="1732"/>
      <c r="O799" s="1732"/>
      <c r="P799" s="1732"/>
      <c r="Q799" s="1732"/>
      <c r="R799" s="1732"/>
      <c r="S799" s="1732"/>
      <c r="T799" s="1732"/>
      <c r="U799" s="1732"/>
      <c r="V799" s="1732"/>
      <c r="W799" s="1732"/>
      <c r="X799" s="1732"/>
      <c r="Y799" s="1732"/>
      <c r="Z799" s="1732"/>
      <c r="AA799" s="1732"/>
      <c r="AB799" s="1732"/>
      <c r="AC799" s="1732"/>
      <c r="AD799" s="1732"/>
      <c r="AE799" s="1732"/>
      <c r="AF799" s="1732"/>
      <c r="AG799" s="1732"/>
      <c r="AH799" s="1732"/>
      <c r="AI799" s="1732"/>
      <c r="AJ799" s="1732"/>
      <c r="AK799" s="1732"/>
      <c r="AL799" s="1732"/>
      <c r="AM799" s="1732"/>
      <c r="AN799" s="1732"/>
      <c r="AO799"/>
      <c r="AP799"/>
      <c r="AQ799"/>
      <c r="AR799"/>
      <c r="AS799"/>
      <c r="AT799"/>
      <c r="AU799"/>
      <c r="AV799"/>
      <c r="AW799"/>
      <c r="AX799"/>
      <c r="AY799"/>
      <c r="AZ799" s="30"/>
      <c r="BA799" s="30"/>
      <c r="CP799"/>
      <c r="CQ799"/>
      <c r="CR799"/>
      <c r="CS799"/>
      <c r="CT799"/>
      <c r="CU799"/>
      <c r="CV799"/>
      <c r="CW799"/>
      <c r="CX799"/>
      <c r="CY799"/>
      <c r="CZ799"/>
      <c r="DA799"/>
      <c r="DB799"/>
      <c r="DC799"/>
      <c r="DD799"/>
      <c r="DE799"/>
      <c r="DF799"/>
      <c r="DG799"/>
      <c r="DH799"/>
      <c r="DI799"/>
      <c r="DJ799"/>
      <c r="DK799"/>
      <c r="DL799"/>
      <c r="DM799"/>
      <c r="DN799"/>
      <c r="DO799"/>
      <c r="DP799"/>
      <c r="DQ799"/>
      <c r="DR799"/>
      <c r="DS799"/>
      <c r="DT799" s="3"/>
      <c r="DU799" s="861">
        <f>CP797+CU797+CZ797+DE797+DJ797+DO797</f>
        <v>0</v>
      </c>
      <c r="DV799" s="57" t="s">
        <v>1859</v>
      </c>
      <c r="DW799" s="3"/>
      <c r="DX799" s="3"/>
      <c r="DY799" s="3"/>
      <c r="DZ799" s="3"/>
      <c r="EA799" s="3"/>
      <c r="EB799" s="3"/>
      <c r="EC799" s="3"/>
      <c r="ED799" s="3"/>
      <c r="EE799" s="3"/>
      <c r="EF799" s="3"/>
      <c r="EG799" s="3"/>
      <c r="EH799" s="3"/>
      <c r="EI799"/>
      <c r="EJ799"/>
      <c r="EK799"/>
      <c r="EL799"/>
      <c r="EM799"/>
      <c r="EN799"/>
      <c r="EO799"/>
      <c r="EP799"/>
      <c r="EQ799"/>
      <c r="ER799"/>
      <c r="ES799" s="56" t="s">
        <v>1868</v>
      </c>
      <c r="ET799" s="1858">
        <f>SUM(DU797:EX797)</f>
        <v>0</v>
      </c>
      <c r="EU799" s="1859"/>
      <c r="EV799" s="1859"/>
      <c r="EW799" s="1859"/>
      <c r="EX799" s="1860"/>
    </row>
    <row r="800" spans="1:154"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703">
        <f>O753+AC777+AC797</f>
        <v>198489</v>
      </c>
      <c r="Z800" s="1703"/>
      <c r="AA800" s="1703"/>
      <c r="AB800" s="1703"/>
      <c r="AC800" s="1703"/>
      <c r="AD800"/>
      <c r="AE800"/>
      <c r="AF800"/>
      <c r="AG800"/>
      <c r="AH800"/>
      <c r="AI800"/>
      <c r="AJ800"/>
      <c r="AK800"/>
      <c r="AL800"/>
      <c r="AM800"/>
      <c r="AN800"/>
      <c r="AO800"/>
      <c r="AP800"/>
      <c r="AQ800"/>
      <c r="AR800"/>
      <c r="AS800"/>
      <c r="AT800"/>
      <c r="AU800"/>
      <c r="AV800"/>
      <c r="AW800"/>
      <c r="AX800"/>
      <c r="AY800"/>
      <c r="AZ800" s="30"/>
      <c r="BA800" s="30"/>
      <c r="CP800"/>
      <c r="CQ800"/>
      <c r="CR800"/>
      <c r="CS800"/>
      <c r="CT800"/>
      <c r="CU800"/>
      <c r="CV800"/>
      <c r="CW800"/>
      <c r="CX800"/>
      <c r="CY800"/>
      <c r="CZ800"/>
      <c r="DA800"/>
      <c r="DB800"/>
      <c r="DC800"/>
      <c r="DD800"/>
      <c r="DE800"/>
      <c r="DF800"/>
      <c r="DG800"/>
      <c r="DH800"/>
      <c r="DI800"/>
      <c r="DJ800"/>
      <c r="DK800"/>
      <c r="DL800"/>
      <c r="DM800"/>
      <c r="DN800"/>
      <c r="DO800"/>
      <c r="DP800"/>
      <c r="DQ800"/>
      <c r="DR800"/>
      <c r="DS800"/>
      <c r="DT800" s="3"/>
      <c r="DU800" s="861">
        <f>CT798+CY798+DD798+DI798+DN798+DS798</f>
        <v>0</v>
      </c>
      <c r="DV800" s="57" t="s">
        <v>1630</v>
      </c>
      <c r="DW800" s="3"/>
      <c r="DX800" s="3"/>
      <c r="DY800" s="3"/>
      <c r="DZ800" s="3"/>
      <c r="EA800" s="3"/>
      <c r="EB800" s="3"/>
      <c r="EC800" s="3"/>
      <c r="ED800" s="3"/>
      <c r="EE800" s="3"/>
      <c r="EF800" s="3"/>
      <c r="EG800" s="3"/>
      <c r="EH800" s="3"/>
      <c r="EI800"/>
      <c r="EJ800"/>
      <c r="EK800"/>
      <c r="EL800"/>
      <c r="EM800"/>
      <c r="EN800"/>
      <c r="EO800"/>
      <c r="EP800"/>
      <c r="EQ800"/>
      <c r="ER800"/>
      <c r="ES800"/>
      <c r="ET800"/>
      <c r="EU800"/>
      <c r="EV800"/>
      <c r="EW800"/>
      <c r="EX800"/>
    </row>
    <row r="801" spans="1:126"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703">
        <f>(O753+AC777+AC797)*12</f>
        <v>2381868</v>
      </c>
      <c r="Z801" s="1703"/>
      <c r="AA801" s="1703"/>
      <c r="AB801" s="1703"/>
      <c r="AC801" s="1703"/>
      <c r="AD801"/>
      <c r="AE801"/>
      <c r="AF801"/>
      <c r="AG801"/>
      <c r="AH801"/>
      <c r="AI801"/>
      <c r="AJ801"/>
      <c r="AK801"/>
      <c r="AL801"/>
      <c r="AM801"/>
      <c r="AN801"/>
      <c r="AO801"/>
      <c r="AP801"/>
      <c r="AQ801"/>
      <c r="AR801"/>
      <c r="AS801"/>
      <c r="AT801"/>
      <c r="AU801"/>
      <c r="AV801"/>
      <c r="AW801"/>
      <c r="AX801"/>
      <c r="AY801"/>
      <c r="AZ801" s="14"/>
      <c r="BA801" s="14"/>
      <c r="CP801" s="34" t="s">
        <v>105</v>
      </c>
      <c r="CQ801" s="3"/>
      <c r="CR801" s="3"/>
      <c r="CS801" s="3"/>
      <c r="CT801" s="3"/>
      <c r="CU801" s="3"/>
      <c r="CV801" s="3"/>
      <c r="CW801" s="3"/>
      <c r="CX801" s="3"/>
      <c r="CY801" s="3"/>
      <c r="CZ801" s="3"/>
      <c r="DA801" s="3"/>
      <c r="DB801" s="3"/>
      <c r="DC801" s="3"/>
      <c r="DD801" s="3"/>
      <c r="DE801" s="3"/>
      <c r="DF801" s="3"/>
      <c r="DG801" s="3"/>
      <c r="DH801" s="3"/>
      <c r="DI801" s="3"/>
      <c r="DJ801" s="3"/>
      <c r="DK801" s="3"/>
      <c r="DL801" s="3"/>
      <c r="DM801" s="3"/>
      <c r="DN801" s="3"/>
      <c r="DO801" s="3"/>
      <c r="DP801" s="3"/>
      <c r="DQ801" s="3"/>
      <c r="DR801" s="3"/>
      <c r="DS801" s="3"/>
      <c r="DT801" s="3"/>
      <c r="DU801"/>
      <c r="DV801"/>
    </row>
    <row r="802" spans="1:126"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CB802" s="70"/>
      <c r="CC802" s="70"/>
      <c r="CD802" s="70"/>
      <c r="CE802" s="70"/>
      <c r="CF802" s="70"/>
      <c r="CP802" s="1472">
        <f>CP753+CP777+CP797</f>
        <v>0</v>
      </c>
      <c r="CQ802" s="1473"/>
      <c r="CR802" s="1473"/>
      <c r="CS802" s="1473"/>
      <c r="CT802" s="1474"/>
      <c r="CU802" s="1472">
        <f>CU753+CU777+CU797</f>
        <v>26</v>
      </c>
      <c r="CV802" s="1473"/>
      <c r="CW802" s="1473"/>
      <c r="CX802" s="1473"/>
      <c r="CY802" s="1474"/>
      <c r="CZ802" s="1472">
        <f>CZ753+CZ777+CZ797</f>
        <v>35</v>
      </c>
      <c r="DA802" s="1473"/>
      <c r="DB802" s="1473"/>
      <c r="DC802" s="1473"/>
      <c r="DD802" s="1474"/>
      <c r="DE802" s="1472">
        <f>DE753+DE777+DE797</f>
        <v>32</v>
      </c>
      <c r="DF802" s="1473"/>
      <c r="DG802" s="1473"/>
      <c r="DH802" s="1473"/>
      <c r="DI802" s="1474"/>
      <c r="DJ802" s="1472">
        <f>DJ753+DJ777+DJ797</f>
        <v>11</v>
      </c>
      <c r="DK802" s="1473"/>
      <c r="DL802" s="1473"/>
      <c r="DM802" s="1473"/>
      <c r="DN802" s="1474"/>
      <c r="DO802" s="1463">
        <f>DO797+DO777+DO753</f>
        <v>0</v>
      </c>
      <c r="DP802" s="1465"/>
      <c r="DQ802" s="1465"/>
      <c r="DR802" s="1465"/>
      <c r="DS802" s="1464"/>
      <c r="DT802" s="3"/>
      <c r="DU802" s="861">
        <f>DU755+DU800</f>
        <v>234</v>
      </c>
      <c r="DV802" s="57" t="s">
        <v>1864</v>
      </c>
    </row>
    <row r="803" spans="1:126" s="4" customFormat="1" ht="12.95" customHeight="1">
      <c r="A803" s="2" t="s">
        <v>589</v>
      </c>
      <c r="B803" s="2"/>
      <c r="C803" s="2" t="s">
        <v>612</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CB803" s="70"/>
      <c r="CC803" s="70"/>
      <c r="CD803" s="70"/>
      <c r="CE803" s="70"/>
      <c r="CF803" s="70"/>
      <c r="CP803" s="34"/>
      <c r="CQ803" s="3"/>
      <c r="CR803" s="3"/>
      <c r="CS803" s="3"/>
      <c r="CT803" s="3"/>
      <c r="CU803" s="3"/>
      <c r="CV803" s="3"/>
      <c r="CW803" s="3"/>
      <c r="CX803" s="3"/>
      <c r="CY803" s="3"/>
      <c r="CZ803" s="3"/>
      <c r="DA803" s="3"/>
      <c r="DB803" s="3"/>
      <c r="DC803" s="3"/>
      <c r="DD803" s="3"/>
      <c r="DE803" s="3"/>
      <c r="DF803" s="3"/>
      <c r="DG803" s="3"/>
      <c r="DH803" s="3"/>
      <c r="DI803" s="3"/>
      <c r="DJ803" s="3"/>
      <c r="DK803" s="3"/>
      <c r="DL803" s="3"/>
      <c r="DM803" s="3"/>
      <c r="DN803" s="3"/>
      <c r="DO803" s="3"/>
      <c r="DP803" s="3"/>
      <c r="DQ803" s="3"/>
      <c r="DR803" s="3"/>
      <c r="DS803" s="3"/>
      <c r="DT803" s="3"/>
      <c r="DU803" s="3"/>
      <c r="DV803" s="3"/>
    </row>
    <row r="804" spans="1:126" s="4" customFormat="1" ht="12.95" customHeight="1">
      <c r="A804" s="2"/>
      <c r="B804" s="2"/>
      <c r="C804" s="2" t="s">
        <v>916</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row>
    <row r="805" spans="1:126"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row>
    <row r="806" spans="1:126" s="4" customFormat="1" ht="12.95" customHeight="1">
      <c r="A806"/>
      <c r="B806"/>
      <c r="C806"/>
      <c r="D806"/>
      <c r="E806"/>
      <c r="F806"/>
      <c r="G806"/>
      <c r="H806" s="45" t="s">
        <v>356</v>
      </c>
      <c r="I806" s="5"/>
      <c r="J806" s="5"/>
      <c r="K806" s="5"/>
      <c r="L806" s="5"/>
      <c r="M806" s="5"/>
      <c r="N806" s="5"/>
      <c r="O806" s="5"/>
      <c r="P806" s="5"/>
      <c r="Q806" s="5"/>
      <c r="R806" s="5"/>
      <c r="S806" s="5"/>
      <c r="T806" s="5"/>
      <c r="U806" s="5"/>
      <c r="V806" s="5"/>
      <c r="W806" s="5"/>
      <c r="X806" s="5"/>
      <c r="Y806" s="5"/>
      <c r="Z806" s="1560">
        <v>0</v>
      </c>
      <c r="AA806" s="1561"/>
      <c r="AB806" s="1561"/>
      <c r="AC806" s="1561"/>
      <c r="AD806" s="1561"/>
      <c r="AE806" s="1562"/>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row>
    <row r="807" spans="1:126" s="4" customFormat="1" ht="12.95" customHeight="1">
      <c r="A807"/>
      <c r="B807"/>
      <c r="C807"/>
      <c r="D807"/>
      <c r="E807"/>
      <c r="F807"/>
      <c r="G807"/>
      <c r="H807" s="45" t="s">
        <v>357</v>
      </c>
      <c r="I807" s="5"/>
      <c r="J807" s="5"/>
      <c r="K807" s="5"/>
      <c r="L807" s="5"/>
      <c r="M807" s="5"/>
      <c r="N807" s="5"/>
      <c r="O807" s="5"/>
      <c r="P807" s="5"/>
      <c r="Q807" s="5"/>
      <c r="R807" s="5"/>
      <c r="S807" s="5"/>
      <c r="T807" s="5"/>
      <c r="U807" s="5"/>
      <c r="V807" s="5"/>
      <c r="W807" s="5"/>
      <c r="X807" s="5"/>
      <c r="Y807" s="5"/>
      <c r="Z807" s="1731" t="s">
        <v>591</v>
      </c>
      <c r="AA807" s="1561"/>
      <c r="AB807" s="1561"/>
      <c r="AC807" s="1561"/>
      <c r="AD807" s="1561"/>
      <c r="AE807" s="1562"/>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row>
    <row r="808" spans="1:126"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728" t="s">
        <v>591</v>
      </c>
      <c r="AA808" s="1534"/>
      <c r="AB808" s="1534"/>
      <c r="AC808" s="1534"/>
      <c r="AD808" s="1534"/>
      <c r="AE808" s="1535"/>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row>
    <row r="809" spans="1:126"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615">
        <f>'Subsidy Contract Calculation'!J40</f>
        <v>0</v>
      </c>
      <c r="AA809" s="1616"/>
      <c r="AB809" s="1616"/>
      <c r="AC809" s="1616"/>
      <c r="AD809" s="1616"/>
      <c r="AE809" s="1617"/>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row>
    <row r="810" spans="1:126"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row>
    <row r="811" spans="1:126" s="4" customFormat="1" ht="12.95" customHeight="1">
      <c r="A811" s="2" t="s">
        <v>590</v>
      </c>
      <c r="B811" s="2"/>
      <c r="C811" s="2" t="s">
        <v>287</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row>
    <row r="812" spans="1:126"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row>
    <row r="813" spans="1:126"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466">
        <v>15450</v>
      </c>
      <c r="AA813" s="1467"/>
      <c r="AB813" s="1467"/>
      <c r="AC813" s="1467"/>
      <c r="AD813" s="1467"/>
      <c r="AE813" s="1468"/>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row>
    <row r="814" spans="1:126"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466"/>
      <c r="AA814" s="1467"/>
      <c r="AB814" s="1467"/>
      <c r="AC814" s="1467"/>
      <c r="AD814" s="1467"/>
      <c r="AE814" s="1468"/>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row>
    <row r="815" spans="1:126"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466"/>
      <c r="AA815" s="1467"/>
      <c r="AB815" s="1467"/>
      <c r="AC815" s="1467"/>
      <c r="AD815" s="1467"/>
      <c r="AE815" s="1468"/>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row>
    <row r="816" spans="1:126" s="4" customFormat="1" ht="12.95" customHeight="1">
      <c r="A816"/>
      <c r="B816"/>
      <c r="C816"/>
      <c r="D816"/>
      <c r="E816"/>
      <c r="F816"/>
      <c r="G816"/>
      <c r="H816" s="45" t="s">
        <v>39</v>
      </c>
      <c r="I816" s="5"/>
      <c r="J816" s="5"/>
      <c r="K816" s="5"/>
      <c r="L816" s="5"/>
      <c r="M816" s="5"/>
      <c r="N816" s="5"/>
      <c r="O816" s="5"/>
      <c r="P816" s="1593" t="s">
        <v>333</v>
      </c>
      <c r="Q816" s="1594"/>
      <c r="R816" s="1594"/>
      <c r="S816" s="1594"/>
      <c r="T816" s="1594"/>
      <c r="U816" s="1594"/>
      <c r="V816" s="1594"/>
      <c r="W816" s="1594"/>
      <c r="X816" s="1594"/>
      <c r="Y816" s="1595"/>
      <c r="Z816" s="1466"/>
      <c r="AA816" s="1467"/>
      <c r="AB816" s="1467"/>
      <c r="AC816" s="1467"/>
      <c r="AD816" s="1467"/>
      <c r="AE816" s="1468"/>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55"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615">
        <f>SUM(Z813:AE816)</f>
        <v>15450</v>
      </c>
      <c r="AA817" s="1616"/>
      <c r="AB817" s="1616"/>
      <c r="AC817" s="1616"/>
      <c r="AD817" s="1616"/>
      <c r="AE817" s="1617"/>
      <c r="AF817"/>
      <c r="AG817"/>
      <c r="AH817"/>
      <c r="AI817"/>
      <c r="AJ817"/>
      <c r="AK817"/>
      <c r="AL817"/>
      <c r="AM817"/>
      <c r="AN817"/>
      <c r="AO817"/>
      <c r="AP817"/>
      <c r="AQ817"/>
      <c r="AR817"/>
      <c r="AS817"/>
      <c r="AT817"/>
      <c r="AU817" s="3"/>
      <c r="AV817"/>
      <c r="AW817"/>
      <c r="AX817"/>
      <c r="AY817"/>
      <c r="AZ817" s="30"/>
      <c r="BA817" s="30"/>
      <c r="BB817" s="14"/>
      <c r="BC817" s="14"/>
    </row>
    <row r="818" spans="1:55"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644</v>
      </c>
      <c r="Z818" s="1615">
        <f>Z817+Y801+Z809</f>
        <v>2397318</v>
      </c>
      <c r="AA818" s="1616"/>
      <c r="AB818" s="1616"/>
      <c r="AC818" s="1616"/>
      <c r="AD818" s="1616"/>
      <c r="AE818" s="1617"/>
      <c r="AF818"/>
      <c r="AG818"/>
      <c r="AH818"/>
      <c r="AI818"/>
      <c r="AJ818"/>
      <c r="AK818"/>
      <c r="AL818"/>
      <c r="AM818"/>
      <c r="AN818"/>
      <c r="AO818"/>
      <c r="AP818"/>
      <c r="AQ818"/>
      <c r="AR818"/>
      <c r="AS818"/>
      <c r="AT818"/>
      <c r="AU818" s="3"/>
      <c r="AV818" s="3"/>
      <c r="AW818" s="3"/>
      <c r="AX818" s="3"/>
      <c r="AY818" s="3"/>
      <c r="AZ818" s="30"/>
      <c r="BA818" s="30"/>
      <c r="BB818" s="14"/>
      <c r="BC818" s="14"/>
    </row>
    <row r="819" spans="1:55"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row>
    <row r="820" spans="1:55" s="4" customFormat="1" ht="12.95" customHeight="1">
      <c r="A820" s="2" t="s">
        <v>592</v>
      </c>
      <c r="B820" s="2"/>
      <c r="C820" s="2" t="s">
        <v>424</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row>
    <row r="821" spans="1:55" s="4" customFormat="1" ht="12.95" customHeight="1">
      <c r="A821"/>
      <c r="B821"/>
      <c r="C821" s="22" t="s">
        <v>817</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row>
    <row r="822" spans="1:55"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row>
    <row r="823" spans="1:55" s="4" customFormat="1" ht="12.95" customHeight="1">
      <c r="A823"/>
      <c r="B823"/>
      <c r="C823" s="41"/>
      <c r="D823" s="42"/>
      <c r="E823" s="42"/>
      <c r="F823" s="42"/>
      <c r="G823" s="42"/>
      <c r="H823" s="42"/>
      <c r="I823" s="42"/>
      <c r="J823" s="42"/>
      <c r="K823" s="42"/>
      <c r="L823" s="58"/>
      <c r="M823" s="1585" t="s">
        <v>126</v>
      </c>
      <c r="N823" s="1585"/>
      <c r="O823" s="1585"/>
      <c r="P823" s="1653"/>
      <c r="Q823" s="1614" t="s">
        <v>289</v>
      </c>
      <c r="R823" s="1614"/>
      <c r="S823" s="1614"/>
      <c r="T823" s="1614"/>
      <c r="U823" s="1614" t="s">
        <v>290</v>
      </c>
      <c r="V823" s="1614"/>
      <c r="W823" s="1614"/>
      <c r="X823" s="1614"/>
      <c r="Y823" s="1614" t="s">
        <v>291</v>
      </c>
      <c r="Z823" s="1614"/>
      <c r="AA823" s="1614"/>
      <c r="AB823" s="1614"/>
      <c r="AC823" s="1614" t="s">
        <v>360</v>
      </c>
      <c r="AD823" s="1614"/>
      <c r="AE823" s="1614"/>
      <c r="AF823" s="1614"/>
      <c r="AG823" s="1730" t="s">
        <v>334</v>
      </c>
      <c r="AH823" s="1730"/>
      <c r="AI823" s="1730"/>
      <c r="AJ823" s="1730"/>
      <c r="AK823"/>
      <c r="AL823" s="3"/>
      <c r="AM823" s="3"/>
      <c r="AN823" s="3"/>
      <c r="AO823" s="3"/>
      <c r="AP823" s="3"/>
      <c r="AQ823" s="3"/>
      <c r="AR823" s="3"/>
      <c r="AS823" s="3"/>
      <c r="AT823" s="3"/>
      <c r="AU823" s="3"/>
      <c r="AV823" s="3"/>
      <c r="AW823" s="3"/>
      <c r="AX823" s="3"/>
      <c r="AY823" s="3"/>
      <c r="AZ823" s="30"/>
      <c r="BA823" s="30"/>
      <c r="BB823" s="14"/>
      <c r="BC823" s="14"/>
    </row>
    <row r="824" spans="1:55" s="14" customFormat="1" ht="12.95" customHeight="1">
      <c r="A824"/>
      <c r="B824"/>
      <c r="C824" s="47"/>
      <c r="D824" s="48"/>
      <c r="E824" s="48"/>
      <c r="F824" s="48"/>
      <c r="G824" s="48"/>
      <c r="H824" s="48"/>
      <c r="I824" s="48"/>
      <c r="J824" s="48"/>
      <c r="K824" s="48"/>
      <c r="L824" s="49"/>
      <c r="M824" s="1589"/>
      <c r="N824" s="1589"/>
      <c r="O824" s="1589"/>
      <c r="P824" s="1600"/>
      <c r="Q824" s="1614"/>
      <c r="R824" s="1614"/>
      <c r="S824" s="1614"/>
      <c r="T824" s="1614"/>
      <c r="U824" s="1614"/>
      <c r="V824" s="1614"/>
      <c r="W824" s="1614"/>
      <c r="X824" s="1614"/>
      <c r="Y824" s="1614"/>
      <c r="Z824" s="1614"/>
      <c r="AA824" s="1614"/>
      <c r="AB824" s="1614"/>
      <c r="AC824" s="1614"/>
      <c r="AD824" s="1614"/>
      <c r="AE824" s="1614"/>
      <c r="AF824" s="1614"/>
      <c r="AG824" s="1730"/>
      <c r="AH824" s="1730"/>
      <c r="AI824" s="1730"/>
      <c r="AJ824" s="1730"/>
      <c r="AK824"/>
      <c r="AL824" s="3"/>
      <c r="AM824" s="3"/>
      <c r="AN824" s="3"/>
      <c r="AO824" s="3"/>
      <c r="AP824" s="3"/>
      <c r="AQ824" s="3"/>
      <c r="AR824" s="3"/>
      <c r="AS824" s="3"/>
      <c r="AT824" s="3"/>
      <c r="AU824"/>
      <c r="AV824" s="3"/>
      <c r="AW824" s="3"/>
      <c r="AX824" s="3"/>
      <c r="AY824" s="3"/>
      <c r="AZ824" s="30"/>
      <c r="BA824" s="30"/>
    </row>
    <row r="825" spans="1:55" s="14" customFormat="1" ht="12.95" customHeight="1">
      <c r="A825"/>
      <c r="B825"/>
      <c r="C825" s="1548" t="s">
        <v>40</v>
      </c>
      <c r="D825" s="1358"/>
      <c r="E825" s="1358"/>
      <c r="F825" s="1358"/>
      <c r="G825" s="1358"/>
      <c r="H825" s="1358"/>
      <c r="I825" s="48"/>
      <c r="J825" s="48"/>
      <c r="K825" s="48"/>
      <c r="L825" s="49"/>
      <c r="M825" s="1642"/>
      <c r="N825" s="1642"/>
      <c r="O825" s="1642"/>
      <c r="P825" s="1642"/>
      <c r="Q825" s="1642"/>
      <c r="R825" s="1642"/>
      <c r="S825" s="1642"/>
      <c r="T825" s="1642"/>
      <c r="U825" s="1642"/>
      <c r="V825" s="1642"/>
      <c r="W825" s="1642"/>
      <c r="X825" s="1642"/>
      <c r="Y825" s="1642"/>
      <c r="Z825" s="1642"/>
      <c r="AA825" s="1642"/>
      <c r="AB825" s="1642"/>
      <c r="AC825" s="1475"/>
      <c r="AD825" s="1476"/>
      <c r="AE825" s="1476"/>
      <c r="AF825" s="1477"/>
      <c r="AG825" s="1475"/>
      <c r="AH825" s="1476"/>
      <c r="AI825" s="1476"/>
      <c r="AJ825" s="1477"/>
      <c r="AK825"/>
      <c r="AL825" s="3"/>
      <c r="AM825" s="3"/>
      <c r="AN825" s="3"/>
      <c r="AO825" s="3"/>
      <c r="AP825" s="3"/>
      <c r="AQ825" s="3"/>
      <c r="AR825" s="3"/>
      <c r="AS825" s="3"/>
      <c r="AT825" s="3"/>
      <c r="AU825"/>
      <c r="AV825" s="3"/>
      <c r="AW825" s="3"/>
      <c r="AX825" s="3"/>
      <c r="AY825" s="3"/>
      <c r="AZ825" s="30"/>
      <c r="BA825" s="30"/>
    </row>
    <row r="826" spans="1:55" s="14" customFormat="1" ht="12.95" customHeight="1">
      <c r="A826"/>
      <c r="B826"/>
      <c r="C826" s="1625" t="s">
        <v>41</v>
      </c>
      <c r="D826" s="1626"/>
      <c r="E826" s="1626"/>
      <c r="F826" s="1626"/>
      <c r="G826" s="1626"/>
      <c r="H826" s="1626"/>
      <c r="I826" s="5"/>
      <c r="J826" s="5"/>
      <c r="K826" s="5"/>
      <c r="L826" s="46"/>
      <c r="M826" s="1642"/>
      <c r="N826" s="1642"/>
      <c r="O826" s="1642"/>
      <c r="P826" s="1642"/>
      <c r="Q826" s="1642"/>
      <c r="R826" s="1642"/>
      <c r="S826" s="1642"/>
      <c r="T826" s="1642"/>
      <c r="U826" s="1642"/>
      <c r="V826" s="1642"/>
      <c r="W826" s="1642"/>
      <c r="X826" s="1642"/>
      <c r="Y826" s="1642"/>
      <c r="Z826" s="1642"/>
      <c r="AA826" s="1642"/>
      <c r="AB826" s="1642"/>
      <c r="AC826" s="1475"/>
      <c r="AD826" s="1476"/>
      <c r="AE826" s="1476"/>
      <c r="AF826" s="1477"/>
      <c r="AG826" s="1475"/>
      <c r="AH826" s="1476"/>
      <c r="AI826" s="1476"/>
      <c r="AJ826" s="1477"/>
      <c r="AK826"/>
      <c r="AL826" s="3"/>
      <c r="AM826" s="3"/>
      <c r="AN826" s="3"/>
      <c r="AO826" s="3"/>
      <c r="AP826" s="3"/>
      <c r="AQ826" s="3"/>
      <c r="AR826" s="3"/>
      <c r="AS826" s="3"/>
      <c r="AT826" s="3"/>
      <c r="AU826"/>
      <c r="AV826" s="3"/>
      <c r="AW826" s="3"/>
      <c r="AX826" s="3"/>
      <c r="AY826" s="3"/>
      <c r="AZ826" s="30"/>
      <c r="BA826" s="30"/>
    </row>
    <row r="827" spans="1:55" s="14" customFormat="1" ht="12.95" customHeight="1">
      <c r="A827"/>
      <c r="B827"/>
      <c r="C827" s="1625" t="s">
        <v>42</v>
      </c>
      <c r="D827" s="1626"/>
      <c r="E827" s="1626"/>
      <c r="F827" s="1626"/>
      <c r="G827" s="1626"/>
      <c r="H827" s="1626"/>
      <c r="I827" s="60"/>
      <c r="J827" s="60"/>
      <c r="K827" s="60"/>
      <c r="L827" s="61"/>
      <c r="M827" s="1642"/>
      <c r="N827" s="1642"/>
      <c r="O827" s="1642"/>
      <c r="P827" s="1642"/>
      <c r="Q827" s="1642"/>
      <c r="R827" s="1642"/>
      <c r="S827" s="1642"/>
      <c r="T827" s="1642"/>
      <c r="U827" s="1642"/>
      <c r="V827" s="1642"/>
      <c r="W827" s="1642"/>
      <c r="X827" s="1642"/>
      <c r="Y827" s="1642"/>
      <c r="Z827" s="1642"/>
      <c r="AA827" s="1642"/>
      <c r="AB827" s="1642"/>
      <c r="AC827" s="1475"/>
      <c r="AD827" s="1476"/>
      <c r="AE827" s="1476"/>
      <c r="AF827" s="1477"/>
      <c r="AG827" s="1475"/>
      <c r="AH827" s="1476"/>
      <c r="AI827" s="1476"/>
      <c r="AJ827" s="1477"/>
      <c r="AK827"/>
      <c r="AL827" s="3"/>
      <c r="AM827" s="3"/>
      <c r="AN827" s="3"/>
      <c r="AO827" s="3"/>
      <c r="AP827" s="3"/>
      <c r="AQ827" s="3"/>
      <c r="AR827" s="3"/>
      <c r="AS827" s="3"/>
      <c r="AT827" s="3"/>
      <c r="AU827"/>
      <c r="AV827" s="3"/>
      <c r="AW827" s="3"/>
      <c r="AX827" s="3"/>
      <c r="AY827" s="3"/>
      <c r="AZ827" s="30"/>
      <c r="BA827" s="30"/>
    </row>
    <row r="828" spans="1:55" s="14" customFormat="1" ht="12.95" customHeight="1">
      <c r="A828"/>
      <c r="B828"/>
      <c r="C828" s="1625" t="s">
        <v>762</v>
      </c>
      <c r="D828" s="1626"/>
      <c r="E828" s="1626"/>
      <c r="F828" s="1626"/>
      <c r="G828" s="1626"/>
      <c r="H828" s="1626"/>
      <c r="I828" s="60"/>
      <c r="J828" s="60"/>
      <c r="K828" s="60"/>
      <c r="L828" s="61"/>
      <c r="M828" s="1642"/>
      <c r="N828" s="1642"/>
      <c r="O828" s="1642"/>
      <c r="P828" s="1642"/>
      <c r="Q828" s="1642"/>
      <c r="R828" s="1642"/>
      <c r="S828" s="1642"/>
      <c r="T828" s="1642"/>
      <c r="U828" s="1642"/>
      <c r="V828" s="1642"/>
      <c r="W828" s="1642"/>
      <c r="X828" s="1642"/>
      <c r="Y828" s="1642"/>
      <c r="Z828" s="1642"/>
      <c r="AA828" s="1642"/>
      <c r="AB828" s="1642"/>
      <c r="AC828" s="1475"/>
      <c r="AD828" s="1476"/>
      <c r="AE828" s="1476"/>
      <c r="AF828" s="1477"/>
      <c r="AG828" s="1475"/>
      <c r="AH828" s="1476"/>
      <c r="AI828" s="1476"/>
      <c r="AJ828" s="1477"/>
      <c r="AK828"/>
      <c r="AL828" s="3"/>
      <c r="AM828" s="3"/>
      <c r="AN828" s="3"/>
      <c r="AO828" s="3"/>
      <c r="AP828" s="3"/>
      <c r="AQ828" s="3"/>
      <c r="AR828" s="3"/>
      <c r="AS828" s="3"/>
      <c r="AT828" s="3"/>
      <c r="AU828"/>
      <c r="AV828" s="3"/>
      <c r="AW828" s="3"/>
      <c r="AX828" s="3"/>
      <c r="AY828" s="3"/>
      <c r="AZ828" s="30"/>
      <c r="BA828" s="30"/>
    </row>
    <row r="829" spans="1:55" s="14" customFormat="1" ht="12.95" customHeight="1">
      <c r="A829"/>
      <c r="B829"/>
      <c r="C829" s="1625" t="s">
        <v>459</v>
      </c>
      <c r="D829" s="1626"/>
      <c r="E829" s="1626"/>
      <c r="F829" s="1626"/>
      <c r="G829" s="1626"/>
      <c r="H829" s="1626"/>
      <c r="I829" s="60"/>
      <c r="J829" s="60"/>
      <c r="K829" s="60"/>
      <c r="L829" s="61"/>
      <c r="M829" s="1642"/>
      <c r="N829" s="1642"/>
      <c r="O829" s="1642"/>
      <c r="P829" s="1642"/>
      <c r="Q829" s="1642"/>
      <c r="R829" s="1642"/>
      <c r="S829" s="1642"/>
      <c r="T829" s="1642"/>
      <c r="U829" s="1642"/>
      <c r="V829" s="1642"/>
      <c r="W829" s="1642"/>
      <c r="X829" s="1642"/>
      <c r="Y829" s="1642"/>
      <c r="Z829" s="1642"/>
      <c r="AA829" s="1642"/>
      <c r="AB829" s="1642"/>
      <c r="AC829" s="1475"/>
      <c r="AD829" s="1476"/>
      <c r="AE829" s="1476"/>
      <c r="AF829" s="1477"/>
      <c r="AG829" s="1475"/>
      <c r="AH829" s="1476"/>
      <c r="AI829" s="1476"/>
      <c r="AJ829" s="1477"/>
      <c r="AK829"/>
      <c r="AL829" s="3"/>
      <c r="AM829" s="3"/>
      <c r="AN829" s="3"/>
      <c r="AO829" s="3"/>
      <c r="AP829" s="3"/>
      <c r="AQ829" s="3"/>
      <c r="AR829" s="3"/>
      <c r="AS829" s="3"/>
      <c r="AT829" s="3"/>
      <c r="AU829"/>
      <c r="AV829" s="3"/>
      <c r="AW829" s="3"/>
      <c r="AX829" s="3"/>
      <c r="AY829" s="3"/>
      <c r="AZ829" s="30"/>
      <c r="BA829" s="30"/>
    </row>
    <row r="830" spans="1:55" s="14" customFormat="1" ht="12.95" customHeight="1">
      <c r="A830"/>
      <c r="B830"/>
      <c r="C830" s="1652" t="s">
        <v>783</v>
      </c>
      <c r="D830" s="1626"/>
      <c r="E830" s="1626"/>
      <c r="F830" s="1626"/>
      <c r="G830" s="1626"/>
      <c r="H830" s="1626"/>
      <c r="I830" s="60"/>
      <c r="J830" s="60"/>
      <c r="K830" s="60"/>
      <c r="L830" s="61"/>
      <c r="M830" s="1642"/>
      <c r="N830" s="1642"/>
      <c r="O830" s="1642"/>
      <c r="P830" s="1642"/>
      <c r="Q830" s="1642"/>
      <c r="R830" s="1642"/>
      <c r="S830" s="1642"/>
      <c r="T830" s="1642"/>
      <c r="U830" s="1642"/>
      <c r="V830" s="1642"/>
      <c r="W830" s="1642"/>
      <c r="X830" s="1642"/>
      <c r="Y830" s="1642"/>
      <c r="Z830" s="1642"/>
      <c r="AA830" s="1642"/>
      <c r="AB830" s="1642"/>
      <c r="AC830" s="1475"/>
      <c r="AD830" s="1476"/>
      <c r="AE830" s="1476"/>
      <c r="AF830" s="1477"/>
      <c r="AG830" s="1475"/>
      <c r="AH830" s="1476"/>
      <c r="AI830" s="1476"/>
      <c r="AJ830" s="1477"/>
      <c r="AK830"/>
      <c r="AL830" s="3"/>
      <c r="AM830" s="3"/>
      <c r="AN830" s="3"/>
      <c r="AO830" s="3"/>
      <c r="AP830" s="3"/>
      <c r="AQ830" s="3"/>
      <c r="AR830" s="3"/>
      <c r="AS830" s="3"/>
      <c r="AT830" s="3"/>
      <c r="AU830"/>
      <c r="AV830" s="3"/>
      <c r="AW830" s="3"/>
      <c r="AX830" s="3"/>
      <c r="AY830" s="3"/>
      <c r="AZ830" s="30"/>
      <c r="BA830" s="30"/>
    </row>
    <row r="831" spans="1:55" s="14" customFormat="1" ht="12.95" customHeight="1">
      <c r="A831"/>
      <c r="B831"/>
      <c r="C831" s="59" t="s">
        <v>292</v>
      </c>
      <c r="D831" s="60"/>
      <c r="E831" s="60"/>
      <c r="F831" s="1593" t="s">
        <v>333</v>
      </c>
      <c r="G831" s="1594"/>
      <c r="H831" s="1594"/>
      <c r="I831" s="1594"/>
      <c r="J831" s="1594"/>
      <c r="K831" s="1594"/>
      <c r="L831" s="1594"/>
      <c r="M831" s="1642"/>
      <c r="N831" s="1642"/>
      <c r="O831" s="1642"/>
      <c r="P831" s="1642"/>
      <c r="Q831" s="1642"/>
      <c r="R831" s="1642"/>
      <c r="S831" s="1642"/>
      <c r="T831" s="1642"/>
      <c r="U831" s="1642"/>
      <c r="V831" s="1642"/>
      <c r="W831" s="1642"/>
      <c r="X831" s="1642"/>
      <c r="Y831" s="1642"/>
      <c r="Z831" s="1642"/>
      <c r="AA831" s="1642"/>
      <c r="AB831" s="1642"/>
      <c r="AC831" s="1475"/>
      <c r="AD831" s="1476"/>
      <c r="AE831" s="1476"/>
      <c r="AF831" s="1477"/>
      <c r="AG831" s="1475"/>
      <c r="AH831" s="1476"/>
      <c r="AI831" s="1476"/>
      <c r="AJ831" s="1477"/>
      <c r="AK831"/>
      <c r="AL831" s="3"/>
      <c r="AM831" s="3"/>
      <c r="AN831" s="3"/>
      <c r="AO831" s="3"/>
      <c r="AP831" s="3"/>
      <c r="AQ831" s="3"/>
      <c r="AR831" s="3"/>
      <c r="AS831" s="3"/>
      <c r="AT831" s="3"/>
      <c r="AU831"/>
      <c r="AV831" s="3"/>
      <c r="AW831" s="3"/>
      <c r="AX831" s="3"/>
      <c r="AY831" s="3"/>
      <c r="AZ831" s="30"/>
      <c r="BA831" s="30"/>
    </row>
    <row r="832" spans="1:55" s="14" customFormat="1" ht="12.95" customHeight="1">
      <c r="A832"/>
      <c r="B832"/>
      <c r="C832" s="1449" t="s">
        <v>124</v>
      </c>
      <c r="D832" s="1450"/>
      <c r="E832" s="1450"/>
      <c r="F832" s="1450"/>
      <c r="G832" s="1450"/>
      <c r="H832" s="1450"/>
      <c r="I832" s="1450"/>
      <c r="J832" s="1450"/>
      <c r="K832" s="1450"/>
      <c r="L832" s="1451"/>
      <c r="M832" s="1636">
        <f>SUM(M825:P831)</f>
        <v>0</v>
      </c>
      <c r="N832" s="1636"/>
      <c r="O832" s="1636"/>
      <c r="P832" s="1636"/>
      <c r="Q832" s="1636">
        <f>SUM(Q825:T831)</f>
        <v>0</v>
      </c>
      <c r="R832" s="1636"/>
      <c r="S832" s="1636"/>
      <c r="T832" s="1636"/>
      <c r="U832" s="1636">
        <f>SUM(U825:X831)</f>
        <v>0</v>
      </c>
      <c r="V832" s="1636"/>
      <c r="W832" s="1636"/>
      <c r="X832" s="1636"/>
      <c r="Y832" s="1636">
        <f>SUM(Y825:AB831)</f>
        <v>0</v>
      </c>
      <c r="Z832" s="1636"/>
      <c r="AA832" s="1636"/>
      <c r="AB832" s="1636"/>
      <c r="AC832" s="1636">
        <f>SUM(AC825:AF831)</f>
        <v>0</v>
      </c>
      <c r="AD832" s="1636"/>
      <c r="AE832" s="1636"/>
      <c r="AF832" s="1636"/>
      <c r="AG832" s="1636">
        <f>SUM(AG825:AJ831)</f>
        <v>0</v>
      </c>
      <c r="AH832" s="1636"/>
      <c r="AI832" s="1636"/>
      <c r="AJ832" s="1636"/>
      <c r="AK832"/>
      <c r="AL832" s="3"/>
      <c r="AM832" s="3"/>
      <c r="AN832" s="3"/>
      <c r="AO832" s="3"/>
      <c r="AP832" s="3"/>
      <c r="AQ832" s="3"/>
      <c r="AR832" s="3"/>
      <c r="AS832" s="3"/>
      <c r="AT832" s="3"/>
      <c r="AU832"/>
      <c r="AV832" s="3"/>
      <c r="AW832" s="3"/>
      <c r="AX832" s="3"/>
      <c r="AY832" s="3"/>
      <c r="AZ832" s="30"/>
      <c r="BA832" s="30"/>
    </row>
    <row r="833" spans="1:64" s="14" customFormat="1" ht="12.95" customHeight="1">
      <c r="A833"/>
      <c r="B833"/>
      <c r="C833" s="57" t="s">
        <v>784</v>
      </c>
      <c r="D833" s="56"/>
      <c r="E833" s="56"/>
      <c r="F833" s="56"/>
      <c r="G833" s="56"/>
      <c r="H833" s="56"/>
      <c r="I833" s="56"/>
      <c r="J833" s="56"/>
      <c r="K833" s="56"/>
      <c r="L833" s="56"/>
      <c r="M833" s="179"/>
      <c r="N833" s="179"/>
      <c r="O833" s="179"/>
      <c r="P833" s="179"/>
      <c r="Q833" s="179"/>
      <c r="R833" s="179"/>
      <c r="S833" s="179"/>
      <c r="T833" s="179"/>
      <c r="U833" s="179"/>
      <c r="V833" s="179"/>
      <c r="W833" s="179"/>
      <c r="X833" s="179"/>
      <c r="Y833" s="179"/>
      <c r="Z833" s="179"/>
      <c r="AA833" s="179"/>
      <c r="AB833" s="179"/>
      <c r="AC833" s="179"/>
      <c r="AD833" s="179"/>
      <c r="AE833" s="179"/>
      <c r="AF833" s="179"/>
      <c r="AG833" s="179"/>
      <c r="AH833" s="179"/>
      <c r="AI833" s="179"/>
      <c r="AJ833" s="179"/>
      <c r="AK833"/>
      <c r="AL833" s="3"/>
      <c r="AM833" s="3"/>
      <c r="AN833" s="3"/>
      <c r="AO833" s="3"/>
      <c r="AP833" s="3"/>
      <c r="AQ833" s="3"/>
      <c r="AR833" s="3"/>
      <c r="AS833" s="3"/>
      <c r="AT833" s="3"/>
      <c r="AU833"/>
      <c r="AV833" s="3"/>
      <c r="AW833" s="3"/>
      <c r="AX833" s="3"/>
      <c r="AY833" s="3"/>
      <c r="AZ833" s="30"/>
      <c r="BA833" s="30"/>
    </row>
    <row r="834" spans="1:64" s="14" customFormat="1" ht="12.95" customHeight="1">
      <c r="A834"/>
      <c r="B834"/>
      <c r="C834" s="57" t="s">
        <v>785</v>
      </c>
      <c r="D834" s="56"/>
      <c r="E834" s="56"/>
      <c r="F834" s="56"/>
      <c r="G834" s="56"/>
      <c r="H834" s="56"/>
      <c r="I834" s="56"/>
      <c r="J834" s="56"/>
      <c r="K834" s="56"/>
      <c r="L834" s="56"/>
      <c r="M834" s="179"/>
      <c r="N834" s="179"/>
      <c r="O834" s="179"/>
      <c r="P834" s="179"/>
      <c r="Q834" s="179"/>
      <c r="R834" s="179"/>
      <c r="S834" s="179"/>
      <c r="T834" s="179"/>
      <c r="U834" s="179"/>
      <c r="V834" s="179"/>
      <c r="W834" s="179"/>
      <c r="X834" s="179"/>
      <c r="Y834" s="179"/>
      <c r="Z834" s="179"/>
      <c r="AA834" s="179"/>
      <c r="AB834" s="179"/>
      <c r="AC834" s="179"/>
      <c r="AD834" s="179"/>
      <c r="AE834" s="179"/>
      <c r="AF834" s="179"/>
      <c r="AG834" s="179"/>
      <c r="AH834" s="179"/>
      <c r="AI834" s="179"/>
      <c r="AJ834" s="179"/>
      <c r="AK834"/>
      <c r="AL834" s="3"/>
      <c r="AM834" s="3"/>
      <c r="AN834" s="3"/>
      <c r="AO834" s="3"/>
      <c r="AP834" s="3"/>
      <c r="AQ834" s="3"/>
      <c r="AR834" s="3"/>
      <c r="AS834" s="3"/>
      <c r="AT834" s="3"/>
      <c r="AU834"/>
      <c r="AV834"/>
      <c r="AW834"/>
      <c r="AX834"/>
      <c r="AY834"/>
      <c r="AZ834" s="30"/>
      <c r="BA834" s="30"/>
    </row>
    <row r="835" spans="1:64" s="14" customFormat="1" ht="12.95" customHeight="1">
      <c r="A835"/>
      <c r="B835"/>
      <c r="C835" s="56"/>
      <c r="D835" s="56"/>
      <c r="E835" s="56"/>
      <c r="F835" s="56"/>
      <c r="G835" s="56"/>
      <c r="H835" s="56"/>
      <c r="I835" s="56"/>
      <c r="J835" s="56"/>
      <c r="K835" s="56"/>
      <c r="L835" s="56"/>
      <c r="M835" s="179"/>
      <c r="N835" s="179"/>
      <c r="O835" s="179"/>
      <c r="P835" s="179"/>
      <c r="Q835" s="179"/>
      <c r="R835" s="179"/>
      <c r="S835" s="179"/>
      <c r="T835" s="179"/>
      <c r="U835" s="179"/>
      <c r="V835" s="179"/>
      <c r="W835" s="179"/>
      <c r="X835" s="179"/>
      <c r="Y835" s="179"/>
      <c r="Z835" s="179"/>
      <c r="AA835" s="179"/>
      <c r="AB835" s="179"/>
      <c r="AC835" s="179"/>
      <c r="AD835" s="179"/>
      <c r="AE835" s="179"/>
      <c r="AF835" s="179"/>
      <c r="AG835" s="179"/>
      <c r="AH835" s="179"/>
      <c r="AI835" s="179"/>
      <c r="AJ835" s="179"/>
      <c r="AK835"/>
      <c r="AL835" s="3"/>
      <c r="AM835" s="3"/>
      <c r="AN835" s="3"/>
      <c r="AO835" s="3"/>
      <c r="AP835" s="3"/>
      <c r="AQ835" s="3"/>
      <c r="AR835" s="3"/>
      <c r="AS835" s="3"/>
      <c r="AT835" s="3"/>
      <c r="AU835"/>
      <c r="AV835"/>
      <c r="AW835"/>
      <c r="AX835"/>
      <c r="AY835"/>
      <c r="AZ835" s="30"/>
      <c r="BA835" s="30"/>
    </row>
    <row r="836" spans="1:64"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row>
    <row r="837" spans="1:64" s="14" customFormat="1" ht="12.95" customHeight="1">
      <c r="A837"/>
      <c r="B837"/>
      <c r="C837" s="1706" t="s">
        <v>2723</v>
      </c>
      <c r="D837" s="1707"/>
      <c r="E837" s="1707"/>
      <c r="F837" s="1707"/>
      <c r="G837" s="1707"/>
      <c r="H837" s="1707"/>
      <c r="I837" s="1707"/>
      <c r="J837" s="1707"/>
      <c r="K837" s="1707"/>
      <c r="L837" s="1707"/>
      <c r="M837" s="1707"/>
      <c r="N837" s="1707"/>
      <c r="O837" s="1707"/>
      <c r="P837" s="1707"/>
      <c r="Q837" s="1707"/>
      <c r="R837" s="1707"/>
      <c r="S837" s="1707"/>
      <c r="T837" s="1707"/>
      <c r="U837" s="1707"/>
      <c r="V837" s="1707"/>
      <c r="W837" s="1707"/>
      <c r="X837" s="1707"/>
      <c r="Y837" s="1707"/>
      <c r="Z837" s="1707"/>
      <c r="AA837" s="1707"/>
      <c r="AB837" s="1707"/>
      <c r="AC837" s="1707"/>
      <c r="AD837" s="1707"/>
      <c r="AE837" s="1707"/>
      <c r="AF837" s="1707"/>
      <c r="AG837" s="1707"/>
      <c r="AH837" s="1707"/>
      <c r="AI837" s="1707"/>
      <c r="AJ837" s="1708"/>
      <c r="AK837"/>
      <c r="AL837" s="3"/>
      <c r="AM837" s="3"/>
      <c r="AN837" s="3"/>
      <c r="AO837" s="3"/>
      <c r="AP837" s="3"/>
      <c r="AQ837" s="3"/>
      <c r="AR837" s="3"/>
      <c r="AS837" s="3"/>
      <c r="AT837" s="3"/>
      <c r="AU837"/>
      <c r="AV837"/>
      <c r="AW837"/>
      <c r="AX837"/>
      <c r="AY837"/>
      <c r="AZ837" s="30"/>
      <c r="BA837" s="30"/>
    </row>
    <row r="838" spans="1:64" s="14" customFormat="1" ht="12.95" customHeight="1">
      <c r="A838"/>
      <c r="B838" s="4"/>
      <c r="C838" s="3" t="s">
        <v>1157</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row>
    <row r="839" spans="1:64"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row>
    <row r="840" spans="1:64" s="14" customFormat="1" ht="12.95" customHeight="1">
      <c r="A840" s="2" t="s">
        <v>467</v>
      </c>
      <c r="B840"/>
      <c r="C840" s="2" t="s">
        <v>760</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row>
    <row r="841" spans="1:64"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60"/>
      <c r="BJ841" s="1660"/>
      <c r="BK841" s="1660"/>
      <c r="BL841" s="1660"/>
    </row>
    <row r="842" spans="1:64" s="14" customFormat="1" ht="12.95" customHeight="1">
      <c r="A842"/>
      <c r="B842"/>
      <c r="C842" s="2" t="s">
        <v>342</v>
      </c>
      <c r="D842"/>
      <c r="E842"/>
      <c r="F842"/>
      <c r="G842"/>
      <c r="H842"/>
      <c r="I842"/>
      <c r="J842" s="45" t="s">
        <v>355</v>
      </c>
      <c r="K842" s="5"/>
      <c r="L842" s="5"/>
      <c r="M842" s="5"/>
      <c r="N842" s="5"/>
      <c r="O842" s="5"/>
      <c r="P842" s="5"/>
      <c r="Q842" s="5"/>
      <c r="R842" s="5"/>
      <c r="S842" s="5"/>
      <c r="T842" s="5"/>
      <c r="U842" s="5"/>
      <c r="V842" s="46"/>
      <c r="W842" s="1481">
        <v>2600</v>
      </c>
      <c r="X842" s="1481"/>
      <c r="Y842" s="1481"/>
      <c r="Z842" s="1481"/>
      <c r="AA842" s="1481"/>
      <c r="AB842" s="1481"/>
      <c r="AC842" s="1481"/>
      <c r="AD842"/>
      <c r="AE842"/>
      <c r="AF842"/>
      <c r="AG842"/>
      <c r="AH842"/>
      <c r="AI842"/>
      <c r="AJ842"/>
      <c r="AK842"/>
      <c r="AL842"/>
      <c r="AM842"/>
      <c r="AN842"/>
      <c r="AO842"/>
      <c r="AP842"/>
      <c r="AQ842"/>
      <c r="AR842"/>
      <c r="AS842"/>
      <c r="AT842"/>
      <c r="AU842"/>
      <c r="AV842"/>
      <c r="AW842"/>
      <c r="AX842"/>
      <c r="AY842"/>
      <c r="AZ842" s="30"/>
      <c r="BA842" s="30"/>
    </row>
    <row r="843" spans="1:64" s="14" customFormat="1" ht="12.95" customHeight="1">
      <c r="A843"/>
      <c r="B843"/>
      <c r="C843"/>
      <c r="D843"/>
      <c r="E843"/>
      <c r="F843"/>
      <c r="G843"/>
      <c r="H843"/>
      <c r="I843"/>
      <c r="J843" s="45" t="s">
        <v>354</v>
      </c>
      <c r="K843" s="5"/>
      <c r="L843" s="5"/>
      <c r="M843" s="5"/>
      <c r="N843" s="5"/>
      <c r="O843" s="5"/>
      <c r="P843" s="5"/>
      <c r="Q843" s="5"/>
      <c r="R843" s="5"/>
      <c r="S843" s="5"/>
      <c r="T843" s="5"/>
      <c r="U843" s="5"/>
      <c r="V843" s="46"/>
      <c r="W843" s="1481">
        <v>18800</v>
      </c>
      <c r="X843" s="1481"/>
      <c r="Y843" s="1481"/>
      <c r="Z843" s="1481"/>
      <c r="AA843" s="1481"/>
      <c r="AB843" s="1481"/>
      <c r="AC843" s="1481"/>
      <c r="AD843"/>
      <c r="AE843"/>
      <c r="AF843"/>
      <c r="AG843"/>
      <c r="AH843"/>
      <c r="AI843"/>
      <c r="AJ843"/>
      <c r="AK843"/>
      <c r="AL843"/>
      <c r="AM843"/>
      <c r="AN843"/>
      <c r="AO843"/>
      <c r="AP843"/>
      <c r="AQ843"/>
      <c r="AR843"/>
      <c r="AS843"/>
      <c r="AT843"/>
      <c r="AU843"/>
      <c r="AV843"/>
      <c r="AW843"/>
      <c r="AX843"/>
      <c r="AY843"/>
      <c r="AZ843" s="30"/>
      <c r="BA843" s="30"/>
    </row>
    <row r="844" spans="1:64" ht="12.95" customHeight="1">
      <c r="J844" s="45" t="s">
        <v>353</v>
      </c>
      <c r="K844" s="5"/>
      <c r="L844" s="5"/>
      <c r="M844" s="5"/>
      <c r="N844" s="5"/>
      <c r="O844" s="5"/>
      <c r="P844" s="5"/>
      <c r="Q844" s="5"/>
      <c r="R844" s="5"/>
      <c r="S844" s="5"/>
      <c r="T844" s="5"/>
      <c r="U844" s="5"/>
      <c r="V844" s="46"/>
      <c r="W844" s="1481">
        <v>8800</v>
      </c>
      <c r="X844" s="1481"/>
      <c r="Y844" s="1481"/>
      <c r="Z844" s="1481"/>
      <c r="AA844" s="1481"/>
      <c r="AB844" s="1481"/>
      <c r="AC844" s="1481"/>
      <c r="AZ844" s="30"/>
      <c r="BA844" s="30"/>
      <c r="BB844" s="14"/>
      <c r="BC844" s="14"/>
      <c r="BD844" s="14"/>
      <c r="BE844" s="14"/>
      <c r="BF844" s="14"/>
      <c r="BG844" s="14"/>
      <c r="BH844" s="14"/>
      <c r="BI844" s="14"/>
      <c r="BJ844" s="14"/>
      <c r="BK844" s="14"/>
      <c r="BL844" s="14"/>
    </row>
    <row r="845" spans="1:64" ht="12.95" customHeight="1">
      <c r="J845" s="45" t="s">
        <v>352</v>
      </c>
      <c r="K845" s="5"/>
      <c r="L845" s="5"/>
      <c r="M845" s="5"/>
      <c r="N845" s="5"/>
      <c r="O845" s="5"/>
      <c r="P845" s="5"/>
      <c r="Q845" s="5"/>
      <c r="R845" s="5"/>
      <c r="S845" s="5"/>
      <c r="T845" s="5"/>
      <c r="U845" s="5"/>
      <c r="V845" s="46"/>
      <c r="W845" s="1481">
        <v>18000</v>
      </c>
      <c r="X845" s="1481"/>
      <c r="Y845" s="1481"/>
      <c r="Z845" s="1481"/>
      <c r="AA845" s="1481"/>
      <c r="AB845" s="1481"/>
      <c r="AC845" s="1481"/>
      <c r="AZ845" s="30"/>
      <c r="BA845" s="30"/>
      <c r="BB845" s="14"/>
      <c r="BC845" s="14"/>
      <c r="BD845" s="14"/>
      <c r="BE845" s="14"/>
      <c r="BF845" s="14"/>
      <c r="BG845" s="14"/>
      <c r="BH845" s="14"/>
      <c r="BI845" s="14"/>
      <c r="BJ845" s="14"/>
      <c r="BK845" s="14"/>
      <c r="BL845" s="14"/>
    </row>
    <row r="846" spans="1:64" ht="12.95" customHeight="1">
      <c r="J846" s="45" t="s">
        <v>169</v>
      </c>
      <c r="K846" s="5"/>
      <c r="L846" s="5"/>
      <c r="M846" s="1593" t="s">
        <v>2724</v>
      </c>
      <c r="N846" s="1594"/>
      <c r="O846" s="1594"/>
      <c r="P846" s="1594"/>
      <c r="Q846" s="1594"/>
      <c r="R846" s="1594"/>
      <c r="S846" s="1594"/>
      <c r="T846" s="1594"/>
      <c r="U846" s="1594"/>
      <c r="V846" s="1595"/>
      <c r="W846" s="1481">
        <v>8800</v>
      </c>
      <c r="X846" s="1481"/>
      <c r="Y846" s="1481"/>
      <c r="Z846" s="1481"/>
      <c r="AA846" s="1481"/>
      <c r="AB846" s="1481"/>
      <c r="AC846" s="1481"/>
      <c r="AZ846" s="30"/>
      <c r="BA846" s="30"/>
      <c r="BB846" s="14"/>
      <c r="BC846" s="14"/>
      <c r="BD846" s="14"/>
      <c r="BE846" s="14"/>
      <c r="BF846" s="14"/>
      <c r="BG846" s="14"/>
      <c r="BH846" s="14"/>
      <c r="BI846" s="14"/>
      <c r="BJ846" s="14"/>
      <c r="BK846" s="14"/>
      <c r="BL846" s="14"/>
    </row>
    <row r="847" spans="1:64" ht="12.95" customHeight="1">
      <c r="J847" s="45"/>
      <c r="K847" s="5"/>
      <c r="L847" s="5"/>
      <c r="M847" s="5"/>
      <c r="N847" s="5"/>
      <c r="O847" s="5"/>
      <c r="P847" s="5"/>
      <c r="Q847" s="5"/>
      <c r="R847" s="5"/>
      <c r="S847" s="5"/>
      <c r="T847" s="5"/>
      <c r="U847" s="5"/>
      <c r="V847" s="54" t="s">
        <v>341</v>
      </c>
      <c r="W847" s="1615">
        <f>SUM(W842:W846)</f>
        <v>57000</v>
      </c>
      <c r="X847" s="1616"/>
      <c r="Y847" s="1616"/>
      <c r="Z847" s="1616"/>
      <c r="AA847" s="1616"/>
      <c r="AB847" s="1616"/>
      <c r="AC847" s="1617"/>
      <c r="AZ847" s="30"/>
      <c r="BA847" s="30"/>
      <c r="BB847" s="14"/>
      <c r="BC847" s="14"/>
      <c r="BD847" s="14"/>
      <c r="BE847" s="14"/>
      <c r="BF847" s="14"/>
      <c r="BG847" s="14"/>
      <c r="BH847" s="14"/>
      <c r="BI847" s="14"/>
      <c r="BJ847" s="14"/>
      <c r="BK847" s="14"/>
      <c r="BL847" s="14"/>
    </row>
    <row r="848" spans="1:64" ht="12.95" customHeight="1">
      <c r="AZ848" s="30"/>
      <c r="BA848" s="30"/>
      <c r="BB848" s="14"/>
      <c r="BC848" s="14"/>
      <c r="BD848" s="14"/>
      <c r="BE848" s="14"/>
      <c r="BF848" s="14"/>
      <c r="BG848" s="1628"/>
      <c r="BH848" s="1628"/>
      <c r="BI848" s="1628"/>
      <c r="BJ848" s="1628"/>
      <c r="BK848" s="1628"/>
      <c r="BL848" s="1628"/>
    </row>
    <row r="849" spans="3:55" ht="12.95" customHeight="1">
      <c r="C849" s="2" t="s">
        <v>343</v>
      </c>
      <c r="J849" s="1449" t="s">
        <v>344</v>
      </c>
      <c r="K849" s="1450"/>
      <c r="L849" s="1450"/>
      <c r="M849" s="1450"/>
      <c r="N849" s="1450"/>
      <c r="O849" s="1450"/>
      <c r="P849" s="1450"/>
      <c r="Q849" s="1450"/>
      <c r="R849" s="1450"/>
      <c r="S849" s="1450"/>
      <c r="T849" s="1450"/>
      <c r="U849" s="1450"/>
      <c r="V849" s="1451"/>
      <c r="W849" s="1466">
        <v>96877</v>
      </c>
      <c r="X849" s="1467"/>
      <c r="Y849" s="1467"/>
      <c r="Z849" s="1467"/>
      <c r="AA849" s="1467"/>
      <c r="AB849" s="1467"/>
      <c r="AC849" s="1468"/>
      <c r="AD849" s="533"/>
      <c r="AZ849" s="30"/>
      <c r="BA849" s="30"/>
      <c r="BB849" s="14"/>
      <c r="BC849" s="14"/>
    </row>
    <row r="850" spans="3:55" ht="12.95" customHeight="1">
      <c r="AD850" s="533"/>
      <c r="AZ850" s="30"/>
      <c r="BA850" s="30"/>
      <c r="BB850" s="14"/>
      <c r="BC850" s="14"/>
    </row>
    <row r="851" spans="3:55" ht="12.95" customHeight="1">
      <c r="C851" s="2" t="s">
        <v>561</v>
      </c>
      <c r="J851" s="45" t="s">
        <v>351</v>
      </c>
      <c r="K851" s="5"/>
      <c r="L851" s="5"/>
      <c r="M851" s="5"/>
      <c r="N851" s="5"/>
      <c r="O851" s="5"/>
      <c r="P851" s="5"/>
      <c r="Q851" s="5"/>
      <c r="R851" s="5"/>
      <c r="S851" s="5"/>
      <c r="T851" s="5"/>
      <c r="U851" s="5"/>
      <c r="V851" s="46"/>
      <c r="W851" s="1651"/>
      <c r="X851" s="1651"/>
      <c r="Y851" s="1651"/>
      <c r="Z851" s="1651"/>
      <c r="AA851" s="1651"/>
      <c r="AB851" s="1651"/>
      <c r="AC851" s="1651"/>
      <c r="AZ851" s="1718"/>
      <c r="BA851" s="1718"/>
      <c r="BB851" s="14"/>
      <c r="BC851" s="14"/>
    </row>
    <row r="852" spans="3:55" ht="12.95" customHeight="1">
      <c r="J852" s="45" t="s">
        <v>350</v>
      </c>
      <c r="K852" s="5"/>
      <c r="L852" s="5"/>
      <c r="M852" s="5"/>
      <c r="N852" s="5"/>
      <c r="O852" s="5"/>
      <c r="P852" s="5"/>
      <c r="Q852" s="5"/>
      <c r="R852" s="5"/>
      <c r="S852" s="5"/>
      <c r="T852" s="5"/>
      <c r="U852" s="5"/>
      <c r="V852" s="46"/>
      <c r="W852" s="1651"/>
      <c r="X852" s="1651"/>
      <c r="Y852" s="1651"/>
      <c r="Z852" s="1651"/>
      <c r="AA852" s="1651"/>
      <c r="AB852" s="1651"/>
      <c r="AC852" s="1651"/>
      <c r="AZ852" s="30"/>
      <c r="BA852" s="30"/>
      <c r="BB852" s="14"/>
      <c r="BC852" s="14"/>
    </row>
    <row r="853" spans="3:55" ht="12.95" customHeight="1">
      <c r="J853" s="45" t="s">
        <v>459</v>
      </c>
      <c r="K853" s="5"/>
      <c r="L853" s="5"/>
      <c r="M853" s="5"/>
      <c r="N853" s="5"/>
      <c r="O853" s="5"/>
      <c r="P853" s="5"/>
      <c r="Q853" s="5"/>
      <c r="R853" s="5"/>
      <c r="S853" s="5"/>
      <c r="T853" s="5"/>
      <c r="U853" s="5"/>
      <c r="V853" s="46"/>
      <c r="W853" s="1651">
        <v>21200</v>
      </c>
      <c r="X853" s="1651"/>
      <c r="Y853" s="1651"/>
      <c r="Z853" s="1651"/>
      <c r="AA853" s="1651"/>
      <c r="AB853" s="1651"/>
      <c r="AC853" s="1651"/>
      <c r="AZ853" s="30"/>
      <c r="BA853" s="30"/>
      <c r="BB853" s="14"/>
      <c r="BC853" s="14"/>
    </row>
    <row r="854" spans="3:55" ht="12.95" customHeight="1">
      <c r="J854" s="62" t="s">
        <v>620</v>
      </c>
      <c r="K854" s="5"/>
      <c r="L854" s="5"/>
      <c r="M854" s="5"/>
      <c r="N854" s="5"/>
      <c r="O854" s="5"/>
      <c r="P854" s="5"/>
      <c r="Q854" s="5"/>
      <c r="R854" s="5"/>
      <c r="S854" s="5"/>
      <c r="T854" s="5"/>
      <c r="U854" s="5"/>
      <c r="V854" s="46"/>
      <c r="W854" s="1651">
        <f>146000-46000</f>
        <v>100000</v>
      </c>
      <c r="X854" s="1651"/>
      <c r="Y854" s="1651"/>
      <c r="Z854" s="1651"/>
      <c r="AA854" s="1651"/>
      <c r="AB854" s="1651"/>
      <c r="AC854" s="1651"/>
      <c r="AZ854" s="34"/>
      <c r="BA854" s="34"/>
      <c r="BB854" s="34"/>
      <c r="BC854" s="34"/>
    </row>
    <row r="855" spans="3:55" ht="12.95" customHeight="1">
      <c r="J855" s="63"/>
      <c r="K855" s="48"/>
      <c r="L855" s="48"/>
      <c r="M855" s="48"/>
      <c r="N855" s="48"/>
      <c r="O855" s="48"/>
      <c r="P855" s="48"/>
      <c r="Q855" s="48"/>
      <c r="R855" s="48"/>
      <c r="S855" s="48"/>
      <c r="T855" s="48"/>
      <c r="U855" s="48"/>
      <c r="V855" s="54" t="s">
        <v>271</v>
      </c>
      <c r="W855" s="1705">
        <f>SUM(W851:W854)</f>
        <v>121200</v>
      </c>
      <c r="X855" s="1705"/>
      <c r="Y855" s="1705"/>
      <c r="Z855" s="1705"/>
      <c r="AA855" s="1705"/>
      <c r="AB855" s="1705"/>
      <c r="AC855" s="1705"/>
      <c r="AZ855" s="34"/>
      <c r="BA855" s="34"/>
      <c r="BB855" s="34"/>
      <c r="BC855" s="34"/>
    </row>
    <row r="856" spans="3:55" ht="12.95" customHeight="1">
      <c r="AZ856" s="34"/>
      <c r="BA856" s="34"/>
      <c r="BB856" s="34"/>
      <c r="BC856" s="34"/>
    </row>
    <row r="857" spans="3:55" ht="12.95" customHeight="1">
      <c r="C857" s="2" t="s">
        <v>345</v>
      </c>
      <c r="J857" s="45" t="s">
        <v>619</v>
      </c>
      <c r="K857" s="5"/>
      <c r="L857" s="5"/>
      <c r="M857" s="5"/>
      <c r="N857" s="5"/>
      <c r="O857" s="5"/>
      <c r="P857" s="5"/>
      <c r="Q857" s="5"/>
      <c r="R857" s="5"/>
      <c r="S857" s="5"/>
      <c r="T857" s="5"/>
      <c r="U857" s="5"/>
      <c r="V857" s="46"/>
      <c r="W857" s="1630">
        <f>(176800-5779)-SUM(W859,W861)</f>
        <v>76800</v>
      </c>
      <c r="X857" s="1631"/>
      <c r="Y857" s="1631"/>
      <c r="Z857" s="1631"/>
      <c r="AA857" s="1631"/>
      <c r="AB857" s="1631"/>
      <c r="AC857" s="1632"/>
      <c r="AD857" s="528"/>
      <c r="AZ857" s="34"/>
      <c r="BA857" s="34"/>
      <c r="BB857" s="34"/>
      <c r="BC857" s="34"/>
    </row>
    <row r="858" spans="3:55" ht="12.95" customHeight="1">
      <c r="C858" s="2" t="s">
        <v>346</v>
      </c>
      <c r="J858" s="121" t="s">
        <v>1655</v>
      </c>
      <c r="K858" s="5"/>
      <c r="L858" s="5"/>
      <c r="M858" s="5"/>
      <c r="N858" s="5"/>
      <c r="O858" s="5"/>
      <c r="P858" s="5"/>
      <c r="Q858" s="5"/>
      <c r="R858" s="5"/>
      <c r="S858" s="5"/>
      <c r="T858" s="1709">
        <v>2</v>
      </c>
      <c r="U858" s="1696"/>
      <c r="V858" s="1710"/>
      <c r="W858" s="874"/>
      <c r="X858" s="875"/>
      <c r="Y858" s="875"/>
      <c r="Z858" s="875"/>
      <c r="AA858" s="875"/>
      <c r="AB858" s="875"/>
      <c r="AC858" s="876"/>
      <c r="AD858" s="528"/>
      <c r="AZ858" s="34"/>
      <c r="BA858" s="34"/>
      <c r="BB858" s="34"/>
      <c r="BC858" s="34"/>
    </row>
    <row r="859" spans="3:55" ht="12.95" customHeight="1">
      <c r="C859" s="2"/>
      <c r="J859" s="45" t="s">
        <v>618</v>
      </c>
      <c r="K859" s="5"/>
      <c r="L859" s="5"/>
      <c r="M859" s="5"/>
      <c r="N859" s="5"/>
      <c r="O859" s="5"/>
      <c r="P859" s="5"/>
      <c r="Q859" s="5"/>
      <c r="R859" s="5"/>
      <c r="S859" s="5"/>
      <c r="T859" s="5"/>
      <c r="U859" s="5"/>
      <c r="V859" s="46"/>
      <c r="W859" s="1630">
        <f>84000-5779</f>
        <v>78221</v>
      </c>
      <c r="X859" s="1631"/>
      <c r="Y859" s="1631"/>
      <c r="Z859" s="1631"/>
      <c r="AA859" s="1631"/>
      <c r="AB859" s="1631"/>
      <c r="AC859" s="1632"/>
      <c r="AD859" s="533"/>
      <c r="AZ859" s="34"/>
      <c r="BA859" s="34"/>
      <c r="BB859" s="34"/>
      <c r="BC859" s="34"/>
    </row>
    <row r="860" spans="3:55" ht="12.95" customHeight="1">
      <c r="C860" s="2"/>
      <c r="J860" s="121" t="s">
        <v>1656</v>
      </c>
      <c r="K860" s="5"/>
      <c r="L860" s="5"/>
      <c r="M860" s="5"/>
      <c r="N860" s="5"/>
      <c r="O860" s="5"/>
      <c r="P860" s="5"/>
      <c r="Q860" s="5"/>
      <c r="R860" s="5"/>
      <c r="S860" s="5"/>
      <c r="T860" s="1709">
        <v>1</v>
      </c>
      <c r="U860" s="1696"/>
      <c r="V860" s="1710"/>
      <c r="W860" s="874"/>
      <c r="X860" s="875"/>
      <c r="Y860" s="875"/>
      <c r="Z860" s="875"/>
      <c r="AA860" s="875"/>
      <c r="AB860" s="875"/>
      <c r="AC860" s="876"/>
      <c r="AD860" s="533"/>
      <c r="AZ860" s="34"/>
      <c r="BA860" s="34"/>
      <c r="BB860" s="34"/>
      <c r="BC860" s="34"/>
    </row>
    <row r="861" spans="3:55" ht="12.95" customHeight="1">
      <c r="J861" s="45" t="s">
        <v>169</v>
      </c>
      <c r="K861" s="5"/>
      <c r="L861" s="5"/>
      <c r="M861" s="1593" t="s">
        <v>2727</v>
      </c>
      <c r="N861" s="1594"/>
      <c r="O861" s="1594"/>
      <c r="P861" s="1594"/>
      <c r="Q861" s="1594"/>
      <c r="R861" s="1594"/>
      <c r="S861" s="1594"/>
      <c r="T861" s="1594"/>
      <c r="U861" s="1594"/>
      <c r="V861" s="1595"/>
      <c r="W861" s="1630">
        <v>16000</v>
      </c>
      <c r="X861" s="1631"/>
      <c r="Y861" s="1631"/>
      <c r="Z861" s="1631"/>
      <c r="AA861" s="1631"/>
      <c r="AB861" s="1631"/>
      <c r="AC861" s="1632"/>
      <c r="AD861" s="528"/>
      <c r="AU861" s="14"/>
      <c r="AZ861" s="34"/>
      <c r="BA861" s="34"/>
      <c r="BB861" s="34"/>
      <c r="BC861" s="34"/>
    </row>
    <row r="862" spans="3:55" ht="12.95" customHeight="1">
      <c r="J862" s="45"/>
      <c r="K862" s="5"/>
      <c r="L862" s="5"/>
      <c r="M862" s="5"/>
      <c r="N862" s="5"/>
      <c r="O862" s="5"/>
      <c r="P862" s="5"/>
      <c r="Q862" s="5"/>
      <c r="R862" s="5"/>
      <c r="S862" s="5"/>
      <c r="T862" s="5"/>
      <c r="U862" s="5"/>
      <c r="V862" s="54" t="s">
        <v>272</v>
      </c>
      <c r="W862" s="1711">
        <f>SUM(W857:W861)</f>
        <v>171021</v>
      </c>
      <c r="X862" s="1712"/>
      <c r="Y862" s="1712"/>
      <c r="Z862" s="1712"/>
      <c r="AA862" s="1712"/>
      <c r="AB862" s="1712"/>
      <c r="AC862" s="1713"/>
      <c r="AD862" s="533"/>
      <c r="AU862" s="14"/>
      <c r="AZ862" s="34"/>
      <c r="BA862" s="34"/>
      <c r="BB862" s="34"/>
      <c r="BC862" s="34"/>
    </row>
    <row r="863" spans="3:55" ht="12.95" customHeight="1">
      <c r="J863" s="45"/>
      <c r="K863" s="5"/>
      <c r="L863" s="5"/>
      <c r="M863" s="5"/>
      <c r="N863" s="5"/>
      <c r="O863" s="5"/>
      <c r="P863" s="5"/>
      <c r="Q863" s="5"/>
      <c r="R863" s="5"/>
      <c r="S863" s="5"/>
      <c r="T863" s="5"/>
      <c r="U863" s="5"/>
      <c r="V863" s="54" t="s">
        <v>273</v>
      </c>
      <c r="W863" s="1630">
        <v>83200</v>
      </c>
      <c r="X863" s="1631"/>
      <c r="Y863" s="1631"/>
      <c r="Z863" s="1631"/>
      <c r="AA863" s="1631"/>
      <c r="AB863" s="1631"/>
      <c r="AC863" s="1632"/>
      <c r="AU863" s="14"/>
      <c r="AZ863" s="34"/>
      <c r="BA863" s="34"/>
      <c r="BB863" s="34"/>
      <c r="BC863" s="34"/>
    </row>
    <row r="864" spans="3:55" ht="12.95" customHeight="1">
      <c r="J864" s="512"/>
      <c r="AU864" s="14"/>
      <c r="AZ864" s="34"/>
      <c r="BA864" s="34"/>
      <c r="BB864" s="34"/>
      <c r="BC864" s="34"/>
    </row>
    <row r="865" spans="3:55" ht="12.95" customHeight="1">
      <c r="C865" s="2" t="s">
        <v>389</v>
      </c>
      <c r="J865" s="45" t="s">
        <v>617</v>
      </c>
      <c r="K865" s="5"/>
      <c r="L865" s="5"/>
      <c r="M865" s="5"/>
      <c r="N865" s="5"/>
      <c r="O865" s="5"/>
      <c r="P865" s="5"/>
      <c r="Q865" s="5"/>
      <c r="R865" s="5"/>
      <c r="S865" s="5"/>
      <c r="T865" s="5"/>
      <c r="U865" s="5"/>
      <c r="V865" s="46"/>
      <c r="W865" s="1481">
        <v>8000</v>
      </c>
      <c r="X865" s="1481"/>
      <c r="Y865" s="1481"/>
      <c r="Z865" s="1481"/>
      <c r="AA865" s="1481"/>
      <c r="AB865" s="1481"/>
      <c r="AC865" s="1481"/>
      <c r="AU865" s="14"/>
      <c r="AZ865" s="34"/>
      <c r="BA865" s="34"/>
      <c r="BB865" s="34"/>
      <c r="BC865" s="34"/>
    </row>
    <row r="866" spans="3:55" ht="12.95" customHeight="1">
      <c r="J866" s="45" t="s">
        <v>522</v>
      </c>
      <c r="K866" s="5"/>
      <c r="L866" s="5"/>
      <c r="M866" s="5"/>
      <c r="N866" s="5"/>
      <c r="O866" s="5"/>
      <c r="P866" s="5"/>
      <c r="Q866" s="5"/>
      <c r="R866" s="5"/>
      <c r="S866" s="5"/>
      <c r="T866" s="5"/>
      <c r="U866" s="5"/>
      <c r="V866" s="46"/>
      <c r="W866" s="1481">
        <f>62400-W865</f>
        <v>54400</v>
      </c>
      <c r="X866" s="1481"/>
      <c r="Y866" s="1481"/>
      <c r="Z866" s="1481"/>
      <c r="AA866" s="1481"/>
      <c r="AB866" s="1481"/>
      <c r="AC866" s="1481"/>
      <c r="AU866" s="4"/>
      <c r="AZ866" s="34"/>
      <c r="BA866" s="34"/>
      <c r="BB866" s="34"/>
      <c r="BC866" s="34"/>
    </row>
    <row r="867" spans="3:55" ht="12.95" customHeight="1">
      <c r="J867" s="45" t="s">
        <v>521</v>
      </c>
      <c r="K867" s="5"/>
      <c r="L867" s="5"/>
      <c r="M867" s="5"/>
      <c r="N867" s="5"/>
      <c r="O867" s="5"/>
      <c r="P867" s="5"/>
      <c r="Q867" s="5"/>
      <c r="R867" s="5"/>
      <c r="S867" s="5"/>
      <c r="T867" s="5"/>
      <c r="U867" s="5"/>
      <c r="V867" s="46"/>
      <c r="W867" s="1481">
        <v>28600</v>
      </c>
      <c r="X867" s="1481"/>
      <c r="Y867" s="1481"/>
      <c r="Z867" s="1481"/>
      <c r="AA867" s="1481"/>
      <c r="AB867" s="1481"/>
      <c r="AC867" s="1481"/>
      <c r="AU867" s="4"/>
      <c r="AZ867" s="34"/>
      <c r="BA867" s="34"/>
      <c r="BB867" s="34"/>
      <c r="BC867" s="34"/>
    </row>
    <row r="868" spans="3:55" ht="12.95" customHeight="1">
      <c r="J868" s="45" t="s">
        <v>520</v>
      </c>
      <c r="K868" s="5"/>
      <c r="L868" s="5"/>
      <c r="M868" s="5"/>
      <c r="N868" s="5"/>
      <c r="O868" s="5"/>
      <c r="P868" s="5"/>
      <c r="Q868" s="5"/>
      <c r="R868" s="5"/>
      <c r="S868" s="5"/>
      <c r="T868" s="5"/>
      <c r="U868" s="5"/>
      <c r="V868" s="46"/>
      <c r="W868" s="1481">
        <v>15200</v>
      </c>
      <c r="X868" s="1481"/>
      <c r="Y868" s="1481"/>
      <c r="Z868" s="1481"/>
      <c r="AA868" s="1481"/>
      <c r="AB868" s="1481"/>
      <c r="AC868" s="1481"/>
      <c r="AU868" s="4"/>
      <c r="AZ868" s="34"/>
      <c r="BA868" s="34"/>
      <c r="BB868" s="34"/>
      <c r="BC868" s="34"/>
    </row>
    <row r="869" spans="3:55" ht="12.95" customHeight="1">
      <c r="J869" s="45" t="s">
        <v>519</v>
      </c>
      <c r="K869" s="5"/>
      <c r="L869" s="5"/>
      <c r="M869" s="5"/>
      <c r="N869" s="5"/>
      <c r="O869" s="5"/>
      <c r="P869" s="5"/>
      <c r="Q869" s="5"/>
      <c r="R869" s="5"/>
      <c r="S869" s="5"/>
      <c r="T869" s="5"/>
      <c r="U869" s="5"/>
      <c r="V869" s="46"/>
      <c r="W869" s="1481">
        <v>14560</v>
      </c>
      <c r="X869" s="1481"/>
      <c r="Y869" s="1481"/>
      <c r="Z869" s="1481"/>
      <c r="AA869" s="1481"/>
      <c r="AB869" s="1481"/>
      <c r="AC869" s="1481"/>
      <c r="AU869" s="4"/>
      <c r="AZ869" s="34"/>
      <c r="BA869" s="34"/>
      <c r="BB869" s="34"/>
      <c r="BC869" s="34"/>
    </row>
    <row r="870" spans="3:55" ht="12.95" customHeight="1">
      <c r="J870" s="45" t="s">
        <v>518</v>
      </c>
      <c r="K870" s="5"/>
      <c r="L870" s="5"/>
      <c r="M870" s="5"/>
      <c r="N870" s="5"/>
      <c r="O870" s="5"/>
      <c r="P870" s="5"/>
      <c r="Q870" s="5"/>
      <c r="R870" s="5"/>
      <c r="S870" s="5"/>
      <c r="T870" s="5"/>
      <c r="U870" s="5"/>
      <c r="V870" s="46"/>
      <c r="W870" s="1481">
        <v>10000</v>
      </c>
      <c r="X870" s="1481"/>
      <c r="Y870" s="1481"/>
      <c r="Z870" s="1481"/>
      <c r="AA870" s="1481"/>
      <c r="AB870" s="1481"/>
      <c r="AC870" s="1481"/>
      <c r="AU870" s="4"/>
      <c r="AZ870" s="34"/>
      <c r="BA870" s="34"/>
      <c r="BB870" s="34"/>
      <c r="BC870" s="34"/>
    </row>
    <row r="871" spans="3:55" ht="12.95" customHeight="1">
      <c r="J871" s="45" t="s">
        <v>169</v>
      </c>
      <c r="K871" s="5"/>
      <c r="L871" s="5"/>
      <c r="M871" s="1593" t="s">
        <v>2725</v>
      </c>
      <c r="N871" s="1594"/>
      <c r="O871" s="1594"/>
      <c r="P871" s="1594"/>
      <c r="Q871" s="1594"/>
      <c r="R871" s="1594"/>
      <c r="S871" s="1594"/>
      <c r="T871" s="1594"/>
      <c r="U871" s="1594"/>
      <c r="V871" s="1595"/>
      <c r="W871" s="1481">
        <v>5200</v>
      </c>
      <c r="X871" s="1481"/>
      <c r="Y871" s="1481"/>
      <c r="Z871" s="1481"/>
      <c r="AA871" s="1481"/>
      <c r="AB871" s="1481"/>
      <c r="AC871" s="1481"/>
      <c r="AD871" s="533"/>
      <c r="AU871" s="4"/>
      <c r="AV871" s="14"/>
      <c r="AW871" s="14"/>
      <c r="AX871" s="14"/>
      <c r="AY871" s="14"/>
      <c r="AZ871" s="34"/>
      <c r="BA871" s="34"/>
      <c r="BB871" s="34"/>
      <c r="BC871" s="34"/>
    </row>
    <row r="872" spans="3:55" ht="12.95" customHeight="1">
      <c r="J872" s="45"/>
      <c r="K872" s="5"/>
      <c r="L872" s="5"/>
      <c r="M872" s="5"/>
      <c r="N872" s="5"/>
      <c r="O872" s="5"/>
      <c r="P872" s="5"/>
      <c r="Q872" s="5"/>
      <c r="R872" s="5"/>
      <c r="S872" s="5"/>
      <c r="T872" s="5"/>
      <c r="U872" s="5"/>
      <c r="V872" s="54" t="s">
        <v>274</v>
      </c>
      <c r="W872" s="1703">
        <f>SUM(W865:W871)</f>
        <v>135960</v>
      </c>
      <c r="X872" s="1703"/>
      <c r="Y872" s="1703"/>
      <c r="Z872" s="1703"/>
      <c r="AA872" s="1703"/>
      <c r="AB872" s="1703"/>
      <c r="AC872" s="1703"/>
      <c r="AU872" s="4"/>
      <c r="AV872" s="14"/>
      <c r="AW872" s="14"/>
      <c r="AX872" s="14"/>
      <c r="AY872" s="14"/>
      <c r="AZ872" s="34"/>
      <c r="BA872" s="34"/>
      <c r="BB872" s="34"/>
      <c r="BC872" s="34"/>
    </row>
    <row r="873" spans="3:55" ht="12.95" customHeight="1">
      <c r="AU873" s="4"/>
      <c r="AV873" s="14"/>
      <c r="AW873" s="14"/>
      <c r="AX873" s="14"/>
      <c r="AY873" s="14"/>
      <c r="AZ873" s="34"/>
      <c r="BA873" s="34"/>
      <c r="BB873" s="34"/>
      <c r="BC873" s="34"/>
    </row>
    <row r="874" spans="3:55" ht="12.95" customHeight="1">
      <c r="C874" s="2" t="s">
        <v>1243</v>
      </c>
      <c r="J874" s="45" t="s">
        <v>169</v>
      </c>
      <c r="K874" s="5"/>
      <c r="L874" s="5"/>
      <c r="M874" s="1593" t="s">
        <v>2728</v>
      </c>
      <c r="N874" s="1594"/>
      <c r="O874" s="1594"/>
      <c r="P874" s="1594"/>
      <c r="Q874" s="1594"/>
      <c r="R874" s="1594"/>
      <c r="S874" s="1594"/>
      <c r="T874" s="1594"/>
      <c r="U874" s="1594"/>
      <c r="V874" s="1595"/>
      <c r="W874" s="1466">
        <v>8000</v>
      </c>
      <c r="X874" s="1467"/>
      <c r="Y874" s="1467"/>
      <c r="Z874" s="1467"/>
      <c r="AA874" s="1467"/>
      <c r="AB874" s="1467"/>
      <c r="AC874" s="1468"/>
      <c r="AD874" s="533"/>
      <c r="AV874" s="14"/>
      <c r="AW874" s="14"/>
      <c r="AX874" s="14"/>
      <c r="AY874" s="14"/>
      <c r="AZ874" s="34"/>
      <c r="BA874" s="34"/>
      <c r="BB874" s="34"/>
      <c r="BC874" s="34"/>
    </row>
    <row r="875" spans="3:55" ht="12.95" customHeight="1">
      <c r="C875" s="2" t="s">
        <v>1244</v>
      </c>
      <c r="J875" s="45" t="s">
        <v>169</v>
      </c>
      <c r="K875" s="5"/>
      <c r="L875" s="5"/>
      <c r="M875" s="1593" t="s">
        <v>333</v>
      </c>
      <c r="N875" s="1594"/>
      <c r="O875" s="1594"/>
      <c r="P875" s="1594"/>
      <c r="Q875" s="1594"/>
      <c r="R875" s="1594"/>
      <c r="S875" s="1594"/>
      <c r="T875" s="1594"/>
      <c r="U875" s="1594"/>
      <c r="V875" s="1595"/>
      <c r="W875" s="1466"/>
      <c r="X875" s="1467"/>
      <c r="Y875" s="1467"/>
      <c r="Z875" s="1467"/>
      <c r="AA875" s="1467"/>
      <c r="AB875" s="1467"/>
      <c r="AC875" s="1468"/>
      <c r="AD875" s="533"/>
      <c r="AV875" s="14"/>
      <c r="AW875" s="14"/>
      <c r="AX875" s="14"/>
      <c r="AY875" s="14"/>
      <c r="AZ875" s="34"/>
      <c r="BA875" s="34"/>
      <c r="BB875" s="34"/>
      <c r="BC875" s="34"/>
    </row>
    <row r="876" spans="3:55" ht="12.95" customHeight="1">
      <c r="J876" s="45" t="s">
        <v>169</v>
      </c>
      <c r="K876" s="5"/>
      <c r="L876" s="5"/>
      <c r="M876" s="1593" t="s">
        <v>333</v>
      </c>
      <c r="N876" s="1594"/>
      <c r="O876" s="1594"/>
      <c r="P876" s="1594"/>
      <c r="Q876" s="1594"/>
      <c r="R876" s="1594"/>
      <c r="S876" s="1594"/>
      <c r="T876" s="1594"/>
      <c r="U876" s="1594"/>
      <c r="V876" s="1595"/>
      <c r="W876" s="1466"/>
      <c r="X876" s="1467"/>
      <c r="Y876" s="1467"/>
      <c r="Z876" s="1467"/>
      <c r="AA876" s="1467"/>
      <c r="AB876" s="1467"/>
      <c r="AC876" s="1468"/>
      <c r="AL876" s="14"/>
      <c r="AM876" s="14"/>
      <c r="AN876" s="14"/>
      <c r="AO876" s="14"/>
      <c r="AP876" s="14"/>
      <c r="AQ876" s="14"/>
      <c r="AR876" s="14"/>
      <c r="AS876" s="14"/>
      <c r="AT876" s="14"/>
      <c r="AV876" s="4"/>
      <c r="AW876" s="4"/>
      <c r="AX876" s="4"/>
      <c r="AY876" s="4"/>
      <c r="AZ876" s="34"/>
      <c r="BA876" s="34"/>
      <c r="BB876" s="34"/>
      <c r="BC876" s="34"/>
    </row>
    <row r="877" spans="3:55" ht="12.95" customHeight="1">
      <c r="J877" s="45" t="s">
        <v>169</v>
      </c>
      <c r="K877" s="5"/>
      <c r="L877" s="5"/>
      <c r="M877" s="1593" t="s">
        <v>333</v>
      </c>
      <c r="N877" s="1594"/>
      <c r="O877" s="1594"/>
      <c r="P877" s="1594"/>
      <c r="Q877" s="1594"/>
      <c r="R877" s="1594"/>
      <c r="S877" s="1594"/>
      <c r="T877" s="1594"/>
      <c r="U877" s="1594"/>
      <c r="V877" s="1595"/>
      <c r="W877" s="1466"/>
      <c r="X877" s="1467"/>
      <c r="Y877" s="1467"/>
      <c r="Z877" s="1467"/>
      <c r="AA877" s="1467"/>
      <c r="AB877" s="1467"/>
      <c r="AC877" s="1468"/>
      <c r="AL877" s="14"/>
      <c r="AM877" s="14"/>
      <c r="AN877" s="14"/>
      <c r="AO877" s="14"/>
      <c r="AP877" s="14"/>
      <c r="AQ877" s="14"/>
      <c r="AR877" s="14"/>
      <c r="AS877" s="14"/>
      <c r="AT877" s="14"/>
      <c r="AV877" s="4"/>
      <c r="AW877" s="4"/>
      <c r="AX877" s="4"/>
      <c r="AY877" s="4"/>
      <c r="AZ877" s="34"/>
      <c r="BA877" s="34"/>
      <c r="BB877" s="34"/>
      <c r="BC877" s="34"/>
    </row>
    <row r="878" spans="3:55" ht="12.95" customHeight="1">
      <c r="J878" s="45" t="s">
        <v>169</v>
      </c>
      <c r="K878" s="5"/>
      <c r="L878" s="5"/>
      <c r="M878" s="1593" t="s">
        <v>333</v>
      </c>
      <c r="N878" s="1594"/>
      <c r="O878" s="1594"/>
      <c r="P878" s="1594"/>
      <c r="Q878" s="1594"/>
      <c r="R878" s="1594"/>
      <c r="S878" s="1594"/>
      <c r="T878" s="1594"/>
      <c r="U878" s="1594"/>
      <c r="V878" s="1595"/>
      <c r="W878" s="1466"/>
      <c r="X878" s="1467"/>
      <c r="Y878" s="1467"/>
      <c r="Z878" s="1467"/>
      <c r="AA878" s="1467"/>
      <c r="AB878" s="1467"/>
      <c r="AC878" s="1468"/>
      <c r="AL878" s="14"/>
      <c r="AM878" s="14"/>
      <c r="AN878" s="14"/>
      <c r="AO878" s="14"/>
      <c r="AP878" s="14"/>
      <c r="AQ878" s="14"/>
      <c r="AR878" s="14"/>
      <c r="AS878" s="14"/>
      <c r="AT878" s="14"/>
      <c r="AV878" s="4"/>
      <c r="AW878" s="4"/>
      <c r="AX878" s="4"/>
      <c r="AY878" s="4"/>
      <c r="AZ878" s="34"/>
      <c r="BA878" s="34"/>
      <c r="BB878" s="34"/>
      <c r="BC878" s="34"/>
    </row>
    <row r="879" spans="3:55" ht="12.95" customHeight="1">
      <c r="J879" s="45"/>
      <c r="K879" s="5"/>
      <c r="L879" s="5"/>
      <c r="M879" s="5"/>
      <c r="N879" s="5"/>
      <c r="O879" s="5"/>
      <c r="P879" s="5"/>
      <c r="Q879" s="5"/>
      <c r="R879" s="5"/>
      <c r="S879" s="5"/>
      <c r="T879" s="5"/>
      <c r="U879" s="5"/>
      <c r="V879" s="54" t="s">
        <v>275</v>
      </c>
      <c r="W879" s="1615">
        <f>SUM(W874:W878)</f>
        <v>8000</v>
      </c>
      <c r="X879" s="1616"/>
      <c r="Y879" s="1616"/>
      <c r="Z879" s="1616"/>
      <c r="AA879" s="1616"/>
      <c r="AB879" s="1616"/>
      <c r="AC879" s="1617"/>
      <c r="AL879" s="14"/>
      <c r="AM879" s="14"/>
      <c r="AN879" s="14"/>
      <c r="AO879" s="14"/>
      <c r="AP879" s="14"/>
      <c r="AQ879" s="14"/>
      <c r="AR879" s="14"/>
      <c r="AS879" s="14"/>
      <c r="AT879" s="14"/>
      <c r="AV879" s="4"/>
      <c r="AW879" s="4"/>
      <c r="AX879" s="4"/>
      <c r="AY879" s="4"/>
      <c r="AZ879" s="34"/>
      <c r="BA879" s="34"/>
      <c r="BB879" s="34"/>
      <c r="BC879" s="34"/>
    </row>
    <row r="880" spans="3:55" ht="12.95" customHeight="1">
      <c r="E880" s="512"/>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row>
    <row r="881" spans="3:55" ht="12.95" customHeight="1">
      <c r="C881" s="2" t="s">
        <v>177</v>
      </c>
      <c r="I881" s="533"/>
      <c r="J881" s="533"/>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row>
    <row r="882" spans="3:55" ht="12.95" customHeight="1">
      <c r="E882" s="512"/>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row>
    <row r="883" spans="3:55"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893" t="s">
        <v>276</v>
      </c>
      <c r="AC883" s="1616">
        <f>W847+W855+W862+W863+W872+W879+W849</f>
        <v>673258</v>
      </c>
      <c r="AD883" s="1616"/>
      <c r="AE883" s="1616"/>
      <c r="AF883" s="1616"/>
      <c r="AG883" s="1616"/>
      <c r="AH883" s="1617"/>
      <c r="AL883" s="4"/>
      <c r="AM883" s="4"/>
      <c r="AN883" s="4"/>
      <c r="AO883" s="4"/>
      <c r="AP883" s="4"/>
      <c r="AQ883" s="4"/>
      <c r="AR883" s="4"/>
      <c r="AS883" s="4"/>
      <c r="AT883" s="4"/>
      <c r="AV883" s="4"/>
      <c r="AW883" s="4"/>
      <c r="AX883" s="4"/>
      <c r="AY883" s="4"/>
      <c r="AZ883" s="34"/>
      <c r="BA883" s="34"/>
      <c r="BB883" s="34"/>
      <c r="BC883" s="34"/>
    </row>
    <row r="884" spans="3:55"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893" t="s">
        <v>511</v>
      </c>
      <c r="AC884" s="1714">
        <f>O797+O777+G753</f>
        <v>104</v>
      </c>
      <c r="AD884" s="1714"/>
      <c r="AE884" s="1714"/>
      <c r="AF884" s="1714"/>
      <c r="AG884" s="1714"/>
      <c r="AH884" s="1715"/>
      <c r="AL884" s="4"/>
      <c r="AM884" s="4"/>
      <c r="AN884" s="4"/>
      <c r="AO884" s="4"/>
      <c r="AP884" s="4"/>
      <c r="AQ884" s="4"/>
      <c r="AR884" s="4"/>
      <c r="AS884" s="4"/>
      <c r="AT884" s="4"/>
      <c r="AZ884" s="34"/>
      <c r="BA884" s="34"/>
      <c r="BB884" s="34"/>
      <c r="BC884" s="34"/>
    </row>
    <row r="885" spans="3:55" ht="12.95" customHeight="1">
      <c r="C885" s="41"/>
      <c r="D885" s="42"/>
      <c r="E885" s="1646" t="s">
        <v>32</v>
      </c>
      <c r="F885" s="1646"/>
      <c r="G885" s="1646"/>
      <c r="H885" s="1646"/>
      <c r="I885" s="1646"/>
      <c r="J885" s="1646"/>
      <c r="K885" s="1646"/>
      <c r="L885" s="1646"/>
      <c r="M885" s="1646"/>
      <c r="N885" s="1646"/>
      <c r="O885" s="1646"/>
      <c r="P885" s="1646"/>
      <c r="Q885" s="1646"/>
      <c r="R885" s="1646"/>
      <c r="S885" s="1646"/>
      <c r="T885" s="1646"/>
      <c r="U885" s="1646"/>
      <c r="V885" s="1646"/>
      <c r="W885" s="1646"/>
      <c r="X885" s="1646"/>
      <c r="Y885" s="1646"/>
      <c r="Z885" s="1646"/>
      <c r="AA885" s="1646"/>
      <c r="AB885" s="1647"/>
      <c r="AC885" s="1703">
        <f>IF(ISERROR((ROUNDDOWN(AC883/AC884,0))),0,(ROUNDDOWN(AC883/AC884,0)))</f>
        <v>6473</v>
      </c>
      <c r="AD885" s="1703"/>
      <c r="AE885" s="1703"/>
      <c r="AF885" s="1703"/>
      <c r="AG885" s="1703"/>
      <c r="AH885" s="1703"/>
      <c r="AL885" s="4"/>
      <c r="AM885" s="4"/>
      <c r="AN885" s="4"/>
      <c r="AO885" s="4"/>
      <c r="AP885" s="4"/>
      <c r="AQ885" s="4"/>
      <c r="AR885" s="4"/>
      <c r="AS885" s="4"/>
      <c r="AT885" s="4"/>
      <c r="AZ885" s="34"/>
      <c r="BA885" s="34"/>
      <c r="BB885" s="34"/>
      <c r="BC885" s="34"/>
    </row>
    <row r="886" spans="3:55"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761</v>
      </c>
      <c r="AC886" s="1716">
        <f>'Sources and Uses Budget'!C75</f>
        <v>692204</v>
      </c>
      <c r="AD886" s="1717"/>
      <c r="AE886" s="1717"/>
      <c r="AF886" s="1717"/>
      <c r="AG886" s="1717"/>
      <c r="AH886" s="1717"/>
      <c r="AL886" s="4"/>
      <c r="AM886" s="4"/>
      <c r="AN886" s="4"/>
      <c r="AO886" s="4"/>
      <c r="AP886" s="4"/>
      <c r="AQ886" s="4"/>
      <c r="AR886" s="4"/>
      <c r="AS886" s="4"/>
      <c r="AT886" s="4"/>
      <c r="AZ886" s="34"/>
      <c r="BA886" s="34"/>
      <c r="BB886" s="34"/>
      <c r="BC886" s="34"/>
    </row>
    <row r="887" spans="3:55"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1160</v>
      </c>
      <c r="AC887" s="1468"/>
      <c r="AD887" s="1481"/>
      <c r="AE887" s="1481"/>
      <c r="AF887" s="1481"/>
      <c r="AG887" s="1481"/>
      <c r="AH887" s="1481"/>
      <c r="AL887" s="4"/>
      <c r="AM887" s="4"/>
      <c r="AN887" s="4"/>
      <c r="AO887" s="4"/>
      <c r="AP887" s="4"/>
      <c r="AQ887" s="4"/>
      <c r="AR887" s="4"/>
      <c r="AS887" s="4"/>
      <c r="AT887" s="4"/>
      <c r="AZ887" s="34"/>
      <c r="BA887" s="34"/>
      <c r="BB887" s="34"/>
      <c r="BC887" s="34"/>
    </row>
    <row r="888" spans="3:55"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510</v>
      </c>
      <c r="AC888" s="1467">
        <v>24600</v>
      </c>
      <c r="AD888" s="1467"/>
      <c r="AE888" s="1467"/>
      <c r="AF888" s="1467"/>
      <c r="AG888" s="1467"/>
      <c r="AH888" s="1468"/>
      <c r="AL888" s="4"/>
      <c r="AM888" s="4"/>
      <c r="AN888" s="4"/>
      <c r="AO888" s="4"/>
      <c r="AP888" s="4"/>
      <c r="AQ888" s="4"/>
      <c r="AR888" s="4"/>
      <c r="AS888" s="4"/>
      <c r="AT888" s="4"/>
      <c r="AZ888" s="34"/>
      <c r="BA888" s="34"/>
      <c r="BB888" s="34"/>
      <c r="BC888" s="34"/>
    </row>
    <row r="889" spans="3:55"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467">
        <v>26000</v>
      </c>
      <c r="AD889" s="1467"/>
      <c r="AE889" s="1467"/>
      <c r="AF889" s="1467"/>
      <c r="AG889" s="1467"/>
      <c r="AH889" s="1468"/>
      <c r="AZ889" s="34"/>
      <c r="BA889" s="34"/>
      <c r="BB889" s="34"/>
      <c r="BC889" s="34"/>
    </row>
    <row r="890" spans="3:55"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1678</v>
      </c>
      <c r="AC890" s="1475"/>
      <c r="AD890" s="1476"/>
      <c r="AE890" s="1476"/>
      <c r="AF890" s="1476"/>
      <c r="AG890" s="1476"/>
      <c r="AH890" s="1477"/>
      <c r="AZ890" s="34"/>
      <c r="BA890" s="34"/>
      <c r="BB890" s="34"/>
      <c r="BC890" s="34"/>
    </row>
    <row r="891" spans="3:55"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467">
        <v>1500</v>
      </c>
      <c r="AD891" s="1467"/>
      <c r="AE891" s="1467"/>
      <c r="AF891" s="1467"/>
      <c r="AG891" s="1467"/>
      <c r="AH891" s="1468"/>
      <c r="AZ891" s="34"/>
      <c r="BA891" s="34"/>
      <c r="BB891" s="34"/>
      <c r="BC891" s="34"/>
    </row>
    <row r="892" spans="3:55" ht="12.95" hidden="1" customHeight="1">
      <c r="C892" s="1449" t="s">
        <v>2234</v>
      </c>
      <c r="D892" s="1450"/>
      <c r="E892" s="1450"/>
      <c r="F892" s="1450"/>
      <c r="G892" s="1450"/>
      <c r="H892" s="1450"/>
      <c r="I892" s="1450"/>
      <c r="J892" s="1450"/>
      <c r="K892" s="1450"/>
      <c r="L892" s="1450"/>
      <c r="M892" s="1450"/>
      <c r="N892" s="1450"/>
      <c r="O892" s="1450"/>
      <c r="P892" s="1450"/>
      <c r="Q892" s="1450"/>
      <c r="R892" s="1450"/>
      <c r="S892" s="1450"/>
      <c r="T892" s="1450"/>
      <c r="U892" s="1450"/>
      <c r="V892" s="1450"/>
      <c r="W892" s="1450"/>
      <c r="X892" s="1450"/>
      <c r="Y892" s="1450"/>
      <c r="Z892" s="1450"/>
      <c r="AA892" s="1450"/>
      <c r="AB892" s="1451"/>
      <c r="AC892" s="1467"/>
      <c r="AD892" s="1467"/>
      <c r="AE892" s="1467"/>
      <c r="AF892" s="1467"/>
      <c r="AG892" s="1467"/>
      <c r="AH892" s="1468"/>
      <c r="AZ892" s="34"/>
      <c r="BA892" s="34"/>
      <c r="BB892" s="34"/>
      <c r="BC892" s="34"/>
    </row>
    <row r="893" spans="3:55" ht="12.95" customHeight="1">
      <c r="C893" s="45"/>
      <c r="D893" s="5"/>
      <c r="E893" s="5"/>
      <c r="F893" s="5"/>
      <c r="G893" s="5"/>
      <c r="H893" s="5"/>
      <c r="I893" s="5"/>
      <c r="J893" s="5"/>
      <c r="K893" s="5"/>
      <c r="L893" s="5"/>
      <c r="M893" s="5"/>
      <c r="N893" s="5"/>
      <c r="O893" s="5"/>
      <c r="P893" s="5"/>
      <c r="Q893" s="5"/>
      <c r="R893" s="5"/>
      <c r="S893" s="5"/>
      <c r="T893" s="5"/>
      <c r="U893" s="5"/>
      <c r="V893" s="5"/>
      <c r="W893" s="5"/>
      <c r="X893" s="5"/>
      <c r="Y893" s="5"/>
      <c r="Z893" s="5"/>
      <c r="AA893" s="5"/>
      <c r="AB893" s="54" t="s">
        <v>1657</v>
      </c>
      <c r="AC893" s="1467"/>
      <c r="AD893" s="1467"/>
      <c r="AE893" s="1467"/>
      <c r="AF893" s="1467"/>
      <c r="AG893" s="1467"/>
      <c r="AH893" s="1468"/>
      <c r="AZ893" s="34"/>
      <c r="BA893" s="34"/>
      <c r="BB893" s="34"/>
      <c r="BC893" s="34"/>
    </row>
    <row r="894" spans="3:55" ht="12.95" customHeight="1">
      <c r="C894" s="1633" t="s">
        <v>2630</v>
      </c>
      <c r="D894" s="1634"/>
      <c r="E894" s="1634"/>
      <c r="F894" s="1634"/>
      <c r="G894" s="1634"/>
      <c r="H894" s="1634"/>
      <c r="I894" s="1634"/>
      <c r="J894" s="1634"/>
      <c r="K894" s="1634"/>
      <c r="L894" s="1634"/>
      <c r="M894" s="1634"/>
      <c r="N894" s="1634"/>
      <c r="O894" s="1634"/>
      <c r="P894" s="1634"/>
      <c r="Q894" s="1634"/>
      <c r="R894" s="1634"/>
      <c r="S894" s="1634"/>
      <c r="T894" s="1634"/>
      <c r="U894" s="1634"/>
      <c r="V894" s="1634"/>
      <c r="W894" s="1634"/>
      <c r="X894" s="1634"/>
      <c r="Y894" s="1634"/>
      <c r="Z894" s="1634"/>
      <c r="AA894" s="1634"/>
      <c r="AB894" s="1635"/>
      <c r="AC894" s="1481">
        <v>12500</v>
      </c>
      <c r="AD894" s="1481"/>
      <c r="AE894" s="1481"/>
      <c r="AF894" s="1481"/>
      <c r="AG894" s="1481"/>
      <c r="AH894" s="1481"/>
      <c r="AZ894" s="34"/>
      <c r="BA894" s="34"/>
      <c r="BB894" s="34"/>
      <c r="BC894" s="34"/>
    </row>
    <row r="895" spans="3:55" ht="12.95" customHeight="1">
      <c r="C895" s="1633" t="s">
        <v>956</v>
      </c>
      <c r="D895" s="1634"/>
      <c r="E895" s="1634"/>
      <c r="F895" s="1634"/>
      <c r="G895" s="1634"/>
      <c r="H895" s="1634"/>
      <c r="I895" s="1634"/>
      <c r="J895" s="1634"/>
      <c r="K895" s="1634"/>
      <c r="L895" s="1634"/>
      <c r="M895" s="1634"/>
      <c r="N895" s="1634"/>
      <c r="O895" s="1634"/>
      <c r="P895" s="1634"/>
      <c r="Q895" s="1634"/>
      <c r="R895" s="1634"/>
      <c r="S895" s="1634"/>
      <c r="T895" s="1634"/>
      <c r="U895" s="1634"/>
      <c r="V895" s="1634"/>
      <c r="W895" s="1634"/>
      <c r="X895" s="1634"/>
      <c r="Y895" s="1634"/>
      <c r="Z895" s="1634"/>
      <c r="AA895" s="1634"/>
      <c r="AB895" s="1635"/>
      <c r="AC895" s="1481"/>
      <c r="AD895" s="1481"/>
      <c r="AE895" s="1481"/>
      <c r="AF895" s="1481"/>
      <c r="AG895" s="1481"/>
      <c r="AH895" s="1481"/>
      <c r="AU895" s="95"/>
      <c r="AZ895" s="34"/>
      <c r="BA895" s="34"/>
      <c r="BB895" s="34"/>
      <c r="BC895" s="34"/>
    </row>
    <row r="896" spans="3:55" ht="12.95" customHeight="1">
      <c r="E896" s="512"/>
      <c r="AB896" s="56"/>
      <c r="AC896" s="123"/>
      <c r="AD896" s="123"/>
      <c r="AE896" s="123"/>
      <c r="AF896" s="123"/>
      <c r="AG896" s="123"/>
      <c r="AH896" s="123"/>
      <c r="AU896" s="95"/>
      <c r="AZ896" s="34"/>
      <c r="BA896" s="34"/>
      <c r="BB896" s="34"/>
      <c r="BC896" s="34"/>
    </row>
    <row r="897" spans="1:58" ht="12.95" customHeight="1">
      <c r="A897" s="2" t="s">
        <v>613</v>
      </c>
      <c r="C897" s="2" t="s">
        <v>236</v>
      </c>
      <c r="X897" s="12"/>
      <c r="Y897" s="12"/>
      <c r="Z897" s="12"/>
      <c r="AA897" s="12"/>
      <c r="AB897" s="12"/>
      <c r="AC897" s="12"/>
      <c r="AD897" s="12"/>
      <c r="AU897" s="95"/>
      <c r="AZ897" s="34"/>
      <c r="BB897" s="30"/>
      <c r="BC897" s="30"/>
    </row>
    <row r="898" spans="1:58" ht="12.95" customHeight="1">
      <c r="X898" s="12"/>
      <c r="Y898" s="12"/>
      <c r="Z898" s="12"/>
      <c r="AA898" s="12"/>
      <c r="AB898" s="12"/>
      <c r="AC898" s="12"/>
      <c r="AD898" s="12"/>
      <c r="AF898" s="533"/>
      <c r="AG898" s="180"/>
      <c r="AH898" s="180"/>
      <c r="AI898" s="180"/>
      <c r="AU898" s="95"/>
      <c r="AZ898" s="34"/>
      <c r="BB898" s="30"/>
      <c r="BC898" s="30"/>
      <c r="BD898" s="14"/>
      <c r="BE898" s="14"/>
      <c r="BF898" s="14"/>
    </row>
    <row r="899" spans="1:58" ht="12.95" customHeight="1">
      <c r="B899" s="2"/>
      <c r="H899" s="121" t="s">
        <v>237</v>
      </c>
      <c r="I899" s="5"/>
      <c r="J899" s="5"/>
      <c r="K899" s="5"/>
      <c r="L899" s="5"/>
      <c r="M899" s="5"/>
      <c r="N899" s="5"/>
      <c r="O899" s="5"/>
      <c r="P899" s="5"/>
      <c r="Q899" s="5"/>
      <c r="R899" s="5"/>
      <c r="S899" s="5"/>
      <c r="T899" s="5"/>
      <c r="U899" s="5"/>
      <c r="V899" s="5"/>
      <c r="W899" s="5"/>
      <c r="X899" s="5"/>
      <c r="Y899" s="46"/>
      <c r="Z899" s="1466"/>
      <c r="AA899" s="1467"/>
      <c r="AB899" s="1467"/>
      <c r="AC899" s="1467"/>
      <c r="AD899" s="1467"/>
      <c r="AE899" s="1468"/>
      <c r="AF899" s="533"/>
      <c r="AZ899" s="34"/>
      <c r="BB899" s="30"/>
      <c r="BC899" s="816"/>
      <c r="BD899" s="1629"/>
      <c r="BE899" s="1629"/>
      <c r="BF899" s="14"/>
    </row>
    <row r="900" spans="1:58" ht="12.95" customHeight="1">
      <c r="H900" s="121" t="s">
        <v>238</v>
      </c>
      <c r="I900" s="5"/>
      <c r="J900" s="5"/>
      <c r="K900" s="5"/>
      <c r="L900" s="5"/>
      <c r="M900" s="5"/>
      <c r="N900" s="5"/>
      <c r="O900" s="5"/>
      <c r="P900" s="5"/>
      <c r="Q900" s="5"/>
      <c r="R900" s="5"/>
      <c r="S900" s="5"/>
      <c r="T900" s="5"/>
      <c r="U900" s="5"/>
      <c r="V900" s="5"/>
      <c r="W900" s="5"/>
      <c r="X900" s="5"/>
      <c r="Y900" s="5"/>
      <c r="Z900" s="1466"/>
      <c r="AA900" s="1467"/>
      <c r="AB900" s="1467"/>
      <c r="AC900" s="1467"/>
      <c r="AD900" s="1467"/>
      <c r="AE900" s="1468"/>
      <c r="AZ900" s="34"/>
      <c r="BB900" s="30"/>
      <c r="BC900" s="816"/>
      <c r="BD900" s="1629"/>
      <c r="BE900" s="1629"/>
      <c r="BF900" s="14"/>
    </row>
    <row r="901" spans="1:58" ht="12.95" customHeight="1">
      <c r="H901" s="121" t="s">
        <v>239</v>
      </c>
      <c r="I901" s="5"/>
      <c r="J901" s="5"/>
      <c r="K901" s="5"/>
      <c r="L901" s="5"/>
      <c r="M901" s="5"/>
      <c r="N901" s="5"/>
      <c r="O901" s="5"/>
      <c r="P901" s="5"/>
      <c r="Q901" s="5"/>
      <c r="R901" s="5"/>
      <c r="S901" s="5"/>
      <c r="T901" s="5"/>
      <c r="U901" s="5"/>
      <c r="V901" s="5"/>
      <c r="W901" s="5"/>
      <c r="X901" s="5"/>
      <c r="Y901" s="5"/>
      <c r="Z901" s="1466"/>
      <c r="AA901" s="1467"/>
      <c r="AB901" s="1467"/>
      <c r="AC901" s="1467"/>
      <c r="AD901" s="1467"/>
      <c r="AE901" s="1468"/>
      <c r="AZ901" s="34"/>
      <c r="BB901" s="30"/>
      <c r="BC901" s="816"/>
      <c r="BD901" s="1628"/>
      <c r="BE901" s="1628"/>
      <c r="BF901" s="14"/>
    </row>
    <row r="902" spans="1:58" ht="12.95" customHeight="1">
      <c r="H902" s="45"/>
      <c r="I902" s="5"/>
      <c r="J902" s="5"/>
      <c r="K902" s="5"/>
      <c r="L902" s="5"/>
      <c r="M902" s="5"/>
      <c r="N902" s="5"/>
      <c r="O902" s="5"/>
      <c r="P902" s="5"/>
      <c r="Q902" s="5"/>
      <c r="R902" s="5"/>
      <c r="S902" s="5"/>
      <c r="T902" s="5"/>
      <c r="U902" s="5"/>
      <c r="V902" s="5"/>
      <c r="W902" s="5"/>
      <c r="X902" s="5"/>
      <c r="Y902" s="181" t="s">
        <v>240</v>
      </c>
      <c r="Z902" s="1615">
        <f>Z899-(Z900+Z901)</f>
        <v>0</v>
      </c>
      <c r="AA902" s="1616"/>
      <c r="AB902" s="1616"/>
      <c r="AC902" s="1616"/>
      <c r="AD902" s="1616"/>
      <c r="AE902" s="1617"/>
      <c r="AZ902" s="34"/>
      <c r="BB902" s="30"/>
      <c r="BC902" s="816"/>
      <c r="BD902" s="1628"/>
      <c r="BE902" s="1628"/>
      <c r="BF902" s="14"/>
    </row>
    <row r="903" spans="1:58" ht="12.95" customHeight="1">
      <c r="C903" s="512"/>
      <c r="D903" s="6"/>
      <c r="E903" s="180"/>
      <c r="F903" s="180"/>
      <c r="G903" s="180"/>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0"/>
      <c r="AZ903" s="34"/>
      <c r="BB903" s="30"/>
      <c r="BC903" s="816"/>
      <c r="BD903" s="1628"/>
      <c r="BE903" s="1628"/>
      <c r="BF903" s="14"/>
    </row>
    <row r="904" spans="1:58" ht="12.95" customHeight="1">
      <c r="C904" t="s">
        <v>244</v>
      </c>
      <c r="D904" s="164"/>
      <c r="E904" s="180"/>
      <c r="F904" s="180"/>
      <c r="G904" s="180"/>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0"/>
      <c r="AZ904" s="34"/>
      <c r="BB904" s="30"/>
      <c r="BC904" s="816"/>
      <c r="BD904" s="1629"/>
      <c r="BE904" s="1628"/>
      <c r="BF904" s="14"/>
    </row>
    <row r="905" spans="1:58" ht="12.95" customHeight="1">
      <c r="C905" s="182" t="s">
        <v>245</v>
      </c>
      <c r="D905" s="164"/>
      <c r="E905" s="180"/>
      <c r="F905" s="180"/>
      <c r="G905" s="180"/>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0"/>
      <c r="AV905" s="95"/>
      <c r="AW905" s="95"/>
      <c r="AX905" s="95"/>
      <c r="AY905" s="95"/>
      <c r="AZ905" s="34"/>
      <c r="BB905" s="30"/>
      <c r="BC905" s="816"/>
      <c r="BD905" s="1704"/>
      <c r="BE905" s="1704"/>
      <c r="BF905" s="1704"/>
    </row>
    <row r="906" spans="1:58" ht="12.95" customHeight="1">
      <c r="C906" s="182" t="s">
        <v>246</v>
      </c>
      <c r="D906" s="164"/>
      <c r="E906" s="180"/>
      <c r="F906" s="180"/>
      <c r="G906" s="180"/>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0"/>
      <c r="AV906" s="95"/>
      <c r="AW906" s="95"/>
      <c r="AX906" s="95"/>
      <c r="AY906" s="95"/>
      <c r="AZ906" s="34"/>
      <c r="BB906" s="30"/>
      <c r="BC906" s="816"/>
      <c r="BD906" s="1660"/>
      <c r="BE906" s="1660"/>
      <c r="BF906" s="1660"/>
    </row>
    <row r="907" spans="1:58" ht="12.95" customHeight="1">
      <c r="C907" s="340" t="s">
        <v>1013</v>
      </c>
      <c r="D907" s="164"/>
      <c r="E907" s="180"/>
      <c r="F907" s="180"/>
      <c r="G907" s="180"/>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180"/>
      <c r="AV907" s="95"/>
      <c r="AW907" s="95"/>
      <c r="AX907" s="95"/>
      <c r="AY907" s="95"/>
      <c r="AZ907" s="34"/>
      <c r="BB907" s="30"/>
      <c r="BC907" s="816"/>
      <c r="BD907" s="1628"/>
      <c r="BE907" s="1628"/>
      <c r="BF907" s="14"/>
    </row>
    <row r="908" spans="1:58" ht="12.95" customHeight="1">
      <c r="D908" s="164"/>
      <c r="E908" s="40"/>
      <c r="F908" s="40"/>
      <c r="G908" s="40"/>
      <c r="H908" s="40"/>
      <c r="I908" s="40"/>
      <c r="J908" s="40"/>
      <c r="K908" s="40"/>
      <c r="L908" s="40"/>
      <c r="M908" s="40"/>
      <c r="N908" s="40"/>
      <c r="O908" s="40"/>
      <c r="P908" s="40"/>
      <c r="Q908" s="40"/>
      <c r="R908" s="40"/>
      <c r="S908" s="40"/>
      <c r="T908" s="40"/>
      <c r="U908" s="40"/>
      <c r="V908" s="40"/>
      <c r="W908" s="40"/>
      <c r="X908" s="40"/>
      <c r="Y908" s="40"/>
      <c r="Z908" s="40"/>
      <c r="AA908" s="40"/>
      <c r="AB908" s="40"/>
      <c r="AC908" s="40"/>
      <c r="AD908" s="40"/>
      <c r="AE908" s="40"/>
      <c r="AF908" s="40"/>
      <c r="AG908" s="40"/>
      <c r="AH908" s="40"/>
      <c r="AI908" s="40"/>
      <c r="AV908" s="95"/>
      <c r="AW908" s="95"/>
      <c r="AX908" s="95"/>
      <c r="AY908" s="95"/>
      <c r="AZ908" s="34"/>
      <c r="BB908" s="30"/>
      <c r="BC908" s="816"/>
      <c r="BD908" s="1629"/>
      <c r="BE908" s="1628"/>
      <c r="BF908" s="14"/>
    </row>
    <row r="909" spans="1:58" ht="12.95" customHeight="1">
      <c r="AZ909" s="34"/>
      <c r="BB909" s="30"/>
      <c r="BC909" s="816"/>
    </row>
    <row r="910" spans="1:58" ht="12.95" customHeight="1">
      <c r="A910" s="1422" t="s">
        <v>96</v>
      </c>
      <c r="B910" s="1422"/>
      <c r="C910" s="1422"/>
      <c r="D910" s="1422"/>
      <c r="E910" s="1422"/>
      <c r="F910" s="1422"/>
      <c r="G910" s="1422"/>
      <c r="H910" s="1422"/>
      <c r="I910" s="1422"/>
      <c r="J910" s="1422"/>
      <c r="K910" s="1422"/>
      <c r="L910" s="1422"/>
      <c r="M910" s="1422"/>
      <c r="N910" s="1422"/>
      <c r="O910" s="1422"/>
      <c r="P910" s="1422"/>
      <c r="Q910" s="1422"/>
      <c r="R910" s="1422"/>
      <c r="S910" s="1422"/>
      <c r="T910" s="1422"/>
      <c r="U910" s="1422"/>
      <c r="V910" s="1422"/>
      <c r="W910" s="1422"/>
      <c r="X910" s="1422"/>
      <c r="Y910" s="1422"/>
      <c r="Z910" s="1422"/>
      <c r="AA910" s="1422"/>
      <c r="AB910" s="1422"/>
      <c r="AC910" s="1422"/>
      <c r="AD910" s="1422"/>
      <c r="AE910" s="1422"/>
      <c r="AF910" s="1422"/>
      <c r="AG910" s="1422"/>
      <c r="AH910" s="1422"/>
      <c r="AI910" s="1422"/>
      <c r="AJ910" s="1422"/>
      <c r="AK910" s="1422"/>
      <c r="AL910" s="1422"/>
      <c r="AM910" s="1422"/>
      <c r="AN910" s="1422"/>
      <c r="AO910" s="1422"/>
      <c r="AP910" s="1422"/>
      <c r="AQ910" s="1422"/>
      <c r="AR910" s="1422"/>
      <c r="AS910" s="1422"/>
      <c r="AT910" s="1422"/>
      <c r="AZ910" s="34"/>
      <c r="BA910" s="34"/>
      <c r="BB910" s="30"/>
      <c r="BC910" s="30"/>
      <c r="BD910" s="1629"/>
      <c r="BE910" s="1628"/>
      <c r="BF910" s="911"/>
    </row>
    <row r="911" spans="1:58" ht="12.95" customHeight="1">
      <c r="A911" s="1422"/>
      <c r="B911" s="1422"/>
      <c r="C911" s="1422"/>
      <c r="D911" s="1422"/>
      <c r="E911" s="1422"/>
      <c r="F911" s="1422"/>
      <c r="G911" s="1422"/>
      <c r="H911" s="1422"/>
      <c r="I911" s="1422"/>
      <c r="J911" s="1422"/>
      <c r="K911" s="1422"/>
      <c r="L911" s="1422"/>
      <c r="M911" s="1422"/>
      <c r="N911" s="1422"/>
      <c r="O911" s="1422"/>
      <c r="P911" s="1422"/>
      <c r="Q911" s="1422"/>
      <c r="R911" s="1422"/>
      <c r="S911" s="1422"/>
      <c r="T911" s="1422"/>
      <c r="U911" s="1422"/>
      <c r="V911" s="1422"/>
      <c r="W911" s="1422"/>
      <c r="X911" s="1422"/>
      <c r="Y911" s="1422"/>
      <c r="Z911" s="1422"/>
      <c r="AA911" s="1422"/>
      <c r="AB911" s="1422"/>
      <c r="AC911" s="1422"/>
      <c r="AD911" s="1422"/>
      <c r="AE911" s="1422"/>
      <c r="AF911" s="1422"/>
      <c r="AG911" s="1422"/>
      <c r="AH911" s="1422"/>
      <c r="AI911" s="1422"/>
      <c r="AJ911" s="1422"/>
      <c r="AK911" s="1422"/>
      <c r="AL911" s="1422"/>
      <c r="AM911" s="1422"/>
      <c r="AN911" s="1422"/>
      <c r="AO911" s="1422"/>
      <c r="AP911" s="1422"/>
      <c r="AQ911" s="1422"/>
      <c r="AR911" s="1422"/>
      <c r="AS911" s="1422"/>
      <c r="AT911" s="1422"/>
      <c r="AZ911" s="34"/>
      <c r="BA911" s="34"/>
      <c r="BB911" s="34"/>
      <c r="BC911" s="34"/>
      <c r="BD911" s="34"/>
      <c r="BE911" s="34"/>
      <c r="BF911" s="34"/>
    </row>
    <row r="912" spans="1:58" ht="12.95" customHeight="1">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A912" s="34"/>
      <c r="BB912" s="34"/>
      <c r="BC912" s="34"/>
      <c r="BD912" s="34"/>
      <c r="BE912" s="34"/>
      <c r="BF912" s="34"/>
    </row>
    <row r="913" spans="1:58" ht="12.95" customHeight="1">
      <c r="A913" s="2" t="s">
        <v>318</v>
      </c>
      <c r="C913" s="2" t="s">
        <v>263</v>
      </c>
      <c r="D913" s="95"/>
      <c r="E913" s="95"/>
      <c r="F913" s="95"/>
      <c r="G913" s="95"/>
      <c r="H913" s="95"/>
      <c r="I913" s="95"/>
      <c r="J913" s="95"/>
      <c r="K913" s="95"/>
      <c r="L913" s="95"/>
      <c r="M913" s="95"/>
      <c r="N913" s="95"/>
      <c r="O913" s="95"/>
      <c r="P913" s="95"/>
      <c r="Q913" s="95"/>
      <c r="R913" s="95"/>
      <c r="S913" s="95"/>
      <c r="T913" s="95"/>
      <c r="U913" s="95"/>
      <c r="V913" s="95"/>
      <c r="W913" s="95"/>
      <c r="X913" s="95"/>
      <c r="Y913" s="95"/>
      <c r="Z913" s="95"/>
      <c r="AA913" s="95"/>
      <c r="AB913" s="95"/>
      <c r="AC913" s="95"/>
      <c r="AD913" s="95"/>
      <c r="AE913" s="95"/>
      <c r="AF913" s="95"/>
      <c r="AG913" s="95"/>
      <c r="AH913" s="95"/>
      <c r="AI913" s="95"/>
      <c r="AJ913" s="95"/>
      <c r="AK913" s="95"/>
      <c r="AL913" s="95"/>
      <c r="AM913" s="95"/>
      <c r="AN913" s="95"/>
      <c r="AO913" s="95"/>
      <c r="AP913" s="95"/>
      <c r="AQ913" s="95"/>
      <c r="AR913" s="95"/>
      <c r="AS913" s="95"/>
      <c r="AT913" s="95"/>
      <c r="AZ913" s="34"/>
      <c r="BB913" s="34"/>
      <c r="BC913" s="34"/>
      <c r="BD913" s="34"/>
      <c r="BE913" s="34"/>
      <c r="BF913" s="34"/>
    </row>
    <row r="914" spans="1:58" ht="12.95" customHeight="1">
      <c r="AZ914" s="34"/>
      <c r="BA914" s="34"/>
      <c r="BB914" s="34"/>
      <c r="BC914" s="34"/>
    </row>
    <row r="915" spans="1:58" ht="12.95" customHeight="1">
      <c r="F915" s="1648" t="s">
        <v>792</v>
      </c>
      <c r="G915" s="1649"/>
      <c r="H915" s="1649"/>
      <c r="I915" s="1649"/>
      <c r="J915" s="1649"/>
      <c r="K915" s="1649"/>
      <c r="L915" s="1649"/>
      <c r="M915" s="1649"/>
      <c r="N915" s="1649"/>
      <c r="O915" s="1649"/>
      <c r="P915" s="1649"/>
      <c r="Q915" s="1649"/>
      <c r="R915" s="1649"/>
      <c r="S915" s="1649"/>
      <c r="T915" s="1650"/>
      <c r="U915" s="1584" t="s">
        <v>31</v>
      </c>
      <c r="V915" s="1585"/>
      <c r="W915" s="1585"/>
      <c r="X915" s="1585"/>
      <c r="Y915" s="1585"/>
      <c r="Z915" s="1585"/>
      <c r="AA915" s="43"/>
      <c r="AB915" s="105"/>
      <c r="AC915" s="105"/>
      <c r="AD915" s="105"/>
      <c r="AE915" s="105"/>
      <c r="AF915" s="106"/>
      <c r="AZ915" s="34"/>
      <c r="BA915" s="34"/>
      <c r="BB915" s="34"/>
      <c r="BC915" s="34"/>
    </row>
    <row r="916" spans="1:58" ht="12.95" customHeight="1">
      <c r="B916" s="2"/>
      <c r="F916" s="1586" t="s">
        <v>818</v>
      </c>
      <c r="G916" s="1587"/>
      <c r="H916" s="1587"/>
      <c r="I916" s="1587"/>
      <c r="J916" s="1587"/>
      <c r="K916" s="1587"/>
      <c r="L916" s="1587"/>
      <c r="M916" s="1587"/>
      <c r="N916" s="1587"/>
      <c r="O916" s="1587"/>
      <c r="P916" s="1587"/>
      <c r="Q916" s="1587"/>
      <c r="R916" s="1587"/>
      <c r="S916" s="1587"/>
      <c r="T916" s="1599"/>
      <c r="U916" s="1586"/>
      <c r="V916" s="1587"/>
      <c r="W916" s="1587"/>
      <c r="X916" s="1587"/>
      <c r="Y916" s="1587"/>
      <c r="Z916" s="1587"/>
      <c r="AA916" s="44"/>
      <c r="AB916" s="4"/>
      <c r="AC916" s="4"/>
      <c r="AD916" s="4"/>
      <c r="AE916" s="4"/>
      <c r="AF916" s="107"/>
      <c r="AZ916" s="34"/>
      <c r="BA916" s="34"/>
      <c r="BB916" s="34"/>
      <c r="BC916" s="34"/>
    </row>
    <row r="917" spans="1:58" ht="12.95" customHeight="1">
      <c r="B917" s="2"/>
      <c r="F917" s="1588"/>
      <c r="G917" s="1589"/>
      <c r="H917" s="1589"/>
      <c r="I917" s="1589"/>
      <c r="J917" s="1589"/>
      <c r="K917" s="1589"/>
      <c r="L917" s="1589"/>
      <c r="M917" s="1589"/>
      <c r="N917" s="1589"/>
      <c r="O917" s="1589"/>
      <c r="P917" s="1589"/>
      <c r="Q917" s="1589"/>
      <c r="R917" s="1589"/>
      <c r="S917" s="1589"/>
      <c r="T917" s="1600"/>
      <c r="U917" s="1588"/>
      <c r="V917" s="1589"/>
      <c r="W917" s="1589"/>
      <c r="X917" s="1589"/>
      <c r="Y917" s="1589"/>
      <c r="Z917" s="1589"/>
      <c r="AA917" s="108"/>
      <c r="AB917" s="1637" t="s">
        <v>390</v>
      </c>
      <c r="AC917" s="1637"/>
      <c r="AD917" s="1637"/>
      <c r="AE917" s="1637"/>
      <c r="AF917" s="109"/>
      <c r="AZ917" s="34"/>
      <c r="BA917" s="34"/>
      <c r="BB917" s="34"/>
      <c r="BC917" s="34"/>
    </row>
    <row r="918" spans="1:58" ht="12.95" customHeight="1">
      <c r="B918" s="2"/>
      <c r="F918" s="45" t="s">
        <v>758</v>
      </c>
      <c r="G918" s="48"/>
      <c r="H918" s="48"/>
      <c r="I918" s="48"/>
      <c r="J918" s="48"/>
      <c r="K918" s="48"/>
      <c r="L918" s="48"/>
      <c r="M918" s="48"/>
      <c r="N918" s="48"/>
      <c r="O918" s="48"/>
      <c r="P918" s="48"/>
      <c r="Q918" s="48"/>
      <c r="R918" s="48"/>
      <c r="S918" s="48"/>
      <c r="T918" s="49"/>
      <c r="U918" s="1401" t="s">
        <v>545</v>
      </c>
      <c r="V918" s="1402"/>
      <c r="W918" s="1402"/>
      <c r="X918" s="1402"/>
      <c r="Y918" s="1402"/>
      <c r="Z918" s="1403"/>
      <c r="AA918" s="1407">
        <f>AM554+AM555</f>
        <v>24961947</v>
      </c>
      <c r="AB918" s="1408"/>
      <c r="AC918" s="1408"/>
      <c r="AD918" s="1408"/>
      <c r="AE918" s="1408"/>
      <c r="AF918" s="1409"/>
      <c r="AZ918" s="34"/>
      <c r="BA918" s="34"/>
      <c r="BB918" s="34"/>
      <c r="BC918" s="34"/>
    </row>
    <row r="919" spans="1:58" ht="12.95" customHeight="1">
      <c r="B919" s="2"/>
      <c r="F919" s="66" t="s">
        <v>675</v>
      </c>
      <c r="G919" s="48"/>
      <c r="H919" s="48"/>
      <c r="I919" s="48"/>
      <c r="J919" s="48"/>
      <c r="K919" s="48"/>
      <c r="L919" s="48"/>
      <c r="M919" s="48"/>
      <c r="N919" s="48"/>
      <c r="O919" s="48"/>
      <c r="P919" s="48"/>
      <c r="Q919" s="48"/>
      <c r="R919" s="48"/>
      <c r="S919" s="48"/>
      <c r="T919" s="49"/>
      <c r="U919" s="1401" t="s">
        <v>545</v>
      </c>
      <c r="V919" s="1402"/>
      <c r="W919" s="1402"/>
      <c r="X919" s="1402"/>
      <c r="Y919" s="1402"/>
      <c r="Z919" s="1403"/>
      <c r="AA919" s="1407">
        <f>AM556</f>
        <v>13476580</v>
      </c>
      <c r="AB919" s="1408"/>
      <c r="AC919" s="1408"/>
      <c r="AD919" s="1408"/>
      <c r="AE919" s="1408"/>
      <c r="AF919" s="1409"/>
      <c r="AZ919" s="34"/>
      <c r="BA919" s="34"/>
      <c r="BB919" s="34"/>
      <c r="BC919" s="34"/>
    </row>
    <row r="920" spans="1:58" ht="12.95" customHeight="1">
      <c r="F920" s="45" t="s">
        <v>801</v>
      </c>
      <c r="G920" s="5"/>
      <c r="H920" s="5"/>
      <c r="I920" s="5"/>
      <c r="J920" s="5"/>
      <c r="K920" s="5"/>
      <c r="L920" s="5"/>
      <c r="M920" s="5"/>
      <c r="N920" s="5"/>
      <c r="O920" s="5"/>
      <c r="P920" s="5"/>
      <c r="Q920" s="5"/>
      <c r="R920" s="5"/>
      <c r="S920" s="5"/>
      <c r="T920" s="46"/>
      <c r="U920" s="1401" t="s">
        <v>591</v>
      </c>
      <c r="V920" s="1402"/>
      <c r="W920" s="1402"/>
      <c r="X920" s="1402"/>
      <c r="Y920" s="1402"/>
      <c r="Z920" s="1403"/>
      <c r="AA920" s="1407"/>
      <c r="AB920" s="1408"/>
      <c r="AC920" s="1408"/>
      <c r="AD920" s="1408"/>
      <c r="AE920" s="1408"/>
      <c r="AF920" s="1409"/>
      <c r="AZ920" s="34"/>
      <c r="BA920" s="34"/>
      <c r="BB920" s="34"/>
      <c r="BC920" s="34"/>
    </row>
    <row r="921" spans="1:58" ht="12.95" customHeight="1">
      <c r="F921" s="45" t="s">
        <v>678</v>
      </c>
      <c r="G921" s="5"/>
      <c r="H921" s="5"/>
      <c r="I921" s="5"/>
      <c r="J921" s="5"/>
      <c r="K921" s="5"/>
      <c r="L921" s="5"/>
      <c r="M921" s="5"/>
      <c r="N921" s="5"/>
      <c r="O921" s="5"/>
      <c r="P921" s="5"/>
      <c r="Q921" s="5"/>
      <c r="R921" s="5"/>
      <c r="S921" s="5"/>
      <c r="T921" s="46"/>
      <c r="U921" s="1401" t="s">
        <v>591</v>
      </c>
      <c r="V921" s="1402"/>
      <c r="W921" s="1402"/>
      <c r="X921" s="1402"/>
      <c r="Y921" s="1402"/>
      <c r="Z921" s="1403"/>
      <c r="AA921" s="1407"/>
      <c r="AB921" s="1408"/>
      <c r="AC921" s="1408"/>
      <c r="AD921" s="1408"/>
      <c r="AE921" s="1408"/>
      <c r="AF921" s="1409"/>
      <c r="AZ921" s="34"/>
      <c r="BA921" s="34"/>
      <c r="BB921" s="34"/>
      <c r="BC921" s="34"/>
    </row>
    <row r="922" spans="1:58" ht="12.95" customHeight="1">
      <c r="F922" s="66" t="s">
        <v>786</v>
      </c>
      <c r="G922" s="5"/>
      <c r="H922" s="5"/>
      <c r="I922" s="5"/>
      <c r="J922" s="5"/>
      <c r="K922" s="5"/>
      <c r="L922" s="5"/>
      <c r="M922" s="5"/>
      <c r="N922" s="5"/>
      <c r="O922" s="5"/>
      <c r="P922" s="5"/>
      <c r="Q922" s="5"/>
      <c r="R922" s="5"/>
      <c r="S922" s="5"/>
      <c r="T922" s="46"/>
      <c r="U922" s="1401" t="s">
        <v>591</v>
      </c>
      <c r="V922" s="1402"/>
      <c r="W922" s="1402"/>
      <c r="X922" s="1402"/>
      <c r="Y922" s="1402"/>
      <c r="Z922" s="1403"/>
      <c r="AA922" s="1407"/>
      <c r="AB922" s="1408"/>
      <c r="AC922" s="1408"/>
      <c r="AD922" s="1408"/>
      <c r="AE922" s="1408"/>
      <c r="AF922" s="1409"/>
      <c r="AZ922" s="34"/>
      <c r="BA922" s="34"/>
      <c r="BB922" s="34"/>
      <c r="BC922" s="34"/>
    </row>
    <row r="923" spans="1:58" ht="12.95" customHeight="1">
      <c r="F923" s="66" t="s">
        <v>787</v>
      </c>
      <c r="G923" s="5"/>
      <c r="H923" s="5"/>
      <c r="I923" s="5"/>
      <c r="J923" s="5"/>
      <c r="K923" s="5"/>
      <c r="L923" s="5"/>
      <c r="M923" s="5"/>
      <c r="N923" s="5"/>
      <c r="O923" s="5"/>
      <c r="P923" s="5"/>
      <c r="Q923" s="5"/>
      <c r="R923" s="5"/>
      <c r="S923" s="5"/>
      <c r="T923" s="46"/>
      <c r="U923" s="1401" t="s">
        <v>591</v>
      </c>
      <c r="V923" s="1402"/>
      <c r="W923" s="1402"/>
      <c r="X923" s="1402"/>
      <c r="Y923" s="1402"/>
      <c r="Z923" s="1403"/>
      <c r="AA923" s="1407"/>
      <c r="AB923" s="1408"/>
      <c r="AC923" s="1408"/>
      <c r="AD923" s="1408"/>
      <c r="AE923" s="1408"/>
      <c r="AF923" s="1409"/>
      <c r="AZ923" s="34"/>
      <c r="BA923" s="34"/>
      <c r="BB923" s="34"/>
      <c r="BC923" s="34"/>
    </row>
    <row r="924" spans="1:58" ht="12.95" customHeight="1">
      <c r="F924" s="66" t="s">
        <v>788</v>
      </c>
      <c r="G924" s="5"/>
      <c r="H924" s="5"/>
      <c r="I924" s="5"/>
      <c r="J924" s="5"/>
      <c r="K924" s="5"/>
      <c r="L924" s="5"/>
      <c r="M924" s="5"/>
      <c r="N924" s="5"/>
      <c r="O924" s="5"/>
      <c r="P924" s="5"/>
      <c r="Q924" s="5"/>
      <c r="R924" s="5"/>
      <c r="S924" s="5"/>
      <c r="T924" s="46"/>
      <c r="U924" s="1401" t="s">
        <v>591</v>
      </c>
      <c r="V924" s="1402"/>
      <c r="W924" s="1402"/>
      <c r="X924" s="1402"/>
      <c r="Y924" s="1402"/>
      <c r="Z924" s="1403"/>
      <c r="AA924" s="1407"/>
      <c r="AB924" s="1408"/>
      <c r="AC924" s="1408"/>
      <c r="AD924" s="1408"/>
      <c r="AE924" s="1408"/>
      <c r="AF924" s="1409"/>
      <c r="AZ924" s="34"/>
      <c r="BA924" s="34"/>
      <c r="BB924" s="34"/>
      <c r="BC924" s="34"/>
    </row>
    <row r="925" spans="1:58" ht="12.95" customHeight="1">
      <c r="F925" s="45" t="s">
        <v>677</v>
      </c>
      <c r="G925" s="5"/>
      <c r="H925" s="5"/>
      <c r="I925" s="5"/>
      <c r="J925" s="5"/>
      <c r="K925" s="5"/>
      <c r="L925" s="5"/>
      <c r="M925" s="5"/>
      <c r="N925" s="5"/>
      <c r="O925" s="5"/>
      <c r="P925" s="5"/>
      <c r="Q925" s="5"/>
      <c r="R925" s="5"/>
      <c r="S925" s="5"/>
      <c r="T925" s="46"/>
      <c r="U925" s="1401" t="s">
        <v>591</v>
      </c>
      <c r="V925" s="1402"/>
      <c r="W925" s="1402"/>
      <c r="X925" s="1402"/>
      <c r="Y925" s="1402"/>
      <c r="Z925" s="1403"/>
      <c r="AA925" s="1407"/>
      <c r="AB925" s="1408"/>
      <c r="AC925" s="1408"/>
      <c r="AD925" s="1408"/>
      <c r="AE925" s="1408"/>
      <c r="AF925" s="1409"/>
      <c r="AZ925" s="34"/>
      <c r="BA925" s="34"/>
      <c r="BB925" s="34"/>
      <c r="BC925" s="34"/>
    </row>
    <row r="926" spans="1:58" ht="12.95" customHeight="1">
      <c r="F926" s="1601" t="s">
        <v>2193</v>
      </c>
      <c r="G926" s="1602"/>
      <c r="H926" s="1602"/>
      <c r="I926" s="1602"/>
      <c r="J926" s="1602"/>
      <c r="K926" s="1602"/>
      <c r="L926" s="1602"/>
      <c r="M926" s="1602"/>
      <c r="N926" s="1602"/>
      <c r="O926" s="1602"/>
      <c r="P926" s="1602"/>
      <c r="Q926" s="1602"/>
      <c r="R926" s="1602"/>
      <c r="S926" s="1602"/>
      <c r="T926" s="1603"/>
      <c r="U926" s="1401" t="s">
        <v>591</v>
      </c>
      <c r="V926" s="1402"/>
      <c r="W926" s="1402"/>
      <c r="X926" s="1402"/>
      <c r="Y926" s="1402"/>
      <c r="Z926" s="1403"/>
      <c r="AA926" s="1407"/>
      <c r="AB926" s="1408"/>
      <c r="AC926" s="1408"/>
      <c r="AD926" s="1408"/>
      <c r="AE926" s="1408"/>
      <c r="AF926" s="1409"/>
      <c r="AZ926" s="34"/>
      <c r="BA926" s="34"/>
      <c r="BB926" s="34"/>
      <c r="BC926" s="34"/>
    </row>
    <row r="927" spans="1:58" ht="12.95" customHeight="1">
      <c r="F927" s="1601" t="s">
        <v>679</v>
      </c>
      <c r="G927" s="1602"/>
      <c r="H927" s="1602"/>
      <c r="I927" s="1602"/>
      <c r="J927" s="1602"/>
      <c r="K927" s="1602"/>
      <c r="L927" s="1602"/>
      <c r="M927" s="1602"/>
      <c r="N927" s="1602"/>
      <c r="O927" s="1602"/>
      <c r="P927" s="1602"/>
      <c r="Q927" s="1602"/>
      <c r="R927" s="1602"/>
      <c r="S927" s="1602"/>
      <c r="T927" s="1603"/>
      <c r="U927" s="1401" t="s">
        <v>591</v>
      </c>
      <c r="V927" s="1402"/>
      <c r="W927" s="1402"/>
      <c r="X927" s="1402"/>
      <c r="Y927" s="1402"/>
      <c r="Z927" s="1403"/>
      <c r="AA927" s="1407"/>
      <c r="AB927" s="1408"/>
      <c r="AC927" s="1408"/>
      <c r="AD927" s="1408"/>
      <c r="AE927" s="1408"/>
      <c r="AF927" s="1409"/>
      <c r="AU927" s="2"/>
      <c r="AZ927" s="34"/>
      <c r="BA927" s="34"/>
      <c r="BB927" s="34"/>
      <c r="BC927" s="34"/>
    </row>
    <row r="928" spans="1:58" ht="12.95" customHeight="1">
      <c r="F928" s="1601" t="s">
        <v>2194</v>
      </c>
      <c r="G928" s="1602"/>
      <c r="H928" s="1602"/>
      <c r="I928" s="1602"/>
      <c r="J928" s="1602"/>
      <c r="K928" s="1602"/>
      <c r="L928" s="1602"/>
      <c r="M928" s="1602"/>
      <c r="N928" s="1602"/>
      <c r="O928" s="1602"/>
      <c r="P928" s="1602"/>
      <c r="Q928" s="1602"/>
      <c r="R928" s="1602"/>
      <c r="S928" s="1602"/>
      <c r="T928" s="1603"/>
      <c r="U928" s="1401" t="s">
        <v>591</v>
      </c>
      <c r="V928" s="1402"/>
      <c r="W928" s="1402"/>
      <c r="X928" s="1402"/>
      <c r="Y928" s="1402"/>
      <c r="Z928" s="1403"/>
      <c r="AA928" s="1407"/>
      <c r="AB928" s="1408"/>
      <c r="AC928" s="1408"/>
      <c r="AD928" s="1408"/>
      <c r="AE928" s="1408"/>
      <c r="AF928" s="1409"/>
      <c r="AU928" s="2"/>
      <c r="AZ928" s="34"/>
      <c r="BA928" s="34"/>
      <c r="BB928" s="34"/>
      <c r="BC928" s="34"/>
    </row>
    <row r="929" spans="6:55" ht="12.95" customHeight="1">
      <c r="F929" s="1601" t="s">
        <v>2195</v>
      </c>
      <c r="G929" s="1602"/>
      <c r="H929" s="1602"/>
      <c r="I929" s="1602"/>
      <c r="J929" s="1602"/>
      <c r="K929" s="1602"/>
      <c r="L929" s="1602"/>
      <c r="M929" s="1602"/>
      <c r="N929" s="1602"/>
      <c r="O929" s="1602"/>
      <c r="P929" s="1602"/>
      <c r="Q929" s="1602"/>
      <c r="R929" s="1602"/>
      <c r="S929" s="1602"/>
      <c r="T929" s="1603"/>
      <c r="U929" s="1401" t="s">
        <v>591</v>
      </c>
      <c r="V929" s="1402"/>
      <c r="W929" s="1402"/>
      <c r="X929" s="1402"/>
      <c r="Y929" s="1402"/>
      <c r="Z929" s="1403"/>
      <c r="AA929" s="1407"/>
      <c r="AB929" s="1408"/>
      <c r="AC929" s="1408"/>
      <c r="AD929" s="1408"/>
      <c r="AE929" s="1408"/>
      <c r="AF929" s="1409"/>
      <c r="AU929" s="2"/>
      <c r="AZ929" s="34"/>
      <c r="BA929" s="34"/>
      <c r="BB929" s="34"/>
      <c r="BC929" s="34"/>
    </row>
    <row r="930" spans="6:55" ht="12.95" customHeight="1">
      <c r="F930" s="1601" t="s">
        <v>2196</v>
      </c>
      <c r="G930" s="1602"/>
      <c r="H930" s="1602"/>
      <c r="I930" s="1602"/>
      <c r="J930" s="1602"/>
      <c r="K930" s="1602"/>
      <c r="L930" s="1602"/>
      <c r="M930" s="1602"/>
      <c r="N930" s="1602"/>
      <c r="O930" s="1602"/>
      <c r="P930" s="1602"/>
      <c r="Q930" s="1602"/>
      <c r="R930" s="1602"/>
      <c r="S930" s="1602"/>
      <c r="T930" s="1603"/>
      <c r="U930" s="1401" t="s">
        <v>591</v>
      </c>
      <c r="V930" s="1402"/>
      <c r="W930" s="1402"/>
      <c r="X930" s="1402"/>
      <c r="Y930" s="1402"/>
      <c r="Z930" s="1403"/>
      <c r="AA930" s="1407"/>
      <c r="AB930" s="1408"/>
      <c r="AC930" s="1408"/>
      <c r="AD930" s="1408"/>
      <c r="AE930" s="1408"/>
      <c r="AF930" s="1409"/>
      <c r="AU930" s="2"/>
      <c r="AZ930" s="34"/>
      <c r="BA930" s="34"/>
      <c r="BB930" s="34"/>
      <c r="BC930" s="34"/>
    </row>
    <row r="931" spans="6:55" ht="12.95" customHeight="1">
      <c r="F931" s="1601" t="s">
        <v>2197</v>
      </c>
      <c r="G931" s="1602"/>
      <c r="H931" s="1602"/>
      <c r="I931" s="1602"/>
      <c r="J931" s="1602"/>
      <c r="K931" s="1602"/>
      <c r="L931" s="1602"/>
      <c r="M931" s="1602"/>
      <c r="N931" s="1602"/>
      <c r="O931" s="1602"/>
      <c r="P931" s="1602"/>
      <c r="Q931" s="1602"/>
      <c r="R931" s="1602"/>
      <c r="S931" s="1602"/>
      <c r="T931" s="1603"/>
      <c r="U931" s="1401" t="s">
        <v>591</v>
      </c>
      <c r="V931" s="1402"/>
      <c r="W931" s="1402"/>
      <c r="X931" s="1402"/>
      <c r="Y931" s="1402"/>
      <c r="Z931" s="1403"/>
      <c r="AA931" s="1407"/>
      <c r="AB931" s="1408"/>
      <c r="AC931" s="1408"/>
      <c r="AD931" s="1408"/>
      <c r="AE931" s="1408"/>
      <c r="AF931" s="1409"/>
      <c r="AU931" s="2"/>
      <c r="AZ931" s="34"/>
      <c r="BA931" s="34"/>
      <c r="BB931" s="34"/>
      <c r="BC931" s="34"/>
    </row>
    <row r="932" spans="6:55" ht="12.95" customHeight="1">
      <c r="F932" s="1601" t="s">
        <v>2198</v>
      </c>
      <c r="G932" s="1602"/>
      <c r="H932" s="1602"/>
      <c r="I932" s="1602"/>
      <c r="J932" s="1602"/>
      <c r="K932" s="1602"/>
      <c r="L932" s="1602"/>
      <c r="M932" s="1602"/>
      <c r="N932" s="1602"/>
      <c r="O932" s="1602"/>
      <c r="P932" s="1602"/>
      <c r="Q932" s="1602"/>
      <c r="R932" s="1602"/>
      <c r="S932" s="1602"/>
      <c r="T932" s="1603"/>
      <c r="U932" s="1401" t="s">
        <v>591</v>
      </c>
      <c r="V932" s="1402"/>
      <c r="W932" s="1402"/>
      <c r="X932" s="1402"/>
      <c r="Y932" s="1402"/>
      <c r="Z932" s="1403"/>
      <c r="AA932" s="1407"/>
      <c r="AB932" s="1408"/>
      <c r="AC932" s="1408"/>
      <c r="AD932" s="1408"/>
      <c r="AE932" s="1408"/>
      <c r="AF932" s="1409"/>
      <c r="AZ932" s="30"/>
      <c r="BA932" s="30"/>
    </row>
    <row r="933" spans="6:55" ht="12.95" customHeight="1">
      <c r="F933" s="178" t="s">
        <v>676</v>
      </c>
      <c r="G933" s="5"/>
      <c r="H933" s="5"/>
      <c r="I933" s="5"/>
      <c r="J933" s="5"/>
      <c r="K933" s="5"/>
      <c r="L933" s="5"/>
      <c r="M933" s="5"/>
      <c r="N933" s="5"/>
      <c r="O933" s="5"/>
      <c r="P933" s="5"/>
      <c r="Q933" s="5"/>
      <c r="R933" s="5"/>
      <c r="S933" s="5"/>
      <c r="T933" s="46"/>
      <c r="U933" s="1401" t="s">
        <v>591</v>
      </c>
      <c r="V933" s="1402"/>
      <c r="W933" s="1402"/>
      <c r="X933" s="1402"/>
      <c r="Y933" s="1402"/>
      <c r="Z933" s="1403"/>
      <c r="AA933" s="1407"/>
      <c r="AB933" s="1408"/>
      <c r="AC933" s="1408"/>
      <c r="AD933" s="1408"/>
      <c r="AE933" s="1408"/>
      <c r="AF933" s="1409"/>
    </row>
    <row r="934" spans="6:55" ht="12.95" customHeight="1">
      <c r="F934" s="121" t="s">
        <v>1277</v>
      </c>
      <c r="G934" s="5"/>
      <c r="H934" s="5"/>
      <c r="I934" s="5"/>
      <c r="J934" s="5"/>
      <c r="K934" s="5"/>
      <c r="L934" s="5"/>
      <c r="M934" s="5"/>
      <c r="N934" s="5"/>
      <c r="O934" s="5"/>
      <c r="P934" s="5"/>
      <c r="Q934" s="5"/>
      <c r="R934" s="5"/>
      <c r="S934" s="5"/>
      <c r="T934" s="46"/>
      <c r="U934" s="1401" t="s">
        <v>545</v>
      </c>
      <c r="V934" s="1402"/>
      <c r="W934" s="1402"/>
      <c r="X934" s="1402"/>
      <c r="Y934" s="1402"/>
      <c r="Z934" s="1403"/>
      <c r="AA934" s="1407">
        <f>AO628</f>
        <v>4000000</v>
      </c>
      <c r="AB934" s="1408"/>
      <c r="AC934" s="1408"/>
      <c r="AD934" s="1408"/>
      <c r="AE934" s="1408"/>
      <c r="AF934" s="1409"/>
      <c r="AZ934" s="30"/>
      <c r="BA934" s="14"/>
    </row>
    <row r="935" spans="6:55" ht="12.95" customHeight="1">
      <c r="F935" s="66" t="s">
        <v>802</v>
      </c>
      <c r="G935" s="5"/>
      <c r="H935" s="5"/>
      <c r="I935" s="5"/>
      <c r="J935" s="5"/>
      <c r="K935" s="5"/>
      <c r="L935" s="5"/>
      <c r="M935" s="5"/>
      <c r="N935" s="5"/>
      <c r="O935" s="5"/>
      <c r="P935" s="5"/>
      <c r="Q935" s="5"/>
      <c r="R935" s="5"/>
      <c r="S935" s="5"/>
      <c r="T935" s="46"/>
      <c r="U935" s="1401" t="s">
        <v>591</v>
      </c>
      <c r="V935" s="1402"/>
      <c r="W935" s="1402"/>
      <c r="X935" s="1402"/>
      <c r="Y935" s="1402"/>
      <c r="Z935" s="1403"/>
      <c r="AA935" s="1407"/>
      <c r="AB935" s="1408"/>
      <c r="AC935" s="1408"/>
      <c r="AD935" s="1408"/>
      <c r="AE935" s="1408"/>
      <c r="AF935" s="1409"/>
      <c r="AZ935" s="30"/>
      <c r="BA935" s="14"/>
    </row>
    <row r="936" spans="6:55" ht="12.95" customHeight="1">
      <c r="F936" s="1639" t="s">
        <v>2202</v>
      </c>
      <c r="G936" s="1640"/>
      <c r="H936" s="1640"/>
      <c r="I936" s="1640"/>
      <c r="J936" s="1640"/>
      <c r="K936" s="1640"/>
      <c r="L936" s="1640"/>
      <c r="M936" s="1640"/>
      <c r="N936" s="1640"/>
      <c r="O936" s="1640"/>
      <c r="P936" s="1640"/>
      <c r="Q936" s="1640"/>
      <c r="R936" s="1640"/>
      <c r="S936" s="1640"/>
      <c r="T936" s="1641"/>
      <c r="U936" s="1401" t="s">
        <v>591</v>
      </c>
      <c r="V936" s="1402"/>
      <c r="W936" s="1402"/>
      <c r="X936" s="1402"/>
      <c r="Y936" s="1402"/>
      <c r="Z936" s="1403"/>
      <c r="AA936" s="1407"/>
      <c r="AB936" s="1408"/>
      <c r="AC936" s="1408"/>
      <c r="AD936" s="1408"/>
      <c r="AE936" s="1408"/>
      <c r="AF936" s="1409"/>
      <c r="AZ936" s="30"/>
      <c r="BA936" s="14"/>
    </row>
    <row r="937" spans="6:55" ht="12.95" customHeight="1">
      <c r="F937" s="1639" t="s">
        <v>2203</v>
      </c>
      <c r="G937" s="1640"/>
      <c r="H937" s="1640"/>
      <c r="I937" s="1640"/>
      <c r="J937" s="1640"/>
      <c r="K937" s="1640"/>
      <c r="L937" s="1640"/>
      <c r="M937" s="1640"/>
      <c r="N937" s="1640"/>
      <c r="O937" s="1640"/>
      <c r="P937" s="1640"/>
      <c r="Q937" s="1640"/>
      <c r="R937" s="1640"/>
      <c r="S937" s="1640"/>
      <c r="T937" s="1641"/>
      <c r="U937" s="1401" t="s">
        <v>591</v>
      </c>
      <c r="V937" s="1402"/>
      <c r="W937" s="1402"/>
      <c r="X937" s="1402"/>
      <c r="Y937" s="1402"/>
      <c r="Z937" s="1403"/>
      <c r="AA937" s="1407"/>
      <c r="AB937" s="1408"/>
      <c r="AC937" s="1408"/>
      <c r="AD937" s="1408"/>
      <c r="AE937" s="1408"/>
      <c r="AF937" s="1409"/>
      <c r="AZ937" s="30"/>
      <c r="BA937" s="30"/>
    </row>
    <row r="938" spans="6:55" ht="12.95" customHeight="1">
      <c r="F938" s="1601" t="s">
        <v>2199</v>
      </c>
      <c r="G938" s="1602"/>
      <c r="H938" s="1602"/>
      <c r="I938" s="1602"/>
      <c r="J938" s="1602"/>
      <c r="K938" s="1602"/>
      <c r="L938" s="1602"/>
      <c r="M938" s="1602"/>
      <c r="N938" s="1602"/>
      <c r="O938" s="1602"/>
      <c r="P938" s="1602"/>
      <c r="Q938" s="1602"/>
      <c r="R938" s="1602"/>
      <c r="S938" s="1602"/>
      <c r="T938" s="1603"/>
      <c r="U938" s="1401" t="s">
        <v>591</v>
      </c>
      <c r="V938" s="1402"/>
      <c r="W938" s="1402"/>
      <c r="X938" s="1402"/>
      <c r="Y938" s="1402"/>
      <c r="Z938" s="1403"/>
      <c r="AA938" s="1407"/>
      <c r="AB938" s="1408"/>
      <c r="AC938" s="1408"/>
      <c r="AD938" s="1408"/>
      <c r="AE938" s="1408"/>
      <c r="AF938" s="1409"/>
      <c r="AZ938" s="30"/>
      <c r="BA938" s="30"/>
    </row>
    <row r="939" spans="6:55" ht="12.95" customHeight="1">
      <c r="F939" s="1601" t="s">
        <v>2200</v>
      </c>
      <c r="G939" s="1602"/>
      <c r="H939" s="1602"/>
      <c r="I939" s="1602"/>
      <c r="J939" s="1602"/>
      <c r="K939" s="1602"/>
      <c r="L939" s="1602"/>
      <c r="M939" s="1602"/>
      <c r="N939" s="1602"/>
      <c r="O939" s="1602"/>
      <c r="P939" s="1602"/>
      <c r="Q939" s="1602"/>
      <c r="R939" s="1602"/>
      <c r="S939" s="1602"/>
      <c r="T939" s="1603"/>
      <c r="U939" s="1401" t="s">
        <v>591</v>
      </c>
      <c r="V939" s="1402"/>
      <c r="W939" s="1402"/>
      <c r="X939" s="1402"/>
      <c r="Y939" s="1402"/>
      <c r="Z939" s="1403"/>
      <c r="AA939" s="1407"/>
      <c r="AB939" s="1408"/>
      <c r="AC939" s="1408"/>
      <c r="AD939" s="1408"/>
      <c r="AE939" s="1408"/>
      <c r="AF939" s="1409"/>
      <c r="AZ939" s="30"/>
      <c r="BA939" s="30"/>
    </row>
    <row r="940" spans="6:55" ht="12.95" customHeight="1">
      <c r="F940" s="1601" t="s">
        <v>2201</v>
      </c>
      <c r="G940" s="1602"/>
      <c r="H940" s="1602"/>
      <c r="I940" s="1602"/>
      <c r="J940" s="1602"/>
      <c r="K940" s="1602"/>
      <c r="L940" s="1602"/>
      <c r="M940" s="1602"/>
      <c r="N940" s="1602"/>
      <c r="O940" s="1602"/>
      <c r="P940" s="1602"/>
      <c r="Q940" s="1602"/>
      <c r="R940" s="1602"/>
      <c r="S940" s="1602"/>
      <c r="T940" s="1603"/>
      <c r="U940" s="1401" t="s">
        <v>591</v>
      </c>
      <c r="V940" s="1402"/>
      <c r="W940" s="1402"/>
      <c r="X940" s="1402"/>
      <c r="Y940" s="1402"/>
      <c r="Z940" s="1403"/>
      <c r="AA940" s="1407"/>
      <c r="AB940" s="1408"/>
      <c r="AC940" s="1408"/>
      <c r="AD940" s="1408"/>
      <c r="AE940" s="1408"/>
      <c r="AF940" s="1409"/>
      <c r="AZ940" s="34"/>
      <c r="BA940" s="34"/>
      <c r="BB940" s="14"/>
      <c r="BC940" s="14"/>
    </row>
    <row r="941" spans="6:55" ht="12.95" customHeight="1">
      <c r="F941" s="121" t="s">
        <v>1261</v>
      </c>
      <c r="G941" s="5"/>
      <c r="H941" s="5"/>
      <c r="I941" s="5"/>
      <c r="J941" s="5"/>
      <c r="K941" s="5"/>
      <c r="L941" s="5"/>
      <c r="M941" s="5"/>
      <c r="N941" s="5"/>
      <c r="O941" s="5"/>
      <c r="P941" s="5"/>
      <c r="Q941" s="5"/>
      <c r="R941" s="5"/>
      <c r="S941" s="5"/>
      <c r="T941" s="46"/>
      <c r="U941" s="1401" t="s">
        <v>591</v>
      </c>
      <c r="V941" s="1402"/>
      <c r="W941" s="1402"/>
      <c r="X941" s="1402"/>
      <c r="Y941" s="1402"/>
      <c r="Z941" s="1403"/>
      <c r="AA941" s="1407"/>
      <c r="AB941" s="1408"/>
      <c r="AC941" s="1408"/>
      <c r="AD941" s="1408"/>
      <c r="AE941" s="1408"/>
      <c r="AF941" s="1409"/>
      <c r="AZ941" s="34"/>
      <c r="BA941" s="34"/>
      <c r="BB941" s="14"/>
      <c r="BC941" s="14"/>
    </row>
    <row r="942" spans="6:55" ht="12.95" customHeight="1">
      <c r="F942" s="1639" t="s">
        <v>2204</v>
      </c>
      <c r="G942" s="1640"/>
      <c r="H942" s="1640"/>
      <c r="I942" s="1640"/>
      <c r="J942" s="1640"/>
      <c r="K942" s="1640"/>
      <c r="L942" s="1640"/>
      <c r="M942" s="1640"/>
      <c r="N942" s="1640"/>
      <c r="O942" s="1640"/>
      <c r="P942" s="1640"/>
      <c r="Q942" s="1640"/>
      <c r="R942" s="1640"/>
      <c r="S942" s="1640"/>
      <c r="T942" s="1641"/>
      <c r="U942" s="1401" t="s">
        <v>591</v>
      </c>
      <c r="V942" s="1402"/>
      <c r="W942" s="1402"/>
      <c r="X942" s="1402"/>
      <c r="Y942" s="1402"/>
      <c r="Z942" s="1403"/>
      <c r="AA942" s="1407"/>
      <c r="AB942" s="1408"/>
      <c r="AC942" s="1408"/>
      <c r="AD942" s="1408"/>
      <c r="AE942" s="1408"/>
      <c r="AF942" s="1409"/>
      <c r="AZ942" s="34"/>
      <c r="BA942" s="34"/>
      <c r="BB942" s="34"/>
      <c r="BC942" s="34"/>
    </row>
    <row r="943" spans="6:55" ht="12.95" customHeight="1">
      <c r="F943" s="121" t="s">
        <v>1262</v>
      </c>
      <c r="G943" s="5"/>
      <c r="H943" s="5"/>
      <c r="I943" s="5"/>
      <c r="J943" s="5"/>
      <c r="K943" s="5"/>
      <c r="L943" s="5"/>
      <c r="M943" s="5"/>
      <c r="N943" s="5"/>
      <c r="O943" s="5"/>
      <c r="P943" s="5"/>
      <c r="Q943" s="5"/>
      <c r="R943" s="5"/>
      <c r="S943" s="5"/>
      <c r="T943" s="46"/>
      <c r="U943" s="1401" t="s">
        <v>591</v>
      </c>
      <c r="V943" s="1402"/>
      <c r="W943" s="1402"/>
      <c r="X943" s="1402"/>
      <c r="Y943" s="1402"/>
      <c r="Z943" s="1403"/>
      <c r="AA943" s="1407"/>
      <c r="AB943" s="1408"/>
      <c r="AC943" s="1408"/>
      <c r="AD943" s="1408"/>
      <c r="AE943" s="1408"/>
      <c r="AF943" s="1409"/>
      <c r="AZ943" s="34"/>
      <c r="BA943" s="34"/>
      <c r="BB943" s="34"/>
      <c r="BC943" s="34"/>
    </row>
    <row r="944" spans="6:55" ht="12.95" customHeight="1">
      <c r="F944" s="1639" t="s">
        <v>2205</v>
      </c>
      <c r="G944" s="1640"/>
      <c r="H944" s="1640"/>
      <c r="I944" s="1640"/>
      <c r="J944" s="1640"/>
      <c r="K944" s="1640"/>
      <c r="L944" s="1640"/>
      <c r="M944" s="1640"/>
      <c r="N944" s="1640"/>
      <c r="O944" s="1640"/>
      <c r="P944" s="1640"/>
      <c r="Q944" s="1640"/>
      <c r="R944" s="1640"/>
      <c r="S944" s="1640"/>
      <c r="T944" s="1641"/>
      <c r="U944" s="1401" t="s">
        <v>591</v>
      </c>
      <c r="V944" s="1402"/>
      <c r="W944" s="1402"/>
      <c r="X944" s="1402"/>
      <c r="Y944" s="1402"/>
      <c r="Z944" s="1403"/>
      <c r="AA944" s="1407"/>
      <c r="AB944" s="1408"/>
      <c r="AC944" s="1408"/>
      <c r="AD944" s="1408"/>
      <c r="AE944" s="1408"/>
      <c r="AF944" s="1409"/>
      <c r="AZ944" s="34"/>
      <c r="BA944" s="34"/>
      <c r="BB944" s="34"/>
      <c r="BC944" s="34"/>
    </row>
    <row r="945" spans="1:55" ht="12.95" customHeight="1">
      <c r="F945" s="45" t="s">
        <v>806</v>
      </c>
      <c r="G945" s="5"/>
      <c r="H945" s="5"/>
      <c r="I945" s="5"/>
      <c r="J945" s="5"/>
      <c r="K945" s="5"/>
      <c r="L945" s="5"/>
      <c r="M945" s="5"/>
      <c r="N945" s="5"/>
      <c r="O945" s="5"/>
      <c r="P945" s="1401" t="s">
        <v>669</v>
      </c>
      <c r="Q945" s="1402"/>
      <c r="R945" s="1402"/>
      <c r="S945" s="1402"/>
      <c r="T945" s="1403"/>
      <c r="U945" s="1401" t="s">
        <v>591</v>
      </c>
      <c r="V945" s="1402"/>
      <c r="W945" s="1402"/>
      <c r="X945" s="1402"/>
      <c r="Y945" s="1402"/>
      <c r="Z945" s="1403"/>
      <c r="AA945" s="1407"/>
      <c r="AB945" s="1408"/>
      <c r="AC945" s="1408"/>
      <c r="AD945" s="1408"/>
      <c r="AE945" s="1408"/>
      <c r="AF945" s="1409"/>
      <c r="AZ945" s="34"/>
      <c r="BA945" s="34"/>
      <c r="BB945" s="34"/>
      <c r="BC945" s="34"/>
    </row>
    <row r="946" spans="1:55" ht="12.95" customHeight="1">
      <c r="F946" s="1601" t="s">
        <v>2192</v>
      </c>
      <c r="G946" s="1602"/>
      <c r="H946" s="1603"/>
      <c r="I946" s="1593" t="s">
        <v>333</v>
      </c>
      <c r="J946" s="1594"/>
      <c r="K946" s="1594"/>
      <c r="L946" s="1594"/>
      <c r="M946" s="1594"/>
      <c r="N946" s="1594"/>
      <c r="O946" s="1594"/>
      <c r="P946" s="1594"/>
      <c r="Q946" s="1594"/>
      <c r="R946" s="1594"/>
      <c r="S946" s="1594"/>
      <c r="T946" s="1595"/>
      <c r="U946" s="1401" t="s">
        <v>591</v>
      </c>
      <c r="V946" s="1402"/>
      <c r="W946" s="1402"/>
      <c r="X946" s="1402"/>
      <c r="Y946" s="1402"/>
      <c r="Z946" s="1403"/>
      <c r="AA946" s="1407"/>
      <c r="AB946" s="1408"/>
      <c r="AC946" s="1408"/>
      <c r="AD946" s="1408"/>
      <c r="AE946" s="1408"/>
      <c r="AF946" s="1409"/>
      <c r="AZ946" s="34"/>
      <c r="BA946" s="34"/>
      <c r="BB946" s="34"/>
      <c r="BC946" s="34"/>
    </row>
    <row r="947" spans="1:55" ht="12.95" customHeight="1">
      <c r="F947" s="45" t="s">
        <v>86</v>
      </c>
      <c r="G947" s="48"/>
      <c r="H947" s="48"/>
      <c r="I947" s="1593" t="s">
        <v>333</v>
      </c>
      <c r="J947" s="1594"/>
      <c r="K947" s="1594"/>
      <c r="L947" s="1594"/>
      <c r="M947" s="1594"/>
      <c r="N947" s="1594"/>
      <c r="O947" s="1594"/>
      <c r="P947" s="1594"/>
      <c r="Q947" s="1594"/>
      <c r="R947" s="1594"/>
      <c r="S947" s="1594"/>
      <c r="T947" s="1595"/>
      <c r="U947" s="1401" t="s">
        <v>591</v>
      </c>
      <c r="V947" s="1402"/>
      <c r="W947" s="1402"/>
      <c r="X947" s="1402"/>
      <c r="Y947" s="1402"/>
      <c r="Z947" s="1403"/>
      <c r="AA947" s="1407"/>
      <c r="AB947" s="1408"/>
      <c r="AC947" s="1408"/>
      <c r="AD947" s="1408"/>
      <c r="AE947" s="1408"/>
      <c r="AF947" s="1409"/>
      <c r="AZ947" s="34"/>
      <c r="BA947" s="34"/>
      <c r="BB947" s="34"/>
      <c r="BC947" s="34"/>
    </row>
    <row r="948" spans="1:55" ht="12.95" customHeight="1">
      <c r="F948" s="45" t="s">
        <v>10</v>
      </c>
      <c r="G948" s="48"/>
      <c r="H948" s="48"/>
      <c r="I948" s="1593" t="s">
        <v>2612</v>
      </c>
      <c r="J948" s="1537"/>
      <c r="K948" s="1537"/>
      <c r="L948" s="1537"/>
      <c r="M948" s="1537"/>
      <c r="N948" s="1537"/>
      <c r="O948" s="1537"/>
      <c r="P948" s="1537"/>
      <c r="Q948" s="1537"/>
      <c r="R948" s="1537"/>
      <c r="S948" s="1537"/>
      <c r="T948" s="1538"/>
      <c r="U948" s="1401" t="s">
        <v>545</v>
      </c>
      <c r="V948" s="1402"/>
      <c r="W948" s="1402"/>
      <c r="X948" s="1402"/>
      <c r="Y948" s="1402"/>
      <c r="Z948" s="1403"/>
      <c r="AA948" s="1407">
        <f>AO629</f>
        <v>762535</v>
      </c>
      <c r="AB948" s="1408"/>
      <c r="AC948" s="1408"/>
      <c r="AD948" s="1408"/>
      <c r="AE948" s="1408"/>
      <c r="AF948" s="1409"/>
      <c r="AV948" s="2"/>
      <c r="AW948" s="2"/>
      <c r="AX948" s="2"/>
      <c r="AY948" s="2"/>
      <c r="AZ948" s="34"/>
      <c r="BA948" s="34"/>
      <c r="BB948" s="34"/>
      <c r="BC948" s="34"/>
    </row>
    <row r="949" spans="1:55" ht="12.95" customHeight="1">
      <c r="F949" s="47" t="s">
        <v>169</v>
      </c>
      <c r="G949" s="48"/>
      <c r="H949" s="48"/>
      <c r="I949" s="1536" t="s">
        <v>333</v>
      </c>
      <c r="J949" s="1537"/>
      <c r="K949" s="1537"/>
      <c r="L949" s="1537"/>
      <c r="M949" s="1537"/>
      <c r="N949" s="1537"/>
      <c r="O949" s="1537"/>
      <c r="P949" s="1537"/>
      <c r="Q949" s="1537"/>
      <c r="R949" s="1537"/>
      <c r="S949" s="1537"/>
      <c r="T949" s="1538"/>
      <c r="U949" s="1401" t="s">
        <v>591</v>
      </c>
      <c r="V949" s="1402"/>
      <c r="W949" s="1402"/>
      <c r="X949" s="1402"/>
      <c r="Y949" s="1402"/>
      <c r="Z949" s="1403"/>
      <c r="AA949" s="1407"/>
      <c r="AB949" s="1408"/>
      <c r="AC949" s="1408"/>
      <c r="AD949" s="1408"/>
      <c r="AE949" s="1408"/>
      <c r="AF949" s="1409"/>
      <c r="AU949" s="2"/>
      <c r="AZ949" s="34"/>
      <c r="BA949" s="34"/>
      <c r="BB949" s="34"/>
      <c r="BC949" s="34"/>
    </row>
    <row r="950" spans="1:55" ht="12.95" customHeight="1">
      <c r="F950" s="47" t="s">
        <v>169</v>
      </c>
      <c r="G950" s="48"/>
      <c r="H950" s="48"/>
      <c r="I950" s="1536" t="s">
        <v>333</v>
      </c>
      <c r="J950" s="1537"/>
      <c r="K950" s="1537"/>
      <c r="L950" s="1537"/>
      <c r="M950" s="1537"/>
      <c r="N950" s="1537"/>
      <c r="O950" s="1537"/>
      <c r="P950" s="1537"/>
      <c r="Q950" s="1537"/>
      <c r="R950" s="1537"/>
      <c r="S950" s="1537"/>
      <c r="T950" s="1538"/>
      <c r="U950" s="1401" t="s">
        <v>591</v>
      </c>
      <c r="V950" s="1402"/>
      <c r="W950" s="1402"/>
      <c r="X950" s="1402"/>
      <c r="Y950" s="1402"/>
      <c r="Z950" s="1403"/>
      <c r="AA950" s="1407"/>
      <c r="AB950" s="1408"/>
      <c r="AC950" s="1408"/>
      <c r="AD950" s="1408"/>
      <c r="AE950" s="1408"/>
      <c r="AF950" s="1409"/>
      <c r="AU950" s="2"/>
      <c r="AZ950" s="34"/>
      <c r="BA950" s="34"/>
      <c r="BB950" s="34"/>
      <c r="BC950" s="34"/>
    </row>
    <row r="951" spans="1:55" ht="12.95" customHeight="1">
      <c r="AU951" s="2"/>
      <c r="AZ951" s="34"/>
      <c r="BA951" s="34"/>
      <c r="BB951" s="34"/>
      <c r="BC951" s="34"/>
    </row>
    <row r="952" spans="1:55" ht="12.95" customHeight="1">
      <c r="A952" s="2" t="s">
        <v>576</v>
      </c>
      <c r="C952" s="2" t="s">
        <v>751</v>
      </c>
      <c r="AZ952" s="34"/>
      <c r="BA952" s="34"/>
      <c r="BB952" s="34"/>
      <c r="BC952" s="34"/>
    </row>
    <row r="953" spans="1:55" ht="12.95" customHeight="1">
      <c r="B953" s="2"/>
      <c r="C953" s="22" t="s">
        <v>391</v>
      </c>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Z953" s="34"/>
      <c r="BA953" s="34"/>
      <c r="BB953" s="34"/>
      <c r="BC953" s="34"/>
    </row>
    <row r="954" spans="1:55" ht="12.95" customHeight="1">
      <c r="AZ954" s="34"/>
      <c r="BA954" s="34"/>
      <c r="BB954" s="34"/>
      <c r="BC954" s="34"/>
    </row>
    <row r="955" spans="1:55" ht="12.95" customHeight="1">
      <c r="C955" s="66" t="s">
        <v>11</v>
      </c>
      <c r="D955" s="5"/>
      <c r="E955" s="5"/>
      <c r="F955" s="5"/>
      <c r="G955" s="5"/>
      <c r="H955" s="5"/>
      <c r="I955" s="5"/>
      <c r="J955" s="5"/>
      <c r="K955" s="5"/>
      <c r="L955" s="46"/>
      <c r="M955" s="1533"/>
      <c r="N955" s="1534"/>
      <c r="O955" s="1534"/>
      <c r="P955" s="1534"/>
      <c r="Q955" s="1534"/>
      <c r="R955" s="1534"/>
      <c r="S955" s="1535"/>
      <c r="U955" s="66" t="s">
        <v>11</v>
      </c>
      <c r="V955" s="5"/>
      <c r="W955" s="5"/>
      <c r="X955" s="5"/>
      <c r="Y955" s="5"/>
      <c r="Z955" s="5"/>
      <c r="AA955" s="5"/>
      <c r="AB955" s="5"/>
      <c r="AC955" s="5"/>
      <c r="AD955" s="46"/>
      <c r="AE955" s="1533"/>
      <c r="AF955" s="1534"/>
      <c r="AG955" s="1534"/>
      <c r="AH955" s="1534"/>
      <c r="AI955" s="1534"/>
      <c r="AJ955" s="1534"/>
      <c r="AK955" s="1535"/>
      <c r="AZ955" s="34"/>
      <c r="BA955" s="34"/>
      <c r="BB955" s="34"/>
      <c r="BC955" s="34"/>
    </row>
    <row r="956" spans="1:55" ht="12.95" customHeight="1">
      <c r="C956" s="66" t="s">
        <v>12</v>
      </c>
      <c r="D956" s="5"/>
      <c r="E956" s="5"/>
      <c r="F956" s="5"/>
      <c r="G956" s="5"/>
      <c r="H956" s="5"/>
      <c r="I956" s="5"/>
      <c r="J956" s="5"/>
      <c r="K956" s="5"/>
      <c r="L956" s="46"/>
      <c r="M956" s="1545"/>
      <c r="N956" s="1546"/>
      <c r="O956" s="1546"/>
      <c r="P956" s="1546"/>
      <c r="Q956" s="1546"/>
      <c r="R956" s="1546"/>
      <c r="S956" s="1547"/>
      <c r="U956" s="66" t="s">
        <v>12</v>
      </c>
      <c r="V956" s="5"/>
      <c r="W956" s="5"/>
      <c r="X956" s="5"/>
      <c r="Y956" s="5"/>
      <c r="Z956" s="5"/>
      <c r="AA956" s="5"/>
      <c r="AB956" s="5"/>
      <c r="AC956" s="5"/>
      <c r="AD956" s="46"/>
      <c r="AE956" s="1545"/>
      <c r="AF956" s="1546"/>
      <c r="AG956" s="1546"/>
      <c r="AH956" s="1546"/>
      <c r="AI956" s="1546"/>
      <c r="AJ956" s="1546"/>
      <c r="AK956" s="1547"/>
      <c r="AZ956" s="34"/>
      <c r="BA956" s="34"/>
      <c r="BB956" s="34"/>
      <c r="BC956" s="34"/>
    </row>
    <row r="957" spans="1:55" ht="12.95" customHeight="1">
      <c r="C957" s="66" t="s">
        <v>880</v>
      </c>
      <c r="D957" s="5"/>
      <c r="E957" s="5"/>
      <c r="J957" s="1553" t="s">
        <v>306</v>
      </c>
      <c r="K957" s="1554"/>
      <c r="L957" s="1554"/>
      <c r="M957" s="1554"/>
      <c r="N957" s="1554"/>
      <c r="O957" s="1554"/>
      <c r="P957" s="1554"/>
      <c r="Q957" s="1554"/>
      <c r="R957" s="1554"/>
      <c r="S957" s="1555"/>
      <c r="U957" s="66" t="s">
        <v>880</v>
      </c>
      <c r="V957" s="5"/>
      <c r="W957" s="5"/>
      <c r="AB957" s="1553" t="s">
        <v>306</v>
      </c>
      <c r="AC957" s="1554"/>
      <c r="AD957" s="1554"/>
      <c r="AE957" s="1554"/>
      <c r="AF957" s="1554"/>
      <c r="AG957" s="1554"/>
      <c r="AH957" s="1554"/>
      <c r="AI957" s="1554"/>
      <c r="AJ957" s="1554"/>
      <c r="AK957" s="1555"/>
      <c r="AZ957" s="34"/>
      <c r="BA957" s="34"/>
      <c r="BB957" s="34"/>
      <c r="BC957" s="34"/>
    </row>
    <row r="958" spans="1:55" ht="12.95" customHeight="1">
      <c r="C958" s="66" t="s">
        <v>13</v>
      </c>
      <c r="D958" s="5"/>
      <c r="E958" s="5"/>
      <c r="F958" s="5"/>
      <c r="G958" s="5"/>
      <c r="H958" s="5"/>
      <c r="I958" s="5"/>
      <c r="J958" s="5"/>
      <c r="K958" s="5"/>
      <c r="L958" s="46"/>
      <c r="M958" s="1638"/>
      <c r="N958" s="1597"/>
      <c r="O958" s="1597"/>
      <c r="P958" s="1597"/>
      <c r="Q958" s="1597"/>
      <c r="R958" s="1597"/>
      <c r="S958" s="1598"/>
      <c r="U958" s="66" t="s">
        <v>13</v>
      </c>
      <c r="V958" s="5"/>
      <c r="W958" s="5"/>
      <c r="X958" s="5"/>
      <c r="Y958" s="5"/>
      <c r="Z958" s="5"/>
      <c r="AA958" s="5"/>
      <c r="AB958" s="5"/>
      <c r="AC958" s="5"/>
      <c r="AD958" s="46"/>
      <c r="AE958" s="1596"/>
      <c r="AF958" s="1597"/>
      <c r="AG958" s="1597"/>
      <c r="AH958" s="1597"/>
      <c r="AI958" s="1597"/>
      <c r="AJ958" s="1597"/>
      <c r="AK958" s="1598"/>
      <c r="AZ958" s="34"/>
      <c r="BA958" s="34"/>
      <c r="BB958" s="34"/>
      <c r="BC958" s="34"/>
    </row>
    <row r="959" spans="1:55" ht="12.95" customHeight="1">
      <c r="C959" s="66" t="s">
        <v>14</v>
      </c>
      <c r="D959" s="5"/>
      <c r="E959" s="5"/>
      <c r="F959" s="5"/>
      <c r="G959" s="5"/>
      <c r="H959" s="5"/>
      <c r="I959" s="5"/>
      <c r="J959" s="5"/>
      <c r="K959" s="5"/>
      <c r="L959" s="46"/>
      <c r="M959" s="1560"/>
      <c r="N959" s="1561"/>
      <c r="O959" s="1561"/>
      <c r="P959" s="1561"/>
      <c r="Q959" s="1561"/>
      <c r="R959" s="1561"/>
      <c r="S959" s="1562"/>
      <c r="U959" s="66" t="s">
        <v>14</v>
      </c>
      <c r="V959" s="5"/>
      <c r="W959" s="5"/>
      <c r="X959" s="5"/>
      <c r="Y959" s="5"/>
      <c r="Z959" s="5"/>
      <c r="AA959" s="5"/>
      <c r="AB959" s="5"/>
      <c r="AC959" s="5"/>
      <c r="AD959" s="46"/>
      <c r="AE959" s="1560"/>
      <c r="AF959" s="1561"/>
      <c r="AG959" s="1561"/>
      <c r="AH959" s="1561"/>
      <c r="AI959" s="1561"/>
      <c r="AJ959" s="1561"/>
      <c r="AK959" s="1562"/>
      <c r="AV959" s="2"/>
      <c r="AW959" s="2"/>
      <c r="AX959" s="2"/>
      <c r="AY959" s="2"/>
      <c r="AZ959" s="34"/>
      <c r="BA959" s="34"/>
      <c r="BB959" s="34"/>
      <c r="BC959" s="34"/>
    </row>
    <row r="960" spans="1:55" ht="12.95" customHeight="1">
      <c r="C960" s="66" t="s">
        <v>15</v>
      </c>
      <c r="D960" s="5"/>
      <c r="E960" s="5"/>
      <c r="F960" s="5"/>
      <c r="G960" s="5"/>
      <c r="H960" s="5"/>
      <c r="I960" s="5"/>
      <c r="J960" s="5"/>
      <c r="K960" s="5"/>
      <c r="L960" s="46"/>
      <c r="M960" s="1407"/>
      <c r="N960" s="1408"/>
      <c r="O960" s="1408"/>
      <c r="P960" s="1408"/>
      <c r="Q960" s="1408"/>
      <c r="R960" s="1408"/>
      <c r="S960" s="1409"/>
      <c r="U960" s="66" t="s">
        <v>15</v>
      </c>
      <c r="V960" s="5"/>
      <c r="W960" s="5"/>
      <c r="X960" s="5"/>
      <c r="Y960" s="5"/>
      <c r="Z960" s="5"/>
      <c r="AA960" s="5"/>
      <c r="AB960" s="5"/>
      <c r="AC960" s="5"/>
      <c r="AD960" s="46"/>
      <c r="AE960" s="1407"/>
      <c r="AF960" s="1408"/>
      <c r="AG960" s="1408"/>
      <c r="AH960" s="1408"/>
      <c r="AI960" s="1408"/>
      <c r="AJ960" s="1408"/>
      <c r="AK960" s="1409"/>
      <c r="AV960" s="2"/>
      <c r="AW960" s="2"/>
      <c r="AX960" s="2"/>
      <c r="AY960" s="2"/>
      <c r="AZ960" s="34"/>
      <c r="BA960" s="34"/>
      <c r="BB960" s="34"/>
      <c r="BC960" s="34"/>
    </row>
    <row r="961" spans="1:64" ht="12.95" customHeight="1">
      <c r="C961" s="66" t="s">
        <v>16</v>
      </c>
      <c r="D961" s="5"/>
      <c r="E961" s="5"/>
      <c r="F961" s="5"/>
      <c r="G961" s="5"/>
      <c r="H961" s="5"/>
      <c r="I961" s="5"/>
      <c r="J961" s="5"/>
      <c r="K961" s="5"/>
      <c r="L961" s="46"/>
      <c r="M961" s="1407"/>
      <c r="N961" s="1408"/>
      <c r="O961" s="1408"/>
      <c r="P961" s="1408"/>
      <c r="Q961" s="1408"/>
      <c r="R961" s="1408"/>
      <c r="S961" s="1409"/>
      <c r="U961" s="66" t="s">
        <v>16</v>
      </c>
      <c r="V961" s="5"/>
      <c r="W961" s="5"/>
      <c r="X961" s="5"/>
      <c r="Y961" s="5"/>
      <c r="Z961" s="5"/>
      <c r="AA961" s="5"/>
      <c r="AB961" s="5"/>
      <c r="AC961" s="5"/>
      <c r="AD961" s="46"/>
      <c r="AE961" s="1407"/>
      <c r="AF961" s="1408"/>
      <c r="AG961" s="1408"/>
      <c r="AH961" s="1408"/>
      <c r="AI961" s="1408"/>
      <c r="AJ961" s="1408"/>
      <c r="AK961" s="1409"/>
      <c r="AV961" s="2"/>
      <c r="AW961" s="2"/>
      <c r="AX961" s="2"/>
      <c r="AY961" s="2"/>
      <c r="AZ961" s="34"/>
      <c r="BB961" s="34"/>
      <c r="BC961" s="34"/>
    </row>
    <row r="962" spans="1:64" ht="12.95" customHeight="1">
      <c r="C962" s="121" t="s">
        <v>1661</v>
      </c>
      <c r="D962" s="5"/>
      <c r="E962" s="5"/>
      <c r="F962" s="5"/>
      <c r="G962" s="5"/>
      <c r="H962" s="5"/>
      <c r="I962" s="5"/>
      <c r="J962" s="5"/>
      <c r="K962" s="5"/>
      <c r="L962" s="46"/>
      <c r="M962" s="1404"/>
      <c r="N962" s="1405"/>
      <c r="O962" s="1405"/>
      <c r="P962" s="1405"/>
      <c r="Q962" s="1405"/>
      <c r="R962" s="1405"/>
      <c r="S962" s="1406"/>
      <c r="U962" s="121" t="s">
        <v>1661</v>
      </c>
      <c r="V962" s="5"/>
      <c r="W962" s="5"/>
      <c r="X962" s="5"/>
      <c r="Y962" s="5"/>
      <c r="Z962" s="5"/>
      <c r="AA962" s="5"/>
      <c r="AB962" s="5"/>
      <c r="AC962" s="5"/>
      <c r="AD962" s="46"/>
      <c r="AE962" s="1404"/>
      <c r="AF962" s="1405"/>
      <c r="AG962" s="1405"/>
      <c r="AH962" s="1405"/>
      <c r="AI962" s="1405"/>
      <c r="AJ962" s="1405"/>
      <c r="AK962" s="1406"/>
      <c r="AZ962" s="34"/>
      <c r="BB962" s="34"/>
      <c r="BC962" s="34"/>
      <c r="BD962" s="34"/>
      <c r="BE962" s="34"/>
      <c r="BF962" s="34"/>
      <c r="BG962" s="34"/>
      <c r="BH962" s="34"/>
      <c r="BI962" s="34"/>
      <c r="BJ962" s="34"/>
      <c r="BK962" s="34"/>
      <c r="BL962" s="34"/>
    </row>
    <row r="963" spans="1:64" ht="12.95" customHeight="1">
      <c r="AZ963" s="34"/>
      <c r="BB963" s="34"/>
      <c r="BC963" s="34"/>
      <c r="BD963" s="34"/>
      <c r="BE963" s="34"/>
      <c r="BF963" s="34"/>
      <c r="BG963" s="34"/>
      <c r="BH963" s="34"/>
      <c r="BI963" s="34"/>
      <c r="BJ963" s="34"/>
      <c r="BK963" s="34"/>
      <c r="BL963" s="34"/>
    </row>
    <row r="964" spans="1:64" ht="12.95" customHeight="1">
      <c r="A964" s="2" t="s">
        <v>586</v>
      </c>
      <c r="C964" s="2" t="s">
        <v>650</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Z964" s="34"/>
      <c r="BB964" s="34"/>
      <c r="BC964" s="34"/>
      <c r="BD964" s="34"/>
      <c r="BE964" s="34"/>
      <c r="BF964" s="34"/>
      <c r="BG964" s="34"/>
      <c r="BH964" s="34"/>
      <c r="BI964" s="34"/>
      <c r="BJ964" s="34"/>
      <c r="BK964" s="34"/>
      <c r="BL964" s="34"/>
    </row>
    <row r="965" spans="1:64" s="14" customFormat="1" ht="12.95" customHeight="1">
      <c r="A965"/>
      <c r="B965" s="2"/>
      <c r="C965" s="22" t="s">
        <v>179</v>
      </c>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95"/>
      <c r="AV965"/>
      <c r="AW965"/>
      <c r="AX965"/>
      <c r="AY965"/>
      <c r="AZ965" s="34"/>
      <c r="BA965"/>
      <c r="BB965" s="34"/>
      <c r="BC965" s="34"/>
      <c r="BD965" s="34"/>
      <c r="BE965" s="34"/>
      <c r="BF965" s="34"/>
      <c r="BG965" s="34"/>
      <c r="BH965" s="34"/>
      <c r="BI965" s="34"/>
      <c r="BJ965" s="34"/>
      <c r="BK965" s="34"/>
      <c r="BL965" s="34"/>
    </row>
    <row r="966" spans="1:64" s="14" customFormat="1" ht="12.95" customHeight="1">
      <c r="A966"/>
      <c r="B966" s="2"/>
      <c r="C966" s="2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68"/>
      <c r="AV966"/>
      <c r="AW966"/>
      <c r="AX966"/>
      <c r="AY966"/>
      <c r="AZ966" s="34"/>
      <c r="BA966"/>
      <c r="BB966" s="34"/>
      <c r="BC966" s="34"/>
      <c r="BD966" s="34"/>
      <c r="BE966" s="34"/>
      <c r="BF966" s="34"/>
      <c r="BG966" s="34"/>
      <c r="BH966" s="34"/>
      <c r="BI966" s="34"/>
      <c r="BJ966" s="34"/>
      <c r="BK966" s="34"/>
      <c r="BL966" s="34"/>
    </row>
    <row r="967" spans="1:64" s="14" customFormat="1" ht="12.95" customHeight="1">
      <c r="A967"/>
      <c r="B967"/>
      <c r="C967"/>
      <c r="D967"/>
      <c r="E967"/>
      <c r="F967" s="45" t="s">
        <v>571</v>
      </c>
      <c r="G967" s="5"/>
      <c r="H967" s="5"/>
      <c r="I967" s="5"/>
      <c r="J967" s="5"/>
      <c r="K967" s="5"/>
      <c r="L967" s="46"/>
      <c r="M967" s="1530"/>
      <c r="N967" s="1531"/>
      <c r="O967" s="1531"/>
      <c r="P967" s="1531"/>
      <c r="Q967" s="1531"/>
      <c r="R967" s="1531"/>
      <c r="S967" s="1532"/>
      <c r="T967" s="66" t="s">
        <v>790</v>
      </c>
      <c r="U967" s="5"/>
      <c r="V967" s="5"/>
      <c r="W967" s="5"/>
      <c r="X967" s="5"/>
      <c r="Y967" s="5"/>
      <c r="Z967" s="46"/>
      <c r="AA967" s="1530"/>
      <c r="AB967" s="1531"/>
      <c r="AC967" s="1531"/>
      <c r="AD967" s="1531"/>
      <c r="AE967" s="1531"/>
      <c r="AF967" s="1531"/>
      <c r="AG967" s="1532"/>
      <c r="AH967"/>
      <c r="AI967"/>
      <c r="AJ967"/>
      <c r="AK967"/>
      <c r="AL967"/>
      <c r="AM967"/>
      <c r="AN967"/>
      <c r="AO967"/>
      <c r="AP967"/>
      <c r="AQ967"/>
      <c r="AR967"/>
      <c r="AS967"/>
      <c r="AT967"/>
      <c r="AU967" s="68"/>
      <c r="AV967"/>
      <c r="AW967"/>
      <c r="AX967"/>
      <c r="AY967"/>
      <c r="AZ967" s="34"/>
      <c r="BA967"/>
      <c r="BB967" s="34"/>
      <c r="BC967" s="34"/>
      <c r="BD967" s="34"/>
      <c r="BE967" s="34"/>
      <c r="BF967" s="34"/>
      <c r="BG967" s="34"/>
      <c r="BH967" s="34"/>
      <c r="BI967" s="34"/>
      <c r="BJ967" s="34"/>
      <c r="BK967" s="34"/>
      <c r="BL967" s="34"/>
    </row>
    <row r="968" spans="1:64" s="14" customFormat="1" ht="12.95" customHeight="1">
      <c r="A968"/>
      <c r="B968"/>
      <c r="C968"/>
      <c r="D968"/>
      <c r="E968"/>
      <c r="F968" s="45" t="s">
        <v>572</v>
      </c>
      <c r="G968" s="5"/>
      <c r="H968" s="5"/>
      <c r="I968" s="5"/>
      <c r="J968" s="5"/>
      <c r="K968" s="5"/>
      <c r="L968" s="46"/>
      <c r="M968" s="1530"/>
      <c r="N968" s="1531"/>
      <c r="O968" s="1531"/>
      <c r="P968" s="1531"/>
      <c r="Q968" s="1531"/>
      <c r="R968" s="1531"/>
      <c r="S968" s="1532"/>
      <c r="T968" s="66" t="s">
        <v>789</v>
      </c>
      <c r="U968" s="5"/>
      <c r="V968" s="5"/>
      <c r="W968" s="5"/>
      <c r="X968" s="5"/>
      <c r="Y968" s="5"/>
      <c r="Z968" s="46"/>
      <c r="AA968" s="1530"/>
      <c r="AB968" s="1531"/>
      <c r="AC968" s="1531"/>
      <c r="AD968" s="1531"/>
      <c r="AE968" s="1531"/>
      <c r="AF968" s="1531"/>
      <c r="AG968" s="1532"/>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row>
    <row r="969" spans="1:64" s="14" customFormat="1" ht="12.95" customHeight="1">
      <c r="A969"/>
      <c r="B969"/>
      <c r="C969"/>
      <c r="D969"/>
      <c r="E969"/>
      <c r="F969" s="45" t="s">
        <v>901</v>
      </c>
      <c r="G969" s="5"/>
      <c r="H969" s="5"/>
      <c r="I969" s="5"/>
      <c r="J969" s="5"/>
      <c r="K969" s="5"/>
      <c r="L969" s="46"/>
      <c r="M969" s="1643" t="s">
        <v>591</v>
      </c>
      <c r="N969" s="1644"/>
      <c r="O969" s="1644"/>
      <c r="P969" s="1644"/>
      <c r="Q969" s="1644"/>
      <c r="R969" s="1644"/>
      <c r="S969" s="1645"/>
      <c r="T969" s="45" t="s">
        <v>336</v>
      </c>
      <c r="U969" s="5"/>
      <c r="V969" s="5"/>
      <c r="W969" s="5"/>
      <c r="X969" s="5"/>
      <c r="Y969" s="5"/>
      <c r="Z969" s="46"/>
      <c r="AA969" s="1530"/>
      <c r="AB969" s="1531"/>
      <c r="AC969" s="1531"/>
      <c r="AD969" s="1531"/>
      <c r="AE969" s="1531"/>
      <c r="AF969" s="1531"/>
      <c r="AG969" s="1532"/>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row>
    <row r="970" spans="1:64" s="14" customFormat="1" ht="12.95" customHeight="1">
      <c r="A970"/>
      <c r="B970"/>
      <c r="C970"/>
      <c r="D970"/>
      <c r="E970"/>
      <c r="F970" s="45" t="s">
        <v>573</v>
      </c>
      <c r="G970" s="5"/>
      <c r="H970" s="5"/>
      <c r="I970" s="5"/>
      <c r="J970" s="5"/>
      <c r="K970" s="5"/>
      <c r="L970" s="46"/>
      <c r="M970" s="1530"/>
      <c r="N970" s="1531"/>
      <c r="O970" s="1531"/>
      <c r="P970" s="1531"/>
      <c r="Q970" s="1531"/>
      <c r="R970" s="1531"/>
      <c r="S970" s="1532"/>
      <c r="T970" s="45" t="s">
        <v>337</v>
      </c>
      <c r="U970" s="5"/>
      <c r="V970" s="5"/>
      <c r="W970" s="5"/>
      <c r="X970" s="5"/>
      <c r="Y970" s="5"/>
      <c r="Z970" s="46"/>
      <c r="AA970" s="1530"/>
      <c r="AB970" s="1531"/>
      <c r="AC970" s="1531"/>
      <c r="AD970" s="1531"/>
      <c r="AE970" s="1531"/>
      <c r="AF970" s="1531"/>
      <c r="AG970" s="1532"/>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row>
    <row r="971" spans="1:64" s="14" customFormat="1" ht="12.95" customHeight="1">
      <c r="A971"/>
      <c r="B971"/>
      <c r="C971"/>
      <c r="D971"/>
      <c r="E971"/>
      <c r="F971" s="45" t="s">
        <v>464</v>
      </c>
      <c r="G971" s="5"/>
      <c r="H971" s="5"/>
      <c r="I971" s="5"/>
      <c r="J971" s="5"/>
      <c r="K971" s="5"/>
      <c r="L971" s="46"/>
      <c r="M971" s="1530"/>
      <c r="N971" s="1531"/>
      <c r="O971" s="1531"/>
      <c r="P971" s="1531"/>
      <c r="Q971" s="1531"/>
      <c r="R971" s="1531"/>
      <c r="S971" s="1532"/>
      <c r="T971" s="45" t="s">
        <v>375</v>
      </c>
      <c r="U971" s="5"/>
      <c r="V971" s="5"/>
      <c r="W971" s="5"/>
      <c r="X971" s="5"/>
      <c r="Y971" s="5"/>
      <c r="Z971" s="46"/>
      <c r="AA971" s="1530"/>
      <c r="AB971" s="1531"/>
      <c r="AC971" s="1531"/>
      <c r="AD971" s="1531"/>
      <c r="AE971" s="1531"/>
      <c r="AF971" s="1531"/>
      <c r="AG971" s="1532"/>
      <c r="AH971"/>
      <c r="AI971"/>
      <c r="AJ971"/>
      <c r="AK971"/>
      <c r="AL971"/>
      <c r="AM971"/>
      <c r="AN971"/>
      <c r="AO971"/>
      <c r="AP971"/>
      <c r="AQ971"/>
      <c r="AR971"/>
      <c r="AS971"/>
      <c r="AT971"/>
      <c r="AU971" s="68"/>
      <c r="AV971"/>
      <c r="AW971"/>
      <c r="AX971"/>
      <c r="AY971"/>
      <c r="AZ971" s="34"/>
      <c r="BA971"/>
      <c r="BB971" s="34"/>
      <c r="BC971" s="34"/>
      <c r="BD971" s="34"/>
      <c r="BE971" s="34"/>
      <c r="BF971"/>
      <c r="BG971"/>
      <c r="BH971"/>
      <c r="BI971"/>
      <c r="BJ971" s="34"/>
      <c r="BK971" s="34"/>
      <c r="BL971" s="34"/>
    </row>
    <row r="972" spans="1:64" s="14" customFormat="1" ht="12.95" customHeight="1">
      <c r="A972"/>
      <c r="B972"/>
      <c r="C972"/>
      <c r="D972"/>
      <c r="E972"/>
      <c r="F972" s="242" t="s">
        <v>880</v>
      </c>
      <c r="G972" s="42"/>
      <c r="H972" s="42"/>
      <c r="I972" s="42"/>
      <c r="J972" s="42"/>
      <c r="K972" s="42"/>
      <c r="L972" s="58"/>
      <c r="M972" s="1553" t="s">
        <v>306</v>
      </c>
      <c r="N972" s="1554"/>
      <c r="O972" s="1554"/>
      <c r="P972" s="1554"/>
      <c r="Q972" s="1554"/>
      <c r="R972" s="1554"/>
      <c r="S972" s="1555"/>
      <c r="T972" s="1557"/>
      <c r="U972" s="1558"/>
      <c r="V972" s="1558"/>
      <c r="W972" s="1558"/>
      <c r="X972" s="1558"/>
      <c r="Y972" s="1558"/>
      <c r="Z972" s="1559"/>
      <c r="AA972" s="1530"/>
      <c r="AB972" s="1531"/>
      <c r="AC972" s="1531"/>
      <c r="AD972" s="1531"/>
      <c r="AE972" s="1531"/>
      <c r="AF972" s="1531"/>
      <c r="AG972" s="1532"/>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row>
    <row r="973" spans="1:64" s="14" customFormat="1" ht="12.95" customHeight="1">
      <c r="A973"/>
      <c r="B973"/>
      <c r="C973"/>
      <c r="D973"/>
      <c r="E973"/>
      <c r="F973" s="41" t="s">
        <v>465</v>
      </c>
      <c r="G973" s="42"/>
      <c r="H973" s="42"/>
      <c r="I973" s="42"/>
      <c r="J973" s="42"/>
      <c r="K973" s="42"/>
      <c r="L973" s="58"/>
      <c r="M973" s="1530"/>
      <c r="N973" s="1531"/>
      <c r="O973" s="1531"/>
      <c r="P973" s="1531"/>
      <c r="Q973" s="1531"/>
      <c r="R973" s="1531"/>
      <c r="S973" s="1532"/>
      <c r="T973" s="1557"/>
      <c r="U973" s="1558"/>
      <c r="V973" s="1558"/>
      <c r="W973" s="1558"/>
      <c r="X973" s="1558"/>
      <c r="Y973" s="1558"/>
      <c r="Z973" s="1559"/>
      <c r="AA973" s="1530"/>
      <c r="AB973" s="1531"/>
      <c r="AC973" s="1531"/>
      <c r="AD973" s="1531"/>
      <c r="AE973" s="1531"/>
      <c r="AF973" s="1531"/>
      <c r="AG973" s="1532"/>
      <c r="AH973"/>
      <c r="AI973"/>
      <c r="AJ973"/>
      <c r="AK973"/>
      <c r="AL973"/>
      <c r="AM973"/>
      <c r="AN973"/>
      <c r="AO973"/>
      <c r="AP973"/>
      <c r="AQ973"/>
      <c r="AR973"/>
      <c r="AS973"/>
      <c r="AT973"/>
      <c r="AU973" s="68"/>
      <c r="AV973"/>
      <c r="AW973"/>
      <c r="AX973"/>
      <c r="AY973"/>
      <c r="AZ973" s="34"/>
      <c r="BA973" s="34"/>
      <c r="BB973" s="34"/>
      <c r="BC973" s="34"/>
      <c r="BD973" s="34"/>
      <c r="BE973" s="34"/>
      <c r="BF973" s="34"/>
      <c r="BG973" s="34"/>
      <c r="BH973" s="34"/>
      <c r="BI973" s="34"/>
      <c r="BJ973" s="34"/>
      <c r="BK973" s="34"/>
      <c r="BL973" s="34"/>
    </row>
    <row r="974" spans="1:64" ht="12.95" customHeight="1">
      <c r="F974" s="41" t="s">
        <v>335</v>
      </c>
      <c r="G974" s="42"/>
      <c r="H974" s="42"/>
      <c r="I974" s="42"/>
      <c r="J974" s="42"/>
      <c r="K974" s="42"/>
      <c r="L974" s="42"/>
      <c r="M974" s="42"/>
      <c r="N974" s="42"/>
      <c r="O974" s="1577" t="s">
        <v>669</v>
      </c>
      <c r="P974" s="1578"/>
      <c r="Q974" s="92"/>
      <c r="R974" s="92"/>
      <c r="S974" s="93"/>
      <c r="T974" s="41" t="s">
        <v>169</v>
      </c>
      <c r="U974" s="42"/>
      <c r="V974" s="42"/>
      <c r="W974" s="1563" t="s">
        <v>333</v>
      </c>
      <c r="X974" s="1564"/>
      <c r="Y974" s="1564"/>
      <c r="Z974" s="1564"/>
      <c r="AA974" s="1564"/>
      <c r="AB974" s="1564"/>
      <c r="AC974" s="1564"/>
      <c r="AD974" s="1564"/>
      <c r="AE974" s="1564"/>
      <c r="AF974" s="1564"/>
      <c r="AG974" s="1565"/>
      <c r="AU974" s="68"/>
      <c r="AV974" s="95"/>
      <c r="AW974" s="95"/>
      <c r="AX974" s="95"/>
      <c r="AY974" s="95"/>
      <c r="AZ974" s="34"/>
      <c r="BB974" s="34"/>
      <c r="BC974" s="34"/>
      <c r="BD974" s="34"/>
      <c r="BE974" s="34"/>
      <c r="BF974" s="34"/>
      <c r="BG974" s="34"/>
      <c r="BH974" s="34"/>
      <c r="BI974" s="34"/>
      <c r="BJ974" s="34"/>
      <c r="BK974" s="34"/>
      <c r="BL974" s="34"/>
    </row>
    <row r="975" spans="1:64" ht="12.95" customHeight="1">
      <c r="F975" s="1548" t="s">
        <v>33</v>
      </c>
      <c r="G975" s="1358"/>
      <c r="H975" s="1358"/>
      <c r="I975" s="1358"/>
      <c r="J975" s="1358"/>
      <c r="K975" s="1358"/>
      <c r="L975" s="1358"/>
      <c r="M975" s="1530"/>
      <c r="N975" s="1531"/>
      <c r="O975" s="1531"/>
      <c r="P975" s="1531"/>
      <c r="Q975" s="1531"/>
      <c r="R975" s="1531"/>
      <c r="S975" s="1532"/>
      <c r="T975" s="47"/>
      <c r="U975" s="48"/>
      <c r="V975" s="48"/>
      <c r="W975" s="48"/>
      <c r="X975" s="48"/>
      <c r="Y975" s="48"/>
      <c r="Z975" s="124" t="s">
        <v>134</v>
      </c>
      <c r="AA975" s="1590"/>
      <c r="AB975" s="1591"/>
      <c r="AC975" s="1591"/>
      <c r="AD975" s="1591"/>
      <c r="AE975" s="1591"/>
      <c r="AF975" s="1591"/>
      <c r="AG975" s="1592"/>
      <c r="AU975" s="68"/>
      <c r="AV975" s="95"/>
      <c r="AW975" s="95"/>
      <c r="AX975" s="95"/>
      <c r="AY975" s="95"/>
      <c r="AZ975" s="14"/>
      <c r="BA975" s="14"/>
      <c r="BB975" s="34"/>
      <c r="BC975" s="34"/>
      <c r="BD975" s="34"/>
      <c r="BE975" s="34"/>
      <c r="BF975" s="34"/>
      <c r="BG975" s="14"/>
      <c r="BH975" s="14"/>
      <c r="BI975" s="14"/>
      <c r="BJ975" s="14"/>
      <c r="BK975" s="14"/>
      <c r="BL975" s="14"/>
    </row>
    <row r="976" spans="1:64" ht="12.95" customHeight="1">
      <c r="AU976" s="68"/>
      <c r="AV976" s="68"/>
      <c r="AW976" s="68"/>
      <c r="AX976" s="68"/>
      <c r="AY976" s="68"/>
      <c r="AZ976" s="14"/>
      <c r="BA976" s="14"/>
      <c r="BB976" s="14"/>
      <c r="BC976" s="14"/>
      <c r="BD976" s="14"/>
      <c r="BE976" s="14"/>
      <c r="BF976" s="14"/>
      <c r="BG976" s="1628"/>
      <c r="BH976" s="1628"/>
      <c r="BI976" s="1628"/>
      <c r="BJ976" s="1628"/>
      <c r="BK976" s="1628"/>
      <c r="BL976" s="1628"/>
    </row>
    <row r="977" spans="1:64" ht="12.95" customHeight="1">
      <c r="AU977" s="68"/>
      <c r="AV977" s="68"/>
      <c r="AW977" s="68"/>
      <c r="AX977" s="68"/>
      <c r="AY977" s="68"/>
      <c r="AZ977" s="14"/>
      <c r="BA977" s="14"/>
      <c r="BB977" s="912"/>
      <c r="BC977" s="912"/>
      <c r="BD977" s="14"/>
      <c r="BE977" s="14"/>
      <c r="BF977" s="14"/>
      <c r="BG977" s="14"/>
      <c r="BH977" s="14"/>
      <c r="BI977" s="14"/>
      <c r="BJ977" s="14"/>
      <c r="BK977" s="14"/>
      <c r="BL977" s="14"/>
    </row>
    <row r="978" spans="1:64" ht="12.95" customHeight="1">
      <c r="AU978" s="68"/>
      <c r="AV978" s="68"/>
      <c r="AW978" s="68"/>
      <c r="AX978" s="68"/>
      <c r="AY978" s="68"/>
      <c r="AZ978" s="14"/>
      <c r="BA978" s="14"/>
      <c r="BB978" s="912"/>
      <c r="BC978" s="912"/>
    </row>
    <row r="979" spans="1:64" ht="12.95" customHeight="1">
      <c r="A979" s="1422" t="s">
        <v>548</v>
      </c>
      <c r="B979" s="1422"/>
      <c r="C979" s="1422"/>
      <c r="D979" s="1422"/>
      <c r="E979" s="1422"/>
      <c r="F979" s="1422"/>
      <c r="G979" s="1422"/>
      <c r="H979" s="1422"/>
      <c r="I979" s="1422"/>
      <c r="J979" s="1422"/>
      <c r="K979" s="1422"/>
      <c r="L979" s="1422"/>
      <c r="M979" s="1422"/>
      <c r="N979" s="1422"/>
      <c r="O979" s="1422"/>
      <c r="P979" s="1422"/>
      <c r="Q979" s="1422"/>
      <c r="R979" s="1422"/>
      <c r="S979" s="1422"/>
      <c r="T979" s="1422"/>
      <c r="U979" s="1422"/>
      <c r="V979" s="1422"/>
      <c r="W979" s="1422"/>
      <c r="X979" s="1422"/>
      <c r="Y979" s="1422"/>
      <c r="Z979" s="1422"/>
      <c r="AA979" s="1422"/>
      <c r="AB979" s="1422"/>
      <c r="AC979" s="1422"/>
      <c r="AD979" s="1422"/>
      <c r="AE979" s="1422"/>
      <c r="AF979" s="1422"/>
      <c r="AG979" s="1422"/>
      <c r="AH979" s="1422"/>
      <c r="AI979" s="1422"/>
      <c r="AJ979" s="1422"/>
      <c r="AK979" s="1422"/>
      <c r="AL979" s="1422"/>
      <c r="AM979" s="1422"/>
      <c r="AN979" s="1422"/>
      <c r="AO979" s="1422"/>
      <c r="AP979" s="1422"/>
      <c r="AQ979" s="1422"/>
      <c r="AR979" s="1422"/>
      <c r="AS979" s="1422"/>
      <c r="AT979" s="1422"/>
      <c r="AU979" s="68"/>
      <c r="AV979" s="68"/>
      <c r="AW979" s="68"/>
      <c r="AX979" s="68"/>
      <c r="AY979" s="68"/>
      <c r="AZ979" s="14"/>
      <c r="BA979" s="14"/>
      <c r="BB979" s="912"/>
      <c r="BC979" s="912"/>
    </row>
    <row r="980" spans="1:64" ht="12.95" customHeight="1">
      <c r="A980" s="1422"/>
      <c r="B980" s="1422"/>
      <c r="C980" s="1422"/>
      <c r="D980" s="1422"/>
      <c r="E980" s="1422"/>
      <c r="F980" s="1422"/>
      <c r="G980" s="1422"/>
      <c r="H980" s="1422"/>
      <c r="I980" s="1422"/>
      <c r="J980" s="1422"/>
      <c r="K980" s="1422"/>
      <c r="L980" s="1422"/>
      <c r="M980" s="1422"/>
      <c r="N980" s="1422"/>
      <c r="O980" s="1422"/>
      <c r="P980" s="1422"/>
      <c r="Q980" s="1422"/>
      <c r="R980" s="1422"/>
      <c r="S980" s="1422"/>
      <c r="T980" s="1422"/>
      <c r="U980" s="1422"/>
      <c r="V980" s="1422"/>
      <c r="W980" s="1422"/>
      <c r="X980" s="1422"/>
      <c r="Y980" s="1422"/>
      <c r="Z980" s="1422"/>
      <c r="AA980" s="1422"/>
      <c r="AB980" s="1422"/>
      <c r="AC980" s="1422"/>
      <c r="AD980" s="1422"/>
      <c r="AE980" s="1422"/>
      <c r="AF980" s="1422"/>
      <c r="AG980" s="1422"/>
      <c r="AH980" s="1422"/>
      <c r="AI980" s="1422"/>
      <c r="AJ980" s="1422"/>
      <c r="AK980" s="1422"/>
      <c r="AL980" s="1422"/>
      <c r="AM980" s="1422"/>
      <c r="AN980" s="1422"/>
      <c r="AO980" s="1422"/>
      <c r="AP980" s="1422"/>
      <c r="AQ980" s="1422"/>
      <c r="AR980" s="1422"/>
      <c r="AS980" s="1422"/>
      <c r="AT980" s="1422"/>
      <c r="AU980" s="68"/>
      <c r="AV980" s="68"/>
      <c r="AW980" s="68"/>
      <c r="AX980" s="68"/>
      <c r="AY980" s="68"/>
      <c r="AZ980" s="30"/>
      <c r="BA980" s="14"/>
      <c r="BB980" s="14"/>
      <c r="BC980" s="14"/>
    </row>
    <row r="981" spans="1:64" ht="12.95" customHeight="1">
      <c r="A981" s="1422"/>
      <c r="B981" s="1422"/>
      <c r="C981" s="1422"/>
      <c r="D981" s="1422"/>
      <c r="E981" s="1422"/>
      <c r="F981" s="1422"/>
      <c r="G981" s="1422"/>
      <c r="H981" s="1422"/>
      <c r="I981" s="1422"/>
      <c r="J981" s="1422"/>
      <c r="K981" s="1422"/>
      <c r="L981" s="1422"/>
      <c r="M981" s="1422"/>
      <c r="N981" s="1422"/>
      <c r="O981" s="1422"/>
      <c r="P981" s="1422"/>
      <c r="Q981" s="1422"/>
      <c r="R981" s="1422"/>
      <c r="S981" s="1422"/>
      <c r="T981" s="1422"/>
      <c r="U981" s="1422"/>
      <c r="V981" s="1422"/>
      <c r="W981" s="1422"/>
      <c r="X981" s="1422"/>
      <c r="Y981" s="1422"/>
      <c r="Z981" s="1422"/>
      <c r="AA981" s="1422"/>
      <c r="AB981" s="1422"/>
      <c r="AC981" s="1422"/>
      <c r="AD981" s="1422"/>
      <c r="AE981" s="1422"/>
      <c r="AF981" s="1422"/>
      <c r="AG981" s="1422"/>
      <c r="AH981" s="1422"/>
      <c r="AI981" s="1422"/>
      <c r="AJ981" s="1422"/>
      <c r="AK981" s="1422"/>
      <c r="AL981" s="1422"/>
      <c r="AM981" s="1422"/>
      <c r="AN981" s="1422"/>
      <c r="AO981" s="1422"/>
      <c r="AP981" s="1422"/>
      <c r="AQ981" s="1422"/>
      <c r="AR981" s="1422"/>
      <c r="AS981" s="1422"/>
      <c r="AT981" s="1422"/>
      <c r="AU981" s="68"/>
      <c r="AV981" s="68"/>
      <c r="AW981" s="68"/>
      <c r="AX981" s="68"/>
      <c r="AY981" s="68"/>
      <c r="AZ981" s="30"/>
      <c r="BA981" s="14"/>
      <c r="BB981" s="14"/>
      <c r="BC981" s="14"/>
    </row>
    <row r="982" spans="1:64" ht="12.95" customHeight="1">
      <c r="A982" s="14"/>
      <c r="B982" s="14"/>
      <c r="C982" s="14"/>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row>
    <row r="983" spans="1:64" ht="12.95" customHeight="1">
      <c r="A983" s="2" t="s">
        <v>318</v>
      </c>
      <c r="C983" s="2" t="s">
        <v>615</v>
      </c>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row>
    <row r="984" spans="1:64" ht="12.95" customHeight="1">
      <c r="A984" s="2"/>
      <c r="C984" s="2"/>
      <c r="I984" s="14"/>
      <c r="J984" s="14"/>
      <c r="K984" s="14"/>
      <c r="L984" s="14"/>
      <c r="M984" s="14"/>
      <c r="N984" s="14"/>
      <c r="O984" s="14"/>
      <c r="P984" s="14"/>
      <c r="Q984" s="14"/>
      <c r="R984" s="14"/>
      <c r="S984" s="14"/>
      <c r="T984" s="14"/>
      <c r="U984" s="14"/>
      <c r="V984" s="14"/>
      <c r="W984" s="14"/>
      <c r="X984" s="14"/>
      <c r="Y984" s="14"/>
      <c r="Z984" s="14"/>
      <c r="AA984" s="14"/>
      <c r="AB984" s="14"/>
      <c r="AC984" s="14"/>
      <c r="AD984" s="14"/>
      <c r="AE984" s="14"/>
      <c r="AF984" s="14"/>
      <c r="AG984" s="14"/>
      <c r="AH984" s="14"/>
      <c r="AI984" s="14"/>
      <c r="AJ984" s="14"/>
      <c r="AK984" s="14"/>
      <c r="AL984" s="68"/>
      <c r="AM984" s="68"/>
      <c r="AN984" s="68"/>
      <c r="AO984" s="68"/>
      <c r="AP984" s="68"/>
      <c r="AQ984" s="68"/>
      <c r="AR984" s="68"/>
      <c r="AS984" s="68"/>
      <c r="AT984" s="68"/>
      <c r="AU984" s="68"/>
      <c r="AV984" s="68"/>
      <c r="AW984" s="68"/>
      <c r="AX984" s="68"/>
      <c r="AY984" s="68"/>
      <c r="AZ984" s="14"/>
      <c r="BA984" s="14"/>
      <c r="BB984" s="14"/>
      <c r="BC984" s="14"/>
    </row>
    <row r="985" spans="1:64" ht="12.95" customHeight="1">
      <c r="A985" s="67"/>
      <c r="B985" s="79"/>
      <c r="C985" s="928"/>
      <c r="D985" s="1549" t="s">
        <v>638</v>
      </c>
      <c r="E985" s="1550"/>
      <c r="F985" s="1550"/>
      <c r="G985" s="1550"/>
      <c r="H985" s="1550"/>
      <c r="I985" s="1550"/>
      <c r="J985" s="1550"/>
      <c r="K985" s="1550"/>
      <c r="L985" s="1550"/>
      <c r="M985" s="1550"/>
      <c r="N985" s="1550"/>
      <c r="O985" s="1550"/>
      <c r="P985" s="1550"/>
      <c r="Q985" s="1551"/>
      <c r="R985" s="1549" t="s">
        <v>639</v>
      </c>
      <c r="S985" s="1550"/>
      <c r="T985" s="1550"/>
      <c r="U985" s="1550"/>
      <c r="V985" s="1550"/>
      <c r="W985" s="1550"/>
      <c r="X985" s="1550"/>
      <c r="Y985" s="1550"/>
      <c r="Z985" s="1550"/>
      <c r="AA985" s="1551"/>
      <c r="AB985" s="1549" t="s">
        <v>640</v>
      </c>
      <c r="AC985" s="1550"/>
      <c r="AD985" s="1550"/>
      <c r="AE985" s="1550"/>
      <c r="AF985" s="1550"/>
      <c r="AG985" s="1550"/>
      <c r="AH985" s="1550"/>
      <c r="AI985" s="1551"/>
      <c r="AJ985" s="1549" t="s">
        <v>641</v>
      </c>
      <c r="AK985" s="1550"/>
      <c r="AL985" s="1550"/>
      <c r="AM985" s="1550"/>
      <c r="AN985" s="1550"/>
      <c r="AO985" s="1550"/>
      <c r="AP985" s="1550"/>
      <c r="AQ985" s="1551"/>
      <c r="AR985" s="68"/>
      <c r="AS985" s="68"/>
      <c r="AT985" s="68"/>
      <c r="AU985" s="68"/>
      <c r="AV985" s="68"/>
      <c r="AW985" s="68"/>
      <c r="AX985" s="68"/>
      <c r="AY985" s="68"/>
      <c r="AZ985" s="30"/>
      <c r="BB985" s="14"/>
      <c r="BC985" s="14"/>
    </row>
    <row r="986" spans="1:64" ht="12.95" customHeight="1">
      <c r="A986" s="14"/>
      <c r="B986" s="73"/>
      <c r="C986" s="929"/>
      <c r="D986" s="1386" t="s">
        <v>633</v>
      </c>
      <c r="E986" s="1387"/>
      <c r="F986" s="1387"/>
      <c r="G986" s="1387"/>
      <c r="H986" s="1387"/>
      <c r="I986" s="1387"/>
      <c r="J986" s="1387"/>
      <c r="K986" s="1387"/>
      <c r="L986" s="1387"/>
      <c r="M986" s="1387"/>
      <c r="N986" s="1387"/>
      <c r="O986" s="1387"/>
      <c r="P986" s="1387"/>
      <c r="Q986" s="1388"/>
      <c r="R986" s="1552">
        <f>IF(ISNA(IF($CU$122="4%",(INDEX($CS$160:$CW$217,MATCH($DG$122,$CR$160:$CR$217,0),MATCH(D986,$CS$159:$CW$159,0))),(INDEX($CZ$160:$DD$217,MATCH($DG$122,$CY$160:$CY$217,0),MATCH(D986,$CZ$159:$DD$159,0))))),0,IF($CU$122="4%",(INDEX($CS$160:$CW$217,MATCH($DG$122,$CR$160:$CR$217,0),MATCH(D986,$CS$159:$CW$159,0))),(INDEX($CZ$160:$DD$217,MATCH($DG$122,$CY$160:$CY$217,0),MATCH(D986,$CZ$159:$DD$159,0)))))</f>
        <v>404366</v>
      </c>
      <c r="S986" s="1552"/>
      <c r="T986" s="1552"/>
      <c r="U986" s="1552"/>
      <c r="V986" s="1552"/>
      <c r="W986" s="1552"/>
      <c r="X986" s="1552"/>
      <c r="Y986" s="1552"/>
      <c r="Z986" s="1552"/>
      <c r="AA986" s="1552"/>
      <c r="AB986" s="1389">
        <f>CP802</f>
        <v>0</v>
      </c>
      <c r="AC986" s="1390"/>
      <c r="AD986" s="1390"/>
      <c r="AE986" s="1390"/>
      <c r="AF986" s="1390"/>
      <c r="AG986" s="1390"/>
      <c r="AH986" s="1390"/>
      <c r="AI986" s="1391"/>
      <c r="AJ986" s="1488">
        <f>IF(ISERROR((R986*AB986)),0,(R986*AB986))</f>
        <v>0</v>
      </c>
      <c r="AK986" s="1489"/>
      <c r="AL986" s="1489"/>
      <c r="AM986" s="1489"/>
      <c r="AN986" s="1489"/>
      <c r="AO986" s="1489"/>
      <c r="AP986" s="1489"/>
      <c r="AQ986" s="1490"/>
      <c r="AR986" s="68"/>
      <c r="AS986" s="68"/>
      <c r="AT986" s="68"/>
      <c r="AU986" s="68"/>
      <c r="AV986" s="68"/>
      <c r="AW986" s="68"/>
      <c r="AX986" s="68"/>
      <c r="AY986" s="68"/>
      <c r="AZ986" s="30"/>
      <c r="BB986" s="14"/>
      <c r="BC986" s="14"/>
    </row>
    <row r="987" spans="1:64" ht="12.95" customHeight="1">
      <c r="A987" s="14"/>
      <c r="B987" s="73"/>
      <c r="C987" s="83"/>
      <c r="D987" s="1386" t="s">
        <v>324</v>
      </c>
      <c r="E987" s="1387"/>
      <c r="F987" s="1387"/>
      <c r="G987" s="1387"/>
      <c r="H987" s="1387"/>
      <c r="I987" s="1387"/>
      <c r="J987" s="1387"/>
      <c r="K987" s="1387"/>
      <c r="L987" s="1387"/>
      <c r="M987" s="1387"/>
      <c r="N987" s="1387"/>
      <c r="O987" s="1387"/>
      <c r="P987" s="1387"/>
      <c r="Q987" s="1388"/>
      <c r="R987" s="1552">
        <f>IF(ISNA(IF($CU$122="4%",(INDEX($CS$160:$CW$217,MATCH($DG$122,$CR$160:$CR$217,0),MATCH(D987,$CS$159:$CW$159,0))),(INDEX($CZ$160:$DD$217,MATCH($DG$122,$CY$160:$CY$217,0),MATCH(D987,$CZ$159:$DD$159,0))))),0,IF($CU$122="4%",(INDEX($CS$160:$CW$217,MATCH($DG$122,$CR$160:$CR$217,0),MATCH(D987,$CS$159:$CW$159,0))),(INDEX($CZ$160:$DD$217,MATCH($DG$122,$CY$160:$CY$217,0),MATCH(D987,$CZ$159:$DD$159,0)))))</f>
        <v>466230</v>
      </c>
      <c r="S987" s="1552"/>
      <c r="T987" s="1552"/>
      <c r="U987" s="1552"/>
      <c r="V987" s="1552"/>
      <c r="W987" s="1552"/>
      <c r="X987" s="1552"/>
      <c r="Y987" s="1552"/>
      <c r="Z987" s="1552"/>
      <c r="AA987" s="1552"/>
      <c r="AB987" s="1389">
        <f>CU802</f>
        <v>26</v>
      </c>
      <c r="AC987" s="1390"/>
      <c r="AD987" s="1390"/>
      <c r="AE987" s="1390"/>
      <c r="AF987" s="1390"/>
      <c r="AG987" s="1390"/>
      <c r="AH987" s="1390"/>
      <c r="AI987" s="1391"/>
      <c r="AJ987" s="1488">
        <f>IF(ISERROR((R987*AB987)),0,(R987*AB987))</f>
        <v>12121980</v>
      </c>
      <c r="AK987" s="1489"/>
      <c r="AL987" s="1489"/>
      <c r="AM987" s="1489"/>
      <c r="AN987" s="1489"/>
      <c r="AO987" s="1489"/>
      <c r="AP987" s="1489"/>
      <c r="AQ987" s="1490"/>
      <c r="AR987" s="68"/>
      <c r="AS987" s="68"/>
      <c r="AT987" s="68"/>
      <c r="AU987" s="68"/>
      <c r="AV987" s="68"/>
      <c r="AW987" s="68"/>
      <c r="AX987" s="68"/>
      <c r="AY987" s="68"/>
      <c r="AZ987" s="30"/>
      <c r="BB987" s="14"/>
      <c r="BC987" s="14"/>
    </row>
    <row r="988" spans="1:64" ht="12.95" customHeight="1">
      <c r="A988" s="14"/>
      <c r="B988" s="73"/>
      <c r="C988" s="83"/>
      <c r="D988" s="1386" t="s">
        <v>163</v>
      </c>
      <c r="E988" s="1387"/>
      <c r="F988" s="1387"/>
      <c r="G988" s="1387"/>
      <c r="H988" s="1387"/>
      <c r="I988" s="1387"/>
      <c r="J988" s="1387"/>
      <c r="K988" s="1387"/>
      <c r="L988" s="1387"/>
      <c r="M988" s="1387"/>
      <c r="N988" s="1387"/>
      <c r="O988" s="1387"/>
      <c r="P988" s="1387"/>
      <c r="Q988" s="1388"/>
      <c r="R988" s="1552">
        <f>IF(ISNA(IF($CU$122="4%",(INDEX($CS$160:$CW$217,MATCH($DG$122,$CR$160:$CR$217,0),MATCH(D988,$CS$159:$CW$159,0))),(INDEX($CZ$160:$DD$217,MATCH($DG$122,$CY$160:$CY$217,0),MATCH(D988,$CZ$159:$DD$159,0))))),0,IF($CU$122="4%",(INDEX($CS$160:$CW$217,MATCH($DG$122,$CR$160:$CR$217,0),MATCH(D988,$CS$159:$CW$159,0))),(INDEX($CZ$160:$DD$217,MATCH($DG$122,$CY$160:$CY$217,0),MATCH(D988,$CZ$159:$DD$159,0)))))</f>
        <v>562400</v>
      </c>
      <c r="S988" s="1552"/>
      <c r="T988" s="1552"/>
      <c r="U988" s="1552"/>
      <c r="V988" s="1552"/>
      <c r="W988" s="1552"/>
      <c r="X988" s="1552"/>
      <c r="Y988" s="1552"/>
      <c r="Z988" s="1552"/>
      <c r="AA988" s="1552"/>
      <c r="AB988" s="1389">
        <f>CZ802</f>
        <v>35</v>
      </c>
      <c r="AC988" s="1390"/>
      <c r="AD988" s="1390"/>
      <c r="AE988" s="1390"/>
      <c r="AF988" s="1390"/>
      <c r="AG988" s="1390"/>
      <c r="AH988" s="1390"/>
      <c r="AI988" s="1391"/>
      <c r="AJ988" s="1488">
        <f>IF(ISERROR((R988*AB988)),0,(R988*AB988))</f>
        <v>19684000</v>
      </c>
      <c r="AK988" s="1489"/>
      <c r="AL988" s="1489"/>
      <c r="AM988" s="1489"/>
      <c r="AN988" s="1489"/>
      <c r="AO988" s="1489"/>
      <c r="AP988" s="1489"/>
      <c r="AQ988" s="1490"/>
      <c r="AR988" s="68"/>
      <c r="AS988" s="68"/>
      <c r="AT988" s="68"/>
      <c r="AU988" s="68"/>
      <c r="AV988" s="68"/>
      <c r="AW988" s="68"/>
      <c r="AX988" s="68"/>
      <c r="AY988" s="68"/>
      <c r="AZ988" s="30"/>
      <c r="BB988" s="14"/>
      <c r="BC988" s="14"/>
    </row>
    <row r="989" spans="1:64" ht="12.95" customHeight="1">
      <c r="A989" s="14"/>
      <c r="B989" s="73"/>
      <c r="C989" s="83"/>
      <c r="D989" s="1386" t="s">
        <v>164</v>
      </c>
      <c r="E989" s="1387"/>
      <c r="F989" s="1387"/>
      <c r="G989" s="1387"/>
      <c r="H989" s="1387"/>
      <c r="I989" s="1387"/>
      <c r="J989" s="1387"/>
      <c r="K989" s="1387"/>
      <c r="L989" s="1387"/>
      <c r="M989" s="1387"/>
      <c r="N989" s="1387"/>
      <c r="O989" s="1387"/>
      <c r="P989" s="1387"/>
      <c r="Q989" s="1388"/>
      <c r="R989" s="1552">
        <f>IF(ISNA(IF($CU$122="4%",(INDEX($CS$160:$CW$217,MATCH($DG$122,$CR$160:$CR$217,0),MATCH(D989,$CS$159:$CW$159,0))),(INDEX($CZ$160:$DD$217,MATCH($DG$122,$CY$160:$CY$217,0),MATCH(D989,$CZ$159:$DD$159,0))))),0,IF($CU$122="4%",(INDEX($CS$160:$CW$217,MATCH($DG$122,$CR$160:$CR$217,0),MATCH(D989,$CS$159:$CW$159,0))),(INDEX($CZ$160:$DD$217,MATCH($DG$122,$CY$160:$CY$217,0),MATCH(D989,$CZ$159:$DD$159,0)))))</f>
        <v>719872</v>
      </c>
      <c r="S989" s="1552"/>
      <c r="T989" s="1552"/>
      <c r="U989" s="1552"/>
      <c r="V989" s="1552"/>
      <c r="W989" s="1552"/>
      <c r="X989" s="1552"/>
      <c r="Y989" s="1552"/>
      <c r="Z989" s="1552"/>
      <c r="AA989" s="1552"/>
      <c r="AB989" s="1389">
        <f>DE802</f>
        <v>32</v>
      </c>
      <c r="AC989" s="1390"/>
      <c r="AD989" s="1390"/>
      <c r="AE989" s="1390"/>
      <c r="AF989" s="1390"/>
      <c r="AG989" s="1390"/>
      <c r="AH989" s="1390"/>
      <c r="AI989" s="1391"/>
      <c r="AJ989" s="1488">
        <f>IF(ISERROR((R989*AB989)),0,(R989*AB989))</f>
        <v>23035904</v>
      </c>
      <c r="AK989" s="1489"/>
      <c r="AL989" s="1489"/>
      <c r="AM989" s="1489"/>
      <c r="AN989" s="1489"/>
      <c r="AO989" s="1489"/>
      <c r="AP989" s="1489"/>
      <c r="AQ989" s="1490"/>
      <c r="AR989" s="68"/>
      <c r="AS989" s="68"/>
      <c r="AT989" s="68"/>
      <c r="AU989" s="68"/>
      <c r="AV989" s="68"/>
      <c r="AW989" s="68"/>
      <c r="AX989" s="68"/>
      <c r="AY989" s="68"/>
      <c r="AZ989" s="30"/>
      <c r="BA989" s="34"/>
      <c r="BB989" s="14"/>
      <c r="BC989" s="14"/>
    </row>
    <row r="990" spans="1:64" ht="12.95" customHeight="1">
      <c r="A990" s="14"/>
      <c r="B990" s="47"/>
      <c r="C990" s="78"/>
      <c r="D990" s="1386" t="s">
        <v>460</v>
      </c>
      <c r="E990" s="1387"/>
      <c r="F990" s="1387"/>
      <c r="G990" s="1387"/>
      <c r="H990" s="1387"/>
      <c r="I990" s="1387"/>
      <c r="J990" s="1387"/>
      <c r="K990" s="1387"/>
      <c r="L990" s="1387"/>
      <c r="M990" s="1387"/>
      <c r="N990" s="1387"/>
      <c r="O990" s="1387"/>
      <c r="P990" s="1387"/>
      <c r="Q990" s="1388"/>
      <c r="R990" s="1552">
        <f>IF(ISNA(IF($CU$122="4%",(INDEX($CS$160:$CW$217,MATCH($DG$122,$CR$160:$CR$217,0),MATCH(D990,$CS$159:$CW$159,0))),(INDEX($CZ$160:$DD$217,MATCH($DG$122,$CY$160:$CY$217,0),MATCH(D990,$CZ$159:$DD$159,0))))),0,IF($CU$122="4%",(INDEX($CS$160:$CW$217,MATCH($DG$122,$CR$160:$CR$217,0),MATCH(D990,$CS$159:$CW$159,0))),(INDEX($CZ$160:$DD$217,MATCH($DG$122,$CY$160:$CY$217,0),MATCH(D990,$CZ$159:$DD$159,0)))))</f>
        <v>801982</v>
      </c>
      <c r="S990" s="1552"/>
      <c r="T990" s="1552"/>
      <c r="U990" s="1552"/>
      <c r="V990" s="1552"/>
      <c r="W990" s="1552"/>
      <c r="X990" s="1552"/>
      <c r="Y990" s="1552"/>
      <c r="Z990" s="1552"/>
      <c r="AA990" s="1552"/>
      <c r="AB990" s="1389">
        <f>DO802+DJ802</f>
        <v>11</v>
      </c>
      <c r="AC990" s="1390"/>
      <c r="AD990" s="1390"/>
      <c r="AE990" s="1390"/>
      <c r="AF990" s="1390"/>
      <c r="AG990" s="1390"/>
      <c r="AH990" s="1390"/>
      <c r="AI990" s="1391"/>
      <c r="AJ990" s="1488">
        <f>IF(ISERROR((R990*AB990)),0,(R990*AB990))</f>
        <v>8821802</v>
      </c>
      <c r="AK990" s="1489"/>
      <c r="AL990" s="1489"/>
      <c r="AM990" s="1489"/>
      <c r="AN990" s="1489"/>
      <c r="AO990" s="1489"/>
      <c r="AP990" s="1489"/>
      <c r="AQ990" s="1490"/>
      <c r="AR990" s="68"/>
      <c r="AS990" s="68"/>
      <c r="AT990" s="68"/>
      <c r="AU990" s="68"/>
      <c r="AV990" s="68"/>
      <c r="AW990" s="68"/>
      <c r="AX990" s="68"/>
      <c r="AY990" s="68"/>
      <c r="AZ990" s="30"/>
      <c r="BB990" s="14"/>
      <c r="BC990" s="14"/>
    </row>
    <row r="991" spans="1:64" ht="12.95" customHeight="1">
      <c r="A991" s="14"/>
      <c r="B991" s="1607" t="s">
        <v>791</v>
      </c>
      <c r="C991" s="1608"/>
      <c r="D991" s="1608"/>
      <c r="E991" s="1608"/>
      <c r="F991" s="1608"/>
      <c r="G991" s="1608"/>
      <c r="H991" s="1608"/>
      <c r="I991" s="1608"/>
      <c r="J991" s="1608"/>
      <c r="K991" s="1608"/>
      <c r="L991" s="1608"/>
      <c r="M991" s="1608"/>
      <c r="N991" s="1608"/>
      <c r="O991" s="1608"/>
      <c r="P991" s="1608"/>
      <c r="Q991" s="1608"/>
      <c r="R991" s="1608"/>
      <c r="S991" s="1608"/>
      <c r="T991" s="1608"/>
      <c r="U991" s="1608"/>
      <c r="V991" s="1608"/>
      <c r="W991" s="1608"/>
      <c r="X991" s="1608"/>
      <c r="Y991" s="1608"/>
      <c r="Z991" s="1608"/>
      <c r="AA991" s="1609"/>
      <c r="AB991" s="1389">
        <f>SUM(AB986:AI990)</f>
        <v>104</v>
      </c>
      <c r="AC991" s="1390"/>
      <c r="AD991" s="1390"/>
      <c r="AE991" s="1390"/>
      <c r="AF991" s="1390"/>
      <c r="AG991" s="1390"/>
      <c r="AH991" s="1390"/>
      <c r="AI991" s="1391"/>
      <c r="AJ991" s="1488"/>
      <c r="AK991" s="1489"/>
      <c r="AL991" s="1489"/>
      <c r="AM991" s="1489"/>
      <c r="AN991" s="1489"/>
      <c r="AO991" s="1489"/>
      <c r="AP991" s="1489"/>
      <c r="AQ991" s="1490"/>
      <c r="AR991" s="68"/>
      <c r="AS991" s="68"/>
      <c r="AT991" s="68"/>
      <c r="AU991" s="68"/>
      <c r="AV991" s="68"/>
      <c r="AW991" s="68"/>
      <c r="AX991" s="68"/>
      <c r="AY991" s="68"/>
      <c r="AZ991" s="34"/>
      <c r="BA991" s="34"/>
      <c r="BB991" s="14"/>
      <c r="BC991" s="14"/>
    </row>
    <row r="992" spans="1:64" ht="12.95" customHeight="1">
      <c r="A992" s="14"/>
      <c r="B992" s="1574" t="s">
        <v>512</v>
      </c>
      <c r="C992" s="1575"/>
      <c r="D992" s="1575"/>
      <c r="E992" s="1575"/>
      <c r="F992" s="1575"/>
      <c r="G992" s="1575"/>
      <c r="H992" s="1575"/>
      <c r="I992" s="1575"/>
      <c r="J992" s="1575"/>
      <c r="K992" s="1575"/>
      <c r="L992" s="1575"/>
      <c r="M992" s="1575"/>
      <c r="N992" s="1575"/>
      <c r="O992" s="1575"/>
      <c r="P992" s="1575"/>
      <c r="Q992" s="1575"/>
      <c r="R992" s="1575"/>
      <c r="S992" s="1575"/>
      <c r="T992" s="1575"/>
      <c r="U992" s="1575"/>
      <c r="V992" s="1575"/>
      <c r="W992" s="1575"/>
      <c r="X992" s="1575"/>
      <c r="Y992" s="1575"/>
      <c r="Z992" s="1575"/>
      <c r="AA992" s="1575"/>
      <c r="AB992" s="1575"/>
      <c r="AC992" s="1575"/>
      <c r="AD992" s="1575"/>
      <c r="AE992" s="1575"/>
      <c r="AF992" s="1575"/>
      <c r="AG992" s="1575"/>
      <c r="AH992" s="1575"/>
      <c r="AI992" s="1576"/>
      <c r="AJ992" s="1488">
        <f>SUM(AJ986:AQ990)</f>
        <v>63663686</v>
      </c>
      <c r="AK992" s="1489"/>
      <c r="AL992" s="1489"/>
      <c r="AM992" s="1489"/>
      <c r="AN992" s="1489"/>
      <c r="AO992" s="1489"/>
      <c r="AP992" s="1489"/>
      <c r="AQ992" s="1490"/>
      <c r="AR992" s="68"/>
      <c r="AS992" s="68"/>
      <c r="AT992" s="68"/>
      <c r="AU992" s="68"/>
      <c r="AV992" s="68"/>
      <c r="AW992" s="68"/>
      <c r="AX992" s="68"/>
      <c r="AY992" s="68"/>
      <c r="AZ992" s="34"/>
      <c r="BB992" s="34"/>
      <c r="BC992" s="34"/>
    </row>
    <row r="993" spans="1:55" ht="12.95" customHeight="1">
      <c r="A993" s="14"/>
      <c r="B993" s="1491"/>
      <c r="C993" s="1492"/>
      <c r="D993" s="1492"/>
      <c r="E993" s="1492"/>
      <c r="F993" s="1492"/>
      <c r="G993" s="1492"/>
      <c r="H993" s="1492"/>
      <c r="I993" s="1492"/>
      <c r="J993" s="1492"/>
      <c r="K993" s="1492"/>
      <c r="L993" s="1492"/>
      <c r="M993" s="1492"/>
      <c r="N993" s="1492"/>
      <c r="O993" s="1492"/>
      <c r="P993" s="1492"/>
      <c r="Q993" s="1492"/>
      <c r="R993" s="1492"/>
      <c r="S993" s="1492"/>
      <c r="T993" s="1492"/>
      <c r="U993" s="1492"/>
      <c r="V993" s="1492"/>
      <c r="W993" s="1492"/>
      <c r="X993" s="1492"/>
      <c r="Y993" s="1492"/>
      <c r="Z993" s="1492"/>
      <c r="AA993" s="1492"/>
      <c r="AB993" s="1492"/>
      <c r="AC993" s="1492"/>
      <c r="AD993" s="1492"/>
      <c r="AE993" s="1493"/>
      <c r="AF993" s="1497" t="s">
        <v>666</v>
      </c>
      <c r="AG993" s="1498"/>
      <c r="AH993" s="1498"/>
      <c r="AI993" s="1499"/>
      <c r="AJ993" s="1491"/>
      <c r="AK993" s="1492"/>
      <c r="AL993" s="1492"/>
      <c r="AM993" s="1492"/>
      <c r="AN993" s="1492"/>
      <c r="AO993" s="1492"/>
      <c r="AP993" s="1492"/>
      <c r="AQ993" s="1493"/>
      <c r="AR993" s="68"/>
      <c r="AS993" s="68"/>
      <c r="AT993" s="68"/>
      <c r="AU993" s="68"/>
      <c r="AV993" s="68"/>
      <c r="AW993" s="68"/>
      <c r="AX993" s="68"/>
      <c r="AY993" s="68"/>
      <c r="AZ993" s="34"/>
      <c r="BA993" s="34"/>
      <c r="BB993" s="34"/>
      <c r="BC993" s="34"/>
    </row>
    <row r="994" spans="1:55" ht="12.95" customHeight="1">
      <c r="A994" s="14"/>
      <c r="B994" s="73"/>
      <c r="C994" s="927" t="s">
        <v>668</v>
      </c>
      <c r="D994" s="1504" t="s">
        <v>1220</v>
      </c>
      <c r="E994" s="1505"/>
      <c r="F994" s="1505"/>
      <c r="G994" s="1505"/>
      <c r="H994" s="1505"/>
      <c r="I994" s="1505"/>
      <c r="J994" s="1505"/>
      <c r="K994" s="1505"/>
      <c r="L994" s="1505"/>
      <c r="M994" s="1505"/>
      <c r="N994" s="1505"/>
      <c r="O994" s="1505"/>
      <c r="P994" s="1505"/>
      <c r="Q994" s="1505"/>
      <c r="R994" s="1505"/>
      <c r="S994" s="1505"/>
      <c r="T994" s="1505"/>
      <c r="U994" s="1505"/>
      <c r="V994" s="1505"/>
      <c r="W994" s="1505"/>
      <c r="X994" s="1505"/>
      <c r="Y994" s="1505"/>
      <c r="Z994" s="1505"/>
      <c r="AA994" s="1505"/>
      <c r="AB994" s="1505"/>
      <c r="AC994" s="1505"/>
      <c r="AD994" s="1505"/>
      <c r="AE994" s="1506"/>
      <c r="AF994" s="79"/>
      <c r="AG994" s="1500" t="s">
        <v>669</v>
      </c>
      <c r="AH994" s="1501"/>
      <c r="AI994" s="87"/>
      <c r="AJ994" s="1392">
        <f>ROUND(IF(AND(AG994="yes",D1000&gt;0),AJ992*0.2,0),0)</f>
        <v>0</v>
      </c>
      <c r="AK994" s="1393"/>
      <c r="AL994" s="1393"/>
      <c r="AM994" s="1393"/>
      <c r="AN994" s="1393"/>
      <c r="AO994" s="1393"/>
      <c r="AP994" s="1393"/>
      <c r="AQ994" s="1394"/>
      <c r="AR994" s="68"/>
      <c r="AS994" s="68"/>
      <c r="AT994" s="68"/>
      <c r="AU994" s="68"/>
      <c r="AV994" s="68"/>
      <c r="AW994" s="68"/>
      <c r="AX994" s="68"/>
      <c r="AY994" s="68"/>
      <c r="AZ994" s="34"/>
      <c r="BA994" s="34"/>
      <c r="BB994" s="34"/>
      <c r="BC994" s="34"/>
    </row>
    <row r="995" spans="1:55" ht="12.95" customHeight="1">
      <c r="A995" s="14"/>
      <c r="B995" s="257"/>
      <c r="C995" s="256"/>
      <c r="D995" s="1539" t="s">
        <v>2236</v>
      </c>
      <c r="E995" s="1540"/>
      <c r="F995" s="1540"/>
      <c r="G995" s="1540"/>
      <c r="H995" s="1540"/>
      <c r="I995" s="1540"/>
      <c r="J995" s="1540"/>
      <c r="K995" s="1540"/>
      <c r="L995" s="1540"/>
      <c r="M995" s="1540"/>
      <c r="N995" s="1540"/>
      <c r="O995" s="1540"/>
      <c r="P995" s="1540"/>
      <c r="Q995" s="1540"/>
      <c r="R995" s="1540"/>
      <c r="S995" s="1540"/>
      <c r="T995" s="1540"/>
      <c r="U995" s="1540"/>
      <c r="V995" s="1540"/>
      <c r="W995" s="1540"/>
      <c r="X995" s="1540"/>
      <c r="Y995" s="1540"/>
      <c r="Z995" s="1540"/>
      <c r="AA995" s="1540"/>
      <c r="AB995" s="1540"/>
      <c r="AC995" s="1540"/>
      <c r="AD995" s="1540"/>
      <c r="AE995" s="1541"/>
      <c r="AF995" s="73"/>
      <c r="AG995" s="14"/>
      <c r="AH995" s="14"/>
      <c r="AI995" s="83"/>
      <c r="AJ995" s="1395"/>
      <c r="AK995" s="1396"/>
      <c r="AL995" s="1396"/>
      <c r="AM995" s="1396"/>
      <c r="AN995" s="1396"/>
      <c r="AO995" s="1396"/>
      <c r="AP995" s="1396"/>
      <c r="AQ995" s="1397"/>
      <c r="AR995" s="68"/>
      <c r="AS995" s="68"/>
      <c r="AT995" s="68"/>
      <c r="AU995" s="68"/>
      <c r="AV995" s="68"/>
      <c r="AW995" s="68"/>
      <c r="AX995" s="68"/>
      <c r="AY995" s="68"/>
      <c r="AZ995" s="34"/>
      <c r="BA995" s="34"/>
      <c r="BB995" s="34"/>
      <c r="BC995" s="34"/>
    </row>
    <row r="996" spans="1:55" ht="12.95" customHeight="1">
      <c r="A996" s="14"/>
      <c r="B996" s="257"/>
      <c r="C996" s="256"/>
      <c r="D996" s="1539"/>
      <c r="E996" s="1540"/>
      <c r="F996" s="1540"/>
      <c r="G996" s="1540"/>
      <c r="H996" s="1540"/>
      <c r="I996" s="1540"/>
      <c r="J996" s="1540"/>
      <c r="K996" s="1540"/>
      <c r="L996" s="1540"/>
      <c r="M996" s="1540"/>
      <c r="N996" s="1540"/>
      <c r="O996" s="1540"/>
      <c r="P996" s="1540"/>
      <c r="Q996" s="1540"/>
      <c r="R996" s="1540"/>
      <c r="S996" s="1540"/>
      <c r="T996" s="1540"/>
      <c r="U996" s="1540"/>
      <c r="V996" s="1540"/>
      <c r="W996" s="1540"/>
      <c r="X996" s="1540"/>
      <c r="Y996" s="1540"/>
      <c r="Z996" s="1540"/>
      <c r="AA996" s="1540"/>
      <c r="AB996" s="1540"/>
      <c r="AC996" s="1540"/>
      <c r="AD996" s="1540"/>
      <c r="AE996" s="1541"/>
      <c r="AF996" s="73"/>
      <c r="AG996" s="14"/>
      <c r="AH996" s="14"/>
      <c r="AI996" s="83"/>
      <c r="AJ996" s="1395"/>
      <c r="AK996" s="1396"/>
      <c r="AL996" s="1396"/>
      <c r="AM996" s="1396"/>
      <c r="AN996" s="1396"/>
      <c r="AO996" s="1396"/>
      <c r="AP996" s="1396"/>
      <c r="AQ996" s="1397"/>
      <c r="AR996" s="68"/>
      <c r="AS996" s="68"/>
      <c r="AT996" s="68"/>
      <c r="AU996" s="68"/>
      <c r="AV996" s="68"/>
      <c r="AW996" s="68"/>
      <c r="AX996" s="68"/>
      <c r="AY996" s="68"/>
      <c r="AZ996" s="34"/>
      <c r="BA996" s="34"/>
      <c r="BB996" s="34"/>
      <c r="BC996" s="34"/>
    </row>
    <row r="997" spans="1:55" ht="12.95" customHeight="1">
      <c r="A997" s="14"/>
      <c r="B997" s="257"/>
      <c r="C997" s="256"/>
      <c r="D997" s="1539"/>
      <c r="E997" s="1540"/>
      <c r="F997" s="1540"/>
      <c r="G997" s="1540"/>
      <c r="H997" s="1540"/>
      <c r="I997" s="1540"/>
      <c r="J997" s="1540"/>
      <c r="K997" s="1540"/>
      <c r="L997" s="1540"/>
      <c r="M997" s="1540"/>
      <c r="N997" s="1540"/>
      <c r="O997" s="1540"/>
      <c r="P997" s="1540"/>
      <c r="Q997" s="1540"/>
      <c r="R997" s="1540"/>
      <c r="S997" s="1540"/>
      <c r="T997" s="1540"/>
      <c r="U997" s="1540"/>
      <c r="V997" s="1540"/>
      <c r="W997" s="1540"/>
      <c r="X997" s="1540"/>
      <c r="Y997" s="1540"/>
      <c r="Z997" s="1540"/>
      <c r="AA997" s="1540"/>
      <c r="AB997" s="1540"/>
      <c r="AC997" s="1540"/>
      <c r="AD997" s="1540"/>
      <c r="AE997" s="1541"/>
      <c r="AF997" s="73"/>
      <c r="AG997" s="14"/>
      <c r="AH997" s="14"/>
      <c r="AI997" s="83"/>
      <c r="AJ997" s="1395"/>
      <c r="AK997" s="1396"/>
      <c r="AL997" s="1396"/>
      <c r="AM997" s="1396"/>
      <c r="AN997" s="1396"/>
      <c r="AO997" s="1396"/>
      <c r="AP997" s="1396"/>
      <c r="AQ997" s="1397"/>
      <c r="AR997" s="68"/>
      <c r="AS997" s="68"/>
      <c r="AT997" s="68"/>
      <c r="AU997" s="68"/>
      <c r="AV997" s="68"/>
      <c r="AW997" s="68"/>
      <c r="AX997" s="68"/>
      <c r="AY997" s="68"/>
      <c r="AZ997" s="34"/>
      <c r="BA997" s="34"/>
      <c r="BB997" s="34"/>
      <c r="BC997" s="34"/>
    </row>
    <row r="998" spans="1:55" ht="12.95" customHeight="1">
      <c r="A998" s="14"/>
      <c r="B998" s="257"/>
      <c r="C998" s="256"/>
      <c r="D998" s="1539"/>
      <c r="E998" s="1540"/>
      <c r="F998" s="1540"/>
      <c r="G998" s="1540"/>
      <c r="H998" s="1540"/>
      <c r="I998" s="1540"/>
      <c r="J998" s="1540"/>
      <c r="K998" s="1540"/>
      <c r="L998" s="1540"/>
      <c r="M998" s="1540"/>
      <c r="N998" s="1540"/>
      <c r="O998" s="1540"/>
      <c r="P998" s="1540"/>
      <c r="Q998" s="1540"/>
      <c r="R998" s="1540"/>
      <c r="S998" s="1540"/>
      <c r="T998" s="1540"/>
      <c r="U998" s="1540"/>
      <c r="V998" s="1540"/>
      <c r="W998" s="1540"/>
      <c r="X998" s="1540"/>
      <c r="Y998" s="1540"/>
      <c r="Z998" s="1540"/>
      <c r="AA998" s="1540"/>
      <c r="AB998" s="1540"/>
      <c r="AC998" s="1540"/>
      <c r="AD998" s="1540"/>
      <c r="AE998" s="1541"/>
      <c r="AF998" s="73"/>
      <c r="AG998" s="14"/>
      <c r="AH998" s="14"/>
      <c r="AI998" s="83"/>
      <c r="AJ998" s="1395"/>
      <c r="AK998" s="1396"/>
      <c r="AL998" s="1396"/>
      <c r="AM998" s="1396"/>
      <c r="AN998" s="1396"/>
      <c r="AO998" s="1396"/>
      <c r="AP998" s="1396"/>
      <c r="AQ998" s="1397"/>
      <c r="AR998" s="68"/>
      <c r="AS998" s="68"/>
      <c r="AT998" s="68"/>
      <c r="AU998" s="68"/>
      <c r="AV998" s="68"/>
      <c r="AW998" s="68"/>
      <c r="AX998" s="68"/>
      <c r="AY998" s="68"/>
      <c r="AZ998" s="34"/>
      <c r="BA998" s="34"/>
      <c r="BB998" s="34"/>
      <c r="BC998" s="34"/>
    </row>
    <row r="999" spans="1:55" ht="12.95" customHeight="1">
      <c r="A999" s="14"/>
      <c r="B999" s="257"/>
      <c r="C999" s="256"/>
      <c r="D999" s="1542" t="s">
        <v>2206</v>
      </c>
      <c r="E999" s="1543"/>
      <c r="F999" s="1543"/>
      <c r="G999" s="1543"/>
      <c r="H999" s="1543"/>
      <c r="I999" s="1543"/>
      <c r="J999" s="1543"/>
      <c r="K999" s="1543"/>
      <c r="L999" s="1543"/>
      <c r="M999" s="1543"/>
      <c r="N999" s="1543"/>
      <c r="O999" s="1543"/>
      <c r="P999" s="1543"/>
      <c r="Q999" s="1543"/>
      <c r="R999" s="1543"/>
      <c r="S999" s="1543"/>
      <c r="T999" s="1543"/>
      <c r="U999" s="1543"/>
      <c r="V999" s="1543"/>
      <c r="W999" s="1543"/>
      <c r="X999" s="1543"/>
      <c r="Y999" s="1543"/>
      <c r="Z999" s="1543"/>
      <c r="AA999" s="1543"/>
      <c r="AB999" s="1543"/>
      <c r="AC999" s="1543"/>
      <c r="AD999" s="1543"/>
      <c r="AE999" s="1544"/>
      <c r="AF999" s="73"/>
      <c r="AG999" s="14"/>
      <c r="AH999" s="14"/>
      <c r="AI999" s="83"/>
      <c r="AJ999" s="1395"/>
      <c r="AK999" s="1396"/>
      <c r="AL999" s="1396"/>
      <c r="AM999" s="1396"/>
      <c r="AN999" s="1396"/>
      <c r="AO999" s="1396"/>
      <c r="AP999" s="1396"/>
      <c r="AQ999" s="1397"/>
      <c r="AR999" s="68"/>
      <c r="AS999" s="68"/>
      <c r="AT999" s="68"/>
      <c r="AU999" s="68"/>
      <c r="AV999" s="68"/>
      <c r="AW999" s="68"/>
      <c r="AX999" s="68"/>
      <c r="AY999" s="68"/>
      <c r="AZ999" s="34"/>
      <c r="BA999" s="34"/>
      <c r="BB999" s="34"/>
      <c r="BC999" s="34"/>
    </row>
    <row r="1000" spans="1:55" ht="12.95" customHeight="1">
      <c r="A1000" s="14"/>
      <c r="B1000" s="257"/>
      <c r="C1000" s="256"/>
      <c r="D1000" s="1610"/>
      <c r="E1000" s="1611"/>
      <c r="F1000" s="1611"/>
      <c r="G1000" s="1611"/>
      <c r="H1000" s="1611"/>
      <c r="I1000" s="1611"/>
      <c r="J1000" s="1611"/>
      <c r="K1000" s="1611"/>
      <c r="L1000" s="1611"/>
      <c r="M1000" s="1611"/>
      <c r="N1000" s="1611"/>
      <c r="O1000" s="1611"/>
      <c r="P1000" s="1611"/>
      <c r="Q1000" s="1611"/>
      <c r="R1000" s="1611"/>
      <c r="S1000" s="1611"/>
      <c r="T1000" s="1611"/>
      <c r="U1000" s="1611"/>
      <c r="V1000" s="1611"/>
      <c r="W1000" s="1611"/>
      <c r="X1000" s="1611"/>
      <c r="Y1000" s="1611"/>
      <c r="Z1000" s="1611"/>
      <c r="AA1000" s="1611"/>
      <c r="AB1000" s="1611"/>
      <c r="AC1000" s="1611"/>
      <c r="AD1000" s="1611"/>
      <c r="AE1000" s="1612"/>
      <c r="AF1000" s="77"/>
      <c r="AG1000" s="7"/>
      <c r="AH1000" s="7"/>
      <c r="AI1000" s="78"/>
      <c r="AJ1000" s="1398"/>
      <c r="AK1000" s="1399"/>
      <c r="AL1000" s="1399"/>
      <c r="AM1000" s="1399"/>
      <c r="AN1000" s="1399"/>
      <c r="AO1000" s="1399"/>
      <c r="AP1000" s="1399"/>
      <c r="AQ1000" s="1400"/>
      <c r="AR1000" s="68"/>
      <c r="AS1000" s="68"/>
      <c r="AT1000" s="68"/>
      <c r="AU1000" s="68"/>
      <c r="AV1000" s="68"/>
      <c r="AW1000" s="68"/>
      <c r="AX1000" s="68"/>
      <c r="AY1000" s="68"/>
      <c r="AZ1000" s="34"/>
      <c r="BA1000" s="34"/>
      <c r="BB1000" s="34"/>
      <c r="BC1000" s="34"/>
    </row>
    <row r="1001" spans="1:55" ht="12.95" customHeight="1">
      <c r="A1001" s="14"/>
      <c r="B1001" s="255"/>
      <c r="C1001" s="318"/>
      <c r="D1001" s="1494" t="s">
        <v>1286</v>
      </c>
      <c r="E1001" s="1495"/>
      <c r="F1001" s="1495"/>
      <c r="G1001" s="1495"/>
      <c r="H1001" s="1495"/>
      <c r="I1001" s="1495"/>
      <c r="J1001" s="1495"/>
      <c r="K1001" s="1495"/>
      <c r="L1001" s="1495"/>
      <c r="M1001" s="1495"/>
      <c r="N1001" s="1495"/>
      <c r="O1001" s="1495"/>
      <c r="P1001" s="1495"/>
      <c r="Q1001" s="1495"/>
      <c r="R1001" s="1495"/>
      <c r="S1001" s="1495"/>
      <c r="T1001" s="1495"/>
      <c r="U1001" s="1495"/>
      <c r="V1001" s="1495"/>
      <c r="W1001" s="1495"/>
      <c r="X1001" s="1495"/>
      <c r="Y1001" s="1495"/>
      <c r="Z1001" s="1495"/>
      <c r="AA1001" s="1495"/>
      <c r="AB1001" s="1495"/>
      <c r="AC1001" s="1495"/>
      <c r="AD1001" s="1495"/>
      <c r="AE1001" s="1496"/>
      <c r="AF1001" s="79"/>
      <c r="AG1001" s="1502" t="s">
        <v>669</v>
      </c>
      <c r="AH1001" s="1503"/>
      <c r="AI1001" s="87"/>
      <c r="AJ1001" s="1392">
        <f>ROUND(IF(AG1001="yes",AJ992*0.05,0),0)</f>
        <v>0</v>
      </c>
      <c r="AK1001" s="1393"/>
      <c r="AL1001" s="1393"/>
      <c r="AM1001" s="1393"/>
      <c r="AN1001" s="1393"/>
      <c r="AO1001" s="1393"/>
      <c r="AP1001" s="1393"/>
      <c r="AQ1001" s="1394"/>
      <c r="AR1001" s="68"/>
      <c r="AS1001" s="68"/>
      <c r="AT1001" s="68"/>
      <c r="AU1001" s="68"/>
      <c r="AV1001" s="68"/>
      <c r="AW1001" s="68"/>
      <c r="AX1001" s="68"/>
      <c r="AY1001" s="68"/>
      <c r="AZ1001" s="34"/>
      <c r="BA1001" s="34"/>
      <c r="BB1001" s="34"/>
      <c r="BC1001" s="34"/>
    </row>
    <row r="1002" spans="1:55" ht="12.95" customHeight="1">
      <c r="A1002" s="14"/>
      <c r="B1002" s="257"/>
      <c r="C1002" s="82"/>
      <c r="D1002" s="1539" t="s">
        <v>1284</v>
      </c>
      <c r="E1002" s="1540"/>
      <c r="F1002" s="1540"/>
      <c r="G1002" s="1540"/>
      <c r="H1002" s="1540"/>
      <c r="I1002" s="1540"/>
      <c r="J1002" s="1540"/>
      <c r="K1002" s="1540"/>
      <c r="L1002" s="1540"/>
      <c r="M1002" s="1540"/>
      <c r="N1002" s="1540"/>
      <c r="O1002" s="1540"/>
      <c r="P1002" s="1540"/>
      <c r="Q1002" s="1540"/>
      <c r="R1002" s="1540"/>
      <c r="S1002" s="1540"/>
      <c r="T1002" s="1540"/>
      <c r="U1002" s="1540"/>
      <c r="V1002" s="1540"/>
      <c r="W1002" s="1540"/>
      <c r="X1002" s="1540"/>
      <c r="Y1002" s="1540"/>
      <c r="Z1002" s="1540"/>
      <c r="AA1002" s="1540"/>
      <c r="AB1002" s="1540"/>
      <c r="AC1002" s="1540"/>
      <c r="AD1002" s="1540"/>
      <c r="AE1002" s="1541"/>
      <c r="AF1002" s="73"/>
      <c r="AG1002" s="14"/>
      <c r="AH1002" s="14"/>
      <c r="AI1002" s="83"/>
      <c r="AJ1002" s="1395"/>
      <c r="AK1002" s="1396"/>
      <c r="AL1002" s="1396"/>
      <c r="AM1002" s="1396"/>
      <c r="AN1002" s="1396"/>
      <c r="AO1002" s="1396"/>
      <c r="AP1002" s="1396"/>
      <c r="AQ1002" s="1397"/>
      <c r="AR1002" s="68"/>
      <c r="AS1002" s="68"/>
      <c r="AT1002" s="68"/>
      <c r="AU1002" s="68"/>
      <c r="AV1002" s="68"/>
      <c r="AW1002" s="68"/>
      <c r="AX1002" s="68"/>
      <c r="AY1002" s="34"/>
      <c r="AZ1002" s="34"/>
      <c r="BB1002" s="34"/>
    </row>
    <row r="1003" spans="1:55" ht="12.95" customHeight="1">
      <c r="A1003" s="14"/>
      <c r="B1003" s="257"/>
      <c r="C1003" s="82"/>
      <c r="D1003" s="1539"/>
      <c r="E1003" s="1540"/>
      <c r="F1003" s="1540"/>
      <c r="G1003" s="1540"/>
      <c r="H1003" s="1540"/>
      <c r="I1003" s="1540"/>
      <c r="J1003" s="1540"/>
      <c r="K1003" s="1540"/>
      <c r="L1003" s="1540"/>
      <c r="M1003" s="1540"/>
      <c r="N1003" s="1540"/>
      <c r="O1003" s="1540"/>
      <c r="P1003" s="1540"/>
      <c r="Q1003" s="1540"/>
      <c r="R1003" s="1540"/>
      <c r="S1003" s="1540"/>
      <c r="T1003" s="1540"/>
      <c r="U1003" s="1540"/>
      <c r="V1003" s="1540"/>
      <c r="W1003" s="1540"/>
      <c r="X1003" s="1540"/>
      <c r="Y1003" s="1540"/>
      <c r="Z1003" s="1540"/>
      <c r="AA1003" s="1540"/>
      <c r="AB1003" s="1540"/>
      <c r="AC1003" s="1540"/>
      <c r="AD1003" s="1540"/>
      <c r="AE1003" s="1541"/>
      <c r="AF1003" s="73"/>
      <c r="AG1003" s="14"/>
      <c r="AH1003" s="14"/>
      <c r="AI1003" s="83"/>
      <c r="AJ1003" s="1395"/>
      <c r="AK1003" s="1396"/>
      <c r="AL1003" s="1396"/>
      <c r="AM1003" s="1396"/>
      <c r="AN1003" s="1396"/>
      <c r="AO1003" s="1396"/>
      <c r="AP1003" s="1396"/>
      <c r="AQ1003" s="1397"/>
      <c r="AR1003" s="68"/>
      <c r="AS1003" s="68"/>
      <c r="AT1003" s="68"/>
      <c r="AU1003" s="68"/>
      <c r="AV1003" s="68"/>
      <c r="AW1003" s="68"/>
      <c r="AX1003" s="68"/>
      <c r="AY1003" s="914">
        <f>G753+O797</f>
        <v>103</v>
      </c>
      <c r="AZ1003" s="34"/>
      <c r="BB1003" s="34"/>
    </row>
    <row r="1004" spans="1:55" ht="12.95" customHeight="1">
      <c r="A1004" s="14"/>
      <c r="B1004" s="257"/>
      <c r="C1004" s="82"/>
      <c r="D1004" s="1539"/>
      <c r="E1004" s="1540"/>
      <c r="F1004" s="1540"/>
      <c r="G1004" s="1540"/>
      <c r="H1004" s="1540"/>
      <c r="I1004" s="1540"/>
      <c r="J1004" s="1540"/>
      <c r="K1004" s="1540"/>
      <c r="L1004" s="1540"/>
      <c r="M1004" s="1540"/>
      <c r="N1004" s="1540"/>
      <c r="O1004" s="1540"/>
      <c r="P1004" s="1540"/>
      <c r="Q1004" s="1540"/>
      <c r="R1004" s="1540"/>
      <c r="S1004" s="1540"/>
      <c r="T1004" s="1540"/>
      <c r="U1004" s="1540"/>
      <c r="V1004" s="1540"/>
      <c r="W1004" s="1540"/>
      <c r="X1004" s="1540"/>
      <c r="Y1004" s="1540"/>
      <c r="Z1004" s="1540"/>
      <c r="AA1004" s="1540"/>
      <c r="AB1004" s="1540"/>
      <c r="AC1004" s="1540"/>
      <c r="AD1004" s="1540"/>
      <c r="AE1004" s="1541"/>
      <c r="AF1004" s="73"/>
      <c r="AG1004" s="14"/>
      <c r="AH1004" s="14"/>
      <c r="AI1004" s="83"/>
      <c r="AJ1004" s="1395"/>
      <c r="AK1004" s="1396"/>
      <c r="AL1004" s="1396"/>
      <c r="AM1004" s="1396"/>
      <c r="AN1004" s="1396"/>
      <c r="AO1004" s="1396"/>
      <c r="AP1004" s="1396"/>
      <c r="AQ1004" s="1397"/>
      <c r="AR1004" s="68"/>
      <c r="AS1004" s="68"/>
      <c r="AT1004" s="68"/>
      <c r="AU1004" s="68"/>
      <c r="AV1004" s="68"/>
      <c r="AW1004" s="68"/>
      <c r="AX1004" s="68"/>
      <c r="AY1004" s="14"/>
      <c r="AZ1004" s="34"/>
      <c r="BB1004" s="34"/>
    </row>
    <row r="1005" spans="1:55" ht="12.95" customHeight="1">
      <c r="A1005" s="14"/>
      <c r="B1005" s="257"/>
      <c r="C1005" s="82"/>
      <c r="D1005" s="1539"/>
      <c r="E1005" s="1540"/>
      <c r="F1005" s="1540"/>
      <c r="G1005" s="1540"/>
      <c r="H1005" s="1540"/>
      <c r="I1005" s="1540"/>
      <c r="J1005" s="1540"/>
      <c r="K1005" s="1540"/>
      <c r="L1005" s="1540"/>
      <c r="M1005" s="1540"/>
      <c r="N1005" s="1540"/>
      <c r="O1005" s="1540"/>
      <c r="P1005" s="1540"/>
      <c r="Q1005" s="1540"/>
      <c r="R1005" s="1540"/>
      <c r="S1005" s="1540"/>
      <c r="T1005" s="1540"/>
      <c r="U1005" s="1540"/>
      <c r="V1005" s="1540"/>
      <c r="W1005" s="1540"/>
      <c r="X1005" s="1540"/>
      <c r="Y1005" s="1540"/>
      <c r="Z1005" s="1540"/>
      <c r="AA1005" s="1540"/>
      <c r="AB1005" s="1540"/>
      <c r="AC1005" s="1540"/>
      <c r="AD1005" s="1540"/>
      <c r="AE1005" s="1541"/>
      <c r="AF1005" s="73"/>
      <c r="AG1005" s="14"/>
      <c r="AH1005" s="14"/>
      <c r="AI1005" s="83"/>
      <c r="AJ1005" s="1395"/>
      <c r="AK1005" s="1396"/>
      <c r="AL1005" s="1396"/>
      <c r="AM1005" s="1396"/>
      <c r="AN1005" s="1396"/>
      <c r="AO1005" s="1396"/>
      <c r="AP1005" s="1396"/>
      <c r="AQ1005" s="1397"/>
      <c r="AR1005" s="68"/>
      <c r="AS1005" s="68"/>
      <c r="AT1005" s="68"/>
      <c r="AU1005" s="68"/>
      <c r="AV1005" s="68"/>
      <c r="AW1005" s="68"/>
      <c r="AX1005" s="68"/>
      <c r="AY1005" s="913">
        <f>ROUNDDOWN(X1048/I1048,2)</f>
        <v>0.13</v>
      </c>
      <c r="AZ1005" s="34"/>
      <c r="BB1005" s="34"/>
    </row>
    <row r="1006" spans="1:55" ht="12.95" customHeight="1">
      <c r="A1006" s="14"/>
      <c r="B1006" s="75"/>
      <c r="C1006" s="76"/>
      <c r="D1006" s="1542"/>
      <c r="E1006" s="1543"/>
      <c r="F1006" s="1543"/>
      <c r="G1006" s="1543"/>
      <c r="H1006" s="1543"/>
      <c r="I1006" s="1543"/>
      <c r="J1006" s="1543"/>
      <c r="K1006" s="1543"/>
      <c r="L1006" s="1543"/>
      <c r="M1006" s="1543"/>
      <c r="N1006" s="1543"/>
      <c r="O1006" s="1543"/>
      <c r="P1006" s="1543"/>
      <c r="Q1006" s="1543"/>
      <c r="R1006" s="1543"/>
      <c r="S1006" s="1543"/>
      <c r="T1006" s="1543"/>
      <c r="U1006" s="1543"/>
      <c r="V1006" s="1543"/>
      <c r="W1006" s="1543"/>
      <c r="X1006" s="1543"/>
      <c r="Y1006" s="1543"/>
      <c r="Z1006" s="1543"/>
      <c r="AA1006" s="1543"/>
      <c r="AB1006" s="1543"/>
      <c r="AC1006" s="1543"/>
      <c r="AD1006" s="1543"/>
      <c r="AE1006" s="1544"/>
      <c r="AF1006" s="77"/>
      <c r="AG1006" s="7"/>
      <c r="AH1006" s="7"/>
      <c r="AI1006" s="78"/>
      <c r="AJ1006" s="1398"/>
      <c r="AK1006" s="1399"/>
      <c r="AL1006" s="1399"/>
      <c r="AM1006" s="1399"/>
      <c r="AN1006" s="1399"/>
      <c r="AO1006" s="1399"/>
      <c r="AP1006" s="1399"/>
      <c r="AQ1006" s="1400"/>
      <c r="AR1006" s="68"/>
      <c r="AS1006" s="68"/>
      <c r="AT1006" s="68"/>
      <c r="AU1006" s="68"/>
      <c r="AV1006" s="68"/>
      <c r="AW1006" s="68"/>
      <c r="AX1006" s="68"/>
      <c r="AY1006" s="913">
        <f>ROUNDDOWN(X1052/I1052,2)</f>
        <v>0.31</v>
      </c>
      <c r="AZ1006" s="34"/>
      <c r="BB1006" s="34"/>
    </row>
    <row r="1007" spans="1:55" ht="12.95" customHeight="1">
      <c r="A1007" s="14"/>
      <c r="B1007" s="255"/>
      <c r="C1007" s="80" t="s">
        <v>672</v>
      </c>
      <c r="D1007" s="1494" t="s">
        <v>1683</v>
      </c>
      <c r="E1007" s="1495"/>
      <c r="F1007" s="1495"/>
      <c r="G1007" s="1495"/>
      <c r="H1007" s="1495"/>
      <c r="I1007" s="1495"/>
      <c r="J1007" s="1495"/>
      <c r="K1007" s="1495"/>
      <c r="L1007" s="1495"/>
      <c r="M1007" s="1495"/>
      <c r="N1007" s="1495"/>
      <c r="O1007" s="1495"/>
      <c r="P1007" s="1495"/>
      <c r="Q1007" s="1495"/>
      <c r="R1007" s="1495"/>
      <c r="S1007" s="1495"/>
      <c r="T1007" s="1495"/>
      <c r="U1007" s="1495"/>
      <c r="V1007" s="1495"/>
      <c r="W1007" s="1495"/>
      <c r="X1007" s="1495"/>
      <c r="Y1007" s="1495"/>
      <c r="Z1007" s="1495"/>
      <c r="AA1007" s="1495"/>
      <c r="AB1007" s="1495"/>
      <c r="AC1007" s="1495"/>
      <c r="AD1007" s="1495"/>
      <c r="AE1007" s="1496"/>
      <c r="AF1007" s="86"/>
      <c r="AG1007" s="1502" t="s">
        <v>669</v>
      </c>
      <c r="AH1007" s="1503"/>
      <c r="AI1007" s="87"/>
      <c r="AJ1007" s="1392">
        <f>ROUND(IF(AG1007="yes",AJ992*0.1,0),0)</f>
        <v>0</v>
      </c>
      <c r="AK1007" s="1393"/>
      <c r="AL1007" s="1393"/>
      <c r="AM1007" s="1393"/>
      <c r="AN1007" s="1393"/>
      <c r="AO1007" s="1393"/>
      <c r="AP1007" s="1393"/>
      <c r="AQ1007" s="1394"/>
      <c r="AR1007" s="68"/>
      <c r="AS1007" s="68"/>
      <c r="AT1007" s="68"/>
      <c r="AU1007" s="68"/>
      <c r="AV1007" s="68"/>
      <c r="AW1007" s="68"/>
      <c r="AX1007" s="68"/>
      <c r="BB1007" s="34"/>
    </row>
    <row r="1008" spans="1:55" ht="12.95" customHeight="1">
      <c r="A1008" s="14"/>
      <c r="B1008" s="73"/>
      <c r="C1008" s="74"/>
      <c r="D1008" s="1507" t="s">
        <v>1285</v>
      </c>
      <c r="E1008" s="1508"/>
      <c r="F1008" s="1508"/>
      <c r="G1008" s="1508"/>
      <c r="H1008" s="1508"/>
      <c r="I1008" s="1508"/>
      <c r="J1008" s="1508"/>
      <c r="K1008" s="1508"/>
      <c r="L1008" s="1508"/>
      <c r="M1008" s="1508"/>
      <c r="N1008" s="1508"/>
      <c r="O1008" s="1508"/>
      <c r="P1008" s="1508"/>
      <c r="Q1008" s="1508"/>
      <c r="R1008" s="1508"/>
      <c r="S1008" s="1508"/>
      <c r="T1008" s="1508"/>
      <c r="U1008" s="1508"/>
      <c r="V1008" s="1508"/>
      <c r="W1008" s="1508"/>
      <c r="X1008" s="1508"/>
      <c r="Y1008" s="1508"/>
      <c r="Z1008" s="1508"/>
      <c r="AA1008" s="1508"/>
      <c r="AB1008" s="1508"/>
      <c r="AC1008" s="1508"/>
      <c r="AD1008" s="1508"/>
      <c r="AE1008" s="1509"/>
      <c r="AF1008" s="73"/>
      <c r="AI1008" s="83"/>
      <c r="AJ1008" s="1395"/>
      <c r="AK1008" s="1396"/>
      <c r="AL1008" s="1396"/>
      <c r="AM1008" s="1396"/>
      <c r="AN1008" s="1396"/>
      <c r="AO1008" s="1396"/>
      <c r="AP1008" s="1396"/>
      <c r="AQ1008" s="1397"/>
      <c r="AR1008" s="68"/>
      <c r="AS1008" s="68"/>
      <c r="AT1008" s="68"/>
      <c r="AU1008" s="68"/>
      <c r="AV1008" s="68"/>
      <c r="AW1008" s="68"/>
      <c r="AX1008" s="68"/>
    </row>
    <row r="1009" spans="1:52" ht="12.95" customHeight="1">
      <c r="A1009" s="14"/>
      <c r="B1009" s="73"/>
      <c r="C1009" s="74"/>
      <c r="D1009" s="1507"/>
      <c r="E1009" s="1508"/>
      <c r="F1009" s="1508"/>
      <c r="G1009" s="1508"/>
      <c r="H1009" s="1508"/>
      <c r="I1009" s="1508"/>
      <c r="J1009" s="1508"/>
      <c r="K1009" s="1508"/>
      <c r="L1009" s="1508"/>
      <c r="M1009" s="1508"/>
      <c r="N1009" s="1508"/>
      <c r="O1009" s="1508"/>
      <c r="P1009" s="1508"/>
      <c r="Q1009" s="1508"/>
      <c r="R1009" s="1508"/>
      <c r="S1009" s="1508"/>
      <c r="T1009" s="1508"/>
      <c r="U1009" s="1508"/>
      <c r="V1009" s="1508"/>
      <c r="W1009" s="1508"/>
      <c r="X1009" s="1508"/>
      <c r="Y1009" s="1508"/>
      <c r="Z1009" s="1508"/>
      <c r="AA1009" s="1508"/>
      <c r="AB1009" s="1508"/>
      <c r="AC1009" s="1508"/>
      <c r="AD1009" s="1508"/>
      <c r="AE1009" s="1509"/>
      <c r="AF1009" s="73"/>
      <c r="AG1009" s="14"/>
      <c r="AH1009" s="14"/>
      <c r="AI1009" s="83"/>
      <c r="AJ1009" s="1395"/>
      <c r="AK1009" s="1396"/>
      <c r="AL1009" s="1396"/>
      <c r="AM1009" s="1396"/>
      <c r="AN1009" s="1396"/>
      <c r="AO1009" s="1396"/>
      <c r="AP1009" s="1396"/>
      <c r="AQ1009" s="1397"/>
      <c r="AR1009" s="68"/>
      <c r="AS1009" s="68"/>
      <c r="AT1009" s="68"/>
      <c r="AU1009" s="68"/>
      <c r="AV1009" s="68"/>
      <c r="AW1009" s="68"/>
      <c r="AX1009" s="68"/>
    </row>
    <row r="1010" spans="1:52" ht="12.95" customHeight="1">
      <c r="A1010" s="14"/>
      <c r="B1010" s="85"/>
      <c r="C1010" s="76"/>
      <c r="D1010" s="1510"/>
      <c r="E1010" s="1511"/>
      <c r="F1010" s="1511"/>
      <c r="G1010" s="1511"/>
      <c r="H1010" s="1511"/>
      <c r="I1010" s="1511"/>
      <c r="J1010" s="1511"/>
      <c r="K1010" s="1511"/>
      <c r="L1010" s="1511"/>
      <c r="M1010" s="1511"/>
      <c r="N1010" s="1511"/>
      <c r="O1010" s="1511"/>
      <c r="P1010" s="1511"/>
      <c r="Q1010" s="1511"/>
      <c r="R1010" s="1511"/>
      <c r="S1010" s="1511"/>
      <c r="T1010" s="1511"/>
      <c r="U1010" s="1511"/>
      <c r="V1010" s="1511"/>
      <c r="W1010" s="1511"/>
      <c r="X1010" s="1511"/>
      <c r="Y1010" s="1511"/>
      <c r="Z1010" s="1511"/>
      <c r="AA1010" s="1511"/>
      <c r="AB1010" s="1511"/>
      <c r="AC1010" s="1511"/>
      <c r="AD1010" s="1511"/>
      <c r="AE1010" s="1512"/>
      <c r="AF1010" s="77"/>
      <c r="AG1010" s="7"/>
      <c r="AH1010" s="7"/>
      <c r="AI1010" s="78"/>
      <c r="AJ1010" s="1398"/>
      <c r="AK1010" s="1399"/>
      <c r="AL1010" s="1399"/>
      <c r="AM1010" s="1399"/>
      <c r="AN1010" s="1399"/>
      <c r="AO1010" s="1399"/>
      <c r="AP1010" s="1399"/>
      <c r="AQ1010" s="1400"/>
      <c r="AR1010" s="68"/>
      <c r="AS1010" s="68"/>
      <c r="AT1010" s="68"/>
      <c r="AU1010" s="68"/>
      <c r="AV1010" s="68"/>
      <c r="AW1010" s="68"/>
      <c r="AX1010" s="68"/>
    </row>
    <row r="1011" spans="1:52" ht="12.95" customHeight="1">
      <c r="A1011" s="14"/>
      <c r="B1011" s="79"/>
      <c r="C1011" s="80" t="s">
        <v>211</v>
      </c>
      <c r="D1011" s="1494" t="s">
        <v>1287</v>
      </c>
      <c r="E1011" s="1495"/>
      <c r="F1011" s="1495"/>
      <c r="G1011" s="1495"/>
      <c r="H1011" s="1495"/>
      <c r="I1011" s="1495"/>
      <c r="J1011" s="1495"/>
      <c r="K1011" s="1495"/>
      <c r="L1011" s="1495"/>
      <c r="M1011" s="1495"/>
      <c r="N1011" s="1495"/>
      <c r="O1011" s="1495"/>
      <c r="P1011" s="1495"/>
      <c r="Q1011" s="1495"/>
      <c r="R1011" s="1495"/>
      <c r="S1011" s="1495"/>
      <c r="T1011" s="1495"/>
      <c r="U1011" s="1495"/>
      <c r="V1011" s="1495"/>
      <c r="W1011" s="1495"/>
      <c r="X1011" s="1495"/>
      <c r="Y1011" s="1495"/>
      <c r="Z1011" s="1495"/>
      <c r="AA1011" s="1495"/>
      <c r="AB1011" s="1495"/>
      <c r="AC1011" s="1495"/>
      <c r="AD1011" s="1495"/>
      <c r="AE1011" s="1496"/>
      <c r="AF1011" s="79"/>
      <c r="AG1011" s="1502" t="s">
        <v>669</v>
      </c>
      <c r="AH1011" s="1503"/>
      <c r="AI1011" s="87"/>
      <c r="AJ1011" s="1392">
        <f>ROUND(IF(AG1011="yes",AJ992*0.02,0),0)</f>
        <v>0</v>
      </c>
      <c r="AK1011" s="1393"/>
      <c r="AL1011" s="1393"/>
      <c r="AM1011" s="1393"/>
      <c r="AN1011" s="1393"/>
      <c r="AO1011" s="1393"/>
      <c r="AP1011" s="1393"/>
      <c r="AQ1011" s="1394"/>
      <c r="AR1011" s="68"/>
      <c r="AS1011" s="68"/>
      <c r="AT1011" s="68"/>
      <c r="AU1011" s="68"/>
      <c r="AV1011" s="68"/>
      <c r="AW1011" s="68"/>
      <c r="AX1011" s="68"/>
    </row>
    <row r="1012" spans="1:52" ht="14.25" customHeight="1">
      <c r="A1012" s="14"/>
      <c r="B1012" s="73"/>
      <c r="C1012" s="74"/>
      <c r="D1012" s="1510" t="s">
        <v>1288</v>
      </c>
      <c r="E1012" s="1511"/>
      <c r="F1012" s="1511"/>
      <c r="G1012" s="1511"/>
      <c r="H1012" s="1511"/>
      <c r="I1012" s="1511"/>
      <c r="J1012" s="1511"/>
      <c r="K1012" s="1511"/>
      <c r="L1012" s="1511"/>
      <c r="M1012" s="1511"/>
      <c r="N1012" s="1511"/>
      <c r="O1012" s="1511"/>
      <c r="P1012" s="1511"/>
      <c r="Q1012" s="1511"/>
      <c r="R1012" s="1511"/>
      <c r="S1012" s="1511"/>
      <c r="T1012" s="1511"/>
      <c r="U1012" s="1511"/>
      <c r="V1012" s="1511"/>
      <c r="W1012" s="1511"/>
      <c r="X1012" s="1511"/>
      <c r="Y1012" s="1511"/>
      <c r="Z1012" s="1511"/>
      <c r="AA1012" s="1511"/>
      <c r="AB1012" s="1511"/>
      <c r="AC1012" s="1511"/>
      <c r="AD1012" s="1511"/>
      <c r="AE1012" s="1512"/>
      <c r="AF1012" s="77"/>
      <c r="AG1012" s="7"/>
      <c r="AH1012" s="7"/>
      <c r="AI1012" s="78"/>
      <c r="AJ1012" s="1398"/>
      <c r="AK1012" s="1399"/>
      <c r="AL1012" s="1399"/>
      <c r="AM1012" s="1399"/>
      <c r="AN1012" s="1399"/>
      <c r="AO1012" s="1399"/>
      <c r="AP1012" s="1399"/>
      <c r="AQ1012" s="1400"/>
      <c r="AR1012" s="68"/>
      <c r="AS1012" s="68"/>
      <c r="AT1012" s="68"/>
      <c r="AU1012" s="68"/>
      <c r="AV1012" s="68"/>
      <c r="AW1012" s="68"/>
      <c r="AX1012" s="3" t="s">
        <v>1841</v>
      </c>
      <c r="AZ1012" s="3" t="s">
        <v>2604</v>
      </c>
    </row>
    <row r="1013" spans="1:52" ht="12.95" customHeight="1">
      <c r="A1013" s="14"/>
      <c r="B1013" s="79"/>
      <c r="C1013" s="80" t="s">
        <v>214</v>
      </c>
      <c r="D1013" s="1494" t="s">
        <v>1289</v>
      </c>
      <c r="E1013" s="1495"/>
      <c r="F1013" s="1495"/>
      <c r="G1013" s="1495"/>
      <c r="H1013" s="1495"/>
      <c r="I1013" s="1495"/>
      <c r="J1013" s="1495"/>
      <c r="K1013" s="1495"/>
      <c r="L1013" s="1495"/>
      <c r="M1013" s="1495"/>
      <c r="N1013" s="1495"/>
      <c r="O1013" s="1495"/>
      <c r="P1013" s="1495"/>
      <c r="Q1013" s="1495"/>
      <c r="R1013" s="1495"/>
      <c r="S1013" s="1495"/>
      <c r="T1013" s="1495"/>
      <c r="U1013" s="1495"/>
      <c r="V1013" s="1495"/>
      <c r="W1013" s="1495"/>
      <c r="X1013" s="1495"/>
      <c r="Y1013" s="1495"/>
      <c r="Z1013" s="1495"/>
      <c r="AA1013" s="1495"/>
      <c r="AB1013" s="1495"/>
      <c r="AC1013" s="1495"/>
      <c r="AD1013" s="1495"/>
      <c r="AE1013" s="1496"/>
      <c r="AF1013" s="79"/>
      <c r="AG1013" s="1502" t="s">
        <v>669</v>
      </c>
      <c r="AH1013" s="1503"/>
      <c r="AI1013" s="79"/>
      <c r="AJ1013" s="1392">
        <f>ROUND(IF(AG1013="yes",AJ992*0.02,0),0)</f>
        <v>0</v>
      </c>
      <c r="AK1013" s="1393"/>
      <c r="AL1013" s="1393"/>
      <c r="AM1013" s="1393"/>
      <c r="AN1013" s="1393"/>
      <c r="AO1013" s="1393"/>
      <c r="AP1013" s="1393"/>
      <c r="AQ1013" s="1394"/>
      <c r="AR1013" s="68"/>
      <c r="AS1013" s="68"/>
      <c r="AT1013" s="68"/>
      <c r="AU1013" s="68"/>
      <c r="AV1013" s="68"/>
      <c r="AW1013" s="68"/>
      <c r="AX1013" s="3">
        <v>1</v>
      </c>
      <c r="AY1013" s="200">
        <f>IF((_xlfn.XLOOKUP(AX1013,$C$1065:$C$1103,$A$1065:$A$1103,"",0,1))="Yes",AZ1013,0)</f>
        <v>0.2</v>
      </c>
      <c r="AZ1013" s="1255">
        <v>0.2</v>
      </c>
    </row>
    <row r="1014" spans="1:52" ht="12.95" customHeight="1">
      <c r="A1014" s="14"/>
      <c r="B1014" s="73"/>
      <c r="C1014" s="74"/>
      <c r="D1014" s="1507" t="s">
        <v>1290</v>
      </c>
      <c r="E1014" s="1508"/>
      <c r="F1014" s="1508"/>
      <c r="G1014" s="1508"/>
      <c r="H1014" s="1508"/>
      <c r="I1014" s="1508"/>
      <c r="J1014" s="1508"/>
      <c r="K1014" s="1508"/>
      <c r="L1014" s="1508"/>
      <c r="M1014" s="1508"/>
      <c r="N1014" s="1508"/>
      <c r="O1014" s="1508"/>
      <c r="P1014" s="1508"/>
      <c r="Q1014" s="1508"/>
      <c r="R1014" s="1508"/>
      <c r="S1014" s="1508"/>
      <c r="T1014" s="1508"/>
      <c r="U1014" s="1508"/>
      <c r="V1014" s="1508"/>
      <c r="W1014" s="1508"/>
      <c r="X1014" s="1508"/>
      <c r="Y1014" s="1508"/>
      <c r="Z1014" s="1508"/>
      <c r="AA1014" s="1508"/>
      <c r="AB1014" s="1508"/>
      <c r="AC1014" s="1508"/>
      <c r="AD1014" s="1508"/>
      <c r="AE1014" s="1509"/>
      <c r="AF1014" s="1379" t="str">
        <f>IF(AND(AG1013="yes",T212&lt;&gt;1),"The project may not be eligible for this boost","")</f>
        <v/>
      </c>
      <c r="AG1014" s="1380"/>
      <c r="AH1014" s="1380"/>
      <c r="AI1014" s="1381"/>
      <c r="AJ1014" s="1395"/>
      <c r="AK1014" s="1396"/>
      <c r="AL1014" s="1396"/>
      <c r="AM1014" s="1396"/>
      <c r="AN1014" s="1396"/>
      <c r="AO1014" s="1396"/>
      <c r="AP1014" s="1396"/>
      <c r="AQ1014" s="1397"/>
      <c r="AR1014" s="68"/>
      <c r="AS1014" s="68"/>
      <c r="AT1014" s="68"/>
      <c r="AU1014" s="68"/>
      <c r="AV1014" s="68"/>
      <c r="AW1014" s="68"/>
      <c r="AX1014" s="3">
        <v>2</v>
      </c>
      <c r="AY1014" s="200">
        <f t="shared" ref="AY1014:AY1023" si="53">IF((_xlfn.XLOOKUP(AX1014,$C$1065:$C$1103,$A$1065:$A$1103,"",0,1))="Yes",AZ1014,0)</f>
        <v>0</v>
      </c>
      <c r="AZ1014" s="1255">
        <v>0.15</v>
      </c>
    </row>
    <row r="1015" spans="1:52" ht="12.95" customHeight="1">
      <c r="A1015" s="14"/>
      <c r="B1015" s="75"/>
      <c r="C1015" s="76"/>
      <c r="D1015" s="1510"/>
      <c r="E1015" s="1511"/>
      <c r="F1015" s="1511"/>
      <c r="G1015" s="1511"/>
      <c r="H1015" s="1511"/>
      <c r="I1015" s="1511"/>
      <c r="J1015" s="1511"/>
      <c r="K1015" s="1511"/>
      <c r="L1015" s="1511"/>
      <c r="M1015" s="1511"/>
      <c r="N1015" s="1511"/>
      <c r="O1015" s="1511"/>
      <c r="P1015" s="1511"/>
      <c r="Q1015" s="1511"/>
      <c r="R1015" s="1511"/>
      <c r="S1015" s="1511"/>
      <c r="T1015" s="1511"/>
      <c r="U1015" s="1511"/>
      <c r="V1015" s="1511"/>
      <c r="W1015" s="1511"/>
      <c r="X1015" s="1511"/>
      <c r="Y1015" s="1511"/>
      <c r="Z1015" s="1511"/>
      <c r="AA1015" s="1511"/>
      <c r="AB1015" s="1511"/>
      <c r="AC1015" s="1511"/>
      <c r="AD1015" s="1511"/>
      <c r="AE1015" s="1512"/>
      <c r="AF1015" s="1382"/>
      <c r="AG1015" s="1383"/>
      <c r="AH1015" s="1383"/>
      <c r="AI1015" s="1384"/>
      <c r="AJ1015" s="1398"/>
      <c r="AK1015" s="1399"/>
      <c r="AL1015" s="1399"/>
      <c r="AM1015" s="1399"/>
      <c r="AN1015" s="1399"/>
      <c r="AO1015" s="1399"/>
      <c r="AP1015" s="1399"/>
      <c r="AQ1015" s="1400"/>
      <c r="AR1015" s="68"/>
      <c r="AS1015" s="68"/>
      <c r="AT1015" s="68"/>
      <c r="AU1015" s="68"/>
      <c r="AV1015" s="68"/>
      <c r="AW1015" s="68"/>
      <c r="AX1015" s="3">
        <v>3</v>
      </c>
      <c r="AY1015" s="200">
        <f t="shared" si="53"/>
        <v>0</v>
      </c>
      <c r="AZ1015" s="1255">
        <v>0.05</v>
      </c>
    </row>
    <row r="1016" spans="1:52" ht="12.95" customHeight="1">
      <c r="A1016" s="14"/>
      <c r="B1016" s="79"/>
      <c r="C1016" s="80" t="s">
        <v>217</v>
      </c>
      <c r="D1016" s="1504" t="s">
        <v>2237</v>
      </c>
      <c r="E1016" s="1505"/>
      <c r="F1016" s="1505"/>
      <c r="G1016" s="1505"/>
      <c r="H1016" s="1505"/>
      <c r="I1016" s="1505"/>
      <c r="J1016" s="1505"/>
      <c r="K1016" s="1505"/>
      <c r="L1016" s="1505"/>
      <c r="M1016" s="1505"/>
      <c r="N1016" s="1505"/>
      <c r="O1016" s="1505"/>
      <c r="P1016" s="1505"/>
      <c r="Q1016" s="1505"/>
      <c r="R1016" s="1505"/>
      <c r="S1016" s="1505"/>
      <c r="T1016" s="1505"/>
      <c r="U1016" s="1505"/>
      <c r="V1016" s="1505"/>
      <c r="W1016" s="1505"/>
      <c r="X1016" s="1505"/>
      <c r="Y1016" s="1505"/>
      <c r="Z1016" s="1505"/>
      <c r="AA1016" s="1505"/>
      <c r="AB1016" s="1505"/>
      <c r="AC1016" s="1505"/>
      <c r="AD1016" s="1505"/>
      <c r="AE1016" s="1506"/>
      <c r="AF1016" s="79"/>
      <c r="AG1016" s="1502" t="s">
        <v>545</v>
      </c>
      <c r="AH1016" s="1503"/>
      <c r="AI1016" s="87"/>
      <c r="AJ1016" s="1392">
        <f>IF(AG1016="yes",AJ992*AY1024,0)</f>
        <v>0</v>
      </c>
      <c r="AK1016" s="1393"/>
      <c r="AL1016" s="1393"/>
      <c r="AM1016" s="1393"/>
      <c r="AN1016" s="1393"/>
      <c r="AO1016" s="1393"/>
      <c r="AP1016" s="1393"/>
      <c r="AQ1016" s="1394"/>
      <c r="AR1016" s="68"/>
      <c r="AS1016" s="68"/>
      <c r="AT1016" s="68"/>
      <c r="AU1016" s="68"/>
      <c r="AV1016" s="68"/>
      <c r="AW1016" s="68"/>
      <c r="AX1016" s="3">
        <v>4</v>
      </c>
      <c r="AY1016" s="200">
        <f t="shared" si="53"/>
        <v>0</v>
      </c>
      <c r="AZ1016" s="1255">
        <v>0.02</v>
      </c>
    </row>
    <row r="1017" spans="1:52" ht="12.95" customHeight="1">
      <c r="A1017" s="14"/>
      <c r="B1017" s="73"/>
      <c r="C1017" s="74"/>
      <c r="D1017" s="1507" t="s">
        <v>1291</v>
      </c>
      <c r="E1017" s="1508"/>
      <c r="F1017" s="1508"/>
      <c r="G1017" s="1508"/>
      <c r="H1017" s="1508"/>
      <c r="I1017" s="1508"/>
      <c r="J1017" s="1508"/>
      <c r="K1017" s="1508"/>
      <c r="L1017" s="1508"/>
      <c r="M1017" s="1508"/>
      <c r="N1017" s="1508"/>
      <c r="O1017" s="1508"/>
      <c r="P1017" s="1508"/>
      <c r="Q1017" s="1508"/>
      <c r="R1017" s="1508"/>
      <c r="S1017" s="1508"/>
      <c r="T1017" s="1508"/>
      <c r="U1017" s="1508"/>
      <c r="V1017" s="1508"/>
      <c r="W1017" s="1508"/>
      <c r="X1017" s="1508"/>
      <c r="Y1017" s="1508"/>
      <c r="Z1017" s="1508"/>
      <c r="AA1017" s="1508"/>
      <c r="AB1017" s="1508"/>
      <c r="AC1017" s="1508"/>
      <c r="AD1017" s="1508"/>
      <c r="AE1017" s="1509"/>
      <c r="AF1017" s="1373" t="str">
        <f>IF(AND(AG1016="Yes",AY1024=0),AY1027,"")</f>
        <v>Select items beginning on row #1061 to claim this boost</v>
      </c>
      <c r="AG1017" s="1374"/>
      <c r="AH1017" s="1374"/>
      <c r="AI1017" s="1375"/>
      <c r="AJ1017" s="1395"/>
      <c r="AK1017" s="1396"/>
      <c r="AL1017" s="1396"/>
      <c r="AM1017" s="1396"/>
      <c r="AN1017" s="1396"/>
      <c r="AO1017" s="1396"/>
      <c r="AP1017" s="1396"/>
      <c r="AQ1017" s="1397"/>
      <c r="AR1017" s="68"/>
      <c r="AS1017" s="68"/>
      <c r="AT1017" s="68"/>
      <c r="AU1017" s="68"/>
      <c r="AV1017" s="68"/>
      <c r="AW1017" s="68"/>
      <c r="AX1017" s="3">
        <v>5</v>
      </c>
      <c r="AY1017" s="200">
        <f t="shared" si="53"/>
        <v>0</v>
      </c>
      <c r="AZ1017" s="1255">
        <v>0.04</v>
      </c>
    </row>
    <row r="1018" spans="1:52" ht="12.95" customHeight="1">
      <c r="A1018" s="14"/>
      <c r="B1018" s="73"/>
      <c r="C1018" s="74"/>
      <c r="D1018" s="1507"/>
      <c r="E1018" s="1508"/>
      <c r="F1018" s="1508"/>
      <c r="G1018" s="1508"/>
      <c r="H1018" s="1508"/>
      <c r="I1018" s="1508"/>
      <c r="J1018" s="1508"/>
      <c r="K1018" s="1508"/>
      <c r="L1018" s="1508"/>
      <c r="M1018" s="1508"/>
      <c r="N1018" s="1508"/>
      <c r="O1018" s="1508"/>
      <c r="P1018" s="1508"/>
      <c r="Q1018" s="1508"/>
      <c r="R1018" s="1508"/>
      <c r="S1018" s="1508"/>
      <c r="T1018" s="1508"/>
      <c r="U1018" s="1508"/>
      <c r="V1018" s="1508"/>
      <c r="W1018" s="1508"/>
      <c r="X1018" s="1508"/>
      <c r="Y1018" s="1508"/>
      <c r="Z1018" s="1508"/>
      <c r="AA1018" s="1508"/>
      <c r="AB1018" s="1508"/>
      <c r="AC1018" s="1508"/>
      <c r="AD1018" s="1508"/>
      <c r="AE1018" s="1509"/>
      <c r="AF1018" s="1373"/>
      <c r="AG1018" s="1374"/>
      <c r="AH1018" s="1374"/>
      <c r="AI1018" s="1375"/>
      <c r="AJ1018" s="1395"/>
      <c r="AK1018" s="1396"/>
      <c r="AL1018" s="1396"/>
      <c r="AM1018" s="1396"/>
      <c r="AN1018" s="1396"/>
      <c r="AO1018" s="1396"/>
      <c r="AP1018" s="1396"/>
      <c r="AQ1018" s="1397"/>
      <c r="AR1018" s="68"/>
      <c r="AS1018" s="68"/>
      <c r="AT1018" s="68"/>
      <c r="AU1018" s="68"/>
      <c r="AV1018" s="68"/>
      <c r="AW1018" s="68"/>
      <c r="AX1018" s="3">
        <v>6</v>
      </c>
      <c r="AY1018" s="200">
        <f t="shared" si="53"/>
        <v>0</v>
      </c>
      <c r="AZ1018" s="1255">
        <v>0.04</v>
      </c>
    </row>
    <row r="1019" spans="1:52" ht="12.95" customHeight="1">
      <c r="A1019" s="14"/>
      <c r="B1019" s="81"/>
      <c r="C1019" s="82"/>
      <c r="D1019" s="1510"/>
      <c r="E1019" s="1511"/>
      <c r="F1019" s="1511"/>
      <c r="G1019" s="1511"/>
      <c r="H1019" s="1511"/>
      <c r="I1019" s="1511"/>
      <c r="J1019" s="1511"/>
      <c r="K1019" s="1511"/>
      <c r="L1019" s="1511"/>
      <c r="M1019" s="1511"/>
      <c r="N1019" s="1511"/>
      <c r="O1019" s="1511"/>
      <c r="P1019" s="1511"/>
      <c r="Q1019" s="1511"/>
      <c r="R1019" s="1511"/>
      <c r="S1019" s="1511"/>
      <c r="T1019" s="1511"/>
      <c r="U1019" s="1511"/>
      <c r="V1019" s="1511"/>
      <c r="W1019" s="1511"/>
      <c r="X1019" s="1511"/>
      <c r="Y1019" s="1511"/>
      <c r="Z1019" s="1511"/>
      <c r="AA1019" s="1511"/>
      <c r="AB1019" s="1511"/>
      <c r="AC1019" s="1511"/>
      <c r="AD1019" s="1511"/>
      <c r="AE1019" s="1512"/>
      <c r="AF1019" s="1376"/>
      <c r="AG1019" s="1377"/>
      <c r="AH1019" s="1377"/>
      <c r="AI1019" s="1378"/>
      <c r="AJ1019" s="1398"/>
      <c r="AK1019" s="1399"/>
      <c r="AL1019" s="1399"/>
      <c r="AM1019" s="1399"/>
      <c r="AN1019" s="1399"/>
      <c r="AO1019" s="1399"/>
      <c r="AP1019" s="1399"/>
      <c r="AQ1019" s="1400"/>
      <c r="AR1019" s="68"/>
      <c r="AS1019" s="68"/>
      <c r="AT1019" s="68"/>
      <c r="AU1019" s="68"/>
      <c r="AV1019" s="68"/>
      <c r="AW1019" s="68"/>
      <c r="AX1019" s="3">
        <v>7</v>
      </c>
      <c r="AY1019" s="200">
        <f t="shared" si="53"/>
        <v>0</v>
      </c>
      <c r="AZ1019" s="1255">
        <v>0.01</v>
      </c>
    </row>
    <row r="1020" spans="1:52" ht="12.95" customHeight="1">
      <c r="A1020" s="14"/>
      <c r="B1020" s="79"/>
      <c r="C1020" s="80" t="s">
        <v>222</v>
      </c>
      <c r="D1020" s="1521" t="s">
        <v>1292</v>
      </c>
      <c r="E1020" s="1522"/>
      <c r="F1020" s="1522"/>
      <c r="G1020" s="1522"/>
      <c r="H1020" s="1522"/>
      <c r="I1020" s="1522"/>
      <c r="J1020" s="1522"/>
      <c r="K1020" s="1522"/>
      <c r="L1020" s="1522"/>
      <c r="M1020" s="1522"/>
      <c r="N1020" s="1522"/>
      <c r="O1020" s="1522"/>
      <c r="P1020" s="1522"/>
      <c r="Q1020" s="1522"/>
      <c r="R1020" s="1522"/>
      <c r="S1020" s="1522"/>
      <c r="T1020" s="1522"/>
      <c r="U1020" s="1522"/>
      <c r="V1020" s="1522"/>
      <c r="W1020" s="1522"/>
      <c r="X1020" s="1522"/>
      <c r="Y1020" s="1522"/>
      <c r="Z1020" s="1522"/>
      <c r="AA1020" s="1522"/>
      <c r="AB1020" s="1522"/>
      <c r="AC1020" s="1522"/>
      <c r="AD1020" s="1522"/>
      <c r="AE1020" s="1523"/>
      <c r="AF1020" s="79"/>
      <c r="AG1020" s="1502" t="s">
        <v>669</v>
      </c>
      <c r="AH1020" s="1503"/>
      <c r="AI1020" s="87"/>
      <c r="AJ1020" s="1392">
        <f>ROUND(IF(AND(AG1020="Yes",J1024&lt;&gt;"N/A",AF1023&lt;&gt;""),MIN(AF1023,(0.15*AJ992)),0),0)</f>
        <v>0</v>
      </c>
      <c r="AK1020" s="1393"/>
      <c r="AL1020" s="1393"/>
      <c r="AM1020" s="1393"/>
      <c r="AN1020" s="1393"/>
      <c r="AO1020" s="1393"/>
      <c r="AP1020" s="1393"/>
      <c r="AQ1020" s="1394"/>
      <c r="AR1020" s="68"/>
      <c r="AS1020" s="68"/>
      <c r="AT1020" s="68"/>
      <c r="AU1020" s="68"/>
      <c r="AV1020" s="68"/>
      <c r="AW1020" s="68"/>
      <c r="AX1020" s="3">
        <v>8</v>
      </c>
      <c r="AY1020" s="200">
        <f t="shared" si="53"/>
        <v>0</v>
      </c>
      <c r="AZ1020" s="1255">
        <v>0.01</v>
      </c>
    </row>
    <row r="1021" spans="1:52" ht="12.95" customHeight="1">
      <c r="A1021" s="14"/>
      <c r="B1021" s="81"/>
      <c r="C1021" s="84"/>
      <c r="D1021" s="1524"/>
      <c r="E1021" s="1525"/>
      <c r="F1021" s="1525"/>
      <c r="G1021" s="1525"/>
      <c r="H1021" s="1525"/>
      <c r="I1021" s="1525"/>
      <c r="J1021" s="1525"/>
      <c r="K1021" s="1525"/>
      <c r="L1021" s="1525"/>
      <c r="M1021" s="1525"/>
      <c r="N1021" s="1525"/>
      <c r="O1021" s="1525"/>
      <c r="P1021" s="1525"/>
      <c r="Q1021" s="1525"/>
      <c r="R1021" s="1525"/>
      <c r="S1021" s="1525"/>
      <c r="T1021" s="1525"/>
      <c r="U1021" s="1525"/>
      <c r="V1021" s="1525"/>
      <c r="W1021" s="1525"/>
      <c r="X1021" s="1525"/>
      <c r="Y1021" s="1525"/>
      <c r="Z1021" s="1525"/>
      <c r="AA1021" s="1525"/>
      <c r="AB1021" s="1525"/>
      <c r="AC1021" s="1525"/>
      <c r="AD1021" s="1525"/>
      <c r="AE1021" s="1526"/>
      <c r="AF1021" s="1513" t="str">
        <f>IF(AG1020="yes","Please Select Type and Enter Amount:","")</f>
        <v/>
      </c>
      <c r="AG1021" s="1514"/>
      <c r="AH1021" s="1514"/>
      <c r="AI1021" s="1515"/>
      <c r="AJ1021" s="1395"/>
      <c r="AK1021" s="1396"/>
      <c r="AL1021" s="1396"/>
      <c r="AM1021" s="1396"/>
      <c r="AN1021" s="1396"/>
      <c r="AO1021" s="1396"/>
      <c r="AP1021" s="1396"/>
      <c r="AQ1021" s="1397"/>
      <c r="AR1021" s="68"/>
      <c r="AS1021" s="68"/>
      <c r="AT1021" s="68"/>
      <c r="AU1021" s="68"/>
      <c r="AV1021" s="68"/>
      <c r="AW1021" s="68"/>
      <c r="AX1021" s="3">
        <v>9</v>
      </c>
      <c r="AY1021" s="200">
        <f t="shared" si="53"/>
        <v>0</v>
      </c>
      <c r="AZ1021" s="1255">
        <v>0.01</v>
      </c>
    </row>
    <row r="1022" spans="1:52" ht="12.95" customHeight="1">
      <c r="A1022" s="14"/>
      <c r="B1022" s="81"/>
      <c r="C1022" s="84"/>
      <c r="D1022" s="1507" t="s">
        <v>1293</v>
      </c>
      <c r="E1022" s="1508"/>
      <c r="F1022" s="1508"/>
      <c r="G1022" s="1508"/>
      <c r="H1022" s="1508"/>
      <c r="I1022" s="1508"/>
      <c r="J1022" s="1508"/>
      <c r="K1022" s="1508"/>
      <c r="L1022" s="1508"/>
      <c r="M1022" s="1508"/>
      <c r="N1022" s="1508"/>
      <c r="O1022" s="1508"/>
      <c r="P1022" s="1508"/>
      <c r="Q1022" s="1508"/>
      <c r="R1022" s="1508"/>
      <c r="S1022" s="1508"/>
      <c r="T1022" s="1508"/>
      <c r="U1022" s="1508"/>
      <c r="V1022" s="1508"/>
      <c r="W1022" s="1508"/>
      <c r="X1022" s="1508"/>
      <c r="Y1022" s="1508"/>
      <c r="Z1022" s="1508"/>
      <c r="AA1022" s="1508"/>
      <c r="AB1022" s="1508"/>
      <c r="AC1022" s="1508"/>
      <c r="AD1022" s="1508"/>
      <c r="AE1022" s="1509"/>
      <c r="AF1022" s="1513"/>
      <c r="AG1022" s="1514"/>
      <c r="AH1022" s="1514"/>
      <c r="AI1022" s="1515"/>
      <c r="AJ1022" s="1395"/>
      <c r="AK1022" s="1396"/>
      <c r="AL1022" s="1396"/>
      <c r="AM1022" s="1396"/>
      <c r="AN1022" s="1396"/>
      <c r="AO1022" s="1396"/>
      <c r="AP1022" s="1396"/>
      <c r="AQ1022" s="1397"/>
      <c r="AR1022" s="68"/>
      <c r="AS1022" s="68"/>
      <c r="AT1022" s="68"/>
      <c r="AU1022" s="68"/>
      <c r="AV1022" s="68"/>
      <c r="AW1022" s="68"/>
      <c r="AX1022" s="3">
        <v>10</v>
      </c>
      <c r="AY1022" s="200">
        <f t="shared" si="53"/>
        <v>0</v>
      </c>
      <c r="AZ1022" s="1255">
        <v>0.02</v>
      </c>
    </row>
    <row r="1023" spans="1:52" ht="12.95" customHeight="1">
      <c r="A1023" s="14"/>
      <c r="B1023" s="81"/>
      <c r="C1023" s="84"/>
      <c r="D1023" s="1507"/>
      <c r="E1023" s="1508"/>
      <c r="F1023" s="1508"/>
      <c r="G1023" s="1508"/>
      <c r="H1023" s="1508"/>
      <c r="I1023" s="1508"/>
      <c r="J1023" s="1508"/>
      <c r="K1023" s="1508"/>
      <c r="L1023" s="1508"/>
      <c r="M1023" s="1508"/>
      <c r="N1023" s="1508"/>
      <c r="O1023" s="1508"/>
      <c r="P1023" s="1508"/>
      <c r="Q1023" s="1508"/>
      <c r="R1023" s="1508"/>
      <c r="S1023" s="1508"/>
      <c r="T1023" s="1508"/>
      <c r="U1023" s="1508"/>
      <c r="V1023" s="1508"/>
      <c r="W1023" s="1508"/>
      <c r="X1023" s="1508"/>
      <c r="Y1023" s="1508"/>
      <c r="Z1023" s="1508"/>
      <c r="AA1023" s="1508"/>
      <c r="AB1023" s="1508"/>
      <c r="AC1023" s="1508"/>
      <c r="AD1023" s="1508"/>
      <c r="AE1023" s="1509"/>
      <c r="AF1023" s="1556"/>
      <c r="AG1023" s="1556"/>
      <c r="AH1023" s="1556"/>
      <c r="AI1023" s="1556"/>
      <c r="AJ1023" s="1395"/>
      <c r="AK1023" s="1396"/>
      <c r="AL1023" s="1396"/>
      <c r="AM1023" s="1396"/>
      <c r="AN1023" s="1396"/>
      <c r="AO1023" s="1396"/>
      <c r="AP1023" s="1396"/>
      <c r="AQ1023" s="1397"/>
      <c r="AR1023" s="68"/>
      <c r="AS1023" s="68"/>
      <c r="AT1023" s="68"/>
      <c r="AU1023" s="68"/>
      <c r="AV1023" s="68"/>
      <c r="AW1023" s="68"/>
      <c r="AX1023" s="3">
        <v>11</v>
      </c>
      <c r="AY1023" s="200">
        <f t="shared" si="53"/>
        <v>0</v>
      </c>
      <c r="AZ1023" s="1255">
        <v>0.02</v>
      </c>
    </row>
    <row r="1024" spans="1:52" ht="12.95" customHeight="1">
      <c r="A1024" s="14"/>
      <c r="B1024" s="81"/>
      <c r="C1024" s="84"/>
      <c r="D1024" s="526" t="s">
        <v>358</v>
      </c>
      <c r="E1024" s="90"/>
      <c r="F1024" s="90"/>
      <c r="G1024" s="104"/>
      <c r="H1024" s="104"/>
      <c r="I1024" s="49"/>
      <c r="J1024" s="1485" t="s">
        <v>591</v>
      </c>
      <c r="K1024" s="1486"/>
      <c r="L1024" s="1486"/>
      <c r="M1024" s="1486"/>
      <c r="N1024" s="1486"/>
      <c r="O1024" s="1486"/>
      <c r="P1024" s="1486"/>
      <c r="Q1024" s="1486"/>
      <c r="R1024" s="1486"/>
      <c r="S1024" s="1486"/>
      <c r="T1024" s="1486"/>
      <c r="U1024" s="1486"/>
      <c r="V1024" s="1486"/>
      <c r="W1024" s="1486"/>
      <c r="X1024" s="1486"/>
      <c r="Y1024" s="1486"/>
      <c r="Z1024" s="1486"/>
      <c r="AA1024" s="1486"/>
      <c r="AB1024" s="1486"/>
      <c r="AC1024" s="1486"/>
      <c r="AD1024" s="1486"/>
      <c r="AE1024" s="1487"/>
      <c r="AF1024" s="1556"/>
      <c r="AG1024" s="1556"/>
      <c r="AH1024" s="1556"/>
      <c r="AI1024" s="1556"/>
      <c r="AJ1024" s="1398"/>
      <c r="AK1024" s="1399"/>
      <c r="AL1024" s="1399"/>
      <c r="AM1024" s="1399"/>
      <c r="AN1024" s="1399"/>
      <c r="AO1024" s="1399"/>
      <c r="AP1024" s="1399"/>
      <c r="AQ1024" s="1400"/>
      <c r="AR1024" s="68"/>
      <c r="AS1024" s="68"/>
      <c r="AT1024" s="68"/>
      <c r="AU1024" s="68"/>
      <c r="AV1024" s="68"/>
      <c r="AW1024" s="68"/>
      <c r="AX1024" s="1032" t="s">
        <v>2603</v>
      </c>
      <c r="AY1024" s="201">
        <f>IF(SUM(AY1015:AY1023)&lt;=0.2,SUM(AY1015:AY1023),0.2)</f>
        <v>0</v>
      </c>
    </row>
    <row r="1025" spans="1:57" ht="12.95" customHeight="1">
      <c r="A1025" s="14"/>
      <c r="B1025" s="79"/>
      <c r="C1025" s="80" t="s">
        <v>228</v>
      </c>
      <c r="D1025" s="1494" t="s">
        <v>1294</v>
      </c>
      <c r="E1025" s="1495"/>
      <c r="F1025" s="1495"/>
      <c r="G1025" s="1495"/>
      <c r="H1025" s="1495"/>
      <c r="I1025" s="1495"/>
      <c r="J1025" s="1495"/>
      <c r="K1025" s="1495"/>
      <c r="L1025" s="1495"/>
      <c r="M1025" s="1495"/>
      <c r="N1025" s="1495"/>
      <c r="O1025" s="1495"/>
      <c r="P1025" s="1495"/>
      <c r="Q1025" s="1495"/>
      <c r="R1025" s="1495"/>
      <c r="S1025" s="1495"/>
      <c r="T1025" s="1495"/>
      <c r="U1025" s="1495"/>
      <c r="V1025" s="1495"/>
      <c r="W1025" s="1495"/>
      <c r="X1025" s="1495"/>
      <c r="Y1025" s="1495"/>
      <c r="Z1025" s="1495"/>
      <c r="AA1025" s="1495"/>
      <c r="AB1025" s="1495"/>
      <c r="AC1025" s="1495"/>
      <c r="AD1025" s="1495"/>
      <c r="AE1025" s="1496"/>
      <c r="AF1025" s="79"/>
      <c r="AG1025" s="1502" t="s">
        <v>669</v>
      </c>
      <c r="AH1025" s="1503"/>
      <c r="AI1025" s="87"/>
      <c r="AJ1025" s="1392">
        <f>ROUND(IF(AG1025="Yes",AF1027,0),0)</f>
        <v>0</v>
      </c>
      <c r="AK1025" s="1393"/>
      <c r="AL1025" s="1393"/>
      <c r="AM1025" s="1393"/>
      <c r="AN1025" s="1393"/>
      <c r="AO1025" s="1393"/>
      <c r="AP1025" s="1393"/>
      <c r="AQ1025" s="1394"/>
      <c r="AR1025" s="68"/>
      <c r="AS1025" s="68"/>
      <c r="AT1025" s="68"/>
      <c r="AU1025" s="68"/>
      <c r="AV1025" s="68"/>
      <c r="AW1025" s="68"/>
      <c r="AX1025" s="68"/>
      <c r="AY1025" s="68"/>
    </row>
    <row r="1026" spans="1:57" ht="12.95" customHeight="1">
      <c r="A1026" s="14"/>
      <c r="B1026" s="73"/>
      <c r="C1026" s="74"/>
      <c r="D1026" s="1507" t="s">
        <v>1690</v>
      </c>
      <c r="E1026" s="1508"/>
      <c r="F1026" s="1508"/>
      <c r="G1026" s="1508"/>
      <c r="H1026" s="1508"/>
      <c r="I1026" s="1508"/>
      <c r="J1026" s="1508"/>
      <c r="K1026" s="1508"/>
      <c r="L1026" s="1508"/>
      <c r="M1026" s="1508"/>
      <c r="N1026" s="1508"/>
      <c r="O1026" s="1508"/>
      <c r="P1026" s="1508"/>
      <c r="Q1026" s="1508"/>
      <c r="R1026" s="1508"/>
      <c r="S1026" s="1508"/>
      <c r="T1026" s="1508"/>
      <c r="U1026" s="1508"/>
      <c r="V1026" s="1508"/>
      <c r="W1026" s="1508"/>
      <c r="X1026" s="1508"/>
      <c r="Y1026" s="1508"/>
      <c r="Z1026" s="1508"/>
      <c r="AA1026" s="1508"/>
      <c r="AB1026" s="1508"/>
      <c r="AC1026" s="1508"/>
      <c r="AD1026" s="1508"/>
      <c r="AE1026" s="1509"/>
      <c r="AF1026" s="1527" t="str">
        <f>IF(AG1025="yes","Enter Amount:","")</f>
        <v/>
      </c>
      <c r="AG1026" s="1528"/>
      <c r="AH1026" s="1528"/>
      <c r="AI1026" s="1529"/>
      <c r="AJ1026" s="1395"/>
      <c r="AK1026" s="1396"/>
      <c r="AL1026" s="1396"/>
      <c r="AM1026" s="1396"/>
      <c r="AN1026" s="1396"/>
      <c r="AO1026" s="1396"/>
      <c r="AP1026" s="1396"/>
      <c r="AQ1026" s="1397"/>
      <c r="AR1026" s="68"/>
      <c r="AS1026" s="68"/>
      <c r="AT1026" s="68"/>
      <c r="AU1026" s="68"/>
      <c r="AV1026" s="68"/>
      <c r="AW1026" s="68"/>
      <c r="AX1026" s="68"/>
      <c r="AY1026" s="68"/>
    </row>
    <row r="1027" spans="1:57" ht="12.95" customHeight="1">
      <c r="A1027" s="14"/>
      <c r="B1027" s="73"/>
      <c r="C1027" s="74"/>
      <c r="D1027" s="1507"/>
      <c r="E1027" s="1508"/>
      <c r="F1027" s="1508"/>
      <c r="G1027" s="1508"/>
      <c r="H1027" s="1508"/>
      <c r="I1027" s="1508"/>
      <c r="J1027" s="1508"/>
      <c r="K1027" s="1508"/>
      <c r="L1027" s="1508"/>
      <c r="M1027" s="1508"/>
      <c r="N1027" s="1508"/>
      <c r="O1027" s="1508"/>
      <c r="P1027" s="1508"/>
      <c r="Q1027" s="1508"/>
      <c r="R1027" s="1508"/>
      <c r="S1027" s="1508"/>
      <c r="T1027" s="1508"/>
      <c r="U1027" s="1508"/>
      <c r="V1027" s="1508"/>
      <c r="W1027" s="1508"/>
      <c r="X1027" s="1508"/>
      <c r="Y1027" s="1508"/>
      <c r="Z1027" s="1508"/>
      <c r="AA1027" s="1508"/>
      <c r="AB1027" s="1508"/>
      <c r="AC1027" s="1508"/>
      <c r="AD1027" s="1508"/>
      <c r="AE1027" s="1509"/>
      <c r="AF1027" s="1556"/>
      <c r="AG1027" s="1556"/>
      <c r="AH1027" s="1556"/>
      <c r="AI1027" s="1556"/>
      <c r="AJ1027" s="1395"/>
      <c r="AK1027" s="1396"/>
      <c r="AL1027" s="1396"/>
      <c r="AM1027" s="1396"/>
      <c r="AN1027" s="1396"/>
      <c r="AO1027" s="1396"/>
      <c r="AP1027" s="1396"/>
      <c r="AQ1027" s="1397"/>
      <c r="AR1027" s="68"/>
      <c r="AS1027" s="68"/>
      <c r="AT1027" s="68"/>
      <c r="AU1027" s="68"/>
      <c r="AV1027" s="68"/>
      <c r="AW1027" s="68"/>
      <c r="AX1027" s="68"/>
      <c r="AY1027" s="14" t="str">
        <f>"Select items beginning on row #"&amp;TEXT(ROW(A1061),"#")&amp;" to claim this boost"</f>
        <v>Select items beginning on row #1061 to claim this boost</v>
      </c>
    </row>
    <row r="1028" spans="1:57" ht="12.95" customHeight="1">
      <c r="A1028" s="14"/>
      <c r="B1028" s="85"/>
      <c r="C1028" s="84"/>
      <c r="D1028" s="1510"/>
      <c r="E1028" s="1511"/>
      <c r="F1028" s="1511"/>
      <c r="G1028" s="1511"/>
      <c r="H1028" s="1511"/>
      <c r="I1028" s="1511"/>
      <c r="J1028" s="1511"/>
      <c r="K1028" s="1511"/>
      <c r="L1028" s="1511"/>
      <c r="M1028" s="1511"/>
      <c r="N1028" s="1511"/>
      <c r="O1028" s="1511"/>
      <c r="P1028" s="1511"/>
      <c r="Q1028" s="1511"/>
      <c r="R1028" s="1511"/>
      <c r="S1028" s="1511"/>
      <c r="T1028" s="1511"/>
      <c r="U1028" s="1511"/>
      <c r="V1028" s="1511"/>
      <c r="W1028" s="1511"/>
      <c r="X1028" s="1511"/>
      <c r="Y1028" s="1511"/>
      <c r="Z1028" s="1511"/>
      <c r="AA1028" s="1511"/>
      <c r="AB1028" s="1511"/>
      <c r="AC1028" s="1511"/>
      <c r="AD1028" s="1511"/>
      <c r="AE1028" s="1512"/>
      <c r="AF1028" s="1556"/>
      <c r="AG1028" s="1556"/>
      <c r="AH1028" s="1556"/>
      <c r="AI1028" s="1556"/>
      <c r="AJ1028" s="1398"/>
      <c r="AK1028" s="1399"/>
      <c r="AL1028" s="1399"/>
      <c r="AM1028" s="1399"/>
      <c r="AN1028" s="1399"/>
      <c r="AO1028" s="1399"/>
      <c r="AP1028" s="1399"/>
      <c r="AQ1028" s="1400"/>
      <c r="AR1028" s="68"/>
      <c r="AS1028" s="68"/>
      <c r="AT1028" s="68"/>
      <c r="AU1028" s="68"/>
      <c r="AV1028" s="68"/>
      <c r="AW1028" s="68"/>
      <c r="AX1028" s="68"/>
      <c r="AY1028" s="68"/>
    </row>
    <row r="1029" spans="1:57" ht="12.95" customHeight="1">
      <c r="A1029" s="14"/>
      <c r="B1029" s="79"/>
      <c r="C1029" s="80" t="s">
        <v>233</v>
      </c>
      <c r="D1029" s="1504" t="s">
        <v>1295</v>
      </c>
      <c r="E1029" s="1505"/>
      <c r="F1029" s="1505"/>
      <c r="G1029" s="1505"/>
      <c r="H1029" s="1505"/>
      <c r="I1029" s="1505"/>
      <c r="J1029" s="1505"/>
      <c r="K1029" s="1505"/>
      <c r="L1029" s="1505"/>
      <c r="M1029" s="1505"/>
      <c r="N1029" s="1505"/>
      <c r="O1029" s="1505"/>
      <c r="P1029" s="1505"/>
      <c r="Q1029" s="1505"/>
      <c r="R1029" s="1505"/>
      <c r="S1029" s="1505"/>
      <c r="T1029" s="1505"/>
      <c r="U1029" s="1505"/>
      <c r="V1029" s="1505"/>
      <c r="W1029" s="1505"/>
      <c r="X1029" s="1505"/>
      <c r="Y1029" s="1505"/>
      <c r="Z1029" s="1505"/>
      <c r="AA1029" s="1505"/>
      <c r="AB1029" s="1505"/>
      <c r="AC1029" s="1505"/>
      <c r="AD1029" s="1505"/>
      <c r="AE1029" s="1506"/>
      <c r="AF1029" s="79"/>
      <c r="AG1029" s="1502" t="s">
        <v>545</v>
      </c>
      <c r="AH1029" s="1503"/>
      <c r="AI1029" s="87"/>
      <c r="AJ1029" s="1392">
        <f>ROUND(IF(AG1029="yes",(AJ992*0.1),0),0)</f>
        <v>6366369</v>
      </c>
      <c r="AK1029" s="1393"/>
      <c r="AL1029" s="1393"/>
      <c r="AM1029" s="1393"/>
      <c r="AN1029" s="1393"/>
      <c r="AO1029" s="1393"/>
      <c r="AP1029" s="1393"/>
      <c r="AQ1029" s="1394"/>
      <c r="AR1029" s="68"/>
      <c r="AS1029" s="68"/>
      <c r="AT1029" s="68"/>
      <c r="AU1029" s="68"/>
      <c r="AV1029" s="68"/>
      <c r="AW1029" s="68"/>
      <c r="AX1029" s="68"/>
      <c r="AY1029" s="68"/>
    </row>
    <row r="1030" spans="1:57" ht="12.95" customHeight="1">
      <c r="A1030" s="14"/>
      <c r="B1030" s="73"/>
      <c r="C1030" s="74"/>
      <c r="D1030" s="1507" t="s">
        <v>1296</v>
      </c>
      <c r="E1030" s="1508"/>
      <c r="F1030" s="1508"/>
      <c r="G1030" s="1508"/>
      <c r="H1030" s="1508"/>
      <c r="I1030" s="1508"/>
      <c r="J1030" s="1508"/>
      <c r="K1030" s="1508"/>
      <c r="L1030" s="1508"/>
      <c r="M1030" s="1508"/>
      <c r="N1030" s="1508"/>
      <c r="O1030" s="1508"/>
      <c r="P1030" s="1508"/>
      <c r="Q1030" s="1508"/>
      <c r="R1030" s="1508"/>
      <c r="S1030" s="1508"/>
      <c r="T1030" s="1508"/>
      <c r="U1030" s="1508"/>
      <c r="V1030" s="1508"/>
      <c r="W1030" s="1508"/>
      <c r="X1030" s="1508"/>
      <c r="Y1030" s="1508"/>
      <c r="Z1030" s="1508"/>
      <c r="AA1030" s="1508"/>
      <c r="AB1030" s="1508"/>
      <c r="AC1030" s="1508"/>
      <c r="AD1030" s="1508"/>
      <c r="AE1030" s="1509"/>
      <c r="AF1030" s="73"/>
      <c r="AG1030" s="14"/>
      <c r="AH1030" s="14"/>
      <c r="AI1030" s="83"/>
      <c r="AJ1030" s="1395"/>
      <c r="AK1030" s="1396"/>
      <c r="AL1030" s="1396"/>
      <c r="AM1030" s="1396"/>
      <c r="AN1030" s="1396"/>
      <c r="AO1030" s="1396"/>
      <c r="AP1030" s="1396"/>
      <c r="AQ1030" s="1397"/>
      <c r="AR1030" s="68"/>
      <c r="AS1030" s="68"/>
      <c r="AT1030" s="68"/>
      <c r="AU1030" s="68"/>
      <c r="AV1030" s="68"/>
      <c r="AW1030" s="68"/>
      <c r="AX1030" s="68"/>
      <c r="AY1030" s="68"/>
    </row>
    <row r="1031" spans="1:57" ht="12.95" customHeight="1">
      <c r="A1031" s="14"/>
      <c r="B1031" s="77"/>
      <c r="C1031" s="74"/>
      <c r="D1031" s="1510"/>
      <c r="E1031" s="1511"/>
      <c r="F1031" s="1511"/>
      <c r="G1031" s="1511"/>
      <c r="H1031" s="1511"/>
      <c r="I1031" s="1511"/>
      <c r="J1031" s="1511"/>
      <c r="K1031" s="1511"/>
      <c r="L1031" s="1511"/>
      <c r="M1031" s="1511"/>
      <c r="N1031" s="1511"/>
      <c r="O1031" s="1511"/>
      <c r="P1031" s="1511"/>
      <c r="Q1031" s="1511"/>
      <c r="R1031" s="1511"/>
      <c r="S1031" s="1511"/>
      <c r="T1031" s="1511"/>
      <c r="U1031" s="1511"/>
      <c r="V1031" s="1511"/>
      <c r="W1031" s="1511"/>
      <c r="X1031" s="1511"/>
      <c r="Y1031" s="1511"/>
      <c r="Z1031" s="1511"/>
      <c r="AA1031" s="1511"/>
      <c r="AB1031" s="1511"/>
      <c r="AC1031" s="1511"/>
      <c r="AD1031" s="1511"/>
      <c r="AE1031" s="1512"/>
      <c r="AF1031" s="73"/>
      <c r="AG1031" s="14"/>
      <c r="AH1031" s="14"/>
      <c r="AI1031" s="83"/>
      <c r="AJ1031" s="1398"/>
      <c r="AK1031" s="1399"/>
      <c r="AL1031" s="1399"/>
      <c r="AM1031" s="1399"/>
      <c r="AN1031" s="1399"/>
      <c r="AO1031" s="1399"/>
      <c r="AP1031" s="1399"/>
      <c r="AQ1031" s="1400"/>
      <c r="AR1031" s="68"/>
      <c r="AS1031" s="68"/>
      <c r="AT1031" s="68"/>
      <c r="AU1031" s="68"/>
      <c r="AV1031" s="68"/>
      <c r="AW1031" s="68"/>
      <c r="AX1031" s="68"/>
      <c r="AY1031" s="68"/>
    </row>
    <row r="1032" spans="1:57" ht="12.95" customHeight="1">
      <c r="A1032" s="14"/>
      <c r="B1032" s="73"/>
      <c r="C1032" s="339" t="s">
        <v>687</v>
      </c>
      <c r="D1032" s="1494" t="s">
        <v>1686</v>
      </c>
      <c r="E1032" s="1495"/>
      <c r="F1032" s="1495"/>
      <c r="G1032" s="1495"/>
      <c r="H1032" s="1495"/>
      <c r="I1032" s="1495"/>
      <c r="J1032" s="1495"/>
      <c r="K1032" s="1495"/>
      <c r="L1032" s="1495"/>
      <c r="M1032" s="1495"/>
      <c r="N1032" s="1495"/>
      <c r="O1032" s="1495"/>
      <c r="P1032" s="1495"/>
      <c r="Q1032" s="1495"/>
      <c r="R1032" s="1495"/>
      <c r="S1032" s="1495"/>
      <c r="T1032" s="1495"/>
      <c r="U1032" s="1495"/>
      <c r="V1032" s="1495"/>
      <c r="W1032" s="1495"/>
      <c r="X1032" s="1495"/>
      <c r="Y1032" s="1495"/>
      <c r="Z1032" s="1495"/>
      <c r="AA1032" s="1495"/>
      <c r="AB1032" s="1495"/>
      <c r="AC1032" s="1495"/>
      <c r="AD1032" s="1495"/>
      <c r="AE1032" s="1496"/>
      <c r="AF1032" s="79"/>
      <c r="AG1032" s="1502" t="s">
        <v>669</v>
      </c>
      <c r="AH1032" s="1503"/>
      <c r="AI1032" s="87"/>
      <c r="AJ1032" s="1392">
        <f>ROUND(IF(AG1032="yes",(AJ992*0.15),0),0)</f>
        <v>0</v>
      </c>
      <c r="AK1032" s="1393"/>
      <c r="AL1032" s="1393"/>
      <c r="AM1032" s="1393"/>
      <c r="AN1032" s="1393"/>
      <c r="AO1032" s="1393"/>
      <c r="AP1032" s="1393"/>
      <c r="AQ1032" s="1394"/>
      <c r="AR1032" s="68"/>
      <c r="AS1032" s="68"/>
      <c r="AT1032" s="68"/>
      <c r="AU1032" s="68"/>
      <c r="AV1032" s="68"/>
      <c r="AW1032" s="68"/>
      <c r="AX1032" s="68"/>
      <c r="AY1032" s="68"/>
    </row>
    <row r="1033" spans="1:57" ht="12.95" customHeight="1">
      <c r="A1033" s="14"/>
      <c r="B1033" s="73"/>
      <c r="C1033" s="74"/>
      <c r="D1033" s="1516" t="s">
        <v>1687</v>
      </c>
      <c r="E1033" s="1267"/>
      <c r="F1033" s="1267"/>
      <c r="G1033" s="1267"/>
      <c r="H1033" s="1267"/>
      <c r="I1033" s="1267"/>
      <c r="J1033" s="1267"/>
      <c r="K1033" s="1267"/>
      <c r="L1033" s="1267"/>
      <c r="M1033" s="1267"/>
      <c r="N1033" s="1267"/>
      <c r="O1033" s="1267"/>
      <c r="P1033" s="1267"/>
      <c r="Q1033" s="1267"/>
      <c r="R1033" s="1267"/>
      <c r="S1033" s="1267"/>
      <c r="T1033" s="1267"/>
      <c r="U1033" s="1267"/>
      <c r="V1033" s="1267"/>
      <c r="W1033" s="1267"/>
      <c r="X1033" s="1267"/>
      <c r="Y1033" s="1267"/>
      <c r="Z1033" s="1267"/>
      <c r="AA1033" s="1267"/>
      <c r="AB1033" s="1267"/>
      <c r="AC1033" s="1267"/>
      <c r="AD1033" s="1267"/>
      <c r="AE1033" s="1517"/>
      <c r="AF1033" s="915"/>
      <c r="AG1033" s="916"/>
      <c r="AH1033" s="916"/>
      <c r="AI1033" s="917"/>
      <c r="AJ1033" s="1395"/>
      <c r="AK1033" s="1396"/>
      <c r="AL1033" s="1396"/>
      <c r="AM1033" s="1396"/>
      <c r="AN1033" s="1396"/>
      <c r="AO1033" s="1396"/>
      <c r="AP1033" s="1396"/>
      <c r="AQ1033" s="1397"/>
      <c r="AR1033" s="68"/>
      <c r="AS1033" s="68"/>
      <c r="AT1033" s="68"/>
      <c r="AU1033" s="68"/>
      <c r="AV1033" s="68"/>
      <c r="AW1033" s="68"/>
      <c r="AX1033" s="68"/>
      <c r="AY1033" s="68"/>
    </row>
    <row r="1034" spans="1:57" ht="12.95" customHeight="1">
      <c r="A1034" s="14"/>
      <c r="B1034" s="73"/>
      <c r="C1034" s="74"/>
      <c r="D1034" s="1516"/>
      <c r="E1034" s="1267"/>
      <c r="F1034" s="1267"/>
      <c r="G1034" s="1267"/>
      <c r="H1034" s="1267"/>
      <c r="I1034" s="1267"/>
      <c r="J1034" s="1267"/>
      <c r="K1034" s="1267"/>
      <c r="L1034" s="1267"/>
      <c r="M1034" s="1267"/>
      <c r="N1034" s="1267"/>
      <c r="O1034" s="1267"/>
      <c r="P1034" s="1267"/>
      <c r="Q1034" s="1267"/>
      <c r="R1034" s="1267"/>
      <c r="S1034" s="1267"/>
      <c r="T1034" s="1267"/>
      <c r="U1034" s="1267"/>
      <c r="V1034" s="1267"/>
      <c r="W1034" s="1267"/>
      <c r="X1034" s="1267"/>
      <c r="Y1034" s="1267"/>
      <c r="Z1034" s="1267"/>
      <c r="AA1034" s="1267"/>
      <c r="AB1034" s="1267"/>
      <c r="AC1034" s="1267"/>
      <c r="AD1034" s="1267"/>
      <c r="AE1034" s="1517"/>
      <c r="AF1034" s="915"/>
      <c r="AG1034" s="916"/>
      <c r="AH1034" s="916"/>
      <c r="AI1034" s="917"/>
      <c r="AJ1034" s="1395"/>
      <c r="AK1034" s="1396"/>
      <c r="AL1034" s="1396"/>
      <c r="AM1034" s="1396"/>
      <c r="AN1034" s="1396"/>
      <c r="AO1034" s="1396"/>
      <c r="AP1034" s="1396"/>
      <c r="AQ1034" s="1397"/>
      <c r="AR1034" s="68"/>
      <c r="AS1034" s="68"/>
      <c r="AT1034" s="68"/>
      <c r="AU1034" s="68"/>
      <c r="AV1034" s="68"/>
      <c r="AW1034" s="68"/>
      <c r="AX1034" s="68"/>
      <c r="AY1034" s="68"/>
    </row>
    <row r="1035" spans="1:57" ht="12.95" customHeight="1">
      <c r="A1035" s="14"/>
      <c r="B1035" s="73"/>
      <c r="C1035" s="74"/>
      <c r="D1035" s="1518"/>
      <c r="E1035" s="1519"/>
      <c r="F1035" s="1519"/>
      <c r="G1035" s="1519"/>
      <c r="H1035" s="1519"/>
      <c r="I1035" s="1519"/>
      <c r="J1035" s="1519"/>
      <c r="K1035" s="1519"/>
      <c r="L1035" s="1519"/>
      <c r="M1035" s="1519"/>
      <c r="N1035" s="1519"/>
      <c r="O1035" s="1519"/>
      <c r="P1035" s="1519"/>
      <c r="Q1035" s="1519"/>
      <c r="R1035" s="1519"/>
      <c r="S1035" s="1519"/>
      <c r="T1035" s="1519"/>
      <c r="U1035" s="1519"/>
      <c r="V1035" s="1519"/>
      <c r="W1035" s="1519"/>
      <c r="X1035" s="1519"/>
      <c r="Y1035" s="1519"/>
      <c r="Z1035" s="1519"/>
      <c r="AA1035" s="1519"/>
      <c r="AB1035" s="1519"/>
      <c r="AC1035" s="1519"/>
      <c r="AD1035" s="1519"/>
      <c r="AE1035" s="1520"/>
      <c r="AF1035" s="918"/>
      <c r="AG1035" s="919"/>
      <c r="AH1035" s="919"/>
      <c r="AI1035" s="920"/>
      <c r="AJ1035" s="1398"/>
      <c r="AK1035" s="1399"/>
      <c r="AL1035" s="1399"/>
      <c r="AM1035" s="1399"/>
      <c r="AN1035" s="1399"/>
      <c r="AO1035" s="1399"/>
      <c r="AP1035" s="1399"/>
      <c r="AQ1035" s="1400"/>
      <c r="AR1035" s="68"/>
      <c r="AS1035" s="68"/>
      <c r="AT1035" s="68"/>
      <c r="AU1035" s="68"/>
      <c r="AV1035" s="68"/>
      <c r="AW1035" s="68"/>
      <c r="AX1035" s="68"/>
      <c r="AY1035" s="68"/>
    </row>
    <row r="1036" spans="1:57" ht="12.95" customHeight="1">
      <c r="A1036" s="14"/>
      <c r="B1036" s="73"/>
      <c r="C1036" s="339" t="s">
        <v>687</v>
      </c>
      <c r="D1036" s="1504" t="s">
        <v>1688</v>
      </c>
      <c r="E1036" s="1505"/>
      <c r="F1036" s="1505"/>
      <c r="G1036" s="1505"/>
      <c r="H1036" s="1505"/>
      <c r="I1036" s="1505"/>
      <c r="J1036" s="1505"/>
      <c r="K1036" s="1505"/>
      <c r="L1036" s="1505"/>
      <c r="M1036" s="1505"/>
      <c r="N1036" s="1505"/>
      <c r="O1036" s="1505"/>
      <c r="P1036" s="1505"/>
      <c r="Q1036" s="1505"/>
      <c r="R1036" s="1505"/>
      <c r="S1036" s="1505"/>
      <c r="T1036" s="1505"/>
      <c r="U1036" s="1505"/>
      <c r="V1036" s="1505"/>
      <c r="W1036" s="1505"/>
      <c r="X1036" s="1505"/>
      <c r="Y1036" s="1505"/>
      <c r="Z1036" s="1505"/>
      <c r="AA1036" s="1505"/>
      <c r="AB1036" s="1505"/>
      <c r="AC1036" s="1505"/>
      <c r="AD1036" s="1505"/>
      <c r="AE1036" s="1506"/>
      <c r="AF1036" s="73"/>
      <c r="AG1036" s="1582" t="s">
        <v>669</v>
      </c>
      <c r="AH1036" s="1583"/>
      <c r="AI1036" s="83"/>
      <c r="AJ1036" s="1392">
        <f>ROUND(IF(AND(AG1036="yes",AJ1032=0),(AJ992*0.1),0),0)</f>
        <v>0</v>
      </c>
      <c r="AK1036" s="1393"/>
      <c r="AL1036" s="1393"/>
      <c r="AM1036" s="1393"/>
      <c r="AN1036" s="1393"/>
      <c r="AO1036" s="1393"/>
      <c r="AP1036" s="1393"/>
      <c r="AQ1036" s="1394"/>
      <c r="AR1036" s="68"/>
      <c r="AS1036" s="68"/>
      <c r="AT1036" s="68"/>
      <c r="AU1036" s="68"/>
      <c r="AV1036" s="68"/>
      <c r="AW1036" s="68"/>
      <c r="AX1036" s="68"/>
      <c r="AY1036" s="68"/>
    </row>
    <row r="1037" spans="1:57" ht="12.95" customHeight="1">
      <c r="A1037" s="14"/>
      <c r="B1037" s="73"/>
      <c r="C1037" s="74"/>
      <c r="D1037" s="1516" t="s">
        <v>1689</v>
      </c>
      <c r="E1037" s="1267"/>
      <c r="F1037" s="1267"/>
      <c r="G1037" s="1267"/>
      <c r="H1037" s="1267"/>
      <c r="I1037" s="1267"/>
      <c r="J1037" s="1267"/>
      <c r="K1037" s="1267"/>
      <c r="L1037" s="1267"/>
      <c r="M1037" s="1267"/>
      <c r="N1037" s="1267"/>
      <c r="O1037" s="1267"/>
      <c r="P1037" s="1267"/>
      <c r="Q1037" s="1267"/>
      <c r="R1037" s="1267"/>
      <c r="S1037" s="1267"/>
      <c r="T1037" s="1267"/>
      <c r="U1037" s="1267"/>
      <c r="V1037" s="1267"/>
      <c r="W1037" s="1267"/>
      <c r="X1037" s="1267"/>
      <c r="Y1037" s="1267"/>
      <c r="Z1037" s="1267"/>
      <c r="AA1037" s="1267"/>
      <c r="AB1037" s="1267"/>
      <c r="AC1037" s="1267"/>
      <c r="AD1037" s="1267"/>
      <c r="AE1037" s="1517"/>
      <c r="AF1037" s="73"/>
      <c r="AG1037" s="14"/>
      <c r="AH1037" s="14"/>
      <c r="AI1037" s="83"/>
      <c r="AJ1037" s="1395"/>
      <c r="AK1037" s="1396"/>
      <c r="AL1037" s="1396"/>
      <c r="AM1037" s="1396"/>
      <c r="AN1037" s="1396"/>
      <c r="AO1037" s="1396"/>
      <c r="AP1037" s="1396"/>
      <c r="AQ1037" s="1397"/>
      <c r="AR1037" s="68"/>
      <c r="AS1037" s="68"/>
      <c r="AT1037" s="68"/>
      <c r="AU1037" s="68"/>
      <c r="AV1037" s="68"/>
      <c r="AW1037" s="68"/>
      <c r="AX1037" s="68"/>
      <c r="AY1037" s="68"/>
    </row>
    <row r="1038" spans="1:57" ht="12.95" customHeight="1">
      <c r="A1038" s="14"/>
      <c r="B1038" s="73"/>
      <c r="C1038" s="74"/>
      <c r="D1038" s="1516"/>
      <c r="E1038" s="1267"/>
      <c r="F1038" s="1267"/>
      <c r="G1038" s="1267"/>
      <c r="H1038" s="1267"/>
      <c r="I1038" s="1267"/>
      <c r="J1038" s="1267"/>
      <c r="K1038" s="1267"/>
      <c r="L1038" s="1267"/>
      <c r="M1038" s="1267"/>
      <c r="N1038" s="1267"/>
      <c r="O1038" s="1267"/>
      <c r="P1038" s="1267"/>
      <c r="Q1038" s="1267"/>
      <c r="R1038" s="1267"/>
      <c r="S1038" s="1267"/>
      <c r="T1038" s="1267"/>
      <c r="U1038" s="1267"/>
      <c r="V1038" s="1267"/>
      <c r="W1038" s="1267"/>
      <c r="X1038" s="1267"/>
      <c r="Y1038" s="1267"/>
      <c r="Z1038" s="1267"/>
      <c r="AA1038" s="1267"/>
      <c r="AB1038" s="1267"/>
      <c r="AC1038" s="1267"/>
      <c r="AD1038" s="1267"/>
      <c r="AE1038" s="1517"/>
      <c r="AF1038" s="73"/>
      <c r="AG1038" s="14"/>
      <c r="AH1038" s="14"/>
      <c r="AI1038" s="83"/>
      <c r="AJ1038" s="1395"/>
      <c r="AK1038" s="1396"/>
      <c r="AL1038" s="1396"/>
      <c r="AM1038" s="1396"/>
      <c r="AN1038" s="1396"/>
      <c r="AO1038" s="1396"/>
      <c r="AP1038" s="1396"/>
      <c r="AQ1038" s="1397"/>
      <c r="AR1038" s="68"/>
      <c r="AS1038" s="68"/>
      <c r="AT1038" s="68"/>
      <c r="AU1038" s="68"/>
      <c r="AV1038" s="68"/>
      <c r="AW1038" s="68"/>
      <c r="AX1038" s="68"/>
      <c r="AY1038" s="68"/>
      <c r="BA1038" s="1183">
        <f>IFERROR(('Sources and Uses Budget'!$C$17+'Sources and Uses Budget'!$C$18+'Sources and Uses Budget'!$C$22)/$AG$437,0)</f>
        <v>0</v>
      </c>
      <c r="BB1038" s="1183" t="s">
        <v>2486</v>
      </c>
      <c r="BC1038" s="1183"/>
      <c r="BD1038" s="1183"/>
      <c r="BE1038" s="1183"/>
    </row>
    <row r="1039" spans="1:57" ht="12.95" customHeight="1">
      <c r="A1039" s="14"/>
      <c r="B1039" s="73"/>
      <c r="C1039" s="74"/>
      <c r="D1039" s="1516"/>
      <c r="E1039" s="1267"/>
      <c r="F1039" s="1267"/>
      <c r="G1039" s="1267"/>
      <c r="H1039" s="1267"/>
      <c r="I1039" s="1267"/>
      <c r="J1039" s="1267"/>
      <c r="K1039" s="1267"/>
      <c r="L1039" s="1267"/>
      <c r="M1039" s="1267"/>
      <c r="N1039" s="1267"/>
      <c r="O1039" s="1267"/>
      <c r="P1039" s="1267"/>
      <c r="Q1039" s="1267"/>
      <c r="R1039" s="1267"/>
      <c r="S1039" s="1267"/>
      <c r="T1039" s="1267"/>
      <c r="U1039" s="1267"/>
      <c r="V1039" s="1267"/>
      <c r="W1039" s="1267"/>
      <c r="X1039" s="1267"/>
      <c r="Y1039" s="1267"/>
      <c r="Z1039" s="1267"/>
      <c r="AA1039" s="1267"/>
      <c r="AB1039" s="1267"/>
      <c r="AC1039" s="1267"/>
      <c r="AD1039" s="1267"/>
      <c r="AE1039" s="1517"/>
      <c r="AF1039" s="73"/>
      <c r="AG1039" s="14"/>
      <c r="AH1039" s="14"/>
      <c r="AI1039" s="83"/>
      <c r="AJ1039" s="1395"/>
      <c r="AK1039" s="1396"/>
      <c r="AL1039" s="1396"/>
      <c r="AM1039" s="1396"/>
      <c r="AN1039" s="1396"/>
      <c r="AO1039" s="1396"/>
      <c r="AP1039" s="1396"/>
      <c r="AQ1039" s="1397"/>
      <c r="AR1039" s="68"/>
      <c r="AS1039" s="68"/>
      <c r="AT1039" s="68"/>
      <c r="AU1039" s="68"/>
      <c r="AV1039" s="68"/>
      <c r="AW1039" s="68"/>
      <c r="AX1039" s="68"/>
      <c r="AY1039" s="68"/>
      <c r="BA1039">
        <f>IFERROR((($CI$753+$CM$753)/$AG$440),0)</f>
        <v>0.44660194174757284</v>
      </c>
      <c r="BB1039" s="3" t="s">
        <v>2490</v>
      </c>
    </row>
    <row r="1040" spans="1:57" ht="12.95" customHeight="1">
      <c r="A1040" s="14"/>
      <c r="B1040" s="73"/>
      <c r="C1040" s="74"/>
      <c r="D1040" s="1518"/>
      <c r="E1040" s="1519"/>
      <c r="F1040" s="1519"/>
      <c r="G1040" s="1519"/>
      <c r="H1040" s="1519"/>
      <c r="I1040" s="1519"/>
      <c r="J1040" s="1519"/>
      <c r="K1040" s="1519"/>
      <c r="L1040" s="1519"/>
      <c r="M1040" s="1519"/>
      <c r="N1040" s="1519"/>
      <c r="O1040" s="1519"/>
      <c r="P1040" s="1519"/>
      <c r="Q1040" s="1519"/>
      <c r="R1040" s="1519"/>
      <c r="S1040" s="1519"/>
      <c r="T1040" s="1519"/>
      <c r="U1040" s="1519"/>
      <c r="V1040" s="1519"/>
      <c r="W1040" s="1519"/>
      <c r="X1040" s="1519"/>
      <c r="Y1040" s="1519"/>
      <c r="Z1040" s="1519"/>
      <c r="AA1040" s="1519"/>
      <c r="AB1040" s="1519"/>
      <c r="AC1040" s="1519"/>
      <c r="AD1040" s="1519"/>
      <c r="AE1040" s="1520"/>
      <c r="AF1040" s="73"/>
      <c r="AG1040" s="14"/>
      <c r="AH1040" s="14"/>
      <c r="AI1040" s="83"/>
      <c r="AJ1040" s="1395"/>
      <c r="AK1040" s="1396"/>
      <c r="AL1040" s="1396"/>
      <c r="AM1040" s="1396"/>
      <c r="AN1040" s="1396"/>
      <c r="AO1040" s="1396"/>
      <c r="AP1040" s="1396"/>
      <c r="AQ1040" s="1397"/>
      <c r="AR1040" s="68"/>
      <c r="AS1040" s="68"/>
      <c r="AT1040" s="68"/>
      <c r="AU1040" s="68"/>
      <c r="AV1040" s="68"/>
      <c r="AW1040" s="68"/>
      <c r="AX1040" s="68"/>
      <c r="AY1040" s="68"/>
      <c r="BA1040" t="b">
        <f>'Points System'!AJ164="Yes"</f>
        <v>0</v>
      </c>
      <c r="BB1040" s="3" t="s">
        <v>2487</v>
      </c>
    </row>
    <row r="1041" spans="1:56" ht="12.95" customHeight="1">
      <c r="A1041" s="14"/>
      <c r="B1041" s="79"/>
      <c r="C1041" s="131" t="s">
        <v>1010</v>
      </c>
      <c r="D1041" s="1494" t="s">
        <v>1297</v>
      </c>
      <c r="E1041" s="1495"/>
      <c r="F1041" s="1495"/>
      <c r="G1041" s="1495"/>
      <c r="H1041" s="1495"/>
      <c r="I1041" s="1495"/>
      <c r="J1041" s="1495"/>
      <c r="K1041" s="1495"/>
      <c r="L1041" s="1495"/>
      <c r="M1041" s="1495"/>
      <c r="N1041" s="1495"/>
      <c r="O1041" s="1495"/>
      <c r="P1041" s="1495"/>
      <c r="Q1041" s="1495"/>
      <c r="R1041" s="1495"/>
      <c r="S1041" s="1495"/>
      <c r="T1041" s="1495"/>
      <c r="U1041" s="1495"/>
      <c r="V1041" s="1495"/>
      <c r="W1041" s="1495"/>
      <c r="X1041" s="1495"/>
      <c r="Y1041" s="1495"/>
      <c r="Z1041" s="1495"/>
      <c r="AA1041" s="1495"/>
      <c r="AB1041" s="1495"/>
      <c r="AC1041" s="1495"/>
      <c r="AD1041" s="1495"/>
      <c r="AE1041" s="1496"/>
      <c r="AF1041" s="79"/>
      <c r="AG1041" s="1502" t="s">
        <v>669</v>
      </c>
      <c r="AH1041" s="1503"/>
      <c r="AI1041" s="87"/>
      <c r="AJ1041" s="1392">
        <f>ROUND(IF(AG1041="yes",(AJ992*0.1),0),0)</f>
        <v>0</v>
      </c>
      <c r="AK1041" s="1393"/>
      <c r="AL1041" s="1393"/>
      <c r="AM1041" s="1393"/>
      <c r="AN1041" s="1393"/>
      <c r="AO1041" s="1393"/>
      <c r="AP1041" s="1393"/>
      <c r="AQ1041" s="1394"/>
      <c r="AR1041" s="68"/>
      <c r="AS1041" s="68"/>
      <c r="AT1041" s="68"/>
      <c r="AU1041" s="68"/>
      <c r="AV1041" s="68"/>
      <c r="AW1041" s="68"/>
      <c r="AX1041" s="68"/>
      <c r="AY1041" s="68"/>
      <c r="BA1041">
        <f>Q212</f>
        <v>0</v>
      </c>
      <c r="BB1041" s="3" t="s">
        <v>2488</v>
      </c>
    </row>
    <row r="1042" spans="1:56" ht="12.95" customHeight="1">
      <c r="A1042" s="14"/>
      <c r="B1042" s="73"/>
      <c r="C1042" s="74"/>
      <c r="D1042" s="1507" t="s">
        <v>2145</v>
      </c>
      <c r="E1042" s="1508"/>
      <c r="F1042" s="1508"/>
      <c r="G1042" s="1508"/>
      <c r="H1042" s="1508"/>
      <c r="I1042" s="1508"/>
      <c r="J1042" s="1508"/>
      <c r="K1042" s="1508"/>
      <c r="L1042" s="1508"/>
      <c r="M1042" s="1508"/>
      <c r="N1042" s="1508"/>
      <c r="O1042" s="1508"/>
      <c r="P1042" s="1508"/>
      <c r="Q1042" s="1508"/>
      <c r="R1042" s="1508"/>
      <c r="S1042" s="1508"/>
      <c r="T1042" s="1508"/>
      <c r="U1042" s="1508"/>
      <c r="V1042" s="1508"/>
      <c r="W1042" s="1508"/>
      <c r="X1042" s="1508"/>
      <c r="Y1042" s="1508"/>
      <c r="Z1042" s="1508"/>
      <c r="AA1042" s="1508"/>
      <c r="AB1042" s="1508"/>
      <c r="AC1042" s="1508"/>
      <c r="AD1042" s="1508"/>
      <c r="AE1042" s="1509"/>
      <c r="AF1042" s="73"/>
      <c r="AG1042" s="14"/>
      <c r="AH1042" s="14"/>
      <c r="AI1042" s="83"/>
      <c r="AJ1042" s="1395"/>
      <c r="AK1042" s="1396"/>
      <c r="AL1042" s="1396"/>
      <c r="AM1042" s="1396"/>
      <c r="AN1042" s="1396"/>
      <c r="AO1042" s="1396"/>
      <c r="AP1042" s="1396"/>
      <c r="AQ1042" s="1397"/>
      <c r="AR1042" s="68"/>
      <c r="AS1042" s="68"/>
      <c r="AT1042" s="68"/>
      <c r="AU1042" s="68"/>
      <c r="AV1042" s="68"/>
      <c r="AW1042" s="68"/>
      <c r="AX1042" s="68"/>
      <c r="AY1042" s="68"/>
      <c r="BA1042" s="1184">
        <f>T212</f>
        <v>0</v>
      </c>
      <c r="BB1042" s="3" t="s">
        <v>2489</v>
      </c>
    </row>
    <row r="1043" spans="1:56" ht="12.95" customHeight="1">
      <c r="A1043" s="14"/>
      <c r="B1043" s="73"/>
      <c r="C1043" s="74"/>
      <c r="D1043" s="1507"/>
      <c r="E1043" s="1508"/>
      <c r="F1043" s="1508"/>
      <c r="G1043" s="1508"/>
      <c r="H1043" s="1508"/>
      <c r="I1043" s="1508"/>
      <c r="J1043" s="1508"/>
      <c r="K1043" s="1508"/>
      <c r="L1043" s="1508"/>
      <c r="M1043" s="1508"/>
      <c r="N1043" s="1508"/>
      <c r="O1043" s="1508"/>
      <c r="P1043" s="1508"/>
      <c r="Q1043" s="1508"/>
      <c r="R1043" s="1508"/>
      <c r="S1043" s="1508"/>
      <c r="T1043" s="1508"/>
      <c r="U1043" s="1508"/>
      <c r="V1043" s="1508"/>
      <c r="W1043" s="1508"/>
      <c r="X1043" s="1508"/>
      <c r="Y1043" s="1508"/>
      <c r="Z1043" s="1508"/>
      <c r="AA1043" s="1508"/>
      <c r="AB1043" s="1508"/>
      <c r="AC1043" s="1508"/>
      <c r="AD1043" s="1508"/>
      <c r="AE1043" s="1509"/>
      <c r="AF1043" s="73"/>
      <c r="AG1043" s="14"/>
      <c r="AH1043" s="14"/>
      <c r="AI1043" s="83"/>
      <c r="AJ1043" s="1395"/>
      <c r="AK1043" s="1396"/>
      <c r="AL1043" s="1396"/>
      <c r="AM1043" s="1396"/>
      <c r="AN1043" s="1396"/>
      <c r="AO1043" s="1396"/>
      <c r="AP1043" s="1396"/>
      <c r="AQ1043" s="1397"/>
      <c r="AR1043" s="68"/>
      <c r="AS1043" s="68"/>
      <c r="AT1043" s="68"/>
      <c r="AU1043" s="68"/>
      <c r="AV1043" s="68"/>
      <c r="AW1043" s="68"/>
      <c r="AX1043" s="68"/>
      <c r="AY1043" s="68"/>
    </row>
    <row r="1044" spans="1:56" ht="12.95" customHeight="1">
      <c r="A1044" s="14"/>
      <c r="B1044" s="73"/>
      <c r="C1044" s="74"/>
      <c r="D1044" s="1510"/>
      <c r="E1044" s="1511"/>
      <c r="F1044" s="1511"/>
      <c r="G1044" s="1511"/>
      <c r="H1044" s="1511"/>
      <c r="I1044" s="1511"/>
      <c r="J1044" s="1511"/>
      <c r="K1044" s="1511"/>
      <c r="L1044" s="1511"/>
      <c r="M1044" s="1511"/>
      <c r="N1044" s="1511"/>
      <c r="O1044" s="1511"/>
      <c r="P1044" s="1511"/>
      <c r="Q1044" s="1511"/>
      <c r="R1044" s="1511"/>
      <c r="S1044" s="1511"/>
      <c r="T1044" s="1511"/>
      <c r="U1044" s="1511"/>
      <c r="V1044" s="1511"/>
      <c r="W1044" s="1511"/>
      <c r="X1044" s="1511"/>
      <c r="Y1044" s="1511"/>
      <c r="Z1044" s="1511"/>
      <c r="AA1044" s="1511"/>
      <c r="AB1044" s="1511"/>
      <c r="AC1044" s="1511"/>
      <c r="AD1044" s="1511"/>
      <c r="AE1044" s="1512"/>
      <c r="AF1044" s="73"/>
      <c r="AG1044" s="14"/>
      <c r="AH1044" s="14"/>
      <c r="AI1044" s="83"/>
      <c r="AJ1044" s="1398"/>
      <c r="AK1044" s="1399"/>
      <c r="AL1044" s="1399"/>
      <c r="AM1044" s="1399"/>
      <c r="AN1044" s="1399"/>
      <c r="AO1044" s="1399"/>
      <c r="AP1044" s="1399"/>
      <c r="AQ1044" s="1400"/>
      <c r="AR1044" s="68"/>
      <c r="AS1044" s="68"/>
      <c r="AT1044" s="68"/>
      <c r="AU1044" s="68"/>
      <c r="AV1044" s="68"/>
      <c r="AW1044" s="68"/>
      <c r="AX1044" s="68"/>
      <c r="AY1044" s="68"/>
    </row>
    <row r="1045" spans="1:56" ht="12.95" customHeight="1">
      <c r="A1045" s="14"/>
      <c r="B1045" s="79"/>
      <c r="C1045" s="131" t="s">
        <v>1684</v>
      </c>
      <c r="D1045" s="1504" t="s">
        <v>1865</v>
      </c>
      <c r="E1045" s="1505"/>
      <c r="F1045" s="1505"/>
      <c r="G1045" s="1505"/>
      <c r="H1045" s="1505"/>
      <c r="I1045" s="1505"/>
      <c r="J1045" s="1505"/>
      <c r="K1045" s="1505"/>
      <c r="L1045" s="1505"/>
      <c r="M1045" s="1505"/>
      <c r="N1045" s="1505"/>
      <c r="O1045" s="1505"/>
      <c r="P1045" s="1505"/>
      <c r="Q1045" s="1505"/>
      <c r="R1045" s="1505"/>
      <c r="S1045" s="1505"/>
      <c r="T1045" s="1505"/>
      <c r="U1045" s="1505"/>
      <c r="V1045" s="1505"/>
      <c r="W1045" s="1505"/>
      <c r="X1045" s="1505"/>
      <c r="Y1045" s="1505"/>
      <c r="Z1045" s="1505"/>
      <c r="AA1045" s="1505"/>
      <c r="AB1045" s="1505"/>
      <c r="AC1045" s="1505"/>
      <c r="AD1045" s="1505"/>
      <c r="AE1045" s="1506"/>
      <c r="AF1045" s="79"/>
      <c r="AG1045" s="1572" t="str">
        <f>IF(X1048&gt;0,"Yes","No")</f>
        <v>Yes</v>
      </c>
      <c r="AH1045" s="1573"/>
      <c r="AI1045" s="87"/>
      <c r="AJ1045" s="1392">
        <f>IF((X1048=0),0,AY1005*AJ992)</f>
        <v>8276279.1800000006</v>
      </c>
      <c r="AK1045" s="1393"/>
      <c r="AL1045" s="1393"/>
      <c r="AM1045" s="1393"/>
      <c r="AN1045" s="1393"/>
      <c r="AO1045" s="1393"/>
      <c r="AP1045" s="1393"/>
      <c r="AQ1045" s="1394"/>
      <c r="AR1045" s="68"/>
      <c r="AS1045" s="68"/>
      <c r="AT1045" s="68"/>
      <c r="AU1045" s="68"/>
      <c r="AV1045" s="68"/>
      <c r="AW1045" s="68"/>
      <c r="AX1045" s="68"/>
      <c r="AY1045" s="68"/>
      <c r="AZ1045" s="1181">
        <f>SUM('Sources and Uses Budget'!$D$10,'Sources and Uses Budget'!$D$13:$D$14,'Sources and Uses Budget'!$D$17:$D$25,'Sources and Uses Budget'!$D$27,'Sources and Uses Budget'!$D$29:$D$37,'Sources and Uses Budget'!$D$40:$D$41,'Sources and Uses Budget'!$D$43,'Sources and Uses Budget'!$D$45:$D$53,'Sources and Uses Budget'!$D$65:$D$69,'Sources and Uses Budget'!$D$79:$D$80,'Sources and Uses Budget'!$D$84:$D$87,'Sources and Uses Budget'!$D$89:$D$95)</f>
        <v>0</v>
      </c>
      <c r="BA1045" s="3" t="s">
        <v>2475</v>
      </c>
      <c r="BB1045" s="3"/>
      <c r="BC1045" s="3"/>
      <c r="BD1045" s="3"/>
    </row>
    <row r="1046" spans="1:56" ht="12.95" customHeight="1">
      <c r="A1046" s="14"/>
      <c r="B1046" s="73"/>
      <c r="C1046" s="442"/>
      <c r="D1046" s="1507" t="s">
        <v>1299</v>
      </c>
      <c r="E1046" s="1508"/>
      <c r="F1046" s="1508"/>
      <c r="G1046" s="1508"/>
      <c r="H1046" s="1508"/>
      <c r="I1046" s="1508"/>
      <c r="J1046" s="1508"/>
      <c r="K1046" s="1508"/>
      <c r="L1046" s="1508"/>
      <c r="M1046" s="1508"/>
      <c r="N1046" s="1508"/>
      <c r="O1046" s="1508"/>
      <c r="P1046" s="1508"/>
      <c r="Q1046" s="1508"/>
      <c r="R1046" s="1508"/>
      <c r="S1046" s="1508"/>
      <c r="T1046" s="1508"/>
      <c r="U1046" s="1508"/>
      <c r="V1046" s="1508"/>
      <c r="W1046" s="1508"/>
      <c r="X1046" s="1508"/>
      <c r="Y1046" s="1508"/>
      <c r="Z1046" s="1508"/>
      <c r="AA1046" s="1508"/>
      <c r="AB1046" s="1508"/>
      <c r="AC1046" s="1508"/>
      <c r="AD1046" s="1508"/>
      <c r="AE1046" s="1509"/>
      <c r="AF1046" s="73"/>
      <c r="AG1046" s="443"/>
      <c r="AH1046" s="443"/>
      <c r="AI1046" s="83"/>
      <c r="AJ1046" s="1395"/>
      <c r="AK1046" s="1396"/>
      <c r="AL1046" s="1396"/>
      <c r="AM1046" s="1396"/>
      <c r="AN1046" s="1396"/>
      <c r="AO1046" s="1396"/>
      <c r="AP1046" s="1396"/>
      <c r="AQ1046" s="1397"/>
      <c r="AR1046" s="68"/>
      <c r="AS1046" s="68"/>
      <c r="AT1046" s="68"/>
      <c r="AU1046" s="13"/>
      <c r="AV1046" s="68"/>
      <c r="AW1046" s="68"/>
      <c r="AX1046" s="68"/>
      <c r="AY1046" s="68"/>
      <c r="AZ1046" s="962">
        <f>'Sources and Uses Budget'!S97*BA1046</f>
        <v>6137750.8499999996</v>
      </c>
      <c r="BA1046" s="1182">
        <f>IF(BA1040,20%,15%)</f>
        <v>0.15</v>
      </c>
      <c r="BB1046" s="3" t="s">
        <v>2476</v>
      </c>
      <c r="BC1046" s="3" t="s">
        <v>2477</v>
      </c>
      <c r="BD1046" s="3"/>
    </row>
    <row r="1047" spans="1:56" ht="12.95" customHeight="1">
      <c r="A1047" s="14"/>
      <c r="B1047" s="73"/>
      <c r="C1047" s="442"/>
      <c r="D1047" s="1507"/>
      <c r="E1047" s="1508"/>
      <c r="F1047" s="1508"/>
      <c r="G1047" s="1508"/>
      <c r="H1047" s="1508"/>
      <c r="I1047" s="1508"/>
      <c r="J1047" s="1508"/>
      <c r="K1047" s="1508"/>
      <c r="L1047" s="1508"/>
      <c r="M1047" s="1508"/>
      <c r="N1047" s="1508"/>
      <c r="O1047" s="1508"/>
      <c r="P1047" s="1508"/>
      <c r="Q1047" s="1508"/>
      <c r="R1047" s="1508"/>
      <c r="S1047" s="1508"/>
      <c r="T1047" s="1508"/>
      <c r="U1047" s="1508"/>
      <c r="V1047" s="1508"/>
      <c r="W1047" s="1508"/>
      <c r="X1047" s="1508"/>
      <c r="Y1047" s="1508"/>
      <c r="Z1047" s="1508"/>
      <c r="AA1047" s="1508"/>
      <c r="AB1047" s="1508"/>
      <c r="AC1047" s="1508"/>
      <c r="AD1047" s="1508"/>
      <c r="AE1047" s="1509"/>
      <c r="AF1047" s="73"/>
      <c r="AG1047" s="443"/>
      <c r="AH1047" s="443"/>
      <c r="AI1047" s="83"/>
      <c r="AJ1047" s="1395"/>
      <c r="AK1047" s="1396"/>
      <c r="AL1047" s="1396"/>
      <c r="AM1047" s="1396"/>
      <c r="AN1047" s="1396"/>
      <c r="AO1047" s="1396"/>
      <c r="AP1047" s="1396"/>
      <c r="AQ1047" s="1397"/>
      <c r="AR1047" s="68"/>
      <c r="AS1047" s="68"/>
      <c r="AT1047" s="68"/>
      <c r="AU1047" s="13"/>
      <c r="AV1047" s="68"/>
      <c r="AW1047" s="68"/>
      <c r="AX1047" s="68"/>
      <c r="AY1047" s="68"/>
      <c r="AZ1047" s="962">
        <f>IF(M356="N/A",0,'Sources and Uses Budget'!T97*BA1047)</f>
        <v>0</v>
      </c>
      <c r="BA1047" s="1182">
        <v>0.15</v>
      </c>
      <c r="BB1047" s="3" t="s">
        <v>2476</v>
      </c>
      <c r="BC1047" s="3" t="s">
        <v>2478</v>
      </c>
      <c r="BD1047" s="3"/>
    </row>
    <row r="1048" spans="1:56" ht="12.95" customHeight="1">
      <c r="A1048" s="14"/>
      <c r="B1048" s="77"/>
      <c r="C1048" s="78"/>
      <c r="D1048" s="132" t="s">
        <v>972</v>
      </c>
      <c r="E1048" s="133"/>
      <c r="F1048" s="133"/>
      <c r="G1048" s="133"/>
      <c r="H1048" s="133"/>
      <c r="I1048" s="1570">
        <f>AY1003</f>
        <v>103</v>
      </c>
      <c r="J1048" s="1571"/>
      <c r="K1048" s="7"/>
      <c r="L1048" s="133"/>
      <c r="M1048" s="133"/>
      <c r="N1048" s="133"/>
      <c r="O1048" s="133"/>
      <c r="P1048" s="133"/>
      <c r="Q1048" s="133"/>
      <c r="R1048" s="133"/>
      <c r="S1048" s="133"/>
      <c r="T1048" s="133"/>
      <c r="U1048" s="133"/>
      <c r="V1048" s="134" t="s">
        <v>973</v>
      </c>
      <c r="W1048" s="48"/>
      <c r="X1048" s="1568">
        <f>CI753</f>
        <v>14</v>
      </c>
      <c r="Y1048" s="1569"/>
      <c r="Z1048" s="48"/>
      <c r="AA1048" s="48"/>
      <c r="AB1048" s="48"/>
      <c r="AC1048" s="48"/>
      <c r="AD1048" s="48"/>
      <c r="AE1048" s="49"/>
      <c r="AF1048" s="924"/>
      <c r="AG1048" s="925"/>
      <c r="AH1048" s="925"/>
      <c r="AI1048" s="926"/>
      <c r="AJ1048" s="1398"/>
      <c r="AK1048" s="1399"/>
      <c r="AL1048" s="1399"/>
      <c r="AM1048" s="1399"/>
      <c r="AN1048" s="1399"/>
      <c r="AO1048" s="1399"/>
      <c r="AP1048" s="1399"/>
      <c r="AQ1048" s="1400"/>
      <c r="AR1048" s="68"/>
      <c r="AS1048" s="68"/>
      <c r="AT1048" s="68"/>
      <c r="AU1048" s="14"/>
      <c r="AV1048" s="68"/>
      <c r="AW1048" s="68"/>
      <c r="AX1048" s="68"/>
      <c r="AY1048" s="68"/>
      <c r="AZ1048" s="962">
        <f>IF(M358="N/A",0,'Sources and Uses Budget'!T97*BA1048)</f>
        <v>0</v>
      </c>
      <c r="BA1048" s="1182" cm="1">
        <f t="array" ref="BA1048">_xlfn.IFS(X180="Yes",5%,$BA$1038&gt;50000,15%,BA1039&gt;=30%,15%,TRUE,5%)</f>
        <v>0.15</v>
      </c>
      <c r="BB1048" s="3" t="s">
        <v>2476</v>
      </c>
      <c r="BC1048" s="3" t="s">
        <v>2479</v>
      </c>
      <c r="BD1048" s="3"/>
    </row>
    <row r="1049" spans="1:56" ht="12.95" customHeight="1">
      <c r="A1049" s="14"/>
      <c r="B1049" s="79"/>
      <c r="C1049" s="131" t="s">
        <v>1685</v>
      </c>
      <c r="D1049" s="1494" t="s">
        <v>2171</v>
      </c>
      <c r="E1049" s="1495"/>
      <c r="F1049" s="1495"/>
      <c r="G1049" s="1495"/>
      <c r="H1049" s="1495"/>
      <c r="I1049" s="1495"/>
      <c r="J1049" s="1495"/>
      <c r="K1049" s="1495"/>
      <c r="L1049" s="1495"/>
      <c r="M1049" s="1495"/>
      <c r="N1049" s="1495"/>
      <c r="O1049" s="1495"/>
      <c r="P1049" s="1495"/>
      <c r="Q1049" s="1495"/>
      <c r="R1049" s="1495"/>
      <c r="S1049" s="1495"/>
      <c r="T1049" s="1495"/>
      <c r="U1049" s="1495"/>
      <c r="V1049" s="1495"/>
      <c r="W1049" s="1495"/>
      <c r="X1049" s="1495"/>
      <c r="Y1049" s="1495"/>
      <c r="Z1049" s="1495"/>
      <c r="AA1049" s="1495"/>
      <c r="AB1049" s="1495"/>
      <c r="AC1049" s="1495"/>
      <c r="AD1049" s="1495"/>
      <c r="AE1049" s="1496"/>
      <c r="AF1049" s="73"/>
      <c r="AG1049" s="1572" t="str">
        <f>IF(X1052&gt;0,"Yes","No")</f>
        <v>Yes</v>
      </c>
      <c r="AH1049" s="1573"/>
      <c r="AI1049" s="83"/>
      <c r="AJ1049" s="1392">
        <f>IF((X1052=0),0,(2*AY1006)*AJ992)</f>
        <v>39471485.32</v>
      </c>
      <c r="AK1049" s="1393"/>
      <c r="AL1049" s="1393"/>
      <c r="AM1049" s="1393"/>
      <c r="AN1049" s="1393"/>
      <c r="AO1049" s="1393"/>
      <c r="AP1049" s="1393"/>
      <c r="AQ1049" s="1394"/>
      <c r="AR1049" s="68"/>
      <c r="AS1049" s="68"/>
      <c r="AT1049" s="68"/>
      <c r="AU1049" s="14"/>
      <c r="AV1049" s="68"/>
      <c r="AW1049" s="68"/>
      <c r="AX1049" s="68"/>
      <c r="AY1049" s="68"/>
      <c r="AZ1049" s="962">
        <f>AZ1045*BA1049</f>
        <v>0</v>
      </c>
      <c r="BA1049" s="1182">
        <v>0.15</v>
      </c>
      <c r="BB1049" s="3" t="s">
        <v>2476</v>
      </c>
      <c r="BC1049" s="3" t="s">
        <v>2480</v>
      </c>
      <c r="BD1049" s="3"/>
    </row>
    <row r="1050" spans="1:56" ht="12.95" customHeight="1">
      <c r="A1050" s="14"/>
      <c r="B1050" s="73"/>
      <c r="C1050" s="442"/>
      <c r="D1050" s="1507" t="s">
        <v>1298</v>
      </c>
      <c r="E1050" s="1508"/>
      <c r="F1050" s="1508"/>
      <c r="G1050" s="1508"/>
      <c r="H1050" s="1508"/>
      <c r="I1050" s="1508"/>
      <c r="J1050" s="1508"/>
      <c r="K1050" s="1508"/>
      <c r="L1050" s="1508"/>
      <c r="M1050" s="1508"/>
      <c r="N1050" s="1508"/>
      <c r="O1050" s="1508"/>
      <c r="P1050" s="1508"/>
      <c r="Q1050" s="1508"/>
      <c r="R1050" s="1508"/>
      <c r="S1050" s="1508"/>
      <c r="T1050" s="1508"/>
      <c r="U1050" s="1508"/>
      <c r="V1050" s="1508"/>
      <c r="W1050" s="1508"/>
      <c r="X1050" s="1508"/>
      <c r="Y1050" s="1508"/>
      <c r="Z1050" s="1508"/>
      <c r="AA1050" s="1508"/>
      <c r="AB1050" s="1508"/>
      <c r="AC1050" s="1508"/>
      <c r="AD1050" s="1508"/>
      <c r="AE1050" s="1509"/>
      <c r="AF1050" s="73"/>
      <c r="AG1050" s="443"/>
      <c r="AH1050" s="443"/>
      <c r="AI1050" s="83"/>
      <c r="AJ1050" s="1395"/>
      <c r="AK1050" s="1396"/>
      <c r="AL1050" s="1396"/>
      <c r="AM1050" s="1396"/>
      <c r="AN1050" s="1396"/>
      <c r="AO1050" s="1396"/>
      <c r="AP1050" s="1396"/>
      <c r="AQ1050" s="1397"/>
      <c r="AR1050" s="68"/>
      <c r="AS1050" s="68"/>
      <c r="AT1050" s="68"/>
      <c r="AU1050" s="68"/>
      <c r="AV1050" s="68"/>
      <c r="AW1050" s="68"/>
      <c r="AX1050" s="68"/>
      <c r="AY1050" s="68"/>
      <c r="AZ1050" s="962"/>
      <c r="BA1050" s="3"/>
      <c r="BB1050" s="3"/>
      <c r="BC1050" s="3"/>
      <c r="BD1050" s="3"/>
    </row>
    <row r="1051" spans="1:56" ht="12.95" customHeight="1">
      <c r="A1051" s="14"/>
      <c r="B1051" s="73"/>
      <c r="C1051" s="83"/>
      <c r="D1051" s="1507"/>
      <c r="E1051" s="1508"/>
      <c r="F1051" s="1508"/>
      <c r="G1051" s="1508"/>
      <c r="H1051" s="1508"/>
      <c r="I1051" s="1508"/>
      <c r="J1051" s="1508"/>
      <c r="K1051" s="1508"/>
      <c r="L1051" s="1508"/>
      <c r="M1051" s="1508"/>
      <c r="N1051" s="1508"/>
      <c r="O1051" s="1508"/>
      <c r="P1051" s="1508"/>
      <c r="Q1051" s="1508"/>
      <c r="R1051" s="1508"/>
      <c r="S1051" s="1508"/>
      <c r="T1051" s="1508"/>
      <c r="U1051" s="1508"/>
      <c r="V1051" s="1508"/>
      <c r="W1051" s="1508"/>
      <c r="X1051" s="1508"/>
      <c r="Y1051" s="1508"/>
      <c r="Z1051" s="1508"/>
      <c r="AA1051" s="1508"/>
      <c r="AB1051" s="1508"/>
      <c r="AC1051" s="1508"/>
      <c r="AD1051" s="1508"/>
      <c r="AE1051" s="1509"/>
      <c r="AF1051" s="921"/>
      <c r="AG1051" s="922"/>
      <c r="AH1051" s="922"/>
      <c r="AI1051" s="923"/>
      <c r="AJ1051" s="1395"/>
      <c r="AK1051" s="1396"/>
      <c r="AL1051" s="1396"/>
      <c r="AM1051" s="1396"/>
      <c r="AN1051" s="1396"/>
      <c r="AO1051" s="1396"/>
      <c r="AP1051" s="1396"/>
      <c r="AQ1051" s="1397"/>
      <c r="AR1051" s="68"/>
      <c r="AS1051" s="68"/>
      <c r="AT1051" s="68"/>
      <c r="AU1051" s="68"/>
      <c r="AV1051" s="68"/>
      <c r="AW1051" s="68"/>
      <c r="AX1051" s="68"/>
      <c r="AY1051" s="68"/>
      <c r="AZ1051" s="962">
        <f>ROUNDDOWN(MIN(SUM(AZ1046,AZ1047,AZ1048,AZ1049),BD1051),0)</f>
        <v>2500000</v>
      </c>
      <c r="BA1051" s="3" t="s">
        <v>2481</v>
      </c>
      <c r="BB1051" s="3"/>
      <c r="BC1051" s="3"/>
      <c r="BD1051" s="3" cm="1">
        <f t="array" ref="BD1051">_xlfn.IFS(BA1040,3000000,AND(BA1041&gt;=25%,BA1042&gt;=15),2800000,TRUE,2500000)</f>
        <v>2500000</v>
      </c>
    </row>
    <row r="1052" spans="1:56" ht="12.95" customHeight="1">
      <c r="A1052" s="14"/>
      <c r="B1052" s="77"/>
      <c r="C1052" s="78"/>
      <c r="D1052" s="132" t="s">
        <v>972</v>
      </c>
      <c r="E1052" s="133"/>
      <c r="F1052" s="133"/>
      <c r="G1052" s="133"/>
      <c r="H1052" s="133"/>
      <c r="I1052" s="1570">
        <f>AY1003</f>
        <v>103</v>
      </c>
      <c r="J1052" s="1571"/>
      <c r="K1052" s="14"/>
      <c r="L1052" s="133"/>
      <c r="M1052" s="133"/>
      <c r="N1052" s="133"/>
      <c r="O1052" s="133"/>
      <c r="P1052" s="133"/>
      <c r="Q1052" s="133"/>
      <c r="R1052" s="133"/>
      <c r="S1052" s="133"/>
      <c r="T1052" s="133"/>
      <c r="U1052" s="133"/>
      <c r="V1052" s="134" t="s">
        <v>974</v>
      </c>
      <c r="X1052" s="1568">
        <f>CM753</f>
        <v>32</v>
      </c>
      <c r="Y1052" s="1569"/>
      <c r="AF1052" s="924"/>
      <c r="AG1052" s="925"/>
      <c r="AH1052" s="925"/>
      <c r="AI1052" s="926"/>
      <c r="AJ1052" s="1398"/>
      <c r="AK1052" s="1399"/>
      <c r="AL1052" s="1399"/>
      <c r="AM1052" s="1399"/>
      <c r="AN1052" s="1399"/>
      <c r="AO1052" s="1399"/>
      <c r="AP1052" s="1399"/>
      <c r="AQ1052" s="1400"/>
      <c r="AR1052" s="68"/>
      <c r="AS1052" s="68"/>
      <c r="AT1052" s="68"/>
      <c r="AU1052" s="68"/>
      <c r="AV1052" s="68"/>
      <c r="AW1052" s="68"/>
      <c r="AX1052" s="68"/>
      <c r="AY1052" s="68"/>
      <c r="AZ1052" s="962">
        <f>ROUNDDOWN(MAX(0,BA1052*(SUM(AG1093,AL1093,AZ1045)-BD1052))+BF1052,0)</f>
        <v>0</v>
      </c>
      <c r="BA1052" s="1182">
        <f>IF(L1042,7%,5%)</f>
        <v>0.05</v>
      </c>
      <c r="BB1052" s="3" t="s">
        <v>2482</v>
      </c>
      <c r="BC1052" s="3"/>
      <c r="BD1052" s="3">
        <v>6666667</v>
      </c>
    </row>
    <row r="1053" spans="1:56" ht="12.95" customHeight="1">
      <c r="A1053" s="14"/>
      <c r="B1053" s="102"/>
      <c r="C1053" s="103"/>
      <c r="D1053" s="1566" t="s">
        <v>513</v>
      </c>
      <c r="E1053" s="1566"/>
      <c r="F1053" s="1566"/>
      <c r="G1053" s="1566"/>
      <c r="H1053" s="1566"/>
      <c r="I1053" s="1566"/>
      <c r="J1053" s="1566"/>
      <c r="K1053" s="1566"/>
      <c r="L1053" s="1566"/>
      <c r="M1053" s="1566"/>
      <c r="N1053" s="1566"/>
      <c r="O1053" s="1566"/>
      <c r="P1053" s="1566"/>
      <c r="Q1053" s="1566"/>
      <c r="R1053" s="1566"/>
      <c r="S1053" s="1566"/>
      <c r="T1053" s="1566"/>
      <c r="U1053" s="1566"/>
      <c r="V1053" s="1566"/>
      <c r="W1053" s="1566"/>
      <c r="X1053" s="1566"/>
      <c r="Y1053" s="1566"/>
      <c r="Z1053" s="1566"/>
      <c r="AA1053" s="1566"/>
      <c r="AB1053" s="1566"/>
      <c r="AC1053" s="1566"/>
      <c r="AD1053" s="1566"/>
      <c r="AE1053" s="1566"/>
      <c r="AF1053" s="1566"/>
      <c r="AG1053" s="1566"/>
      <c r="AH1053" s="1566"/>
      <c r="AI1053" s="1567"/>
      <c r="AJ1053" s="1579">
        <f>SUM(AJ992:AQ1052)</f>
        <v>117777819.5</v>
      </c>
      <c r="AK1053" s="1580"/>
      <c r="AL1053" s="1580"/>
      <c r="AM1053" s="1580"/>
      <c r="AN1053" s="1580"/>
      <c r="AO1053" s="1580"/>
      <c r="AP1053" s="1580"/>
      <c r="AQ1053" s="1581"/>
      <c r="AR1053" s="68"/>
      <c r="AS1053" s="68"/>
      <c r="AT1053" s="68"/>
      <c r="AU1053" s="68"/>
      <c r="AV1053" s="68"/>
      <c r="AW1053" s="68"/>
      <c r="AX1053" s="68"/>
      <c r="AY1053" s="68"/>
      <c r="AZ1053" s="1181">
        <v>6000000</v>
      </c>
      <c r="BA1053" s="3" t="s">
        <v>2483</v>
      </c>
      <c r="BB1053" s="3"/>
      <c r="BC1053" s="3"/>
      <c r="BD1053" s="3"/>
    </row>
    <row r="1054" spans="1:56" ht="12.95" customHeight="1">
      <c r="A1054" s="14"/>
      <c r="B1054" s="14"/>
      <c r="C1054" s="208"/>
      <c r="D1054" s="213"/>
      <c r="E1054" s="213"/>
      <c r="F1054" s="213"/>
      <c r="G1054" s="213"/>
      <c r="H1054" s="213"/>
      <c r="I1054" s="213"/>
      <c r="J1054" s="213"/>
      <c r="K1054" s="213"/>
      <c r="L1054" s="213"/>
      <c r="M1054" s="213"/>
      <c r="N1054" s="213"/>
      <c r="O1054" s="213"/>
      <c r="P1054" s="213"/>
      <c r="Q1054" s="213"/>
      <c r="R1054" s="213"/>
      <c r="S1054" s="213"/>
      <c r="T1054" s="209"/>
      <c r="U1054" s="209"/>
      <c r="V1054" s="209"/>
      <c r="W1054" s="209"/>
      <c r="X1054" s="209"/>
      <c r="Y1054" s="209"/>
      <c r="Z1054" s="209"/>
      <c r="AA1054" s="209"/>
      <c r="AB1054" s="209"/>
      <c r="AC1054" s="209"/>
      <c r="AD1054" s="207"/>
      <c r="AE1054" s="207"/>
      <c r="AF1054" s="207"/>
      <c r="AG1054" s="207"/>
      <c r="AH1054" s="207"/>
      <c r="AI1054" s="207"/>
      <c r="AJ1054" s="207"/>
      <c r="AK1054" s="207"/>
      <c r="AL1054" s="68"/>
      <c r="AM1054" s="68"/>
      <c r="AN1054" s="68"/>
      <c r="AO1054" s="68"/>
      <c r="AP1054" s="68"/>
      <c r="AQ1054" s="68"/>
      <c r="AR1054" s="68"/>
      <c r="AS1054" s="68"/>
      <c r="AT1054" s="68"/>
      <c r="AU1054" s="68"/>
      <c r="AV1054" s="68"/>
      <c r="AW1054" s="68"/>
      <c r="AX1054" s="68"/>
      <c r="AY1054" s="68"/>
      <c r="AZ1054" s="3"/>
      <c r="BA1054" s="3"/>
      <c r="BB1054" s="3"/>
      <c r="BC1054" s="3"/>
      <c r="BD1054" s="3"/>
    </row>
    <row r="1055" spans="1:56" ht="12.95" customHeight="1">
      <c r="A1055" s="14"/>
      <c r="B1055" s="68"/>
      <c r="C1055" s="68"/>
      <c r="D1055" s="68"/>
      <c r="E1055" s="68"/>
      <c r="F1055" s="68"/>
      <c r="G1055" s="1173" t="s">
        <v>2468</v>
      </c>
      <c r="H1055" s="1174"/>
      <c r="I1055" s="1174"/>
      <c r="J1055" s="1174"/>
      <c r="K1055" s="1174"/>
      <c r="L1055" s="1174"/>
      <c r="M1055" s="1174"/>
      <c r="N1055" s="1174"/>
      <c r="O1055" s="1174"/>
      <c r="P1055" s="1174"/>
      <c r="Q1055" s="1174"/>
      <c r="R1055" s="1174"/>
      <c r="S1055" s="1174"/>
      <c r="T1055" s="1174"/>
      <c r="U1055" s="1174"/>
      <c r="V1055" s="1174"/>
      <c r="W1055" s="1174"/>
      <c r="X1055" s="1174"/>
      <c r="Y1055" s="1174"/>
      <c r="Z1055" s="1174"/>
      <c r="AA1055" s="1174"/>
      <c r="AB1055" s="1174"/>
      <c r="AC1055" s="1174"/>
      <c r="AD1055" s="1174"/>
      <c r="AE1055" s="1174"/>
      <c r="AF1055" s="1174"/>
      <c r="AG1055" s="1175"/>
      <c r="AH1055" s="1175"/>
      <c r="AI1055" s="1175"/>
      <c r="AJ1055" s="1175"/>
      <c r="AK1055" s="1175"/>
      <c r="AL1055" s="1175"/>
      <c r="AM1055" s="1175"/>
      <c r="AN1055" s="1175"/>
      <c r="AO1055" s="68"/>
      <c r="AP1055" s="68"/>
      <c r="AQ1055" s="68"/>
      <c r="AR1055" s="68"/>
      <c r="AS1055" s="68"/>
      <c r="AT1055" s="68"/>
      <c r="AU1055" s="68"/>
      <c r="AV1055" s="68"/>
      <c r="AW1055" s="68"/>
      <c r="AX1055" s="68"/>
      <c r="AY1055" s="68"/>
      <c r="AZ1055" s="3"/>
      <c r="BA1055" s="962">
        <f>MIN(MIN(MAX(AZ1051,AZ1052),AZ1053),BA1056)</f>
        <v>2500000</v>
      </c>
      <c r="BB1055" s="3" t="s">
        <v>2484</v>
      </c>
      <c r="BC1055" s="3"/>
      <c r="BD1055" s="3"/>
    </row>
    <row r="1056" spans="1:56" ht="12.95" customHeight="1">
      <c r="A1056" s="14"/>
      <c r="B1056" s="68"/>
      <c r="C1056" s="68"/>
      <c r="D1056" s="68"/>
      <c r="E1056" s="68"/>
      <c r="F1056" s="68"/>
      <c r="G1056" s="1176" t="s">
        <v>2469</v>
      </c>
      <c r="H1056" s="1177"/>
      <c r="I1056" s="1177"/>
      <c r="J1056" s="1177"/>
      <c r="K1056" s="1177"/>
      <c r="L1056" s="1177"/>
      <c r="M1056" s="1177"/>
      <c r="N1056" s="1177"/>
      <c r="O1056" s="1177"/>
      <c r="P1056" s="1177"/>
      <c r="Q1056" s="1177"/>
      <c r="R1056" s="1177"/>
      <c r="S1056" s="1177"/>
      <c r="T1056" s="1177"/>
      <c r="U1056" s="1177"/>
      <c r="V1056" s="1177"/>
      <c r="W1056" s="1177"/>
      <c r="X1056" s="1177"/>
      <c r="Y1056" s="1177"/>
      <c r="Z1056" s="1177"/>
      <c r="AA1056" s="1853">
        <f>'Sources and Uses Budget'!S107+'Sources and Uses Budget'!T107</f>
        <v>47056089</v>
      </c>
      <c r="AB1056" s="1853"/>
      <c r="AC1056" s="1853"/>
      <c r="AD1056" s="1853"/>
      <c r="AE1056" s="1853"/>
      <c r="AF1056" s="1853"/>
      <c r="AG1056" s="1175"/>
      <c r="AH1056" s="1175"/>
      <c r="AI1056" s="1175"/>
      <c r="AJ1056" s="1175"/>
      <c r="AK1056" s="1175"/>
      <c r="AL1056" s="1175"/>
      <c r="AM1056" s="1175"/>
      <c r="AN1056" s="1175"/>
      <c r="AO1056" s="68"/>
      <c r="AP1056" s="68"/>
      <c r="AQ1056" s="68"/>
      <c r="AR1056" s="68"/>
      <c r="AS1056" s="68"/>
      <c r="AT1056" s="68"/>
      <c r="AU1056" s="68"/>
      <c r="AV1056" s="13"/>
      <c r="AW1056" s="13"/>
      <c r="AX1056" s="13"/>
      <c r="AY1056" s="13"/>
      <c r="AZ1056" s="3"/>
      <c r="BA1056" s="962">
        <f>SUM(AZ1046:AZ1049)</f>
        <v>6137750.8499999996</v>
      </c>
      <c r="BB1056" s="3" t="s">
        <v>2485</v>
      </c>
      <c r="BC1056" s="3"/>
      <c r="BD1056" s="3"/>
    </row>
    <row r="1057" spans="1:54" ht="12.95" customHeight="1">
      <c r="A1057" s="14"/>
      <c r="B1057" s="68"/>
      <c r="C1057" s="68"/>
      <c r="D1057" s="68"/>
      <c r="E1057" s="68"/>
      <c r="F1057" s="68"/>
      <c r="G1057" s="1176"/>
      <c r="H1057" s="1176" t="s">
        <v>2470</v>
      </c>
      <c r="I1057" s="1177"/>
      <c r="J1057" s="1177"/>
      <c r="K1057" s="1177"/>
      <c r="L1057" s="1177"/>
      <c r="M1057" s="1177"/>
      <c r="N1057" s="1177"/>
      <c r="O1057" s="1177"/>
      <c r="P1057" s="1177"/>
      <c r="Q1057" s="1177"/>
      <c r="R1057" s="1177"/>
      <c r="S1057" s="1177"/>
      <c r="T1057" s="1177"/>
      <c r="U1057" s="1177"/>
      <c r="V1057" s="1177"/>
      <c r="W1057" s="1177"/>
      <c r="X1057" s="1177"/>
      <c r="Y1057" s="1177"/>
      <c r="Z1057" s="1179"/>
      <c r="AA1057" s="1854">
        <f>IFERROR((AA1056-BA1059)/(AJ1053-AJ1045-AJ1049),"")</f>
        <v>0.61999578609498451</v>
      </c>
      <c r="AB1057" s="1855"/>
      <c r="AC1057" s="1855"/>
      <c r="AD1057" s="1855"/>
      <c r="AE1057" s="1855"/>
      <c r="AF1057" s="1856"/>
      <c r="AG1057" s="1178"/>
      <c r="AH1057" s="1175"/>
      <c r="AI1057" s="1175"/>
      <c r="AJ1057" s="1175"/>
      <c r="AK1057" s="1175"/>
      <c r="AL1057" s="1175"/>
      <c r="AM1057" s="1175"/>
      <c r="AN1057" s="1175"/>
      <c r="AO1057" s="68"/>
      <c r="AP1057" s="68"/>
      <c r="AQ1057" s="68"/>
      <c r="AR1057" s="68"/>
      <c r="AS1057" s="68"/>
      <c r="AT1057" s="68"/>
      <c r="AU1057" s="68"/>
      <c r="AV1057" s="13"/>
      <c r="AW1057" s="13"/>
      <c r="AX1057" s="13"/>
      <c r="AY1057" s="13"/>
    </row>
    <row r="1058" spans="1:54" ht="12.95" customHeight="1">
      <c r="A1058" s="14"/>
      <c r="B1058" s="68"/>
      <c r="C1058" s="68"/>
      <c r="D1058" s="68"/>
      <c r="E1058" s="68"/>
      <c r="F1058" s="68"/>
      <c r="G1058" s="1857" t="str">
        <f>IFERROR(IF(AA1057="","",IF(AA1057&gt;=1.3,"Based on information presented in this application, this project is designated as high cost under CTCAC Regulation Section 10317(i)(5).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H1058" s="1857"/>
      <c r="I1058" s="1857"/>
      <c r="J1058" s="1857"/>
      <c r="K1058" s="1857"/>
      <c r="L1058" s="1857"/>
      <c r="M1058" s="1857"/>
      <c r="N1058" s="1857"/>
      <c r="O1058" s="1857"/>
      <c r="P1058" s="1857"/>
      <c r="Q1058" s="1857"/>
      <c r="R1058" s="1857"/>
      <c r="S1058" s="1857"/>
      <c r="T1058" s="1857"/>
      <c r="U1058" s="1857"/>
      <c r="V1058" s="1857"/>
      <c r="W1058" s="1857"/>
      <c r="X1058" s="1857"/>
      <c r="Y1058" s="1857"/>
      <c r="Z1058" s="1857"/>
      <c r="AA1058" s="1857"/>
      <c r="AB1058" s="1857"/>
      <c r="AC1058" s="1857"/>
      <c r="AD1058" s="1857"/>
      <c r="AE1058" s="1857"/>
      <c r="AF1058" s="1857"/>
      <c r="AG1058" s="1857"/>
      <c r="AH1058" s="1857"/>
      <c r="AI1058" s="1857"/>
      <c r="AJ1058" s="1857"/>
      <c r="AK1058" s="1857"/>
      <c r="AL1058" s="1857"/>
      <c r="AM1058" s="1857"/>
      <c r="AN1058" s="1857"/>
      <c r="AO1058" s="68"/>
      <c r="AP1058" s="68"/>
      <c r="AQ1058" s="68"/>
      <c r="AR1058" s="68"/>
      <c r="AS1058" s="68"/>
      <c r="AT1058" s="68"/>
      <c r="AU1058" s="68"/>
      <c r="AV1058" s="14"/>
      <c r="AW1058" s="14"/>
      <c r="AX1058" s="14"/>
      <c r="AY1058" s="14"/>
      <c r="BA1058" s="1185">
        <f>'Sources and Uses Budget'!$S$104+'Sources and Uses Budget'!$T$104</f>
        <v>6137750</v>
      </c>
      <c r="BB1058" s="3" t="s">
        <v>2491</v>
      </c>
    </row>
    <row r="1059" spans="1:54" ht="12.95" customHeight="1">
      <c r="A1059" s="14"/>
      <c r="B1059" s="14"/>
      <c r="C1059" s="208"/>
      <c r="D1059" s="858"/>
      <c r="E1059" s="858"/>
      <c r="F1059" s="858"/>
      <c r="G1059" s="1857"/>
      <c r="H1059" s="1857"/>
      <c r="I1059" s="1857"/>
      <c r="J1059" s="1857"/>
      <c r="K1059" s="1857"/>
      <c r="L1059" s="1857"/>
      <c r="M1059" s="1857"/>
      <c r="N1059" s="1857"/>
      <c r="O1059" s="1857"/>
      <c r="P1059" s="1857"/>
      <c r="Q1059" s="1857"/>
      <c r="R1059" s="1857"/>
      <c r="S1059" s="1857"/>
      <c r="T1059" s="1857"/>
      <c r="U1059" s="1857"/>
      <c r="V1059" s="1857"/>
      <c r="W1059" s="1857"/>
      <c r="X1059" s="1857"/>
      <c r="Y1059" s="1857"/>
      <c r="Z1059" s="1857"/>
      <c r="AA1059" s="1857"/>
      <c r="AB1059" s="1857"/>
      <c r="AC1059" s="1857"/>
      <c r="AD1059" s="1857"/>
      <c r="AE1059" s="1857"/>
      <c r="AF1059" s="1857"/>
      <c r="AG1059" s="1857"/>
      <c r="AH1059" s="1857"/>
      <c r="AI1059" s="1857"/>
      <c r="AJ1059" s="1857"/>
      <c r="AK1059" s="1857"/>
      <c r="AL1059" s="1857"/>
      <c r="AM1059" s="1857"/>
      <c r="AN1059" s="1857"/>
      <c r="AO1059" s="68"/>
      <c r="AP1059" s="68"/>
      <c r="AQ1059" s="68"/>
      <c r="AR1059" s="68"/>
      <c r="AS1059" s="68"/>
      <c r="AT1059" s="68"/>
      <c r="AU1059" s="68"/>
      <c r="AV1059" s="14"/>
      <c r="AW1059" s="14"/>
      <c r="AX1059" s="14"/>
      <c r="AY1059" s="14"/>
      <c r="BA1059" s="1186">
        <f>MAX($BA$1058-$BA$1055,0)</f>
        <v>3637750</v>
      </c>
      <c r="BB1059" s="3" t="s">
        <v>2492</v>
      </c>
    </row>
    <row r="1060" spans="1:54" ht="12.95" customHeight="1">
      <c r="A1060" s="88"/>
      <c r="B1060" s="1172"/>
      <c r="C1060" s="1172"/>
      <c r="D1060" s="1172"/>
      <c r="E1060" s="1172"/>
      <c r="F1060" s="1172"/>
      <c r="G1060" s="1857"/>
      <c r="H1060" s="1857"/>
      <c r="I1060" s="1857"/>
      <c r="J1060" s="1857"/>
      <c r="K1060" s="1857"/>
      <c r="L1060" s="1857"/>
      <c r="M1060" s="1857"/>
      <c r="N1060" s="1857"/>
      <c r="O1060" s="1857"/>
      <c r="P1060" s="1857"/>
      <c r="Q1060" s="1857"/>
      <c r="R1060" s="1857"/>
      <c r="S1060" s="1857"/>
      <c r="T1060" s="1857"/>
      <c r="U1060" s="1857"/>
      <c r="V1060" s="1857"/>
      <c r="W1060" s="1857"/>
      <c r="X1060" s="1857"/>
      <c r="Y1060" s="1857"/>
      <c r="Z1060" s="1857"/>
      <c r="AA1060" s="1857"/>
      <c r="AB1060" s="1857"/>
      <c r="AC1060" s="1857"/>
      <c r="AD1060" s="1857"/>
      <c r="AE1060" s="1857"/>
      <c r="AF1060" s="1857"/>
      <c r="AG1060" s="1857"/>
      <c r="AH1060" s="1857"/>
      <c r="AI1060" s="1857"/>
      <c r="AJ1060" s="1857"/>
      <c r="AK1060" s="1857"/>
      <c r="AL1060" s="1857"/>
      <c r="AM1060" s="1857"/>
      <c r="AN1060" s="1857"/>
      <c r="AO1060" s="1172"/>
      <c r="AP1060" s="1172"/>
      <c r="AQ1060" s="68"/>
      <c r="AR1060" s="68"/>
      <c r="AS1060" s="68"/>
      <c r="AT1060" s="68"/>
      <c r="AU1060" s="68"/>
      <c r="AV1060" s="68"/>
      <c r="AW1060" s="68"/>
      <c r="AX1060" s="68"/>
      <c r="AY1060" s="68"/>
    </row>
    <row r="1061" spans="1:54" ht="12.95" customHeight="1">
      <c r="A1061" s="1372" t="s">
        <v>794</v>
      </c>
      <c r="B1061" s="1372"/>
      <c r="C1061" s="1372"/>
      <c r="D1061" s="1372"/>
      <c r="E1061" s="1372"/>
      <c r="F1061" s="1372"/>
      <c r="G1061" s="1372"/>
      <c r="H1061" s="1372"/>
      <c r="I1061" s="1372"/>
      <c r="J1061" s="1372"/>
      <c r="K1061" s="1372"/>
      <c r="L1061" s="1372"/>
      <c r="M1061" s="1372"/>
      <c r="N1061" s="1372"/>
      <c r="O1061" s="1372"/>
      <c r="P1061" s="1372"/>
      <c r="Q1061" s="1372"/>
      <c r="R1061" s="1372"/>
      <c r="S1061" s="1372"/>
      <c r="T1061" s="1372"/>
      <c r="U1061" s="1372"/>
      <c r="V1061" s="1372"/>
      <c r="W1061" s="1372"/>
      <c r="X1061" s="1372"/>
      <c r="Y1061" s="1372"/>
      <c r="Z1061" s="1372"/>
      <c r="AA1061" s="1372"/>
      <c r="AB1061" s="1372"/>
      <c r="AC1061" s="1372"/>
      <c r="AD1061" s="1372"/>
      <c r="AE1061" s="1372"/>
      <c r="AF1061" s="1372"/>
      <c r="AG1061" s="1372"/>
      <c r="AH1061" s="1372"/>
      <c r="AI1061" s="1372"/>
      <c r="AJ1061" s="1372"/>
      <c r="AK1061" s="1372"/>
      <c r="AL1061" s="1372"/>
      <c r="AM1061" s="1372"/>
      <c r="AN1061" s="1372"/>
      <c r="AO1061" s="1372"/>
      <c r="AP1061" s="1372"/>
      <c r="AQ1061" s="1372"/>
      <c r="AR1061" s="13"/>
      <c r="AS1061" s="13"/>
      <c r="AT1061" s="13"/>
      <c r="AV1061" s="68"/>
      <c r="AW1061" s="68"/>
      <c r="AX1061" s="68"/>
      <c r="AY1061" s="68"/>
    </row>
    <row r="1062" spans="1:54" ht="12.95" customHeight="1">
      <c r="A1062" s="14"/>
      <c r="B1062" s="14"/>
      <c r="C1062" s="14"/>
      <c r="D1062" s="14"/>
      <c r="E1062" s="14"/>
      <c r="F1062" s="14"/>
      <c r="G1062" s="14"/>
      <c r="H1062" s="14"/>
      <c r="I1062" s="14"/>
      <c r="J1062" s="14"/>
      <c r="K1062" s="14"/>
      <c r="L1062" s="14"/>
      <c r="M1062" s="14"/>
      <c r="N1062" s="14"/>
      <c r="O1062" s="14"/>
      <c r="P1062" s="14"/>
      <c r="Q1062" s="13"/>
      <c r="R1062" s="13"/>
      <c r="S1062" s="13"/>
      <c r="T1062" s="13"/>
      <c r="U1062" s="13"/>
      <c r="V1062" s="13"/>
      <c r="W1062" s="13"/>
      <c r="X1062" s="13"/>
      <c r="Y1062" s="13"/>
      <c r="Z1062" s="13"/>
      <c r="AA1062" s="13"/>
      <c r="AB1062" s="13"/>
      <c r="AC1062" s="13"/>
      <c r="AD1062" s="13"/>
      <c r="AE1062" s="13"/>
      <c r="AF1062" s="13"/>
      <c r="AG1062" s="13"/>
      <c r="AH1062" s="13"/>
      <c r="AI1062" s="13"/>
      <c r="AJ1062" s="13"/>
      <c r="AK1062" s="13"/>
      <c r="AL1062" s="13"/>
      <c r="AM1062" s="13"/>
      <c r="AN1062" s="13"/>
      <c r="AO1062" s="13"/>
      <c r="AP1062" s="13"/>
      <c r="AQ1062" s="13"/>
      <c r="AR1062" s="13"/>
      <c r="AS1062" s="13"/>
      <c r="AT1062" s="13"/>
      <c r="AV1062" s="68"/>
      <c r="AW1062" s="68"/>
      <c r="AX1062" s="68"/>
      <c r="AY1062" s="68"/>
    </row>
    <row r="1063" spans="1:54" ht="12.95" customHeight="1">
      <c r="A1063" s="57" t="s">
        <v>795</v>
      </c>
      <c r="B1063" s="13"/>
      <c r="C1063" s="13"/>
      <c r="D1063" s="13"/>
      <c r="E1063" s="13"/>
      <c r="F1063" s="13"/>
      <c r="G1063" s="13"/>
      <c r="H1063" s="13"/>
      <c r="I1063" s="13"/>
      <c r="J1063" s="13"/>
      <c r="K1063" s="13"/>
      <c r="L1063" s="13"/>
      <c r="M1063" s="13"/>
      <c r="N1063" s="13"/>
      <c r="O1063" s="13"/>
      <c r="P1063" s="13"/>
      <c r="Q1063" s="13"/>
      <c r="R1063" s="13"/>
      <c r="S1063" s="13"/>
      <c r="T1063" s="13"/>
      <c r="U1063" s="13"/>
      <c r="V1063" s="13"/>
      <c r="W1063" s="13"/>
      <c r="X1063" s="13"/>
      <c r="AJ1063" s="14"/>
      <c r="AK1063" s="14"/>
      <c r="AL1063" s="14"/>
      <c r="AM1063" s="14"/>
      <c r="AN1063" s="14"/>
      <c r="AO1063" s="14"/>
      <c r="AP1063" s="14"/>
      <c r="AQ1063" s="14"/>
      <c r="AR1063" s="14"/>
      <c r="AS1063" s="14"/>
      <c r="AT1063" s="14"/>
      <c r="AV1063" s="68"/>
      <c r="AW1063" s="68"/>
      <c r="AX1063" s="68"/>
      <c r="AY1063" s="68"/>
    </row>
    <row r="1064" spans="1:54" ht="12.95" customHeight="1">
      <c r="A1064" s="198" t="s">
        <v>796</v>
      </c>
      <c r="B1064" s="67"/>
      <c r="C1064" s="67"/>
      <c r="D1064" s="67"/>
      <c r="E1064" s="67"/>
      <c r="F1064" s="67"/>
      <c r="G1064" s="67"/>
      <c r="H1064" s="67"/>
      <c r="I1064" s="67"/>
      <c r="J1064" s="67"/>
      <c r="K1064" s="67"/>
      <c r="L1064" s="67"/>
      <c r="M1064" s="67"/>
      <c r="N1064" s="67"/>
      <c r="O1064" s="67"/>
      <c r="P1064" s="67"/>
      <c r="Q1064" s="13"/>
      <c r="R1064" s="13"/>
      <c r="S1064" s="13"/>
      <c r="T1064" s="13"/>
      <c r="U1064" s="13"/>
      <c r="V1064" s="13"/>
      <c r="W1064" s="13"/>
      <c r="X1064" s="13"/>
      <c r="Y1064" s="4"/>
      <c r="Z1064" s="4"/>
      <c r="AA1064" s="4"/>
      <c r="AB1064" s="4"/>
      <c r="AC1064" s="4"/>
      <c r="AD1064" s="4"/>
      <c r="AE1064" s="4"/>
      <c r="AF1064" s="4"/>
      <c r="AG1064" s="4"/>
      <c r="AH1064" s="4"/>
      <c r="AI1064" s="4"/>
      <c r="AJ1064" s="14"/>
      <c r="AK1064" s="14"/>
      <c r="AL1064" s="14"/>
      <c r="AM1064" s="14"/>
      <c r="AN1064" s="14"/>
      <c r="AO1064" s="14"/>
      <c r="AP1064" s="14"/>
      <c r="AQ1064" s="14"/>
      <c r="AR1064" s="14"/>
      <c r="AS1064" s="14"/>
      <c r="AT1064" s="14"/>
      <c r="AV1064" s="68"/>
      <c r="AW1064" s="68"/>
      <c r="AX1064" s="68"/>
      <c r="AY1064" s="68"/>
    </row>
    <row r="1065" spans="1:54" ht="12.95" customHeight="1">
      <c r="A1065" s="1332" t="s">
        <v>545</v>
      </c>
      <c r="B1065" s="1332"/>
      <c r="C1065" s="1333">
        <v>1</v>
      </c>
      <c r="D1065" s="1333"/>
      <c r="E1065" s="14" t="s">
        <v>2238</v>
      </c>
      <c r="F1065" s="67"/>
      <c r="G1065" s="67"/>
      <c r="H1065" s="67"/>
      <c r="I1065" s="67"/>
      <c r="J1065" s="67"/>
      <c r="K1065" s="67"/>
      <c r="L1065" s="67"/>
      <c r="M1065" s="67"/>
      <c r="N1065" s="67"/>
      <c r="O1065" s="67"/>
      <c r="P1065" s="67"/>
      <c r="Q1065" s="13"/>
      <c r="R1065" s="13"/>
      <c r="S1065" s="13"/>
      <c r="T1065" s="13"/>
      <c r="U1065" s="13"/>
      <c r="V1065" s="13"/>
      <c r="W1065" s="13"/>
      <c r="X1065" s="13"/>
      <c r="Y1065" s="4"/>
      <c r="Z1065" s="4"/>
      <c r="AA1065" s="4"/>
      <c r="AB1065" s="4"/>
      <c r="AC1065" s="4"/>
      <c r="AD1065" s="4"/>
      <c r="AE1065" s="4"/>
      <c r="AF1065" s="4"/>
      <c r="AG1065" s="4"/>
      <c r="AH1065" s="4"/>
      <c r="AI1065" s="4"/>
      <c r="AJ1065" s="14"/>
      <c r="AK1065" s="14"/>
      <c r="AL1065" s="14"/>
      <c r="AM1065" s="14"/>
      <c r="AN1065" s="14"/>
      <c r="AO1065" s="14"/>
      <c r="AP1065" s="14"/>
      <c r="AQ1065" s="14"/>
      <c r="AR1065" s="14"/>
      <c r="AS1065" s="14"/>
      <c r="AT1065" s="14"/>
      <c r="AV1065" s="68"/>
      <c r="AW1065" s="68"/>
      <c r="AX1065" s="68"/>
      <c r="AY1065" s="68"/>
    </row>
    <row r="1066" spans="1:54" ht="12.95" customHeight="1">
      <c r="A1066" s="198"/>
      <c r="B1066" s="67"/>
      <c r="C1066" s="1333"/>
      <c r="D1066" s="1333"/>
      <c r="E1066" s="67"/>
      <c r="F1066" s="67"/>
      <c r="G1066" s="67"/>
      <c r="H1066" s="67"/>
      <c r="I1066" s="67"/>
      <c r="J1066" s="67"/>
      <c r="K1066" s="67"/>
      <c r="L1066" s="67"/>
      <c r="M1066" s="67"/>
      <c r="N1066" s="67"/>
      <c r="O1066" s="67"/>
      <c r="P1066" s="67"/>
      <c r="Q1066" s="13"/>
      <c r="R1066" s="13"/>
      <c r="S1066" s="13"/>
      <c r="T1066" s="13"/>
      <c r="U1066" s="13"/>
      <c r="V1066" s="13"/>
      <c r="W1066" s="13"/>
      <c r="X1066" s="13"/>
      <c r="Y1066" s="4"/>
      <c r="Z1066" s="4"/>
      <c r="AA1066" s="4"/>
      <c r="AB1066" s="4"/>
      <c r="AC1066" s="4"/>
      <c r="AD1066" s="4"/>
      <c r="AE1066" s="4"/>
      <c r="AF1066" s="4"/>
      <c r="AG1066" s="4"/>
      <c r="AH1066" s="4"/>
      <c r="AI1066" s="4"/>
      <c r="AJ1066" s="14"/>
      <c r="AK1066" s="14"/>
      <c r="AL1066" s="14"/>
      <c r="AM1066" s="14"/>
      <c r="AN1066" s="14"/>
      <c r="AO1066" s="14"/>
      <c r="AP1066" s="14"/>
      <c r="AQ1066" s="14"/>
      <c r="AR1066" s="14"/>
      <c r="AS1066" s="14"/>
      <c r="AT1066" s="14"/>
      <c r="AV1066" s="68"/>
      <c r="AW1066" s="68"/>
      <c r="AX1066" s="68"/>
      <c r="AY1066" s="68"/>
    </row>
    <row r="1067" spans="1:54" ht="12.95" customHeight="1">
      <c r="A1067" s="1332" t="s">
        <v>591</v>
      </c>
      <c r="B1067" s="1332"/>
      <c r="C1067" s="1333">
        <v>2</v>
      </c>
      <c r="D1067" s="1333"/>
      <c r="E1067" s="1336" t="s">
        <v>2239</v>
      </c>
      <c r="F1067" s="1336"/>
      <c r="G1067" s="1336"/>
      <c r="H1067" s="1336"/>
      <c r="I1067" s="1336"/>
      <c r="J1067" s="1336"/>
      <c r="K1067" s="1336"/>
      <c r="L1067" s="1336"/>
      <c r="M1067" s="1336"/>
      <c r="N1067" s="1336"/>
      <c r="O1067" s="1336"/>
      <c r="P1067" s="1336"/>
      <c r="Q1067" s="1336"/>
      <c r="R1067" s="1336"/>
      <c r="S1067" s="1336"/>
      <c r="T1067" s="1336"/>
      <c r="U1067" s="1336"/>
      <c r="V1067" s="1336"/>
      <c r="W1067" s="1336"/>
      <c r="X1067" s="1336"/>
      <c r="Y1067" s="1336"/>
      <c r="Z1067" s="1336"/>
      <c r="AA1067" s="1336"/>
      <c r="AB1067" s="1336"/>
      <c r="AC1067" s="1336"/>
      <c r="AD1067" s="1336"/>
      <c r="AE1067" s="1336"/>
      <c r="AF1067" s="1336"/>
      <c r="AG1067" s="1336"/>
      <c r="AH1067" s="1336"/>
      <c r="AI1067" s="1336"/>
      <c r="AJ1067" s="1336"/>
      <c r="AK1067" s="1336"/>
      <c r="AL1067" s="1336"/>
      <c r="AM1067" s="1336"/>
      <c r="AN1067" s="1336"/>
      <c r="AO1067" s="1336"/>
      <c r="AP1067" s="1336"/>
      <c r="AQ1067" s="1336"/>
      <c r="AR1067" s="1336"/>
      <c r="AS1067" s="14"/>
      <c r="AT1067" s="14"/>
      <c r="AV1067" s="68"/>
      <c r="AW1067" s="68"/>
      <c r="AX1067" s="68"/>
      <c r="AY1067" s="68"/>
    </row>
    <row r="1068" spans="1:54" ht="12.95" customHeight="1">
      <c r="A1068" s="198"/>
      <c r="B1068" s="67"/>
      <c r="C1068" s="1333"/>
      <c r="D1068" s="1333"/>
      <c r="E1068" s="1336"/>
      <c r="F1068" s="1336"/>
      <c r="G1068" s="1336"/>
      <c r="H1068" s="1336"/>
      <c r="I1068" s="1336"/>
      <c r="J1068" s="1336"/>
      <c r="K1068" s="1336"/>
      <c r="L1068" s="1336"/>
      <c r="M1068" s="1336"/>
      <c r="N1068" s="1336"/>
      <c r="O1068" s="1336"/>
      <c r="P1068" s="1336"/>
      <c r="Q1068" s="1336"/>
      <c r="R1068" s="1336"/>
      <c r="S1068" s="1336"/>
      <c r="T1068" s="1336"/>
      <c r="U1068" s="1336"/>
      <c r="V1068" s="1336"/>
      <c r="W1068" s="1336"/>
      <c r="X1068" s="1336"/>
      <c r="Y1068" s="1336"/>
      <c r="Z1068" s="1336"/>
      <c r="AA1068" s="1336"/>
      <c r="AB1068" s="1336"/>
      <c r="AC1068" s="1336"/>
      <c r="AD1068" s="1336"/>
      <c r="AE1068" s="1336"/>
      <c r="AF1068" s="1336"/>
      <c r="AG1068" s="1336"/>
      <c r="AH1068" s="1336"/>
      <c r="AI1068" s="1336"/>
      <c r="AJ1068" s="1336"/>
      <c r="AK1068" s="1336"/>
      <c r="AL1068" s="1336"/>
      <c r="AM1068" s="1336"/>
      <c r="AN1068" s="1336"/>
      <c r="AO1068" s="1336"/>
      <c r="AP1068" s="1336"/>
      <c r="AQ1068" s="1336"/>
      <c r="AR1068" s="1336"/>
      <c r="AS1068" s="14"/>
      <c r="AT1068" s="14"/>
      <c r="AV1068" s="68"/>
      <c r="AW1068" s="68"/>
      <c r="AX1068" s="68"/>
      <c r="AY1068" s="68"/>
    </row>
    <row r="1069" spans="1:54" ht="12.95" customHeight="1">
      <c r="A1069" s="198"/>
      <c r="B1069" s="67"/>
      <c r="C1069" s="1333"/>
      <c r="D1069" s="1333"/>
      <c r="E1069" s="67"/>
      <c r="F1069" s="67"/>
      <c r="G1069" s="67"/>
      <c r="H1069" s="67"/>
      <c r="I1069" s="67"/>
      <c r="J1069" s="67"/>
      <c r="K1069" s="67"/>
      <c r="L1069" s="67"/>
      <c r="M1069" s="67"/>
      <c r="N1069" s="67"/>
      <c r="O1069" s="67"/>
      <c r="P1069" s="67"/>
      <c r="Q1069" s="13"/>
      <c r="R1069" s="13"/>
      <c r="S1069" s="13"/>
      <c r="T1069" s="13"/>
      <c r="U1069" s="13"/>
      <c r="V1069" s="13"/>
      <c r="W1069" s="13"/>
      <c r="X1069" s="13"/>
      <c r="Y1069" s="4"/>
      <c r="Z1069" s="4"/>
      <c r="AA1069" s="4"/>
      <c r="AB1069" s="4"/>
      <c r="AC1069" s="4"/>
      <c r="AD1069" s="4"/>
      <c r="AE1069" s="4"/>
      <c r="AF1069" s="4"/>
      <c r="AG1069" s="4"/>
      <c r="AH1069" s="4"/>
      <c r="AI1069" s="4"/>
      <c r="AJ1069" s="14"/>
      <c r="AK1069" s="14"/>
      <c r="AL1069" s="14"/>
      <c r="AM1069" s="14"/>
      <c r="AN1069" s="14"/>
      <c r="AO1069" s="14"/>
      <c r="AP1069" s="14"/>
      <c r="AQ1069" s="14"/>
      <c r="AR1069" s="14"/>
      <c r="AS1069" s="14"/>
      <c r="AT1069" s="14"/>
      <c r="AV1069" s="68"/>
      <c r="AW1069" s="68"/>
      <c r="AX1069" s="68"/>
      <c r="AY1069" s="68"/>
    </row>
    <row r="1070" spans="1:54" ht="12.95" customHeight="1">
      <c r="A1070" s="1332" t="s">
        <v>591</v>
      </c>
      <c r="B1070" s="1332"/>
      <c r="C1070" s="1335">
        <v>3</v>
      </c>
      <c r="D1070" s="1335"/>
      <c r="E1070" s="1292" t="s">
        <v>1080</v>
      </c>
      <c r="F1070" s="1292"/>
      <c r="G1070" s="1292"/>
      <c r="H1070" s="1292"/>
      <c r="I1070" s="1292"/>
      <c r="J1070" s="1292"/>
      <c r="K1070" s="1292"/>
      <c r="L1070" s="1292"/>
      <c r="M1070" s="1292"/>
      <c r="N1070" s="1292"/>
      <c r="O1070" s="1292"/>
      <c r="P1070" s="1292"/>
      <c r="Q1070" s="1292"/>
      <c r="R1070" s="1292"/>
      <c r="S1070" s="1292"/>
      <c r="T1070" s="1292"/>
      <c r="U1070" s="1292"/>
      <c r="V1070" s="1292"/>
      <c r="W1070" s="1292"/>
      <c r="X1070" s="1292"/>
      <c r="Y1070" s="1292"/>
      <c r="Z1070" s="1292"/>
      <c r="AA1070" s="1292"/>
      <c r="AB1070" s="1292"/>
      <c r="AC1070" s="1292"/>
      <c r="AD1070" s="1292"/>
      <c r="AE1070" s="1292"/>
      <c r="AF1070" s="1292"/>
      <c r="AG1070" s="1292"/>
      <c r="AH1070" s="1292"/>
      <c r="AI1070" s="1292"/>
      <c r="AJ1070" s="1292"/>
      <c r="AK1070" s="1292"/>
      <c r="AL1070" s="1292"/>
      <c r="AM1070" s="1292"/>
      <c r="AN1070" s="1292"/>
      <c r="AO1070" s="1292"/>
      <c r="AP1070" s="1292"/>
      <c r="AQ1070" s="1292"/>
      <c r="AR1070" s="1292"/>
      <c r="AS1070" s="14"/>
      <c r="AT1070" s="68"/>
      <c r="AV1070" s="68"/>
      <c r="AW1070" s="68"/>
      <c r="AX1070" s="68"/>
      <c r="AY1070" s="68"/>
    </row>
    <row r="1071" spans="1:54" ht="12.95" customHeight="1">
      <c r="A1071" s="1"/>
      <c r="B1071" s="1"/>
      <c r="C1071" s="1335"/>
      <c r="D1071" s="1335"/>
      <c r="E1071" s="1292"/>
      <c r="F1071" s="1292"/>
      <c r="G1071" s="1292"/>
      <c r="H1071" s="1292"/>
      <c r="I1071" s="1292"/>
      <c r="J1071" s="1292"/>
      <c r="K1071" s="1292"/>
      <c r="L1071" s="1292"/>
      <c r="M1071" s="1292"/>
      <c r="N1071" s="1292"/>
      <c r="O1071" s="1292"/>
      <c r="P1071" s="1292"/>
      <c r="Q1071" s="1292"/>
      <c r="R1071" s="1292"/>
      <c r="S1071" s="1292"/>
      <c r="T1071" s="1292"/>
      <c r="U1071" s="1292"/>
      <c r="V1071" s="1292"/>
      <c r="W1071" s="1292"/>
      <c r="X1071" s="1292"/>
      <c r="Y1071" s="1292"/>
      <c r="Z1071" s="1292"/>
      <c r="AA1071" s="1292"/>
      <c r="AB1071" s="1292"/>
      <c r="AC1071" s="1292"/>
      <c r="AD1071" s="1292"/>
      <c r="AE1071" s="1292"/>
      <c r="AF1071" s="1292"/>
      <c r="AG1071" s="1292"/>
      <c r="AH1071" s="1292"/>
      <c r="AI1071" s="1292"/>
      <c r="AJ1071" s="1292"/>
      <c r="AK1071" s="1292"/>
      <c r="AL1071" s="1292"/>
      <c r="AM1071" s="1292"/>
      <c r="AN1071" s="1292"/>
      <c r="AO1071" s="1292"/>
      <c r="AP1071" s="1292"/>
      <c r="AQ1071" s="1292"/>
      <c r="AR1071" s="1292"/>
      <c r="AS1071" s="14"/>
      <c r="AT1071" s="68"/>
      <c r="AV1071" s="68"/>
      <c r="AW1071" s="68"/>
      <c r="AX1071" s="68"/>
      <c r="AY1071" s="68"/>
    </row>
    <row r="1072" spans="1:54" ht="12.95" customHeight="1">
      <c r="A1072" s="1"/>
      <c r="B1072" s="1"/>
      <c r="C1072" s="1335"/>
      <c r="D1072" s="1335"/>
      <c r="E1072" s="1292"/>
      <c r="F1072" s="1292"/>
      <c r="G1072" s="1292"/>
      <c r="H1072" s="1292"/>
      <c r="I1072" s="1292"/>
      <c r="J1072" s="1292"/>
      <c r="K1072" s="1292"/>
      <c r="L1072" s="1292"/>
      <c r="M1072" s="1292"/>
      <c r="N1072" s="1292"/>
      <c r="O1072" s="1292"/>
      <c r="P1072" s="1292"/>
      <c r="Q1072" s="1292"/>
      <c r="R1072" s="1292"/>
      <c r="S1072" s="1292"/>
      <c r="T1072" s="1292"/>
      <c r="U1072" s="1292"/>
      <c r="V1072" s="1292"/>
      <c r="W1072" s="1292"/>
      <c r="X1072" s="1292"/>
      <c r="Y1072" s="1292"/>
      <c r="Z1072" s="1292"/>
      <c r="AA1072" s="1292"/>
      <c r="AB1072" s="1292"/>
      <c r="AC1072" s="1292"/>
      <c r="AD1072" s="1292"/>
      <c r="AE1072" s="1292"/>
      <c r="AF1072" s="1292"/>
      <c r="AG1072" s="1292"/>
      <c r="AH1072" s="1292"/>
      <c r="AI1072" s="1292"/>
      <c r="AJ1072" s="1292"/>
      <c r="AK1072" s="1292"/>
      <c r="AL1072" s="1292"/>
      <c r="AM1072" s="1292"/>
      <c r="AN1072" s="1292"/>
      <c r="AO1072" s="1292"/>
      <c r="AP1072" s="1292"/>
      <c r="AQ1072" s="1292"/>
      <c r="AR1072" s="1292"/>
      <c r="AS1072" s="14"/>
      <c r="AT1072" s="68"/>
      <c r="AV1072" s="68"/>
      <c r="AW1072" s="68"/>
      <c r="AX1072" s="68"/>
      <c r="AY1072" s="68"/>
    </row>
    <row r="1073" spans="1:51" ht="12.95" customHeight="1">
      <c r="A1073" s="1"/>
      <c r="B1073" s="1"/>
      <c r="C1073" s="1335"/>
      <c r="D1073" s="1335"/>
      <c r="E1073" s="1292"/>
      <c r="F1073" s="1292"/>
      <c r="G1073" s="1292"/>
      <c r="H1073" s="1292"/>
      <c r="I1073" s="1292"/>
      <c r="J1073" s="1292"/>
      <c r="K1073" s="1292"/>
      <c r="L1073" s="1292"/>
      <c r="M1073" s="1292"/>
      <c r="N1073" s="1292"/>
      <c r="O1073" s="1292"/>
      <c r="P1073" s="1292"/>
      <c r="Q1073" s="1292"/>
      <c r="R1073" s="1292"/>
      <c r="S1073" s="1292"/>
      <c r="T1073" s="1292"/>
      <c r="U1073" s="1292"/>
      <c r="V1073" s="1292"/>
      <c r="W1073" s="1292"/>
      <c r="X1073" s="1292"/>
      <c r="Y1073" s="1292"/>
      <c r="Z1073" s="1292"/>
      <c r="AA1073" s="1292"/>
      <c r="AB1073" s="1292"/>
      <c r="AC1073" s="1292"/>
      <c r="AD1073" s="1292"/>
      <c r="AE1073" s="1292"/>
      <c r="AF1073" s="1292"/>
      <c r="AG1073" s="1292"/>
      <c r="AH1073" s="1292"/>
      <c r="AI1073" s="1292"/>
      <c r="AJ1073" s="1292"/>
      <c r="AK1073" s="1292"/>
      <c r="AL1073" s="1292"/>
      <c r="AM1073" s="1292"/>
      <c r="AN1073" s="1292"/>
      <c r="AO1073" s="1292"/>
      <c r="AP1073" s="1292"/>
      <c r="AQ1073" s="1292"/>
      <c r="AR1073" s="1292"/>
      <c r="AS1073" s="14"/>
      <c r="AT1073" s="68"/>
      <c r="AV1073" s="68"/>
      <c r="AW1073" s="68"/>
      <c r="AX1073" s="68"/>
      <c r="AY1073" s="68"/>
    </row>
    <row r="1074" spans="1:51" ht="12.95" customHeight="1">
      <c r="A1074" s="2"/>
      <c r="B1074" s="25"/>
      <c r="C1074" s="1335"/>
      <c r="D1074" s="1335"/>
      <c r="E1074" s="455"/>
      <c r="F1074" s="455"/>
      <c r="G1074" s="455"/>
      <c r="H1074" s="455"/>
      <c r="I1074" s="455"/>
      <c r="J1074" s="455"/>
      <c r="K1074" s="455"/>
      <c r="L1074" s="455"/>
      <c r="M1074" s="455"/>
      <c r="N1074" s="455"/>
      <c r="O1074" s="455"/>
      <c r="P1074" s="455"/>
      <c r="Q1074" s="455"/>
      <c r="R1074" s="455"/>
      <c r="S1074" s="455"/>
      <c r="T1074" s="455"/>
      <c r="U1074" s="455"/>
      <c r="V1074" s="455"/>
      <c r="W1074" s="455"/>
      <c r="X1074" s="455"/>
      <c r="Y1074" s="455"/>
      <c r="Z1074" s="455"/>
      <c r="AA1074" s="455"/>
      <c r="AB1074" s="455"/>
      <c r="AC1074" s="455"/>
      <c r="AD1074" s="455"/>
      <c r="AE1074" s="455"/>
      <c r="AF1074" s="455"/>
      <c r="AG1074" s="455"/>
      <c r="AH1074" s="455"/>
      <c r="AI1074" s="455"/>
      <c r="AJ1074" s="455"/>
      <c r="AK1074" s="455"/>
      <c r="AL1074" s="68"/>
      <c r="AM1074" s="68"/>
      <c r="AN1074" s="68"/>
      <c r="AO1074" s="68"/>
      <c r="AP1074" s="68"/>
      <c r="AQ1074" s="68"/>
      <c r="AR1074" s="68"/>
      <c r="AS1074" s="14"/>
      <c r="AT1074" s="68"/>
      <c r="AV1074" s="68"/>
      <c r="AW1074" s="68"/>
      <c r="AX1074" s="68"/>
      <c r="AY1074" s="68"/>
    </row>
    <row r="1075" spans="1:51" ht="12.95" customHeight="1">
      <c r="A1075" s="1332" t="s">
        <v>591</v>
      </c>
      <c r="B1075" s="1332"/>
      <c r="C1075" s="1335">
        <v>4</v>
      </c>
      <c r="D1075" s="1335"/>
      <c r="E1075" s="1292" t="s">
        <v>1079</v>
      </c>
      <c r="F1075" s="1292"/>
      <c r="G1075" s="1292"/>
      <c r="H1075" s="1292"/>
      <c r="I1075" s="1292"/>
      <c r="J1075" s="1292"/>
      <c r="K1075" s="1292"/>
      <c r="L1075" s="1292"/>
      <c r="M1075" s="1292"/>
      <c r="N1075" s="1292"/>
      <c r="O1075" s="1292"/>
      <c r="P1075" s="1292"/>
      <c r="Q1075" s="1292"/>
      <c r="R1075" s="1292"/>
      <c r="S1075" s="1292"/>
      <c r="T1075" s="1292"/>
      <c r="U1075" s="1292"/>
      <c r="V1075" s="1292"/>
      <c r="W1075" s="1292"/>
      <c r="X1075" s="1292"/>
      <c r="Y1075" s="1292"/>
      <c r="Z1075" s="1292"/>
      <c r="AA1075" s="1292"/>
      <c r="AB1075" s="1292"/>
      <c r="AC1075" s="1292"/>
      <c r="AD1075" s="1292"/>
      <c r="AE1075" s="1292"/>
      <c r="AF1075" s="1292"/>
      <c r="AG1075" s="1292"/>
      <c r="AH1075" s="1292"/>
      <c r="AI1075" s="1292"/>
      <c r="AJ1075" s="1292"/>
      <c r="AK1075" s="1292"/>
      <c r="AL1075" s="1292"/>
      <c r="AM1075" s="1292"/>
      <c r="AN1075" s="1292"/>
      <c r="AO1075" s="1292"/>
      <c r="AP1075" s="1292"/>
      <c r="AQ1075" s="1292"/>
      <c r="AR1075" s="1292"/>
      <c r="AS1075" s="14"/>
      <c r="AT1075" s="68"/>
    </row>
    <row r="1076" spans="1:51" ht="12.95" customHeight="1">
      <c r="A1076" s="1"/>
      <c r="B1076" s="1"/>
      <c r="C1076" s="1335"/>
      <c r="D1076" s="1335"/>
      <c r="E1076" s="1292"/>
      <c r="F1076" s="1292"/>
      <c r="G1076" s="1292"/>
      <c r="H1076" s="1292"/>
      <c r="I1076" s="1292"/>
      <c r="J1076" s="1292"/>
      <c r="K1076" s="1292"/>
      <c r="L1076" s="1292"/>
      <c r="M1076" s="1292"/>
      <c r="N1076" s="1292"/>
      <c r="O1076" s="1292"/>
      <c r="P1076" s="1292"/>
      <c r="Q1076" s="1292"/>
      <c r="R1076" s="1292"/>
      <c r="S1076" s="1292"/>
      <c r="T1076" s="1292"/>
      <c r="U1076" s="1292"/>
      <c r="V1076" s="1292"/>
      <c r="W1076" s="1292"/>
      <c r="X1076" s="1292"/>
      <c r="Y1076" s="1292"/>
      <c r="Z1076" s="1292"/>
      <c r="AA1076" s="1292"/>
      <c r="AB1076" s="1292"/>
      <c r="AC1076" s="1292"/>
      <c r="AD1076" s="1292"/>
      <c r="AE1076" s="1292"/>
      <c r="AF1076" s="1292"/>
      <c r="AG1076" s="1292"/>
      <c r="AH1076" s="1292"/>
      <c r="AI1076" s="1292"/>
      <c r="AJ1076" s="1292"/>
      <c r="AK1076" s="1292"/>
      <c r="AL1076" s="1292"/>
      <c r="AM1076" s="1292"/>
      <c r="AN1076" s="1292"/>
      <c r="AO1076" s="1292"/>
      <c r="AP1076" s="1292"/>
      <c r="AQ1076" s="1292"/>
      <c r="AR1076" s="1292"/>
      <c r="AS1076" s="14"/>
      <c r="AT1076" s="68"/>
    </row>
    <row r="1077" spans="1:51" ht="12.95" customHeight="1">
      <c r="A1077" s="1"/>
      <c r="B1077" s="1"/>
      <c r="C1077" s="1335"/>
      <c r="D1077" s="1335"/>
      <c r="E1077" s="1292"/>
      <c r="F1077" s="1292"/>
      <c r="G1077" s="1292"/>
      <c r="H1077" s="1292"/>
      <c r="I1077" s="1292"/>
      <c r="J1077" s="1292"/>
      <c r="K1077" s="1292"/>
      <c r="L1077" s="1292"/>
      <c r="M1077" s="1292"/>
      <c r="N1077" s="1292"/>
      <c r="O1077" s="1292"/>
      <c r="P1077" s="1292"/>
      <c r="Q1077" s="1292"/>
      <c r="R1077" s="1292"/>
      <c r="S1077" s="1292"/>
      <c r="T1077" s="1292"/>
      <c r="U1077" s="1292"/>
      <c r="V1077" s="1292"/>
      <c r="W1077" s="1292"/>
      <c r="X1077" s="1292"/>
      <c r="Y1077" s="1292"/>
      <c r="Z1077" s="1292"/>
      <c r="AA1077" s="1292"/>
      <c r="AB1077" s="1292"/>
      <c r="AC1077" s="1292"/>
      <c r="AD1077" s="1292"/>
      <c r="AE1077" s="1292"/>
      <c r="AF1077" s="1292"/>
      <c r="AG1077" s="1292"/>
      <c r="AH1077" s="1292"/>
      <c r="AI1077" s="1292"/>
      <c r="AJ1077" s="1292"/>
      <c r="AK1077" s="1292"/>
      <c r="AL1077" s="1292"/>
      <c r="AM1077" s="1292"/>
      <c r="AN1077" s="1292"/>
      <c r="AO1077" s="1292"/>
      <c r="AP1077" s="1292"/>
      <c r="AQ1077" s="1292"/>
      <c r="AR1077" s="1292"/>
      <c r="AS1077" s="14"/>
      <c r="AT1077" s="68"/>
    </row>
    <row r="1078" spans="1:51" ht="12.95" customHeight="1">
      <c r="A1078" s="1"/>
      <c r="B1078" s="1"/>
      <c r="C1078" s="1335"/>
      <c r="D1078" s="1335"/>
      <c r="E1078" s="1292"/>
      <c r="F1078" s="1292"/>
      <c r="G1078" s="1292"/>
      <c r="H1078" s="1292"/>
      <c r="I1078" s="1292"/>
      <c r="J1078" s="1292"/>
      <c r="K1078" s="1292"/>
      <c r="L1078" s="1292"/>
      <c r="M1078" s="1292"/>
      <c r="N1078" s="1292"/>
      <c r="O1078" s="1292"/>
      <c r="P1078" s="1292"/>
      <c r="Q1078" s="1292"/>
      <c r="R1078" s="1292"/>
      <c r="S1078" s="1292"/>
      <c r="T1078" s="1292"/>
      <c r="U1078" s="1292"/>
      <c r="V1078" s="1292"/>
      <c r="W1078" s="1292"/>
      <c r="X1078" s="1292"/>
      <c r="Y1078" s="1292"/>
      <c r="Z1078" s="1292"/>
      <c r="AA1078" s="1292"/>
      <c r="AB1078" s="1292"/>
      <c r="AC1078" s="1292"/>
      <c r="AD1078" s="1292"/>
      <c r="AE1078" s="1292"/>
      <c r="AF1078" s="1292"/>
      <c r="AG1078" s="1292"/>
      <c r="AH1078" s="1292"/>
      <c r="AI1078" s="1292"/>
      <c r="AJ1078" s="1292"/>
      <c r="AK1078" s="1292"/>
      <c r="AL1078" s="1292"/>
      <c r="AM1078" s="1292"/>
      <c r="AN1078" s="1292"/>
      <c r="AO1078" s="1292"/>
      <c r="AP1078" s="1292"/>
      <c r="AQ1078" s="1292"/>
      <c r="AR1078" s="1292"/>
      <c r="AS1078" s="14"/>
      <c r="AT1078" s="68"/>
    </row>
    <row r="1079" spans="1:51" ht="12.95" customHeight="1">
      <c r="A1079" s="1"/>
      <c r="B1079" s="1"/>
      <c r="C1079" s="1335"/>
      <c r="D1079" s="1335"/>
      <c r="E1079" s="1292"/>
      <c r="F1079" s="1292"/>
      <c r="G1079" s="1292"/>
      <c r="H1079" s="1292"/>
      <c r="I1079" s="1292"/>
      <c r="J1079" s="1292"/>
      <c r="K1079" s="1292"/>
      <c r="L1079" s="1292"/>
      <c r="M1079" s="1292"/>
      <c r="N1079" s="1292"/>
      <c r="O1079" s="1292"/>
      <c r="P1079" s="1292"/>
      <c r="Q1079" s="1292"/>
      <c r="R1079" s="1292"/>
      <c r="S1079" s="1292"/>
      <c r="T1079" s="1292"/>
      <c r="U1079" s="1292"/>
      <c r="V1079" s="1292"/>
      <c r="W1079" s="1292"/>
      <c r="X1079" s="1292"/>
      <c r="Y1079" s="1292"/>
      <c r="Z1079" s="1292"/>
      <c r="AA1079" s="1292"/>
      <c r="AB1079" s="1292"/>
      <c r="AC1079" s="1292"/>
      <c r="AD1079" s="1292"/>
      <c r="AE1079" s="1292"/>
      <c r="AF1079" s="1292"/>
      <c r="AG1079" s="1292"/>
      <c r="AH1079" s="1292"/>
      <c r="AI1079" s="1292"/>
      <c r="AJ1079" s="1292"/>
      <c r="AK1079" s="1292"/>
      <c r="AL1079" s="1292"/>
      <c r="AM1079" s="1292"/>
      <c r="AN1079" s="1292"/>
      <c r="AO1079" s="1292"/>
      <c r="AP1079" s="1292"/>
      <c r="AQ1079" s="1292"/>
      <c r="AR1079" s="1292"/>
      <c r="AS1079" s="14"/>
      <c r="AT1079" s="68"/>
    </row>
    <row r="1080" spans="1:51" ht="12.95" customHeight="1">
      <c r="A1080" s="1"/>
      <c r="B1080" s="1"/>
      <c r="C1080" s="1335"/>
      <c r="D1080" s="1335"/>
      <c r="E1080" s="455"/>
      <c r="F1080" s="455"/>
      <c r="G1080" s="455"/>
      <c r="H1080" s="455"/>
      <c r="I1080" s="455"/>
      <c r="J1080" s="455"/>
      <c r="K1080" s="455"/>
      <c r="L1080" s="455"/>
      <c r="M1080" s="455"/>
      <c r="N1080" s="455"/>
      <c r="O1080" s="455"/>
      <c r="P1080" s="455"/>
      <c r="Q1080" s="455"/>
      <c r="R1080" s="455"/>
      <c r="S1080" s="455"/>
      <c r="T1080" s="455"/>
      <c r="U1080" s="455"/>
      <c r="V1080" s="455"/>
      <c r="W1080" s="455"/>
      <c r="X1080" s="455"/>
      <c r="Y1080" s="455"/>
      <c r="Z1080" s="455"/>
      <c r="AA1080" s="455"/>
      <c r="AB1080" s="455"/>
      <c r="AC1080" s="455"/>
      <c r="AD1080" s="455"/>
      <c r="AE1080" s="455"/>
      <c r="AF1080" s="455"/>
      <c r="AG1080" s="455"/>
      <c r="AH1080" s="455"/>
      <c r="AI1080" s="455"/>
      <c r="AJ1080" s="455"/>
      <c r="AK1080" s="455"/>
      <c r="AS1080" s="14"/>
    </row>
    <row r="1081" spans="1:51" ht="12.95" customHeight="1">
      <c r="A1081" s="1332" t="s">
        <v>591</v>
      </c>
      <c r="B1081" s="1332"/>
      <c r="C1081" s="1335">
        <v>5</v>
      </c>
      <c r="D1081" s="1335"/>
      <c r="E1081" s="1292" t="s">
        <v>2243</v>
      </c>
      <c r="F1081" s="1292"/>
      <c r="G1081" s="1292"/>
      <c r="H1081" s="1292"/>
      <c r="I1081" s="1292"/>
      <c r="J1081" s="1292"/>
      <c r="K1081" s="1292"/>
      <c r="L1081" s="1292"/>
      <c r="M1081" s="1292"/>
      <c r="N1081" s="1292"/>
      <c r="O1081" s="1292"/>
      <c r="P1081" s="1292"/>
      <c r="Q1081" s="1292"/>
      <c r="R1081" s="1292"/>
      <c r="S1081" s="1292"/>
      <c r="T1081" s="1292"/>
      <c r="U1081" s="1292"/>
      <c r="V1081" s="1292"/>
      <c r="W1081" s="1292"/>
      <c r="X1081" s="1292"/>
      <c r="Y1081" s="1292"/>
      <c r="Z1081" s="1292"/>
      <c r="AA1081" s="1292"/>
      <c r="AB1081" s="1292"/>
      <c r="AC1081" s="1292"/>
      <c r="AD1081" s="1292"/>
      <c r="AE1081" s="1292"/>
      <c r="AF1081" s="1292"/>
      <c r="AG1081" s="1292"/>
      <c r="AH1081" s="1292"/>
      <c r="AI1081" s="1292"/>
      <c r="AJ1081" s="1292"/>
      <c r="AK1081" s="1292"/>
      <c r="AL1081" s="1292"/>
      <c r="AM1081" s="1292"/>
      <c r="AN1081" s="1292"/>
      <c r="AO1081" s="1292"/>
      <c r="AP1081" s="1292"/>
      <c r="AQ1081" s="1292"/>
      <c r="AR1081" s="1292"/>
      <c r="AS1081" s="14"/>
    </row>
    <row r="1082" spans="1:51" ht="12.95" customHeight="1">
      <c r="A1082" s="4"/>
      <c r="B1082" s="4"/>
      <c r="C1082" s="1335"/>
      <c r="D1082" s="1335"/>
      <c r="E1082" s="1292"/>
      <c r="F1082" s="1292"/>
      <c r="G1082" s="1292"/>
      <c r="H1082" s="1292"/>
      <c r="I1082" s="1292"/>
      <c r="J1082" s="1292"/>
      <c r="K1082" s="1292"/>
      <c r="L1082" s="1292"/>
      <c r="M1082" s="1292"/>
      <c r="N1082" s="1292"/>
      <c r="O1082" s="1292"/>
      <c r="P1082" s="1292"/>
      <c r="Q1082" s="1292"/>
      <c r="R1082" s="1292"/>
      <c r="S1082" s="1292"/>
      <c r="T1082" s="1292"/>
      <c r="U1082" s="1292"/>
      <c r="V1082" s="1292"/>
      <c r="W1082" s="1292"/>
      <c r="X1082" s="1292"/>
      <c r="Y1082" s="1292"/>
      <c r="Z1082" s="1292"/>
      <c r="AA1082" s="1292"/>
      <c r="AB1082" s="1292"/>
      <c r="AC1082" s="1292"/>
      <c r="AD1082" s="1292"/>
      <c r="AE1082" s="1292"/>
      <c r="AF1082" s="1292"/>
      <c r="AG1082" s="1292"/>
      <c r="AH1082" s="1292"/>
      <c r="AI1082" s="1292"/>
      <c r="AJ1082" s="1292"/>
      <c r="AK1082" s="1292"/>
      <c r="AL1082" s="1292"/>
      <c r="AM1082" s="1292"/>
      <c r="AN1082" s="1292"/>
      <c r="AO1082" s="1292"/>
      <c r="AP1082" s="1292"/>
      <c r="AQ1082" s="1292"/>
      <c r="AR1082" s="1292"/>
      <c r="AS1082" s="14"/>
    </row>
    <row r="1083" spans="1:51" ht="12.95" customHeight="1">
      <c r="A1083" s="4"/>
      <c r="B1083" s="4"/>
      <c r="C1083" s="1335"/>
      <c r="D1083" s="1335"/>
      <c r="E1083" s="1292"/>
      <c r="F1083" s="1292"/>
      <c r="G1083" s="1292"/>
      <c r="H1083" s="1292"/>
      <c r="I1083" s="1292"/>
      <c r="J1083" s="1292"/>
      <c r="K1083" s="1292"/>
      <c r="L1083" s="1292"/>
      <c r="M1083" s="1292"/>
      <c r="N1083" s="1292"/>
      <c r="O1083" s="1292"/>
      <c r="P1083" s="1292"/>
      <c r="Q1083" s="1292"/>
      <c r="R1083" s="1292"/>
      <c r="S1083" s="1292"/>
      <c r="T1083" s="1292"/>
      <c r="U1083" s="1292"/>
      <c r="V1083" s="1292"/>
      <c r="W1083" s="1292"/>
      <c r="X1083" s="1292"/>
      <c r="Y1083" s="1292"/>
      <c r="Z1083" s="1292"/>
      <c r="AA1083" s="1292"/>
      <c r="AB1083" s="1292"/>
      <c r="AC1083" s="1292"/>
      <c r="AD1083" s="1292"/>
      <c r="AE1083" s="1292"/>
      <c r="AF1083" s="1292"/>
      <c r="AG1083" s="1292"/>
      <c r="AH1083" s="1292"/>
      <c r="AI1083" s="1292"/>
      <c r="AJ1083" s="1292"/>
      <c r="AK1083" s="1292"/>
      <c r="AL1083" s="1292"/>
      <c r="AM1083" s="1292"/>
      <c r="AN1083" s="1292"/>
      <c r="AO1083" s="1292"/>
      <c r="AP1083" s="1292"/>
      <c r="AQ1083" s="1292"/>
      <c r="AR1083" s="1292"/>
      <c r="AS1083" s="14"/>
    </row>
    <row r="1084" spans="1:51" ht="12.95" customHeight="1">
      <c r="A1084" s="35"/>
      <c r="B1084" s="25"/>
      <c r="C1084" s="1335"/>
      <c r="D1084" s="1335"/>
      <c r="E1084" s="455"/>
      <c r="F1084" s="455"/>
      <c r="G1084" s="455"/>
      <c r="H1084" s="455"/>
      <c r="I1084" s="455"/>
      <c r="J1084" s="455"/>
      <c r="K1084" s="455"/>
      <c r="L1084" s="455"/>
      <c r="M1084" s="455"/>
      <c r="N1084" s="455"/>
      <c r="O1084" s="455"/>
      <c r="P1084" s="455"/>
      <c r="Q1084" s="455"/>
      <c r="R1084" s="455"/>
      <c r="S1084" s="455"/>
      <c r="T1084" s="455"/>
      <c r="U1084" s="455"/>
      <c r="V1084" s="455"/>
      <c r="W1084" s="455"/>
      <c r="X1084" s="455"/>
      <c r="Y1084" s="455"/>
      <c r="Z1084" s="455"/>
      <c r="AA1084" s="455"/>
      <c r="AB1084" s="455"/>
      <c r="AC1084" s="455"/>
      <c r="AD1084" s="455"/>
      <c r="AE1084" s="455"/>
      <c r="AF1084" s="455"/>
      <c r="AG1084" s="455"/>
      <c r="AH1084" s="455"/>
      <c r="AI1084" s="455"/>
      <c r="AJ1084" s="455"/>
      <c r="AK1084" s="455"/>
      <c r="AS1084" s="14"/>
    </row>
    <row r="1085" spans="1:51" ht="12.95" customHeight="1">
      <c r="A1085" s="1332" t="s">
        <v>591</v>
      </c>
      <c r="B1085" s="1332"/>
      <c r="C1085" s="1335">
        <v>6</v>
      </c>
      <c r="D1085" s="1335"/>
      <c r="E1085" s="1292" t="s">
        <v>2244</v>
      </c>
      <c r="F1085" s="1292"/>
      <c r="G1085" s="1292"/>
      <c r="H1085" s="1292"/>
      <c r="I1085" s="1292"/>
      <c r="J1085" s="1292"/>
      <c r="K1085" s="1292"/>
      <c r="L1085" s="1292"/>
      <c r="M1085" s="1292"/>
      <c r="N1085" s="1292"/>
      <c r="O1085" s="1292"/>
      <c r="P1085" s="1292"/>
      <c r="Q1085" s="1292"/>
      <c r="R1085" s="1292"/>
      <c r="S1085" s="1292"/>
      <c r="T1085" s="1292"/>
      <c r="U1085" s="1292"/>
      <c r="V1085" s="1292"/>
      <c r="W1085" s="1292"/>
      <c r="X1085" s="1292"/>
      <c r="Y1085" s="1292"/>
      <c r="Z1085" s="1292"/>
      <c r="AA1085" s="1292"/>
      <c r="AB1085" s="1292"/>
      <c r="AC1085" s="1292"/>
      <c r="AD1085" s="1292"/>
      <c r="AE1085" s="1292"/>
      <c r="AF1085" s="1292"/>
      <c r="AG1085" s="1292"/>
      <c r="AH1085" s="1292"/>
      <c r="AI1085" s="1292"/>
      <c r="AJ1085" s="1292"/>
      <c r="AK1085" s="1292"/>
      <c r="AL1085" s="1292"/>
      <c r="AM1085" s="1292"/>
      <c r="AN1085" s="1292"/>
      <c r="AO1085" s="1292"/>
      <c r="AP1085" s="1292"/>
      <c r="AQ1085" s="1292"/>
      <c r="AR1085" s="1292"/>
      <c r="AS1085" s="14"/>
    </row>
    <row r="1086" spans="1:51" ht="12.95" customHeight="1">
      <c r="A1086" s="1"/>
      <c r="B1086" s="1"/>
      <c r="C1086" s="1"/>
      <c r="D1086" s="1"/>
      <c r="E1086" s="1292"/>
      <c r="F1086" s="1292"/>
      <c r="G1086" s="1292"/>
      <c r="H1086" s="1292"/>
      <c r="I1086" s="1292"/>
      <c r="J1086" s="1292"/>
      <c r="K1086" s="1292"/>
      <c r="L1086" s="1292"/>
      <c r="M1086" s="1292"/>
      <c r="N1086" s="1292"/>
      <c r="O1086" s="1292"/>
      <c r="P1086" s="1292"/>
      <c r="Q1086" s="1292"/>
      <c r="R1086" s="1292"/>
      <c r="S1086" s="1292"/>
      <c r="T1086" s="1292"/>
      <c r="U1086" s="1292"/>
      <c r="V1086" s="1292"/>
      <c r="W1086" s="1292"/>
      <c r="X1086" s="1292"/>
      <c r="Y1086" s="1292"/>
      <c r="Z1086" s="1292"/>
      <c r="AA1086" s="1292"/>
      <c r="AB1086" s="1292"/>
      <c r="AC1086" s="1292"/>
      <c r="AD1086" s="1292"/>
      <c r="AE1086" s="1292"/>
      <c r="AF1086" s="1292"/>
      <c r="AG1086" s="1292"/>
      <c r="AH1086" s="1292"/>
      <c r="AI1086" s="1292"/>
      <c r="AJ1086" s="1292"/>
      <c r="AK1086" s="1292"/>
      <c r="AL1086" s="1292"/>
      <c r="AM1086" s="1292"/>
      <c r="AN1086" s="1292"/>
      <c r="AO1086" s="1292"/>
      <c r="AP1086" s="1292"/>
      <c r="AQ1086" s="1292"/>
      <c r="AR1086" s="1292"/>
      <c r="AS1086" s="14"/>
    </row>
    <row r="1087" spans="1:51" ht="12.95" customHeight="1">
      <c r="A1087" s="1"/>
      <c r="B1087" s="1"/>
      <c r="C1087" s="1335"/>
      <c r="D1087" s="1335"/>
      <c r="E1087" s="1292"/>
      <c r="F1087" s="1292"/>
      <c r="G1087" s="1292"/>
      <c r="H1087" s="1292"/>
      <c r="I1087" s="1292"/>
      <c r="J1087" s="1292"/>
      <c r="K1087" s="1292"/>
      <c r="L1087" s="1292"/>
      <c r="M1087" s="1292"/>
      <c r="N1087" s="1292"/>
      <c r="O1087" s="1292"/>
      <c r="P1087" s="1292"/>
      <c r="Q1087" s="1292"/>
      <c r="R1087" s="1292"/>
      <c r="S1087" s="1292"/>
      <c r="T1087" s="1292"/>
      <c r="U1087" s="1292"/>
      <c r="V1087" s="1292"/>
      <c r="W1087" s="1292"/>
      <c r="X1087" s="1292"/>
      <c r="Y1087" s="1292"/>
      <c r="Z1087" s="1292"/>
      <c r="AA1087" s="1292"/>
      <c r="AB1087" s="1292"/>
      <c r="AC1087" s="1292"/>
      <c r="AD1087" s="1292"/>
      <c r="AE1087" s="1292"/>
      <c r="AF1087" s="1292"/>
      <c r="AG1087" s="1292"/>
      <c r="AH1087" s="1292"/>
      <c r="AI1087" s="1292"/>
      <c r="AJ1087" s="1292"/>
      <c r="AK1087" s="1292"/>
      <c r="AL1087" s="1292"/>
      <c r="AM1087" s="1292"/>
      <c r="AN1087" s="1292"/>
      <c r="AO1087" s="1292"/>
      <c r="AP1087" s="1292"/>
      <c r="AQ1087" s="1292"/>
      <c r="AR1087" s="1292"/>
      <c r="AS1087" s="14"/>
    </row>
    <row r="1088" spans="1:51" ht="12.95" customHeight="1">
      <c r="A1088" s="35"/>
      <c r="B1088" s="25"/>
      <c r="C1088" s="1335"/>
      <c r="D1088" s="1335"/>
      <c r="E1088" s="455"/>
      <c r="F1088" s="455"/>
      <c r="G1088" s="455"/>
      <c r="H1088" s="455"/>
      <c r="I1088" s="455"/>
      <c r="J1088" s="455"/>
      <c r="K1088" s="455"/>
      <c r="L1088" s="455"/>
      <c r="M1088" s="455"/>
      <c r="N1088" s="455"/>
      <c r="O1088" s="455"/>
      <c r="P1088" s="455"/>
      <c r="Q1088" s="455"/>
      <c r="R1088" s="455"/>
      <c r="S1088" s="455"/>
      <c r="T1088" s="455"/>
      <c r="U1088" s="455"/>
      <c r="V1088" s="455"/>
      <c r="W1088" s="455"/>
      <c r="X1088" s="455"/>
      <c r="Y1088" s="455"/>
      <c r="Z1088" s="455"/>
      <c r="AA1088" s="455"/>
      <c r="AB1088" s="455"/>
      <c r="AC1088" s="455"/>
      <c r="AD1088" s="455"/>
      <c r="AE1088" s="455"/>
      <c r="AF1088" s="455"/>
      <c r="AG1088" s="455"/>
      <c r="AH1088" s="455"/>
      <c r="AI1088" s="455"/>
      <c r="AJ1088" s="455"/>
      <c r="AK1088" s="455"/>
      <c r="AS1088" s="14"/>
    </row>
    <row r="1089" spans="1:45" ht="12.95" customHeight="1">
      <c r="A1089" s="1332" t="s">
        <v>591</v>
      </c>
      <c r="B1089" s="1332"/>
      <c r="C1089" s="1335">
        <v>7</v>
      </c>
      <c r="D1089" s="1335"/>
      <c r="E1089" s="1292" t="s">
        <v>2139</v>
      </c>
      <c r="F1089" s="1292"/>
      <c r="G1089" s="1292"/>
      <c r="H1089" s="1292"/>
      <c r="I1089" s="1292"/>
      <c r="J1089" s="1292"/>
      <c r="K1089" s="1292"/>
      <c r="L1089" s="1292"/>
      <c r="M1089" s="1292"/>
      <c r="N1089" s="1292"/>
      <c r="O1089" s="1292"/>
      <c r="P1089" s="1292"/>
      <c r="Q1089" s="1292"/>
      <c r="R1089" s="1292"/>
      <c r="S1089" s="1292"/>
      <c r="T1089" s="1292"/>
      <c r="U1089" s="1292"/>
      <c r="V1089" s="1292"/>
      <c r="W1089" s="1292"/>
      <c r="X1089" s="1292"/>
      <c r="Y1089" s="1292"/>
      <c r="Z1089" s="1292"/>
      <c r="AA1089" s="1292"/>
      <c r="AB1089" s="1292"/>
      <c r="AC1089" s="1292"/>
      <c r="AD1089" s="1292"/>
      <c r="AE1089" s="1292"/>
      <c r="AF1089" s="1292"/>
      <c r="AG1089" s="1292"/>
      <c r="AH1089" s="1292"/>
      <c r="AI1089" s="1292"/>
      <c r="AJ1089" s="1292"/>
      <c r="AK1089" s="1292"/>
      <c r="AL1089" s="1292"/>
      <c r="AM1089" s="1292"/>
      <c r="AN1089" s="1292"/>
      <c r="AO1089" s="1292"/>
      <c r="AP1089" s="1292"/>
      <c r="AQ1089" s="1292"/>
      <c r="AR1089" s="1292"/>
      <c r="AS1089" s="14"/>
    </row>
    <row r="1090" spans="1:45" ht="12.95" customHeight="1">
      <c r="A1090" s="1"/>
      <c r="B1090" s="1"/>
      <c r="C1090" s="1335"/>
      <c r="D1090" s="1335"/>
      <c r="E1090" s="1292"/>
      <c r="F1090" s="1292"/>
      <c r="G1090" s="1292"/>
      <c r="H1090" s="1292"/>
      <c r="I1090" s="1292"/>
      <c r="J1090" s="1292"/>
      <c r="K1090" s="1292"/>
      <c r="L1090" s="1292"/>
      <c r="M1090" s="1292"/>
      <c r="N1090" s="1292"/>
      <c r="O1090" s="1292"/>
      <c r="P1090" s="1292"/>
      <c r="Q1090" s="1292"/>
      <c r="R1090" s="1292"/>
      <c r="S1090" s="1292"/>
      <c r="T1090" s="1292"/>
      <c r="U1090" s="1292"/>
      <c r="V1090" s="1292"/>
      <c r="W1090" s="1292"/>
      <c r="X1090" s="1292"/>
      <c r="Y1090" s="1292"/>
      <c r="Z1090" s="1292"/>
      <c r="AA1090" s="1292"/>
      <c r="AB1090" s="1292"/>
      <c r="AC1090" s="1292"/>
      <c r="AD1090" s="1292"/>
      <c r="AE1090" s="1292"/>
      <c r="AF1090" s="1292"/>
      <c r="AG1090" s="1292"/>
      <c r="AH1090" s="1292"/>
      <c r="AI1090" s="1292"/>
      <c r="AJ1090" s="1292"/>
      <c r="AK1090" s="1292"/>
      <c r="AL1090" s="1292"/>
      <c r="AM1090" s="1292"/>
      <c r="AN1090" s="1292"/>
      <c r="AO1090" s="1292"/>
      <c r="AP1090" s="1292"/>
      <c r="AQ1090" s="1292"/>
      <c r="AR1090" s="1292"/>
      <c r="AS1090" s="14"/>
    </row>
    <row r="1091" spans="1:45" ht="12.95" customHeight="1">
      <c r="A1091" s="1"/>
      <c r="B1091" s="1"/>
      <c r="C1091" s="1335"/>
      <c r="D1091" s="1335"/>
      <c r="E1091" s="1292"/>
      <c r="F1091" s="1292"/>
      <c r="G1091" s="1292"/>
      <c r="H1091" s="1292"/>
      <c r="I1091" s="1292"/>
      <c r="J1091" s="1292"/>
      <c r="K1091" s="1292"/>
      <c r="L1091" s="1292"/>
      <c r="M1091" s="1292"/>
      <c r="N1091" s="1292"/>
      <c r="O1091" s="1292"/>
      <c r="P1091" s="1292"/>
      <c r="Q1091" s="1292"/>
      <c r="R1091" s="1292"/>
      <c r="S1091" s="1292"/>
      <c r="T1091" s="1292"/>
      <c r="U1091" s="1292"/>
      <c r="V1091" s="1292"/>
      <c r="W1091" s="1292"/>
      <c r="X1091" s="1292"/>
      <c r="Y1091" s="1292"/>
      <c r="Z1091" s="1292"/>
      <c r="AA1091" s="1292"/>
      <c r="AB1091" s="1292"/>
      <c r="AC1091" s="1292"/>
      <c r="AD1091" s="1292"/>
      <c r="AE1091" s="1292"/>
      <c r="AF1091" s="1292"/>
      <c r="AG1091" s="1292"/>
      <c r="AH1091" s="1292"/>
      <c r="AI1091" s="1292"/>
      <c r="AJ1091" s="1292"/>
      <c r="AK1091" s="1292"/>
      <c r="AL1091" s="1292"/>
      <c r="AM1091" s="1292"/>
      <c r="AN1091" s="1292"/>
      <c r="AO1091" s="1292"/>
      <c r="AP1091" s="1292"/>
      <c r="AQ1091" s="1292"/>
      <c r="AR1091" s="1292"/>
      <c r="AS1091" s="14"/>
    </row>
    <row r="1092" spans="1:45" ht="12.95" customHeight="1">
      <c r="A1092" s="1"/>
      <c r="B1092" s="1"/>
      <c r="C1092" s="1335"/>
      <c r="D1092" s="1335"/>
      <c r="E1092" s="455"/>
      <c r="F1092" s="455"/>
      <c r="G1092" s="455"/>
      <c r="H1092" s="455"/>
      <c r="I1092" s="455"/>
      <c r="J1092" s="455"/>
      <c r="K1092" s="455"/>
      <c r="L1092" s="455"/>
      <c r="M1092" s="455"/>
      <c r="N1092" s="455"/>
      <c r="O1092" s="455"/>
      <c r="P1092" s="455"/>
      <c r="Q1092" s="455"/>
      <c r="R1092" s="455"/>
      <c r="S1092" s="455"/>
      <c r="T1092" s="455"/>
      <c r="U1092" s="455"/>
      <c r="V1092" s="455"/>
      <c r="W1092" s="455"/>
      <c r="X1092" s="455"/>
      <c r="Y1092" s="455"/>
      <c r="Z1092" s="455"/>
      <c r="AA1092" s="455"/>
      <c r="AB1092" s="455"/>
      <c r="AC1092" s="455"/>
      <c r="AD1092" s="455"/>
      <c r="AE1092" s="455"/>
      <c r="AF1092" s="455"/>
      <c r="AG1092" s="455"/>
      <c r="AH1092" s="455"/>
      <c r="AI1092" s="455"/>
      <c r="AJ1092" s="455"/>
      <c r="AK1092" s="455"/>
    </row>
    <row r="1093" spans="1:45" ht="12.95" customHeight="1">
      <c r="A1093" s="35"/>
      <c r="B1093" s="25"/>
      <c r="C1093" s="1335"/>
      <c r="D1093" s="1335"/>
      <c r="E1093" s="455"/>
      <c r="F1093" s="455"/>
      <c r="G1093" s="455"/>
      <c r="H1093" s="455"/>
      <c r="I1093" s="455"/>
      <c r="J1093" s="455"/>
      <c r="K1093" s="455"/>
      <c r="L1093" s="455"/>
      <c r="M1093" s="455"/>
      <c r="N1093" s="455"/>
      <c r="O1093" s="455"/>
      <c r="P1093" s="455"/>
      <c r="Q1093" s="455"/>
      <c r="R1093" s="455"/>
      <c r="S1093" s="455"/>
      <c r="T1093" s="455"/>
      <c r="U1093" s="455"/>
      <c r="V1093" s="455"/>
      <c r="W1093" s="455"/>
      <c r="X1093" s="455"/>
      <c r="Y1093" s="455"/>
      <c r="Z1093" s="455"/>
      <c r="AA1093" s="455"/>
      <c r="AB1093" s="455"/>
      <c r="AC1093" s="455"/>
      <c r="AD1093" s="455"/>
      <c r="AE1093" s="455"/>
      <c r="AF1093" s="455"/>
      <c r="AG1093" s="455"/>
      <c r="AH1093" s="455"/>
      <c r="AI1093" s="455"/>
      <c r="AJ1093" s="455"/>
      <c r="AK1093" s="455"/>
    </row>
    <row r="1094" spans="1:45" ht="12.95" customHeight="1">
      <c r="A1094" s="1332" t="s">
        <v>591</v>
      </c>
      <c r="B1094" s="1332"/>
      <c r="C1094" s="1335">
        <v>8</v>
      </c>
      <c r="D1094" s="1335"/>
      <c r="E1094" s="1292" t="s">
        <v>1073</v>
      </c>
      <c r="F1094" s="1292"/>
      <c r="G1094" s="1292"/>
      <c r="H1094" s="1292"/>
      <c r="I1094" s="1292"/>
      <c r="J1094" s="1292"/>
      <c r="K1094" s="1292"/>
      <c r="L1094" s="1292"/>
      <c r="M1094" s="1292"/>
      <c r="N1094" s="1292"/>
      <c r="O1094" s="1292"/>
      <c r="P1094" s="1292"/>
      <c r="Q1094" s="1292"/>
      <c r="R1094" s="1292"/>
      <c r="S1094" s="1292"/>
      <c r="T1094" s="1292"/>
      <c r="U1094" s="1292"/>
      <c r="V1094" s="1292"/>
      <c r="W1094" s="1292"/>
      <c r="X1094" s="1292"/>
      <c r="Y1094" s="1292"/>
      <c r="Z1094" s="1292"/>
      <c r="AA1094" s="1292"/>
      <c r="AB1094" s="1292"/>
      <c r="AC1094" s="1292"/>
      <c r="AD1094" s="1292"/>
      <c r="AE1094" s="1292"/>
      <c r="AF1094" s="1292"/>
      <c r="AG1094" s="1292"/>
      <c r="AH1094" s="1292"/>
      <c r="AI1094" s="1292"/>
      <c r="AJ1094" s="1292"/>
      <c r="AK1094" s="1292"/>
      <c r="AL1094" s="1292"/>
      <c r="AM1094" s="1292"/>
      <c r="AN1094" s="1292"/>
      <c r="AO1094" s="1292"/>
      <c r="AP1094" s="1292"/>
      <c r="AQ1094" s="1292"/>
      <c r="AR1094" s="1292"/>
    </row>
    <row r="1095" spans="1:45" ht="12.95" customHeight="1">
      <c r="A1095" s="35"/>
      <c r="B1095" s="25"/>
      <c r="C1095" s="1335"/>
      <c r="D1095" s="1335"/>
      <c r="E1095" s="1292"/>
      <c r="F1095" s="1292"/>
      <c r="G1095" s="1292"/>
      <c r="H1095" s="1292"/>
      <c r="I1095" s="1292"/>
      <c r="J1095" s="1292"/>
      <c r="K1095" s="1292"/>
      <c r="L1095" s="1292"/>
      <c r="M1095" s="1292"/>
      <c r="N1095" s="1292"/>
      <c r="O1095" s="1292"/>
      <c r="P1095" s="1292"/>
      <c r="Q1095" s="1292"/>
      <c r="R1095" s="1292"/>
      <c r="S1095" s="1292"/>
      <c r="T1095" s="1292"/>
      <c r="U1095" s="1292"/>
      <c r="V1095" s="1292"/>
      <c r="W1095" s="1292"/>
      <c r="X1095" s="1292"/>
      <c r="Y1095" s="1292"/>
      <c r="Z1095" s="1292"/>
      <c r="AA1095" s="1292"/>
      <c r="AB1095" s="1292"/>
      <c r="AC1095" s="1292"/>
      <c r="AD1095" s="1292"/>
      <c r="AE1095" s="1292"/>
      <c r="AF1095" s="1292"/>
      <c r="AG1095" s="1292"/>
      <c r="AH1095" s="1292"/>
      <c r="AI1095" s="1292"/>
      <c r="AJ1095" s="1292"/>
      <c r="AK1095" s="1292"/>
      <c r="AL1095" s="1292"/>
      <c r="AM1095" s="1292"/>
      <c r="AN1095" s="1292"/>
      <c r="AO1095" s="1292"/>
      <c r="AP1095" s="1292"/>
      <c r="AQ1095" s="1292"/>
      <c r="AR1095" s="1292"/>
    </row>
    <row r="1096" spans="1:45" ht="12.95" customHeight="1">
      <c r="A1096" s="35"/>
      <c r="B1096" s="25"/>
      <c r="C1096" s="1335"/>
      <c r="D1096" s="1335"/>
      <c r="E1096" s="455"/>
      <c r="F1096" s="455"/>
      <c r="G1096" s="455"/>
      <c r="H1096" s="455"/>
      <c r="I1096" s="455"/>
      <c r="J1096" s="455"/>
      <c r="K1096" s="455"/>
      <c r="L1096" s="455"/>
      <c r="M1096" s="455"/>
      <c r="N1096" s="455"/>
      <c r="O1096" s="455"/>
      <c r="P1096" s="455"/>
      <c r="Q1096" s="455"/>
      <c r="R1096" s="455"/>
      <c r="S1096" s="455"/>
      <c r="T1096" s="455"/>
      <c r="U1096" s="455"/>
      <c r="V1096" s="455"/>
      <c r="W1096" s="455"/>
      <c r="X1096" s="455"/>
      <c r="Y1096" s="455"/>
      <c r="Z1096" s="455"/>
      <c r="AA1096" s="455"/>
      <c r="AB1096" s="455"/>
      <c r="AC1096" s="455"/>
      <c r="AD1096" s="455"/>
      <c r="AE1096" s="455"/>
      <c r="AF1096" s="455"/>
      <c r="AG1096" s="455"/>
      <c r="AH1096" s="455"/>
      <c r="AI1096" s="455"/>
      <c r="AJ1096" s="455"/>
      <c r="AK1096" s="455"/>
    </row>
    <row r="1097" spans="1:45" ht="12.95" customHeight="1">
      <c r="A1097" s="1332" t="s">
        <v>591</v>
      </c>
      <c r="B1097" s="1332"/>
      <c r="C1097" s="1333">
        <v>9</v>
      </c>
      <c r="D1097" s="1333"/>
      <c r="E1097" s="1292" t="s">
        <v>1075</v>
      </c>
      <c r="F1097" s="1292"/>
      <c r="G1097" s="1292"/>
      <c r="H1097" s="1292"/>
      <c r="I1097" s="1292"/>
      <c r="J1097" s="1292"/>
      <c r="K1097" s="1292"/>
      <c r="L1097" s="1292"/>
      <c r="M1097" s="1292"/>
      <c r="N1097" s="1292"/>
      <c r="O1097" s="1292"/>
      <c r="P1097" s="1292"/>
      <c r="Q1097" s="1292"/>
      <c r="R1097" s="1292"/>
      <c r="S1097" s="1292"/>
      <c r="T1097" s="1292"/>
      <c r="U1097" s="1292"/>
      <c r="V1097" s="1292"/>
      <c r="W1097" s="1292"/>
      <c r="X1097" s="1292"/>
      <c r="Y1097" s="1292"/>
      <c r="Z1097" s="1292"/>
      <c r="AA1097" s="1292"/>
      <c r="AB1097" s="1292"/>
      <c r="AC1097" s="1292"/>
      <c r="AD1097" s="1292"/>
      <c r="AE1097" s="1292"/>
      <c r="AF1097" s="1292"/>
      <c r="AG1097" s="1292"/>
      <c r="AH1097" s="1292"/>
      <c r="AI1097" s="1292"/>
      <c r="AJ1097" s="1292"/>
      <c r="AK1097" s="1292"/>
      <c r="AL1097" s="1292"/>
      <c r="AM1097" s="1292"/>
      <c r="AN1097" s="1292"/>
      <c r="AO1097" s="1292"/>
      <c r="AP1097" s="1292"/>
      <c r="AQ1097" s="1292"/>
      <c r="AR1097" s="1292"/>
    </row>
    <row r="1098" spans="1:45" ht="12.95" customHeight="1">
      <c r="A1098" s="1"/>
      <c r="B1098" s="1"/>
      <c r="C1098" s="1333"/>
      <c r="D1098" s="1333"/>
      <c r="E1098" s="1292"/>
      <c r="F1098" s="1292"/>
      <c r="G1098" s="1292"/>
      <c r="H1098" s="1292"/>
      <c r="I1098" s="1292"/>
      <c r="J1098" s="1292"/>
      <c r="K1098" s="1292"/>
      <c r="L1098" s="1292"/>
      <c r="M1098" s="1292"/>
      <c r="N1098" s="1292"/>
      <c r="O1098" s="1292"/>
      <c r="P1098" s="1292"/>
      <c r="Q1098" s="1292"/>
      <c r="R1098" s="1292"/>
      <c r="S1098" s="1292"/>
      <c r="T1098" s="1292"/>
      <c r="U1098" s="1292"/>
      <c r="V1098" s="1292"/>
      <c r="W1098" s="1292"/>
      <c r="X1098" s="1292"/>
      <c r="Y1098" s="1292"/>
      <c r="Z1098" s="1292"/>
      <c r="AA1098" s="1292"/>
      <c r="AB1098" s="1292"/>
      <c r="AC1098" s="1292"/>
      <c r="AD1098" s="1292"/>
      <c r="AE1098" s="1292"/>
      <c r="AF1098" s="1292"/>
      <c r="AG1098" s="1292"/>
      <c r="AH1098" s="1292"/>
      <c r="AI1098" s="1292"/>
      <c r="AJ1098" s="1292"/>
      <c r="AK1098" s="1292"/>
      <c r="AL1098" s="1292"/>
      <c r="AM1098" s="1292"/>
      <c r="AN1098" s="1292"/>
      <c r="AO1098" s="1292"/>
      <c r="AP1098" s="1292"/>
      <c r="AQ1098" s="1292"/>
      <c r="AR1098" s="1292"/>
    </row>
    <row r="1099" spans="1:45" ht="12.95" customHeight="1">
      <c r="A1099" s="35"/>
      <c r="B1099" s="25"/>
      <c r="C1099" s="1333"/>
      <c r="D1099" s="1333"/>
      <c r="E1099" s="455"/>
      <c r="F1099" s="455"/>
      <c r="G1099" s="455"/>
      <c r="H1099" s="455"/>
      <c r="I1099" s="455"/>
      <c r="J1099" s="455"/>
      <c r="K1099" s="455"/>
      <c r="L1099" s="455"/>
      <c r="M1099" s="455"/>
      <c r="N1099" s="455"/>
      <c r="O1099" s="455"/>
      <c r="P1099" s="455"/>
      <c r="Q1099" s="455"/>
      <c r="R1099" s="455"/>
      <c r="S1099" s="455"/>
      <c r="T1099" s="455"/>
      <c r="U1099" s="455"/>
      <c r="V1099" s="455"/>
      <c r="W1099" s="455"/>
      <c r="X1099" s="455"/>
      <c r="Y1099" s="455"/>
      <c r="Z1099" s="455"/>
      <c r="AA1099" s="455"/>
      <c r="AB1099" s="455"/>
      <c r="AC1099" s="455"/>
      <c r="AD1099" s="455"/>
      <c r="AE1099" s="455"/>
      <c r="AF1099" s="455"/>
      <c r="AG1099" s="455"/>
      <c r="AH1099" s="455"/>
      <c r="AI1099" s="455"/>
      <c r="AJ1099" s="455"/>
      <c r="AK1099" s="455"/>
    </row>
    <row r="1100" spans="1:45" ht="12.95" customHeight="1">
      <c r="A1100" s="1332" t="s">
        <v>591</v>
      </c>
      <c r="B1100" s="1332"/>
      <c r="C1100" s="1333">
        <v>10</v>
      </c>
      <c r="D1100" s="1333"/>
      <c r="E1100" s="1334" t="s">
        <v>2240</v>
      </c>
      <c r="F1100" s="1334"/>
      <c r="G1100" s="1334"/>
      <c r="H1100" s="1334"/>
      <c r="I1100" s="1334"/>
      <c r="J1100" s="1334"/>
      <c r="K1100" s="1334"/>
      <c r="L1100" s="1334"/>
      <c r="M1100" s="1334"/>
      <c r="N1100" s="1334"/>
      <c r="O1100" s="1334"/>
      <c r="P1100" s="1334"/>
      <c r="Q1100" s="1334"/>
      <c r="R1100" s="1334"/>
      <c r="S1100" s="1334"/>
      <c r="T1100" s="1334"/>
      <c r="U1100" s="1334"/>
      <c r="V1100" s="1334"/>
      <c r="W1100" s="1334"/>
      <c r="X1100" s="1334"/>
      <c r="Y1100" s="1334"/>
      <c r="Z1100" s="1334"/>
      <c r="AA1100" s="1334"/>
      <c r="AB1100" s="1334"/>
      <c r="AC1100" s="1334"/>
      <c r="AD1100" s="1334"/>
      <c r="AE1100" s="1334"/>
      <c r="AF1100" s="1334"/>
      <c r="AG1100" s="1334"/>
      <c r="AH1100" s="1334"/>
      <c r="AI1100" s="1334"/>
      <c r="AJ1100" s="1334"/>
      <c r="AK1100" s="1334"/>
      <c r="AL1100" s="1334"/>
      <c r="AM1100" s="1334"/>
      <c r="AN1100" s="1334"/>
      <c r="AO1100" s="1334"/>
      <c r="AP1100" s="1334"/>
      <c r="AQ1100" s="1334"/>
      <c r="AR1100" s="1334"/>
    </row>
    <row r="1101" spans="1:45" ht="12.95" customHeight="1">
      <c r="A1101" s="1"/>
      <c r="B1101" s="1"/>
      <c r="C1101" s="199"/>
      <c r="D1101" s="1161"/>
      <c r="E1101" s="1334"/>
      <c r="F1101" s="1334"/>
      <c r="G1101" s="1334"/>
      <c r="H1101" s="1334"/>
      <c r="I1101" s="1334"/>
      <c r="J1101" s="1334"/>
      <c r="K1101" s="1334"/>
      <c r="L1101" s="1334"/>
      <c r="M1101" s="1334"/>
      <c r="N1101" s="1334"/>
      <c r="O1101" s="1334"/>
      <c r="P1101" s="1334"/>
      <c r="Q1101" s="1334"/>
      <c r="R1101" s="1334"/>
      <c r="S1101" s="1334"/>
      <c r="T1101" s="1334"/>
      <c r="U1101" s="1334"/>
      <c r="V1101" s="1334"/>
      <c r="W1101" s="1334"/>
      <c r="X1101" s="1334"/>
      <c r="Y1101" s="1334"/>
      <c r="Z1101" s="1334"/>
      <c r="AA1101" s="1334"/>
      <c r="AB1101" s="1334"/>
      <c r="AC1101" s="1334"/>
      <c r="AD1101" s="1334"/>
      <c r="AE1101" s="1334"/>
      <c r="AF1101" s="1334"/>
      <c r="AG1101" s="1334"/>
      <c r="AH1101" s="1334"/>
      <c r="AI1101" s="1334"/>
      <c r="AJ1101" s="1334"/>
      <c r="AK1101" s="1334"/>
      <c r="AL1101" s="1334"/>
      <c r="AM1101" s="1334"/>
      <c r="AN1101" s="1334"/>
      <c r="AO1101" s="1334"/>
      <c r="AP1101" s="1334"/>
      <c r="AQ1101" s="1334"/>
      <c r="AR1101" s="1334"/>
    </row>
    <row r="1102" spans="1:45" ht="12.95" customHeight="1">
      <c r="A1102" s="1"/>
      <c r="B1102" s="1"/>
      <c r="C1102" s="199"/>
      <c r="D1102" s="1161"/>
      <c r="E1102" s="1161"/>
      <c r="F1102" s="1161"/>
      <c r="G1102" s="1161"/>
      <c r="H1102" s="1161"/>
      <c r="I1102" s="1161"/>
      <c r="J1102" s="1161"/>
      <c r="K1102" s="1161"/>
      <c r="L1102" s="1161"/>
      <c r="M1102" s="1161"/>
      <c r="N1102" s="1161"/>
      <c r="O1102" s="1161"/>
      <c r="P1102" s="1161"/>
      <c r="Q1102" s="1161"/>
      <c r="R1102" s="1161"/>
      <c r="S1102" s="1161"/>
      <c r="T1102" s="1161"/>
      <c r="U1102" s="1161"/>
      <c r="V1102" s="1161"/>
      <c r="W1102" s="1161"/>
      <c r="X1102" s="1161"/>
      <c r="Y1102" s="1161"/>
      <c r="Z1102" s="1161"/>
      <c r="AA1102" s="1161"/>
      <c r="AB1102" s="1161"/>
      <c r="AC1102" s="1161"/>
      <c r="AD1102" s="1161"/>
      <c r="AE1102" s="1161"/>
      <c r="AF1102" s="1161"/>
      <c r="AG1102" s="1161"/>
      <c r="AH1102" s="1161"/>
      <c r="AI1102" s="1161"/>
      <c r="AJ1102" s="1161"/>
      <c r="AK1102" s="1161"/>
    </row>
    <row r="1103" spans="1:45" ht="12.95" customHeight="1">
      <c r="A1103" s="1332" t="s">
        <v>591</v>
      </c>
      <c r="B1103" s="1332"/>
      <c r="C1103" s="1333">
        <v>11</v>
      </c>
      <c r="D1103" s="1333"/>
      <c r="E1103" s="1334" t="s">
        <v>2242</v>
      </c>
      <c r="F1103" s="1334"/>
      <c r="G1103" s="1334"/>
      <c r="H1103" s="1334"/>
      <c r="I1103" s="1334"/>
      <c r="J1103" s="1334"/>
      <c r="K1103" s="1334"/>
      <c r="L1103" s="1334"/>
      <c r="M1103" s="1334"/>
      <c r="N1103" s="1334"/>
      <c r="O1103" s="1334"/>
      <c r="P1103" s="1334"/>
      <c r="Q1103" s="1334"/>
      <c r="R1103" s="1334"/>
      <c r="S1103" s="1334"/>
      <c r="T1103" s="1334"/>
      <c r="U1103" s="1334"/>
      <c r="V1103" s="1334"/>
      <c r="W1103" s="1334"/>
      <c r="X1103" s="1334"/>
      <c r="Y1103" s="1334"/>
      <c r="Z1103" s="1334"/>
      <c r="AA1103" s="1334"/>
      <c r="AB1103" s="1334"/>
      <c r="AC1103" s="1334"/>
      <c r="AD1103" s="1334"/>
      <c r="AE1103" s="1334"/>
      <c r="AF1103" s="1334"/>
      <c r="AG1103" s="1334"/>
      <c r="AH1103" s="1334"/>
      <c r="AI1103" s="1334"/>
      <c r="AJ1103" s="1334"/>
      <c r="AK1103" s="1334"/>
      <c r="AL1103" s="1334"/>
      <c r="AM1103" s="1334"/>
      <c r="AN1103" s="1334"/>
      <c r="AO1103" s="1334"/>
      <c r="AP1103" s="1334"/>
      <c r="AQ1103" s="1334"/>
      <c r="AR1103" s="1334"/>
    </row>
    <row r="1104" spans="1:45" ht="12.95" customHeight="1">
      <c r="A1104" s="1"/>
      <c r="B1104" s="1"/>
      <c r="C1104" s="199"/>
      <c r="D1104" s="1161"/>
      <c r="E1104" s="1334"/>
      <c r="F1104" s="1334"/>
      <c r="G1104" s="1334"/>
      <c r="H1104" s="1334"/>
      <c r="I1104" s="1334"/>
      <c r="J1104" s="1334"/>
      <c r="K1104" s="1334"/>
      <c r="L1104" s="1334"/>
      <c r="M1104" s="1334"/>
      <c r="N1104" s="1334"/>
      <c r="O1104" s="1334"/>
      <c r="P1104" s="1334"/>
      <c r="Q1104" s="1334"/>
      <c r="R1104" s="1334"/>
      <c r="S1104" s="1334"/>
      <c r="T1104" s="1334"/>
      <c r="U1104" s="1334"/>
      <c r="V1104" s="1334"/>
      <c r="W1104" s="1334"/>
      <c r="X1104" s="1334"/>
      <c r="Y1104" s="1334"/>
      <c r="Z1104" s="1334"/>
      <c r="AA1104" s="1334"/>
      <c r="AB1104" s="1334"/>
      <c r="AC1104" s="1334"/>
      <c r="AD1104" s="1334"/>
      <c r="AE1104" s="1334"/>
      <c r="AF1104" s="1334"/>
      <c r="AG1104" s="1334"/>
      <c r="AH1104" s="1334"/>
      <c r="AI1104" s="1334"/>
      <c r="AJ1104" s="1334"/>
      <c r="AK1104" s="1334"/>
      <c r="AL1104" s="1334"/>
      <c r="AM1104" s="1334"/>
      <c r="AN1104" s="1334"/>
      <c r="AO1104" s="1334"/>
      <c r="AP1104" s="1334"/>
      <c r="AQ1104" s="1334"/>
      <c r="AR1104" s="1334"/>
    </row>
    <row r="1105" spans="1:37" ht="12.95" customHeight="1">
      <c r="A1105" s="1"/>
      <c r="B1105" s="1"/>
      <c r="C1105" s="199"/>
      <c r="D1105" s="1161"/>
      <c r="E1105" s="1161"/>
      <c r="F1105" s="1161"/>
      <c r="G1105" s="1161"/>
      <c r="H1105" s="1161"/>
      <c r="I1105" s="1161"/>
      <c r="J1105" s="1161"/>
      <c r="K1105" s="1161"/>
      <c r="L1105" s="1161"/>
      <c r="M1105" s="1161"/>
      <c r="N1105" s="1161"/>
      <c r="O1105" s="1161"/>
      <c r="P1105" s="1161"/>
      <c r="Q1105" s="1161"/>
      <c r="R1105" s="1161"/>
      <c r="S1105" s="1161"/>
      <c r="T1105" s="1161"/>
      <c r="U1105" s="1161"/>
      <c r="V1105" s="1161"/>
      <c r="W1105" s="1161"/>
      <c r="X1105" s="1161"/>
      <c r="Y1105" s="1161"/>
      <c r="Z1105" s="1161"/>
      <c r="AA1105" s="1161"/>
      <c r="AB1105" s="1161"/>
      <c r="AC1105" s="1161"/>
      <c r="AD1105" s="1161"/>
      <c r="AE1105" s="1161"/>
      <c r="AF1105" s="1161"/>
      <c r="AG1105" s="1161"/>
      <c r="AH1105" s="1161"/>
      <c r="AI1105" s="1161"/>
      <c r="AJ1105" s="1161"/>
      <c r="AK1105" s="1161"/>
    </row>
    <row r="1106" spans="1:37" ht="12.95" hidden="1" customHeight="1">
      <c r="A1106" s="1"/>
      <c r="B1106" s="1"/>
      <c r="C1106" s="199"/>
      <c r="D1106" s="1161"/>
      <c r="E1106" s="1161"/>
      <c r="F1106" s="1161"/>
      <c r="G1106" s="1161"/>
      <c r="H1106" s="1161"/>
      <c r="I1106" s="1161"/>
      <c r="J1106" s="1161"/>
      <c r="K1106" s="1161"/>
      <c r="L1106" s="1161"/>
      <c r="M1106" s="1161"/>
      <c r="N1106" s="1161"/>
      <c r="O1106" s="1161"/>
      <c r="P1106" s="1161"/>
      <c r="Q1106" s="1161"/>
      <c r="R1106" s="1161"/>
      <c r="S1106" s="1161"/>
      <c r="T1106" s="1161"/>
      <c r="U1106" s="1161"/>
      <c r="V1106" s="1161"/>
      <c r="W1106" s="1161"/>
      <c r="X1106" s="1161"/>
      <c r="Y1106" s="1161"/>
      <c r="Z1106" s="1161"/>
      <c r="AA1106" s="1161"/>
      <c r="AB1106" s="1161"/>
      <c r="AC1106" s="1161"/>
      <c r="AD1106" s="1161"/>
      <c r="AE1106" s="1161"/>
      <c r="AF1106" s="1161"/>
      <c r="AG1106" s="1161"/>
      <c r="AH1106" s="1161"/>
      <c r="AI1106" s="1161"/>
      <c r="AJ1106" s="1161"/>
      <c r="AK1106" s="1161"/>
    </row>
    <row r="1107" spans="1:37" ht="12.95" hidden="1" customHeight="1">
      <c r="A1107" s="1"/>
      <c r="B1107" s="1"/>
      <c r="C1107" s="199"/>
      <c r="D1107" s="1161"/>
      <c r="E1107" s="1161"/>
      <c r="F1107" s="1161"/>
      <c r="G1107" s="1161"/>
      <c r="H1107" s="1161"/>
      <c r="I1107" s="1161"/>
      <c r="J1107" s="1161"/>
      <c r="K1107" s="1161"/>
      <c r="L1107" s="1161"/>
      <c r="M1107" s="1161"/>
      <c r="N1107" s="1161"/>
      <c r="O1107" s="1161"/>
      <c r="P1107" s="1161"/>
      <c r="Q1107" s="1161"/>
      <c r="R1107" s="1161"/>
      <c r="S1107" s="1161"/>
      <c r="T1107" s="1161"/>
      <c r="U1107" s="1161"/>
      <c r="V1107" s="1161"/>
      <c r="W1107" s="1161"/>
      <c r="X1107" s="1161"/>
      <c r="Y1107" s="1161"/>
      <c r="Z1107" s="1161"/>
      <c r="AA1107" s="1161"/>
      <c r="AB1107" s="1161"/>
      <c r="AC1107" s="1161"/>
      <c r="AD1107" s="1161"/>
      <c r="AE1107" s="1161"/>
      <c r="AF1107" s="1161"/>
      <c r="AG1107" s="1161"/>
      <c r="AH1107" s="1161"/>
      <c r="AI1107" s="1161"/>
      <c r="AJ1107" s="1161"/>
      <c r="AK1107" s="1161"/>
    </row>
    <row r="1108" spans="1:37" ht="12.95" hidden="1" customHeight="1">
      <c r="A1108" s="1"/>
      <c r="B1108" s="1"/>
      <c r="C1108" s="199"/>
      <c r="D1108" s="1161"/>
      <c r="E1108" s="1161"/>
      <c r="F1108" s="1161"/>
      <c r="G1108" s="1161"/>
      <c r="H1108" s="1161"/>
      <c r="I1108" s="1161"/>
      <c r="J1108" s="1161"/>
      <c r="K1108" s="1161"/>
      <c r="L1108" s="1161"/>
      <c r="M1108" s="1161"/>
      <c r="N1108" s="1161"/>
      <c r="O1108" s="1161"/>
      <c r="P1108" s="1161"/>
      <c r="Q1108" s="1161"/>
      <c r="R1108" s="1161"/>
      <c r="S1108" s="1161"/>
      <c r="T1108" s="1161"/>
      <c r="U1108" s="1161"/>
      <c r="V1108" s="1161"/>
      <c r="W1108" s="1161"/>
      <c r="X1108" s="1161"/>
      <c r="Y1108" s="1161"/>
      <c r="Z1108" s="1161"/>
      <c r="AA1108" s="1161"/>
      <c r="AB1108" s="1161"/>
      <c r="AC1108" s="1161"/>
      <c r="AD1108" s="1161"/>
      <c r="AE1108" s="1161"/>
      <c r="AF1108" s="1161"/>
      <c r="AG1108" s="1161"/>
      <c r="AH1108" s="1161"/>
      <c r="AI1108" s="1161"/>
      <c r="AJ1108" s="1161"/>
      <c r="AK1108" s="1161"/>
    </row>
    <row r="1109" spans="1:37" ht="12.95" hidden="1" customHeight="1">
      <c r="A1109" s="1"/>
      <c r="B1109" s="1"/>
      <c r="C1109" s="199"/>
      <c r="D1109" s="1161"/>
      <c r="E1109" s="1161"/>
      <c r="F1109" s="1161"/>
      <c r="G1109" s="1161"/>
      <c r="H1109" s="1161"/>
      <c r="I1109" s="1161"/>
      <c r="J1109" s="1161"/>
      <c r="K1109" s="1161"/>
      <c r="L1109" s="1161"/>
      <c r="M1109" s="1161"/>
      <c r="N1109" s="1161"/>
      <c r="O1109" s="1161"/>
      <c r="P1109" s="1161"/>
      <c r="Q1109" s="1161"/>
      <c r="R1109" s="1161"/>
      <c r="S1109" s="1161"/>
      <c r="T1109" s="1161"/>
      <c r="U1109" s="1161"/>
      <c r="V1109" s="1161"/>
      <c r="W1109" s="1161"/>
      <c r="X1109" s="1161"/>
      <c r="Y1109" s="1161"/>
      <c r="Z1109" s="1161"/>
      <c r="AA1109" s="1161"/>
      <c r="AB1109" s="1161"/>
      <c r="AC1109" s="1161"/>
      <c r="AD1109" s="1161"/>
      <c r="AE1109" s="1161"/>
      <c r="AF1109" s="1161"/>
      <c r="AG1109" s="1161"/>
      <c r="AH1109" s="1161"/>
      <c r="AI1109" s="1161"/>
      <c r="AJ1109" s="1161"/>
      <c r="AK1109" s="1161"/>
    </row>
    <row r="1110" spans="1:37" ht="12.95" hidden="1" customHeight="1">
      <c r="A1110" s="1"/>
      <c r="B1110" s="1"/>
      <c r="C1110" s="199"/>
      <c r="D1110" s="1161"/>
      <c r="E1110" s="1161"/>
      <c r="F1110" s="1161"/>
      <c r="G1110" s="1161"/>
      <c r="H1110" s="1161"/>
      <c r="I1110" s="1161"/>
      <c r="J1110" s="1161"/>
      <c r="K1110" s="1161"/>
      <c r="L1110" s="1161"/>
      <c r="M1110" s="1161"/>
      <c r="N1110" s="1161"/>
      <c r="O1110" s="1161"/>
      <c r="P1110" s="1161"/>
      <c r="Q1110" s="1161"/>
      <c r="R1110" s="1161"/>
      <c r="S1110" s="1161"/>
      <c r="T1110" s="1161"/>
      <c r="U1110" s="1161"/>
      <c r="V1110" s="1161"/>
      <c r="W1110" s="1161"/>
      <c r="X1110" s="1161"/>
      <c r="Y1110" s="1161"/>
      <c r="Z1110" s="1161"/>
      <c r="AA1110" s="1161"/>
      <c r="AB1110" s="1161"/>
      <c r="AC1110" s="1161"/>
      <c r="AD1110" s="1161"/>
      <c r="AE1110" s="1161"/>
      <c r="AF1110" s="1161"/>
      <c r="AG1110" s="1161"/>
      <c r="AH1110" s="1161"/>
      <c r="AI1110" s="1161"/>
      <c r="AJ1110" s="1161"/>
      <c r="AK1110" s="1161"/>
    </row>
    <row r="1111" spans="1:37" ht="12.95" hidden="1" customHeight="1">
      <c r="A1111" s="1"/>
      <c r="B1111" s="1"/>
      <c r="C1111" s="199"/>
      <c r="D1111" s="1161"/>
      <c r="E1111" s="1161"/>
      <c r="F1111" s="1161"/>
      <c r="G1111" s="1161"/>
      <c r="H1111" s="1161"/>
      <c r="I1111" s="1161"/>
      <c r="J1111" s="1161"/>
      <c r="K1111" s="1161"/>
      <c r="L1111" s="1161"/>
      <c r="M1111" s="1161"/>
      <c r="N1111" s="1161"/>
      <c r="O1111" s="1161"/>
      <c r="P1111" s="1161"/>
      <c r="Q1111" s="1161"/>
      <c r="R1111" s="1161"/>
      <c r="S1111" s="1161"/>
      <c r="T1111" s="1161"/>
      <c r="U1111" s="1161"/>
      <c r="V1111" s="1161"/>
      <c r="W1111" s="1161"/>
      <c r="X1111" s="1161"/>
      <c r="Y1111" s="1161"/>
      <c r="Z1111" s="1161"/>
      <c r="AA1111" s="1161"/>
      <c r="AB1111" s="1161"/>
      <c r="AC1111" s="1161"/>
      <c r="AD1111" s="1161"/>
      <c r="AE1111" s="1161"/>
      <c r="AF1111" s="1161"/>
      <c r="AG1111" s="1161"/>
      <c r="AH1111" s="1161"/>
      <c r="AI1111" s="1161"/>
      <c r="AJ1111" s="1161"/>
      <c r="AK1111" s="1161"/>
    </row>
    <row r="1112" spans="1:37" ht="12.95" hidden="1" customHeight="1">
      <c r="A1112" s="1"/>
      <c r="B1112" s="1"/>
      <c r="C1112" s="199"/>
      <c r="D1112" s="1161"/>
      <c r="E1112" s="1161"/>
      <c r="F1112" s="1161"/>
      <c r="G1112" s="1161"/>
      <c r="H1112" s="1161"/>
      <c r="I1112" s="1161"/>
      <c r="J1112" s="1161"/>
      <c r="K1112" s="1161"/>
      <c r="L1112" s="1161"/>
      <c r="M1112" s="1161"/>
      <c r="N1112" s="1161"/>
      <c r="O1112" s="1161"/>
      <c r="P1112" s="1161"/>
      <c r="Q1112" s="1161"/>
      <c r="R1112" s="1161"/>
      <c r="S1112" s="1161"/>
      <c r="T1112" s="1161"/>
      <c r="U1112" s="1161"/>
      <c r="V1112" s="1161"/>
      <c r="W1112" s="1161"/>
      <c r="X1112" s="1161"/>
      <c r="Y1112" s="1161"/>
      <c r="Z1112" s="1161"/>
      <c r="AA1112" s="1161"/>
      <c r="AB1112" s="1161"/>
      <c r="AC1112" s="1161"/>
      <c r="AD1112" s="1161"/>
      <c r="AE1112" s="1161"/>
      <c r="AF1112" s="1161"/>
      <c r="AG1112" s="1161"/>
      <c r="AH1112" s="1161"/>
      <c r="AI1112" s="1161"/>
      <c r="AJ1112" s="1161"/>
      <c r="AK1112" s="1161"/>
    </row>
    <row r="1113" spans="1:37" ht="12.95" hidden="1" customHeight="1">
      <c r="A1113" s="1"/>
      <c r="B1113" s="1"/>
      <c r="C1113" s="199"/>
      <c r="D1113" s="1161"/>
      <c r="E1113" s="1161"/>
      <c r="F1113" s="1161"/>
      <c r="G1113" s="1161"/>
      <c r="H1113" s="1161"/>
      <c r="I1113" s="1161"/>
      <c r="J1113" s="1161"/>
      <c r="K1113" s="1161"/>
      <c r="L1113" s="1161"/>
      <c r="M1113" s="1161"/>
      <c r="N1113" s="1161"/>
      <c r="O1113" s="1161"/>
      <c r="P1113" s="1161"/>
      <c r="Q1113" s="1161"/>
      <c r="R1113" s="1161"/>
      <c r="S1113" s="1161"/>
      <c r="T1113" s="1161"/>
      <c r="U1113" s="1161"/>
      <c r="V1113" s="1161"/>
      <c r="W1113" s="1161"/>
      <c r="X1113" s="1161"/>
      <c r="Y1113" s="1161"/>
      <c r="Z1113" s="1161"/>
      <c r="AA1113" s="1161"/>
      <c r="AB1113" s="1161"/>
      <c r="AC1113" s="1161"/>
      <c r="AD1113" s="1161"/>
      <c r="AE1113" s="1161"/>
      <c r="AF1113" s="1161"/>
      <c r="AG1113" s="1161"/>
      <c r="AH1113" s="1161"/>
      <c r="AI1113" s="1161"/>
      <c r="AJ1113" s="1161"/>
      <c r="AK1113" s="1161"/>
    </row>
    <row r="1114" spans="1:37" ht="12.95" hidden="1" customHeight="1">
      <c r="A1114" s="1"/>
      <c r="B1114" s="1"/>
      <c r="C1114" s="199"/>
      <c r="D1114" s="1161"/>
      <c r="E1114" s="1161"/>
      <c r="F1114" s="1161"/>
      <c r="G1114" s="1161"/>
      <c r="H1114" s="1161"/>
      <c r="I1114" s="1161"/>
      <c r="J1114" s="1161"/>
      <c r="K1114" s="1161"/>
      <c r="L1114" s="1161"/>
      <c r="M1114" s="1161"/>
      <c r="N1114" s="1161"/>
      <c r="O1114" s="1161"/>
      <c r="P1114" s="1161"/>
      <c r="Q1114" s="1161"/>
      <c r="R1114" s="1161"/>
      <c r="S1114" s="1161"/>
      <c r="T1114" s="1161"/>
      <c r="U1114" s="1161"/>
      <c r="V1114" s="1161"/>
      <c r="W1114" s="1161"/>
      <c r="X1114" s="1161"/>
      <c r="Y1114" s="1161"/>
      <c r="Z1114" s="1161"/>
      <c r="AA1114" s="1161"/>
      <c r="AB1114" s="1161"/>
      <c r="AC1114" s="1161"/>
      <c r="AD1114" s="1161"/>
      <c r="AE1114" s="1161"/>
      <c r="AF1114" s="1161"/>
      <c r="AG1114" s="1161"/>
      <c r="AH1114" s="1161"/>
      <c r="AI1114" s="1161"/>
      <c r="AJ1114" s="1161"/>
      <c r="AK1114" s="1161"/>
    </row>
    <row r="1115" spans="1:37" ht="12.95" hidden="1" customHeight="1">
      <c r="A1115" s="1"/>
      <c r="B1115" s="1"/>
      <c r="C1115" s="199"/>
      <c r="D1115" s="1161"/>
      <c r="E1115" s="1161"/>
      <c r="F1115" s="1161"/>
      <c r="G1115" s="1161"/>
      <c r="H1115" s="1161"/>
      <c r="I1115" s="1161"/>
      <c r="J1115" s="1161"/>
      <c r="K1115" s="1161"/>
      <c r="L1115" s="1161"/>
      <c r="M1115" s="1161"/>
      <c r="N1115" s="1161"/>
      <c r="O1115" s="1161"/>
      <c r="P1115" s="1161"/>
      <c r="Q1115" s="1161"/>
      <c r="R1115" s="1161"/>
      <c r="S1115" s="1161"/>
      <c r="T1115" s="1161"/>
      <c r="U1115" s="1161"/>
      <c r="V1115" s="1161"/>
      <c r="W1115" s="1161"/>
      <c r="X1115" s="1161"/>
      <c r="Y1115" s="1161"/>
      <c r="Z1115" s="1161"/>
      <c r="AA1115" s="1161"/>
      <c r="AB1115" s="1161"/>
      <c r="AC1115" s="1161"/>
      <c r="AD1115" s="1161"/>
      <c r="AE1115" s="1161"/>
      <c r="AF1115" s="1161"/>
      <c r="AG1115" s="1161"/>
      <c r="AH1115" s="1161"/>
      <c r="AI1115" s="1161"/>
      <c r="AJ1115" s="1161"/>
      <c r="AK1115" s="1161"/>
    </row>
    <row r="1116" spans="1:37" ht="12.95" hidden="1" customHeight="1">
      <c r="A1116" s="1"/>
      <c r="B1116" s="1"/>
      <c r="C1116" s="199"/>
      <c r="D1116" s="1161"/>
      <c r="E1116" s="1161"/>
      <c r="F1116" s="1161"/>
      <c r="G1116" s="1161"/>
      <c r="H1116" s="1161"/>
      <c r="I1116" s="1161"/>
      <c r="J1116" s="1161"/>
      <c r="K1116" s="1161"/>
      <c r="L1116" s="1161"/>
      <c r="M1116" s="1161"/>
      <c r="N1116" s="1161"/>
      <c r="O1116" s="1161"/>
      <c r="P1116" s="1161"/>
      <c r="Q1116" s="1161"/>
      <c r="R1116" s="1161"/>
      <c r="S1116" s="1161"/>
      <c r="T1116" s="1161"/>
      <c r="U1116" s="1161"/>
      <c r="V1116" s="1161"/>
      <c r="W1116" s="1161"/>
      <c r="X1116" s="1161"/>
      <c r="Y1116" s="1161"/>
      <c r="Z1116" s="1161"/>
      <c r="AA1116" s="1161"/>
      <c r="AB1116" s="1161"/>
      <c r="AC1116" s="1161"/>
      <c r="AD1116" s="1161"/>
      <c r="AE1116" s="1161"/>
      <c r="AF1116" s="1161"/>
      <c r="AG1116" s="1161"/>
      <c r="AH1116" s="1161"/>
      <c r="AI1116" s="1161"/>
      <c r="AJ1116" s="1161"/>
      <c r="AK1116" s="1161"/>
    </row>
    <row r="1117" spans="1:37" ht="12.95" hidden="1" customHeight="1">
      <c r="A1117" s="1"/>
      <c r="B1117" s="1"/>
      <c r="C1117" s="199"/>
      <c r="D1117" s="1161"/>
      <c r="E1117" s="1161"/>
      <c r="F1117" s="1161"/>
      <c r="G1117" s="1161"/>
      <c r="H1117" s="1161"/>
      <c r="I1117" s="1161"/>
      <c r="J1117" s="1161"/>
      <c r="K1117" s="1161"/>
      <c r="L1117" s="1161"/>
      <c r="M1117" s="1161"/>
      <c r="N1117" s="1161"/>
      <c r="O1117" s="1161"/>
      <c r="P1117" s="1161"/>
      <c r="Q1117" s="1161"/>
      <c r="R1117" s="1161"/>
      <c r="S1117" s="1161"/>
      <c r="T1117" s="1161"/>
      <c r="U1117" s="1161"/>
      <c r="V1117" s="1161"/>
      <c r="W1117" s="1161"/>
      <c r="X1117" s="1161"/>
      <c r="Y1117" s="1161"/>
      <c r="Z1117" s="1161"/>
      <c r="AA1117" s="1161"/>
      <c r="AB1117" s="1161"/>
      <c r="AC1117" s="1161"/>
      <c r="AD1117" s="1161"/>
      <c r="AE1117" s="1161"/>
      <c r="AF1117" s="1161"/>
      <c r="AG1117" s="1161"/>
      <c r="AH1117" s="1161"/>
      <c r="AI1117" s="1161"/>
      <c r="AJ1117" s="1161"/>
      <c r="AK1117" s="1161"/>
    </row>
    <row r="1118" spans="1:37" ht="12.95" hidden="1" customHeight="1">
      <c r="A1118" s="1"/>
      <c r="B1118" s="1"/>
      <c r="C1118" s="199"/>
      <c r="D1118" s="1161"/>
      <c r="E1118" s="1161"/>
      <c r="F1118" s="1161"/>
      <c r="G1118" s="1161"/>
      <c r="H1118" s="1161"/>
      <c r="I1118" s="1161"/>
      <c r="J1118" s="1161"/>
      <c r="K1118" s="1161"/>
      <c r="L1118" s="1161"/>
      <c r="M1118" s="1161"/>
      <c r="N1118" s="1161"/>
      <c r="O1118" s="1161"/>
      <c r="P1118" s="1161"/>
      <c r="Q1118" s="1161"/>
      <c r="R1118" s="1161"/>
      <c r="S1118" s="1161"/>
      <c r="T1118" s="1161"/>
      <c r="U1118" s="1161"/>
      <c r="V1118" s="1161"/>
      <c r="W1118" s="1161"/>
      <c r="X1118" s="1161"/>
      <c r="Y1118" s="1161"/>
      <c r="Z1118" s="1161"/>
      <c r="AA1118" s="1161"/>
      <c r="AB1118" s="1161"/>
      <c r="AC1118" s="1161"/>
      <c r="AD1118" s="1161"/>
      <c r="AE1118" s="1161"/>
      <c r="AF1118" s="1161"/>
      <c r="AG1118" s="1161"/>
      <c r="AH1118" s="1161"/>
      <c r="AI1118" s="1161"/>
      <c r="AJ1118" s="1161"/>
      <c r="AK1118" s="1161"/>
    </row>
    <row r="1119" spans="1:37" ht="12.95" hidden="1" customHeight="1">
      <c r="A1119" s="1"/>
      <c r="B1119" s="1"/>
      <c r="C1119" s="199"/>
      <c r="D1119" s="1161"/>
      <c r="E1119" s="1161"/>
      <c r="F1119" s="1161"/>
      <c r="G1119" s="1161"/>
      <c r="H1119" s="1161"/>
      <c r="I1119" s="1161"/>
      <c r="J1119" s="1161"/>
      <c r="K1119" s="1161"/>
      <c r="L1119" s="1161"/>
      <c r="M1119" s="1161"/>
      <c r="N1119" s="1161"/>
      <c r="O1119" s="1161"/>
      <c r="P1119" s="1161"/>
      <c r="Q1119" s="1161"/>
      <c r="R1119" s="1161"/>
      <c r="S1119" s="1161"/>
      <c r="T1119" s="1161"/>
      <c r="U1119" s="1161"/>
      <c r="V1119" s="1161"/>
      <c r="W1119" s="1161"/>
      <c r="X1119" s="1161"/>
      <c r="Y1119" s="1161"/>
      <c r="Z1119" s="1161"/>
      <c r="AA1119" s="1161"/>
      <c r="AB1119" s="1161"/>
      <c r="AC1119" s="1161"/>
      <c r="AD1119" s="1161"/>
      <c r="AE1119" s="1161"/>
      <c r="AF1119" s="1161"/>
      <c r="AG1119" s="1161"/>
      <c r="AH1119" s="1161"/>
      <c r="AI1119" s="1161"/>
      <c r="AJ1119" s="1161"/>
      <c r="AK1119" s="1161"/>
    </row>
    <row r="1120" spans="1:37" ht="12.95" hidden="1" customHeight="1">
      <c r="A1120" s="1"/>
      <c r="B1120" s="1"/>
      <c r="C1120" s="199"/>
      <c r="D1120" s="1161"/>
      <c r="E1120" s="1161"/>
      <c r="F1120" s="1161"/>
      <c r="G1120" s="1161"/>
      <c r="H1120" s="1161"/>
      <c r="I1120" s="1161"/>
      <c r="J1120" s="1161"/>
      <c r="K1120" s="1161"/>
      <c r="L1120" s="1161"/>
      <c r="M1120" s="1161"/>
      <c r="N1120" s="1161"/>
      <c r="O1120" s="1161"/>
      <c r="P1120" s="1161"/>
      <c r="Q1120" s="1161"/>
      <c r="R1120" s="1161"/>
      <c r="S1120" s="1161"/>
      <c r="T1120" s="1161"/>
      <c r="U1120" s="1161"/>
      <c r="V1120" s="1161"/>
      <c r="W1120" s="1161"/>
      <c r="X1120" s="1161"/>
      <c r="Y1120" s="1161"/>
      <c r="Z1120" s="1161"/>
      <c r="AA1120" s="1161"/>
      <c r="AB1120" s="1161"/>
      <c r="AC1120" s="1161"/>
      <c r="AD1120" s="1161"/>
      <c r="AE1120" s="1161"/>
      <c r="AF1120" s="1161"/>
      <c r="AG1120" s="1161"/>
      <c r="AH1120" s="1161"/>
      <c r="AI1120" s="1161"/>
      <c r="AJ1120" s="1161"/>
      <c r="AK1120" s="1161"/>
    </row>
    <row r="1121" spans="1:37" ht="12.95" hidden="1" customHeight="1">
      <c r="A1121" s="1"/>
      <c r="B1121" s="1"/>
      <c r="C1121" s="199"/>
      <c r="D1121" s="1161"/>
      <c r="E1121" s="1161"/>
      <c r="F1121" s="1161"/>
      <c r="G1121" s="1161"/>
      <c r="H1121" s="1161"/>
      <c r="I1121" s="1161"/>
      <c r="J1121" s="1161"/>
      <c r="K1121" s="1161"/>
      <c r="L1121" s="1161"/>
      <c r="M1121" s="1161"/>
      <c r="N1121" s="1161"/>
      <c r="O1121" s="1161"/>
      <c r="P1121" s="1161"/>
      <c r="Q1121" s="1161"/>
      <c r="R1121" s="1161"/>
      <c r="S1121" s="1161"/>
      <c r="T1121" s="1161"/>
      <c r="U1121" s="1161"/>
      <c r="V1121" s="1161"/>
      <c r="W1121" s="1161"/>
      <c r="X1121" s="1161"/>
      <c r="Y1121" s="1161"/>
      <c r="Z1121" s="1161"/>
      <c r="AA1121" s="1161"/>
      <c r="AB1121" s="1161"/>
      <c r="AC1121" s="1161"/>
      <c r="AD1121" s="1161"/>
      <c r="AE1121" s="1161"/>
      <c r="AF1121" s="1161"/>
      <c r="AG1121" s="1161"/>
      <c r="AH1121" s="1161"/>
      <c r="AI1121" s="1161"/>
      <c r="AJ1121" s="1161"/>
      <c r="AK1121" s="1161"/>
    </row>
    <row r="1122" spans="1:37" ht="12.95" hidden="1" customHeight="1">
      <c r="A1122" s="1"/>
      <c r="B1122" s="1"/>
      <c r="C1122" s="199"/>
      <c r="D1122" s="1161"/>
      <c r="E1122" s="1161"/>
      <c r="F1122" s="1161"/>
      <c r="G1122" s="1161"/>
      <c r="H1122" s="1161"/>
      <c r="I1122" s="1161"/>
      <c r="J1122" s="1161"/>
      <c r="K1122" s="1161"/>
      <c r="L1122" s="1161"/>
      <c r="M1122" s="1161"/>
      <c r="N1122" s="1161"/>
      <c r="O1122" s="1161"/>
      <c r="P1122" s="1161"/>
      <c r="Q1122" s="1161"/>
      <c r="R1122" s="1161"/>
      <c r="S1122" s="1161"/>
      <c r="T1122" s="1161"/>
      <c r="U1122" s="1161"/>
      <c r="V1122" s="1161"/>
      <c r="W1122" s="1161"/>
      <c r="X1122" s="1161"/>
      <c r="Y1122" s="1161"/>
      <c r="Z1122" s="1161"/>
      <c r="AA1122" s="1161"/>
      <c r="AB1122" s="1161"/>
      <c r="AC1122" s="1161"/>
      <c r="AD1122" s="1161"/>
      <c r="AE1122" s="1161"/>
      <c r="AF1122" s="1161"/>
      <c r="AG1122" s="1161"/>
      <c r="AH1122" s="1161"/>
      <c r="AI1122" s="1161"/>
      <c r="AJ1122" s="1161"/>
      <c r="AK1122" s="1161"/>
    </row>
    <row r="1123" spans="1:37" ht="0" hidden="1" customHeight="1">
      <c r="A1123" s="1"/>
      <c r="B1123" s="1"/>
      <c r="C1123" s="199"/>
      <c r="D1123" s="1161"/>
      <c r="E1123" s="1161"/>
      <c r="F1123" s="1161"/>
      <c r="G1123" s="1161"/>
      <c r="H1123" s="1161"/>
      <c r="I1123" s="1161"/>
      <c r="J1123" s="1161"/>
      <c r="K1123" s="1161"/>
      <c r="L1123" s="1161"/>
      <c r="M1123" s="1161"/>
      <c r="N1123" s="1161"/>
      <c r="O1123" s="1161"/>
      <c r="P1123" s="1161"/>
      <c r="Q1123" s="1161"/>
      <c r="R1123" s="1161"/>
      <c r="S1123" s="1161"/>
      <c r="T1123" s="1161"/>
      <c r="U1123" s="1161"/>
      <c r="V1123" s="1161"/>
      <c r="W1123" s="1161"/>
      <c r="X1123" s="1161"/>
      <c r="Y1123" s="1161"/>
      <c r="Z1123" s="1161"/>
      <c r="AA1123" s="1161"/>
      <c r="AB1123" s="1161"/>
      <c r="AC1123" s="1161"/>
      <c r="AD1123" s="1161"/>
      <c r="AE1123" s="1161"/>
      <c r="AF1123" s="1161"/>
      <c r="AG1123" s="1161"/>
      <c r="AH1123" s="1161"/>
      <c r="AI1123" s="1161"/>
      <c r="AJ1123" s="1161"/>
      <c r="AK1123" s="1161"/>
    </row>
    <row r="1124" spans="1:37" ht="0" hidden="1" customHeight="1">
      <c r="A1124" s="35"/>
      <c r="B1124" s="25"/>
      <c r="C1124" s="199"/>
      <c r="D1124" s="1161"/>
      <c r="E1124" s="1161"/>
      <c r="F1124" s="1161"/>
      <c r="G1124" s="1161"/>
      <c r="H1124" s="1161"/>
      <c r="I1124" s="1161"/>
      <c r="J1124" s="1161"/>
      <c r="K1124" s="1161"/>
      <c r="L1124" s="1161"/>
      <c r="M1124" s="1161"/>
      <c r="N1124" s="1161"/>
      <c r="O1124" s="1161"/>
      <c r="P1124" s="1161"/>
      <c r="Q1124" s="1161"/>
      <c r="R1124" s="1161"/>
      <c r="S1124" s="1161"/>
      <c r="T1124" s="1161"/>
      <c r="U1124" s="1161"/>
      <c r="V1124" s="1161"/>
      <c r="W1124" s="1161"/>
      <c r="X1124" s="1161"/>
      <c r="Y1124" s="1161"/>
      <c r="Z1124" s="1161"/>
      <c r="AA1124" s="1161"/>
      <c r="AB1124" s="1161"/>
      <c r="AC1124" s="1161"/>
      <c r="AD1124" s="1161"/>
      <c r="AE1124" s="1161"/>
      <c r="AF1124" s="1161"/>
      <c r="AG1124" s="1161"/>
      <c r="AH1124" s="1161"/>
      <c r="AI1124" s="1161"/>
      <c r="AJ1124" s="1161"/>
      <c r="AK1124" s="1161"/>
    </row>
    <row r="1125" spans="1:37" ht="0" hidden="1" customHeight="1">
      <c r="A1125" s="1332" t="s">
        <v>591</v>
      </c>
      <c r="B1125" s="1332"/>
      <c r="C1125" s="199">
        <v>9</v>
      </c>
      <c r="D1125" s="1262" t="s">
        <v>1074</v>
      </c>
      <c r="E1125" s="1262"/>
      <c r="F1125" s="1262"/>
      <c r="G1125" s="1262"/>
      <c r="H1125" s="1262"/>
      <c r="I1125" s="1262"/>
      <c r="J1125" s="1262"/>
      <c r="K1125" s="1262"/>
      <c r="L1125" s="1262"/>
      <c r="M1125" s="1262"/>
      <c r="N1125" s="1262"/>
      <c r="O1125" s="1262"/>
      <c r="P1125" s="1262"/>
      <c r="Q1125" s="1262"/>
      <c r="R1125" s="1262"/>
      <c r="S1125" s="1262"/>
      <c r="T1125" s="1262"/>
      <c r="U1125" s="1262"/>
      <c r="V1125" s="1262"/>
      <c r="W1125" s="1262"/>
      <c r="X1125" s="1262"/>
      <c r="Y1125" s="1262"/>
      <c r="Z1125" s="1262"/>
      <c r="AA1125" s="1262"/>
      <c r="AB1125" s="1262"/>
      <c r="AC1125" s="1262"/>
      <c r="AD1125" s="1262"/>
      <c r="AE1125" s="1262"/>
      <c r="AF1125" s="1262"/>
      <c r="AG1125" s="1262"/>
      <c r="AH1125" s="1262"/>
      <c r="AI1125" s="1262"/>
      <c r="AJ1125" s="1262"/>
      <c r="AK1125" s="1262"/>
    </row>
    <row r="1126" spans="1:37" ht="0" hidden="1" customHeight="1">
      <c r="A1126" s="35"/>
      <c r="B1126" s="25"/>
      <c r="C1126" s="199"/>
      <c r="D1126" s="1262"/>
      <c r="E1126" s="1262"/>
      <c r="F1126" s="1262"/>
      <c r="G1126" s="1262"/>
      <c r="H1126" s="1262"/>
      <c r="I1126" s="1262"/>
      <c r="J1126" s="1262"/>
      <c r="K1126" s="1262"/>
      <c r="L1126" s="1262"/>
      <c r="M1126" s="1262"/>
      <c r="N1126" s="1262"/>
      <c r="O1126" s="1262"/>
      <c r="P1126" s="1262"/>
      <c r="Q1126" s="1262"/>
      <c r="R1126" s="1262"/>
      <c r="S1126" s="1262"/>
      <c r="T1126" s="1262"/>
      <c r="U1126" s="1262"/>
      <c r="V1126" s="1262"/>
      <c r="W1126" s="1262"/>
      <c r="X1126" s="1262"/>
      <c r="Y1126" s="1262"/>
      <c r="Z1126" s="1262"/>
      <c r="AA1126" s="1262"/>
      <c r="AB1126" s="1262"/>
      <c r="AC1126" s="1262"/>
      <c r="AD1126" s="1262"/>
      <c r="AE1126" s="1262"/>
      <c r="AF1126" s="1262"/>
      <c r="AG1126" s="1262"/>
      <c r="AH1126" s="1262"/>
      <c r="AI1126" s="1262"/>
      <c r="AJ1126" s="1262"/>
      <c r="AK1126" s="1262"/>
    </row>
    <row r="1127" spans="1:37" ht="0" hidden="1" customHeight="1">
      <c r="D1127" s="1262"/>
      <c r="E1127" s="1262"/>
      <c r="F1127" s="1262"/>
      <c r="G1127" s="1262"/>
      <c r="H1127" s="1262"/>
      <c r="I1127" s="1262"/>
      <c r="J1127" s="1262"/>
      <c r="K1127" s="1262"/>
      <c r="L1127" s="1262"/>
      <c r="M1127" s="1262"/>
      <c r="N1127" s="1262"/>
      <c r="O1127" s="1262"/>
      <c r="P1127" s="1262"/>
      <c r="Q1127" s="1262"/>
      <c r="R1127" s="1262"/>
      <c r="S1127" s="1262"/>
      <c r="T1127" s="1262"/>
      <c r="U1127" s="1262"/>
      <c r="V1127" s="1262"/>
      <c r="W1127" s="1262"/>
      <c r="X1127" s="1262"/>
      <c r="Y1127" s="1262"/>
      <c r="Z1127" s="1262"/>
      <c r="AA1127" s="1262"/>
      <c r="AB1127" s="1262"/>
      <c r="AC1127" s="1262"/>
      <c r="AD1127" s="1262"/>
      <c r="AE1127" s="1262"/>
      <c r="AF1127" s="1262"/>
      <c r="AG1127" s="1262"/>
      <c r="AH1127" s="1262"/>
      <c r="AI1127" s="1262"/>
      <c r="AJ1127" s="1262"/>
      <c r="AK1127" s="1262"/>
    </row>
    <row r="1137" ht="15" hidden="1" customHeight="1"/>
    <row r="2017" ht="9.9499999999999993" hidden="1" customHeight="1"/>
  </sheetData>
  <sheetProtection algorithmName="SHA-512" hashValue="t2KJvSg7qB4K46ZBlDL4QPrDqHCYTR9UrRUgX6Ozt6LqxGuP0tYl1zfbvBGd5ihF/A/jSbx6YdfvTs1tCvuvsg==" saltValue="8+63Ww4ES9w0JSWrXfWtHA=="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80">
    <mergeCell ref="EO796:ES796"/>
    <mergeCell ref="DU797:DY797"/>
    <mergeCell ref="EJ788:EN788"/>
    <mergeCell ref="EJ789:EN789"/>
    <mergeCell ref="EJ790:EN790"/>
    <mergeCell ref="EJ791:EN791"/>
    <mergeCell ref="EJ792:EN792"/>
    <mergeCell ref="EJ793:EN793"/>
    <mergeCell ref="EJ794:EN794"/>
    <mergeCell ref="EJ795:EN795"/>
    <mergeCell ref="EJ796:EN796"/>
    <mergeCell ref="EJ797:EN797"/>
    <mergeCell ref="EO787:ES787"/>
    <mergeCell ref="AC892:AH892"/>
    <mergeCell ref="EE787:EI787"/>
    <mergeCell ref="EE788:EI788"/>
    <mergeCell ref="EE789:EI789"/>
    <mergeCell ref="EE790:EI790"/>
    <mergeCell ref="EE791:EI791"/>
    <mergeCell ref="EE792:EI792"/>
    <mergeCell ref="EE793:EI793"/>
    <mergeCell ref="EE794:EI794"/>
    <mergeCell ref="EE795:EI795"/>
    <mergeCell ref="EE796:EI796"/>
    <mergeCell ref="EE797:EI797"/>
    <mergeCell ref="EO788:ES788"/>
    <mergeCell ref="EO789:ES789"/>
    <mergeCell ref="EO790:ES790"/>
    <mergeCell ref="EO791:ES791"/>
    <mergeCell ref="EO792:ES792"/>
    <mergeCell ref="EO793:ES793"/>
    <mergeCell ref="EO794:ES794"/>
    <mergeCell ref="EO795:ES795"/>
    <mergeCell ref="DO792:DS792"/>
    <mergeCell ref="AA1056:AF1056"/>
    <mergeCell ref="AA1057:AF1057"/>
    <mergeCell ref="G1058:AN1060"/>
    <mergeCell ref="ET787:EX787"/>
    <mergeCell ref="ET788:EX788"/>
    <mergeCell ref="ET789:EX789"/>
    <mergeCell ref="ET790:EX790"/>
    <mergeCell ref="ET791:EX791"/>
    <mergeCell ref="ET792:EX792"/>
    <mergeCell ref="ET793:EX793"/>
    <mergeCell ref="ET794:EX794"/>
    <mergeCell ref="ET795:EX795"/>
    <mergeCell ref="ET796:EX796"/>
    <mergeCell ref="ET797:EX797"/>
    <mergeCell ref="ET799:EX799"/>
    <mergeCell ref="CU802:CY802"/>
    <mergeCell ref="CZ802:DD802"/>
    <mergeCell ref="DE802:DI802"/>
    <mergeCell ref="DJ802:DN802"/>
    <mergeCell ref="DO802:DS802"/>
    <mergeCell ref="EJ787:EN787"/>
    <mergeCell ref="DU787:DY787"/>
    <mergeCell ref="DU788:DY788"/>
    <mergeCell ref="DU789:DY789"/>
    <mergeCell ref="DU790:DY790"/>
    <mergeCell ref="DU791:DY791"/>
    <mergeCell ref="DU792:DY792"/>
    <mergeCell ref="DU793:DY793"/>
    <mergeCell ref="DU794:DY794"/>
    <mergeCell ref="DU795:DY795"/>
    <mergeCell ref="DU796:DY796"/>
    <mergeCell ref="DE789:DI789"/>
    <mergeCell ref="EO797:ES797"/>
    <mergeCell ref="DZ787:ED787"/>
    <mergeCell ref="DZ788:ED788"/>
    <mergeCell ref="DZ789:ED789"/>
    <mergeCell ref="DZ790:ED790"/>
    <mergeCell ref="DZ791:ED791"/>
    <mergeCell ref="DZ792:ED792"/>
    <mergeCell ref="DZ793:ED793"/>
    <mergeCell ref="DZ794:ED794"/>
    <mergeCell ref="DZ795:ED795"/>
    <mergeCell ref="DZ796:ED796"/>
    <mergeCell ref="DZ797:ED797"/>
    <mergeCell ref="DE795:DI795"/>
    <mergeCell ref="DE796:DI796"/>
    <mergeCell ref="DE797:DI797"/>
    <mergeCell ref="DJ787:DN787"/>
    <mergeCell ref="DJ788:DN788"/>
    <mergeCell ref="DJ789:DN789"/>
    <mergeCell ref="DJ790:DN790"/>
    <mergeCell ref="DJ791:DN791"/>
    <mergeCell ref="DJ792:DN792"/>
    <mergeCell ref="DJ793:DN793"/>
    <mergeCell ref="DJ794:DN794"/>
    <mergeCell ref="DJ795:DN795"/>
    <mergeCell ref="DJ796:DN796"/>
    <mergeCell ref="DJ797:DN797"/>
    <mergeCell ref="DO787:DS787"/>
    <mergeCell ref="DO788:DS788"/>
    <mergeCell ref="DO789:DS789"/>
    <mergeCell ref="DO790:DS790"/>
    <mergeCell ref="DO791:DS791"/>
    <mergeCell ref="CI752:CJ752"/>
    <mergeCell ref="DO793:DS793"/>
    <mergeCell ref="DO794:DS794"/>
    <mergeCell ref="DO795:DS795"/>
    <mergeCell ref="DO796:DS796"/>
    <mergeCell ref="DO797:DS797"/>
    <mergeCell ref="DE718:DI718"/>
    <mergeCell ref="CK718:CL718"/>
    <mergeCell ref="CU787:CY787"/>
    <mergeCell ref="CU788:CY788"/>
    <mergeCell ref="CU789:CY789"/>
    <mergeCell ref="CU790:CY790"/>
    <mergeCell ref="CU791:CY791"/>
    <mergeCell ref="CU792:CY792"/>
    <mergeCell ref="CU793:CY793"/>
    <mergeCell ref="CU794:CY794"/>
    <mergeCell ref="CU795:CY795"/>
    <mergeCell ref="CU796:CY796"/>
    <mergeCell ref="CU797:CY797"/>
    <mergeCell ref="CZ787:DD787"/>
    <mergeCell ref="CZ788:DD788"/>
    <mergeCell ref="CZ789:DD789"/>
    <mergeCell ref="CZ790:DD790"/>
    <mergeCell ref="CZ791:DD791"/>
    <mergeCell ref="CZ792:DD792"/>
    <mergeCell ref="CZ793:DD793"/>
    <mergeCell ref="CZ794:DD794"/>
    <mergeCell ref="CZ795:DD795"/>
    <mergeCell ref="CZ796:DD796"/>
    <mergeCell ref="CZ797:DD797"/>
    <mergeCell ref="DE787:DI787"/>
    <mergeCell ref="DE788:DI788"/>
    <mergeCell ref="CI750:CJ750"/>
    <mergeCell ref="DE790:DI790"/>
    <mergeCell ref="DE791:DI791"/>
    <mergeCell ref="DE792:DI792"/>
    <mergeCell ref="DE793:DI793"/>
    <mergeCell ref="DE794:DI794"/>
    <mergeCell ref="AK743:AO743"/>
    <mergeCell ref="AK744:AO744"/>
    <mergeCell ref="X743:AB743"/>
    <mergeCell ref="X744:AB744"/>
    <mergeCell ref="AH743:AJ743"/>
    <mergeCell ref="AH744:AJ744"/>
    <mergeCell ref="G731:J731"/>
    <mergeCell ref="X738:AB738"/>
    <mergeCell ref="X729:AB729"/>
    <mergeCell ref="B729:F729"/>
    <mergeCell ref="CI748:CJ748"/>
    <mergeCell ref="CI742:CJ742"/>
    <mergeCell ref="CK742:CL742"/>
    <mergeCell ref="CZ744:DD744"/>
    <mergeCell ref="AK732:AO732"/>
    <mergeCell ref="AK733:AO733"/>
    <mergeCell ref="AK734:AO734"/>
    <mergeCell ref="AK735:AO735"/>
    <mergeCell ref="CI743:CJ743"/>
    <mergeCell ref="CK743:CL743"/>
    <mergeCell ref="CM743:CN743"/>
    <mergeCell ref="CP740:CT740"/>
    <mergeCell ref="CZ733:DD733"/>
    <mergeCell ref="CZ736:DD736"/>
    <mergeCell ref="CM731:CN731"/>
    <mergeCell ref="DE746:DI746"/>
    <mergeCell ref="AK747:AO747"/>
    <mergeCell ref="CU751:CY751"/>
    <mergeCell ref="CZ732:DD732"/>
    <mergeCell ref="G721:J721"/>
    <mergeCell ref="G722:J722"/>
    <mergeCell ref="CP746:CT746"/>
    <mergeCell ref="CU746:CY746"/>
    <mergeCell ref="DE741:DI741"/>
    <mergeCell ref="CK733:CL733"/>
    <mergeCell ref="CU744:CY744"/>
    <mergeCell ref="FJ753:FN753"/>
    <mergeCell ref="CK750:CL750"/>
    <mergeCell ref="CM750:CN750"/>
    <mergeCell ref="CG747:CH747"/>
    <mergeCell ref="CI747:CJ747"/>
    <mergeCell ref="CK747:CL747"/>
    <mergeCell ref="CM747:CN747"/>
    <mergeCell ref="CP742:CT742"/>
    <mergeCell ref="CP743:CT743"/>
    <mergeCell ref="DJ743:DN743"/>
    <mergeCell ref="DO743:DS743"/>
    <mergeCell ref="DO744:DS744"/>
    <mergeCell ref="CM745:CN745"/>
    <mergeCell ref="CG746:CH746"/>
    <mergeCell ref="CI746:CJ746"/>
    <mergeCell ref="DO750:DS750"/>
    <mergeCell ref="DJ745:DN745"/>
    <mergeCell ref="DO745:DS745"/>
    <mergeCell ref="CG744:CH744"/>
    <mergeCell ref="CI744:CJ744"/>
    <mergeCell ref="CG750:CH750"/>
    <mergeCell ref="FO753:FS753"/>
    <mergeCell ref="FE748:FI748"/>
    <mergeCell ref="FJ748:FN748"/>
    <mergeCell ref="FO748:FS748"/>
    <mergeCell ref="EZ745:FD745"/>
    <mergeCell ref="CU745:CY745"/>
    <mergeCell ref="EO747:ES747"/>
    <mergeCell ref="ET747:EX747"/>
    <mergeCell ref="DU748:DY748"/>
    <mergeCell ref="DZ748:ED748"/>
    <mergeCell ref="EE748:EI748"/>
    <mergeCell ref="EJ748:EN748"/>
    <mergeCell ref="EO748:ES748"/>
    <mergeCell ref="ET748:EX748"/>
    <mergeCell ref="ET741:EX741"/>
    <mergeCell ref="DU742:DY742"/>
    <mergeCell ref="DZ742:ED742"/>
    <mergeCell ref="ET742:EX742"/>
    <mergeCell ref="FE742:FI742"/>
    <mergeCell ref="FJ742:FN742"/>
    <mergeCell ref="FO742:FS742"/>
    <mergeCell ref="EE741:EI741"/>
    <mergeCell ref="EJ741:EN741"/>
    <mergeCell ref="EO741:ES741"/>
    <mergeCell ref="CU742:CY742"/>
    <mergeCell ref="CZ742:DD742"/>
    <mergeCell ref="DE742:DI742"/>
    <mergeCell ref="DJ742:DN742"/>
    <mergeCell ref="DO742:DS742"/>
    <mergeCell ref="CU743:CY743"/>
    <mergeCell ref="CZ743:DD743"/>
    <mergeCell ref="DE743:DI743"/>
    <mergeCell ref="FT753:FX753"/>
    <mergeCell ref="FY753:GC753"/>
    <mergeCell ref="DX635:EB635"/>
    <mergeCell ref="DX638:EB638"/>
    <mergeCell ref="EC638:EG638"/>
    <mergeCell ref="EH638:EL638"/>
    <mergeCell ref="EM638:EQ638"/>
    <mergeCell ref="ER638:EV638"/>
    <mergeCell ref="EC635:EG635"/>
    <mergeCell ref="EH635:EL635"/>
    <mergeCell ref="EM635:EQ635"/>
    <mergeCell ref="ER635:EV635"/>
    <mergeCell ref="EW635:FA635"/>
    <mergeCell ref="FY752:GC752"/>
    <mergeCell ref="EC636:EG636"/>
    <mergeCell ref="EH636:EL636"/>
    <mergeCell ref="DX636:EB636"/>
    <mergeCell ref="ER636:EV636"/>
    <mergeCell ref="EZ750:FD750"/>
    <mergeCell ref="FE750:FI750"/>
    <mergeCell ref="FJ750:FN750"/>
    <mergeCell ref="FO750:FS750"/>
    <mergeCell ref="EM659:EQ659"/>
    <mergeCell ref="ER659:EV659"/>
    <mergeCell ref="EW659:FA659"/>
    <mergeCell ref="DX660:EB660"/>
    <mergeCell ref="EC660:EG660"/>
    <mergeCell ref="EH660:EL660"/>
    <mergeCell ref="EM660:EQ660"/>
    <mergeCell ref="DX665:EB665"/>
    <mergeCell ref="FY747:GC747"/>
    <mergeCell ref="EZ748:FD748"/>
    <mergeCell ref="FY749:GC749"/>
    <mergeCell ref="FE746:FI746"/>
    <mergeCell ref="FJ746:FN746"/>
    <mergeCell ref="FO746:FS746"/>
    <mergeCell ref="FT750:FX750"/>
    <mergeCell ref="FY750:GC750"/>
    <mergeCell ref="DX658:EB658"/>
    <mergeCell ref="EC658:EG658"/>
    <mergeCell ref="EH658:EL658"/>
    <mergeCell ref="EM658:EQ658"/>
    <mergeCell ref="ER658:EV658"/>
    <mergeCell ref="EW658:FA658"/>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J745:EN745"/>
    <mergeCell ref="EZ741:FD741"/>
    <mergeCell ref="FE741:FI741"/>
    <mergeCell ref="FJ741:FN741"/>
    <mergeCell ref="FO741:FS741"/>
    <mergeCell ref="FY741:GC741"/>
    <mergeCell ref="EZ742:FD742"/>
    <mergeCell ref="EW636:FA636"/>
    <mergeCell ref="ER637:EV637"/>
    <mergeCell ref="ET749:EX749"/>
    <mergeCell ref="DU750:DY750"/>
    <mergeCell ref="DZ750:ED750"/>
    <mergeCell ref="EE750:EI750"/>
    <mergeCell ref="EJ750:EN750"/>
    <mergeCell ref="EO750:ES750"/>
    <mergeCell ref="ET750:EX750"/>
    <mergeCell ref="FY748:GC748"/>
    <mergeCell ref="EZ749:FD749"/>
    <mergeCell ref="FE749:FI749"/>
    <mergeCell ref="FJ749:FN749"/>
    <mergeCell ref="FO749:FS749"/>
    <mergeCell ref="FY745:GC745"/>
    <mergeCell ref="EZ746:FD746"/>
    <mergeCell ref="ET745:EX745"/>
    <mergeCell ref="DU746:DY746"/>
    <mergeCell ref="DZ746:ED746"/>
    <mergeCell ref="EE746:EI746"/>
    <mergeCell ref="EJ746:EN746"/>
    <mergeCell ref="EO746:ES746"/>
    <mergeCell ref="ET746:EX746"/>
    <mergeCell ref="DU747:DY747"/>
    <mergeCell ref="DZ747:ED747"/>
    <mergeCell ref="FT746:FX746"/>
    <mergeCell ref="FY746:GC746"/>
    <mergeCell ref="EZ747:FD747"/>
    <mergeCell ref="FE747:FI747"/>
    <mergeCell ref="FJ747:FN747"/>
    <mergeCell ref="FO747:FS747"/>
    <mergeCell ref="FT747:FX747"/>
    <mergeCell ref="FT742:FX742"/>
    <mergeCell ref="FY742:GC742"/>
    <mergeCell ref="EZ743:FD743"/>
    <mergeCell ref="FE743:FI743"/>
    <mergeCell ref="FJ743:FN743"/>
    <mergeCell ref="FO743:FS743"/>
    <mergeCell ref="FT743:FX743"/>
    <mergeCell ref="FY743:GC743"/>
    <mergeCell ref="EZ744:FD744"/>
    <mergeCell ref="FE744:FI744"/>
    <mergeCell ref="FJ744:FN744"/>
    <mergeCell ref="FO744:FS744"/>
    <mergeCell ref="FT744:FX744"/>
    <mergeCell ref="FY744:GC744"/>
    <mergeCell ref="DU743:DY743"/>
    <mergeCell ref="DZ743:ED743"/>
    <mergeCell ref="EE743:EI743"/>
    <mergeCell ref="EJ743:EN743"/>
    <mergeCell ref="EO743:ES743"/>
    <mergeCell ref="ET743:EX743"/>
    <mergeCell ref="DU744:DY744"/>
    <mergeCell ref="DZ744:ED744"/>
    <mergeCell ref="EE744:EI744"/>
    <mergeCell ref="EJ744:EN744"/>
    <mergeCell ref="EO744:ES744"/>
    <mergeCell ref="ET744:EX744"/>
    <mergeCell ref="FT741:FX741"/>
    <mergeCell ref="EE749:EI749"/>
    <mergeCell ref="EJ749:EN749"/>
    <mergeCell ref="EO749:ES749"/>
    <mergeCell ref="EE747:EI747"/>
    <mergeCell ref="EJ747:EN747"/>
    <mergeCell ref="EE742:EI742"/>
    <mergeCell ref="EJ742:EN742"/>
    <mergeCell ref="EO742:ES742"/>
    <mergeCell ref="FT748:FX748"/>
    <mergeCell ref="FT749:FX749"/>
    <mergeCell ref="DJ741:DN741"/>
    <mergeCell ref="DO741:DS741"/>
    <mergeCell ref="CI749:CJ749"/>
    <mergeCell ref="CK749:CL749"/>
    <mergeCell ref="CM749:CN749"/>
    <mergeCell ref="CP749:CT749"/>
    <mergeCell ref="CU749:CY749"/>
    <mergeCell ref="CZ749:DD749"/>
    <mergeCell ref="DE749:DI749"/>
    <mergeCell ref="DJ749:DN749"/>
    <mergeCell ref="DO749:DS749"/>
    <mergeCell ref="CZ748:DD748"/>
    <mergeCell ref="DE748:DI748"/>
    <mergeCell ref="DJ748:DN748"/>
    <mergeCell ref="DO748:DS748"/>
    <mergeCell ref="CU747:CY747"/>
    <mergeCell ref="CZ747:DD747"/>
    <mergeCell ref="DE747:DI747"/>
    <mergeCell ref="CP744:CT744"/>
    <mergeCell ref="DJ744:DN744"/>
    <mergeCell ref="CM742:CN742"/>
    <mergeCell ref="DU741:DY741"/>
    <mergeCell ref="DZ741:ED741"/>
    <mergeCell ref="DJ747:DN747"/>
    <mergeCell ref="DO747:DS747"/>
    <mergeCell ref="CP748:CT748"/>
    <mergeCell ref="CU748:CY748"/>
    <mergeCell ref="DU745:DY745"/>
    <mergeCell ref="DZ745:ED745"/>
    <mergeCell ref="DX666:EB666"/>
    <mergeCell ref="EC666:EG666"/>
    <mergeCell ref="Q494:AK494"/>
    <mergeCell ref="AC455:AF455"/>
    <mergeCell ref="F457:AB458"/>
    <mergeCell ref="D466:V466"/>
    <mergeCell ref="Q491:AK491"/>
    <mergeCell ref="AH495:AK495"/>
    <mergeCell ref="D465:V465"/>
    <mergeCell ref="AC509:AF509"/>
    <mergeCell ref="Q485:AK485"/>
    <mergeCell ref="AC525:AF525"/>
    <mergeCell ref="W474:Y474"/>
    <mergeCell ref="AK742:AO742"/>
    <mergeCell ref="CP745:CT745"/>
    <mergeCell ref="X742:AB742"/>
    <mergeCell ref="AH742:AJ742"/>
    <mergeCell ref="AK739:AO739"/>
    <mergeCell ref="B741:F741"/>
    <mergeCell ref="DJ733:DN733"/>
    <mergeCell ref="D472:V472"/>
    <mergeCell ref="W472:Y472"/>
    <mergeCell ref="AE551:AH553"/>
    <mergeCell ref="AI551:AL553"/>
    <mergeCell ref="AH510:AK510"/>
    <mergeCell ref="AA582:AK582"/>
    <mergeCell ref="H573:R573"/>
    <mergeCell ref="B566:AL566"/>
    <mergeCell ref="AE560:AH560"/>
    <mergeCell ref="N575:O575"/>
    <mergeCell ref="AG443:AJ443"/>
    <mergeCell ref="AG444:AJ444"/>
    <mergeCell ref="AC541:AF541"/>
    <mergeCell ref="D440:AF440"/>
    <mergeCell ref="W557:Y557"/>
    <mergeCell ref="AC526:AF526"/>
    <mergeCell ref="AE557:AH557"/>
    <mergeCell ref="T562:V562"/>
    <mergeCell ref="AH503:AK503"/>
    <mergeCell ref="AC500:AF500"/>
    <mergeCell ref="AH532:AK532"/>
    <mergeCell ref="AC522:AF522"/>
    <mergeCell ref="T554:V554"/>
    <mergeCell ref="AC524:AF524"/>
    <mergeCell ref="AH506:AK506"/>
    <mergeCell ref="AH508:AK508"/>
    <mergeCell ref="AC540:AF540"/>
    <mergeCell ref="AC508:AF508"/>
    <mergeCell ref="AH537:AK537"/>
    <mergeCell ref="AC534:AF534"/>
    <mergeCell ref="AH542:AK542"/>
    <mergeCell ref="AH507:AK507"/>
    <mergeCell ref="AG450:AJ450"/>
    <mergeCell ref="D467:V467"/>
    <mergeCell ref="AG441:AJ441"/>
    <mergeCell ref="AC538:AF538"/>
    <mergeCell ref="Z554:AD554"/>
    <mergeCell ref="AH531:AK531"/>
    <mergeCell ref="AH540:AK540"/>
    <mergeCell ref="AC515:AF515"/>
    <mergeCell ref="AC514:AF514"/>
    <mergeCell ref="AH538:AK538"/>
    <mergeCell ref="Z551:AD553"/>
    <mergeCell ref="AH513:AK513"/>
    <mergeCell ref="AC531:AF531"/>
    <mergeCell ref="AC539:AF539"/>
    <mergeCell ref="L508:AB508"/>
    <mergeCell ref="N583:O583"/>
    <mergeCell ref="AI560:AL560"/>
    <mergeCell ref="O520:AA520"/>
    <mergeCell ref="AE555:AH555"/>
    <mergeCell ref="AH518:AK518"/>
    <mergeCell ref="AH514:AK514"/>
    <mergeCell ref="Q555:S555"/>
    <mergeCell ref="AH539:AK539"/>
    <mergeCell ref="AH541:AK541"/>
    <mergeCell ref="AC535:AF535"/>
    <mergeCell ref="AI554:AL554"/>
    <mergeCell ref="AI558:AL558"/>
    <mergeCell ref="Q551:S553"/>
    <mergeCell ref="T551:V553"/>
    <mergeCell ref="M555:P555"/>
    <mergeCell ref="Q557:S557"/>
    <mergeCell ref="Z557:AD557"/>
    <mergeCell ref="C555:L555"/>
    <mergeCell ref="C556:L556"/>
    <mergeCell ref="M556:P556"/>
    <mergeCell ref="C559:L559"/>
    <mergeCell ref="D449:AF449"/>
    <mergeCell ref="Q554:S554"/>
    <mergeCell ref="AH529:AK529"/>
    <mergeCell ref="AH534:AK534"/>
    <mergeCell ref="AC510:AF510"/>
    <mergeCell ref="Y364:Z364"/>
    <mergeCell ref="N378:P378"/>
    <mergeCell ref="W418:Y418"/>
    <mergeCell ref="AG439:AJ439"/>
    <mergeCell ref="AE424:AF424"/>
    <mergeCell ref="N371:Q371"/>
    <mergeCell ref="V382:W382"/>
    <mergeCell ref="J367:K367"/>
    <mergeCell ref="S405:AJ405"/>
    <mergeCell ref="AG379:AH379"/>
    <mergeCell ref="S392:U392"/>
    <mergeCell ref="AG390:AJ390"/>
    <mergeCell ref="Q391:U391"/>
    <mergeCell ref="N372:Q372"/>
    <mergeCell ref="AC505:AF505"/>
    <mergeCell ref="AH522:AK522"/>
    <mergeCell ref="M551:P553"/>
    <mergeCell ref="AC536:AF536"/>
    <mergeCell ref="D468:V468"/>
    <mergeCell ref="AC512:AF512"/>
    <mergeCell ref="AC542:AF542"/>
    <mergeCell ref="B489:P490"/>
    <mergeCell ref="AC506:AF506"/>
    <mergeCell ref="Q489:R490"/>
    <mergeCell ref="Q488:AK488"/>
    <mergeCell ref="AH535:AK535"/>
    <mergeCell ref="AC532:AF532"/>
    <mergeCell ref="M495:P495"/>
    <mergeCell ref="AC501:AF501"/>
    <mergeCell ref="AG438:AJ438"/>
    <mergeCell ref="B501:H502"/>
    <mergeCell ref="O523:AA523"/>
    <mergeCell ref="CP797:CT797"/>
    <mergeCell ref="AM555:AS555"/>
    <mergeCell ref="AI557:AL557"/>
    <mergeCell ref="T724:W724"/>
    <mergeCell ref="AM551:AS553"/>
    <mergeCell ref="AH722:AJ722"/>
    <mergeCell ref="Z587:AK587"/>
    <mergeCell ref="AI572:AK572"/>
    <mergeCell ref="T564:V564"/>
    <mergeCell ref="AM554:AS554"/>
    <mergeCell ref="AO639:AS639"/>
    <mergeCell ref="AO629:AS629"/>
    <mergeCell ref="AO638:AS638"/>
    <mergeCell ref="AC519:AF519"/>
    <mergeCell ref="AC523:AF523"/>
    <mergeCell ref="AH516:AK516"/>
    <mergeCell ref="Z628:AB628"/>
    <mergeCell ref="M558:P558"/>
    <mergeCell ref="G571:R571"/>
    <mergeCell ref="Q559:S559"/>
    <mergeCell ref="C627:L627"/>
    <mergeCell ref="P581:R581"/>
    <mergeCell ref="N591:O591"/>
    <mergeCell ref="Q560:S560"/>
    <mergeCell ref="Q565:S565"/>
    <mergeCell ref="Q561:S561"/>
    <mergeCell ref="C562:L562"/>
    <mergeCell ref="CU776:CY776"/>
    <mergeCell ref="CP750:CT750"/>
    <mergeCell ref="CU750:CY750"/>
    <mergeCell ref="AM560:AS560"/>
    <mergeCell ref="AM557:AS557"/>
    <mergeCell ref="W630:Y630"/>
    <mergeCell ref="AH745:AJ745"/>
    <mergeCell ref="AH746:AJ746"/>
    <mergeCell ref="AH747:AJ747"/>
    <mergeCell ref="AH748:AJ748"/>
    <mergeCell ref="Z659:AK659"/>
    <mergeCell ref="CG734:CH734"/>
    <mergeCell ref="CP739:CT739"/>
    <mergeCell ref="CM738:CN738"/>
    <mergeCell ref="AK634:AN634"/>
    <mergeCell ref="AK635:AN635"/>
    <mergeCell ref="CZ775:DD775"/>
    <mergeCell ref="CZ776:DD776"/>
    <mergeCell ref="Z633:AB633"/>
    <mergeCell ref="CZ730:DD730"/>
    <mergeCell ref="AI679:AK679"/>
    <mergeCell ref="Z663:AE663"/>
    <mergeCell ref="Z643:AK643"/>
    <mergeCell ref="CZ717:DD717"/>
    <mergeCell ref="CI722:CJ722"/>
    <mergeCell ref="CG721:CH721"/>
    <mergeCell ref="CK720:CL720"/>
    <mergeCell ref="CG731:CH731"/>
    <mergeCell ref="CP722:CT722"/>
    <mergeCell ref="CP718:CT718"/>
    <mergeCell ref="CI718:CJ718"/>
    <mergeCell ref="CI724:CJ724"/>
    <mergeCell ref="C630:L630"/>
    <mergeCell ref="C631:L631"/>
    <mergeCell ref="C632:L632"/>
    <mergeCell ref="P687:R687"/>
    <mergeCell ref="R705:T705"/>
    <mergeCell ref="CZ750:DD750"/>
    <mergeCell ref="B723:F723"/>
    <mergeCell ref="AF630:AJ630"/>
    <mergeCell ref="G685:R685"/>
    <mergeCell ref="M635:P635"/>
    <mergeCell ref="CK723:CL723"/>
    <mergeCell ref="CK721:CL721"/>
    <mergeCell ref="CM726:CN726"/>
    <mergeCell ref="CM718:CN718"/>
    <mergeCell ref="CI732:CJ732"/>
    <mergeCell ref="CM728:CN728"/>
    <mergeCell ref="G646:R646"/>
    <mergeCell ref="Z652:AK652"/>
    <mergeCell ref="G714:J717"/>
    <mergeCell ref="G668:R668"/>
    <mergeCell ref="CU726:CY726"/>
    <mergeCell ref="CZ726:DD726"/>
    <mergeCell ref="CK722:CL722"/>
    <mergeCell ref="AG689:AH689"/>
    <mergeCell ref="CK719:CL719"/>
    <mergeCell ref="CK748:CL748"/>
    <mergeCell ref="CM748:CN748"/>
    <mergeCell ref="CG749:CH749"/>
    <mergeCell ref="CG724:CH724"/>
    <mergeCell ref="CG730:CH730"/>
    <mergeCell ref="CG728:CH728"/>
    <mergeCell ref="X718:AB718"/>
    <mergeCell ref="CK752:CL752"/>
    <mergeCell ref="CP747:CT747"/>
    <mergeCell ref="CG748:CH748"/>
    <mergeCell ref="AG395:AJ395"/>
    <mergeCell ref="AI392:AJ392"/>
    <mergeCell ref="AG394:AJ394"/>
    <mergeCell ref="E420:AJ420"/>
    <mergeCell ref="V377:W377"/>
    <mergeCell ref="S377:T377"/>
    <mergeCell ref="D437:AF437"/>
    <mergeCell ref="D442:AF442"/>
    <mergeCell ref="AF430:AG430"/>
    <mergeCell ref="AG437:AJ437"/>
    <mergeCell ref="J388:U388"/>
    <mergeCell ref="AG449:AJ449"/>
    <mergeCell ref="AJ356:AK356"/>
    <mergeCell ref="AD377:AE377"/>
    <mergeCell ref="AC371:AF371"/>
    <mergeCell ref="X722:AB722"/>
    <mergeCell ref="Z685:AK685"/>
    <mergeCell ref="AE698:AI698"/>
    <mergeCell ref="AC714:AG717"/>
    <mergeCell ref="AC637:AE637"/>
    <mergeCell ref="X714:AB717"/>
    <mergeCell ref="AE694:AF694"/>
    <mergeCell ref="A709:AT711"/>
    <mergeCell ref="G660:R660"/>
    <mergeCell ref="T634:V634"/>
    <mergeCell ref="AF634:AJ634"/>
    <mergeCell ref="W637:Y637"/>
    <mergeCell ref="AG657:AH657"/>
    <mergeCell ref="Z634:AB634"/>
    <mergeCell ref="T720:W720"/>
    <mergeCell ref="K714:N717"/>
    <mergeCell ref="C635:L635"/>
    <mergeCell ref="AC370:AF370"/>
    <mergeCell ref="C558:L558"/>
    <mergeCell ref="AC507:AF507"/>
    <mergeCell ref="AE402:AJ402"/>
    <mergeCell ref="AC385:AJ385"/>
    <mergeCell ref="H336:R336"/>
    <mergeCell ref="D441:AF441"/>
    <mergeCell ref="AG447:AJ447"/>
    <mergeCell ref="AC454:AF454"/>
    <mergeCell ref="P425:Q425"/>
    <mergeCell ref="I418:K418"/>
    <mergeCell ref="S413:T413"/>
    <mergeCell ref="H338:R338"/>
    <mergeCell ref="AG393:AJ393"/>
    <mergeCell ref="AG391:AJ391"/>
    <mergeCell ref="K404:AJ404"/>
    <mergeCell ref="AC386:AJ386"/>
    <mergeCell ref="AC533:AF533"/>
    <mergeCell ref="K403:AJ403"/>
    <mergeCell ref="P346:AE346"/>
    <mergeCell ref="Q390:U390"/>
    <mergeCell ref="I410:AE410"/>
    <mergeCell ref="AI389:AJ389"/>
    <mergeCell ref="P347:Z347"/>
    <mergeCell ref="J386:U386"/>
    <mergeCell ref="T398:AJ398"/>
    <mergeCell ref="AG440:AJ440"/>
    <mergeCell ref="S401:U401"/>
    <mergeCell ref="AG401:AJ401"/>
    <mergeCell ref="AC387:AJ387"/>
    <mergeCell ref="V388:AJ388"/>
    <mergeCell ref="D443:AF443"/>
    <mergeCell ref="AA298:AK298"/>
    <mergeCell ref="AA292:AF292"/>
    <mergeCell ref="H313:R313"/>
    <mergeCell ref="AC456:AF456"/>
    <mergeCell ref="Q393:U393"/>
    <mergeCell ref="AG380:AH380"/>
    <mergeCell ref="M355:N355"/>
    <mergeCell ref="D439:AF439"/>
    <mergeCell ref="AI397:AJ397"/>
    <mergeCell ref="T399:AJ399"/>
    <mergeCell ref="AI339:AK339"/>
    <mergeCell ref="P348:Z348"/>
    <mergeCell ref="N373:AF374"/>
    <mergeCell ref="AJ355:AK355"/>
    <mergeCell ref="AG442:AJ442"/>
    <mergeCell ref="AG377:AH377"/>
    <mergeCell ref="E418:G418"/>
    <mergeCell ref="AD411:AE411"/>
    <mergeCell ref="F427:AH428"/>
    <mergeCell ref="J387:U387"/>
    <mergeCell ref="AA335:AK335"/>
    <mergeCell ref="AC347:AE347"/>
    <mergeCell ref="P343:AE343"/>
    <mergeCell ref="AA340:AF340"/>
    <mergeCell ref="P344:AE344"/>
    <mergeCell ref="AA338:AK338"/>
    <mergeCell ref="H337:R337"/>
    <mergeCell ref="P345:AE345"/>
    <mergeCell ref="R412:S412"/>
    <mergeCell ref="Q429:R429"/>
    <mergeCell ref="D448:AF448"/>
    <mergeCell ref="AG445:AJ445"/>
    <mergeCell ref="J173:S173"/>
    <mergeCell ref="O155:AH155"/>
    <mergeCell ref="O153:AH153"/>
    <mergeCell ref="O154:AH154"/>
    <mergeCell ref="O156:AH156"/>
    <mergeCell ref="O157:X157"/>
    <mergeCell ref="T195:U195"/>
    <mergeCell ref="E187:AE188"/>
    <mergeCell ref="I189:P189"/>
    <mergeCell ref="AH197:AI197"/>
    <mergeCell ref="Z205:AN205"/>
    <mergeCell ref="A222:AT223"/>
    <mergeCell ref="T200:U200"/>
    <mergeCell ref="X198:AT199"/>
    <mergeCell ref="AH194:AI194"/>
    <mergeCell ref="AC220:AQ220"/>
    <mergeCell ref="D205:M205"/>
    <mergeCell ref="J174:AB174"/>
    <mergeCell ref="AC253:AE253"/>
    <mergeCell ref="AH246:AK246"/>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AB276:AD276"/>
    <mergeCell ref="Y278:AD278"/>
    <mergeCell ref="AA295:AK295"/>
    <mergeCell ref="AF259:AK259"/>
    <mergeCell ref="AC261:AE261"/>
    <mergeCell ref="M262:AE262"/>
    <mergeCell ref="AA299:AF299"/>
    <mergeCell ref="AI299:AK299"/>
    <mergeCell ref="H297:R297"/>
    <mergeCell ref="AA300:AF300"/>
    <mergeCell ref="W261:X261"/>
    <mergeCell ref="U263:W263"/>
    <mergeCell ref="M257:T257"/>
    <mergeCell ref="M256:AE256"/>
    <mergeCell ref="A75:AT77"/>
    <mergeCell ref="A79:AT81"/>
    <mergeCell ref="AB215:AL215"/>
    <mergeCell ref="T198:U198"/>
    <mergeCell ref="Q212:R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T199:U199"/>
    <mergeCell ref="AC234:AE234"/>
    <mergeCell ref="D208:M208"/>
    <mergeCell ref="M233:AE233"/>
    <mergeCell ref="N191:AE192"/>
    <mergeCell ref="D211:M211"/>
    <mergeCell ref="AI228:AJ228"/>
    <mergeCell ref="M235:AE235"/>
    <mergeCell ref="I185:AE185"/>
    <mergeCell ref="U236:W236"/>
    <mergeCell ref="T189:AE189"/>
    <mergeCell ref="Y120:AK120"/>
    <mergeCell ref="O160:T160"/>
    <mergeCell ref="AI178:AK178"/>
    <mergeCell ref="M252:AE252"/>
    <mergeCell ref="A86:AT87"/>
    <mergeCell ref="A89:AT90"/>
    <mergeCell ref="A92:AT98"/>
    <mergeCell ref="A100:AT103"/>
    <mergeCell ref="I184:AE184"/>
    <mergeCell ref="Y117:AK117"/>
    <mergeCell ref="T190:AE190"/>
    <mergeCell ref="M232:AK232"/>
    <mergeCell ref="A105:AT106"/>
    <mergeCell ref="L113:O113"/>
    <mergeCell ref="O158:R158"/>
    <mergeCell ref="W159:X159"/>
    <mergeCell ref="A169:AT170"/>
    <mergeCell ref="M249:T249"/>
    <mergeCell ref="Z247:AE247"/>
    <mergeCell ref="W245:X245"/>
    <mergeCell ref="U247:W247"/>
    <mergeCell ref="T196:U196"/>
    <mergeCell ref="D220:Z220"/>
    <mergeCell ref="T193:AI193"/>
    <mergeCell ref="AI227:AJ227"/>
    <mergeCell ref="Y123:AK123"/>
    <mergeCell ref="M237:AE237"/>
    <mergeCell ref="AA249:AK249"/>
    <mergeCell ref="M248:AE248"/>
    <mergeCell ref="P113:S113"/>
    <mergeCell ref="AF243:AK243"/>
    <mergeCell ref="M234:T234"/>
    <mergeCell ref="W234:X234"/>
    <mergeCell ref="T212:U212"/>
    <mergeCell ref="F150:T150"/>
    <mergeCell ref="AF251:AK251"/>
    <mergeCell ref="M244:AE244"/>
    <mergeCell ref="M247:R247"/>
    <mergeCell ref="O159:T159"/>
    <mergeCell ref="T278:V278"/>
    <mergeCell ref="P291:R291"/>
    <mergeCell ref="AA287:AK287"/>
    <mergeCell ref="P205:U205"/>
    <mergeCell ref="M239:AE239"/>
    <mergeCell ref="AF178:AG178"/>
    <mergeCell ref="I190:N190"/>
    <mergeCell ref="M245:T245"/>
    <mergeCell ref="M246:AE246"/>
    <mergeCell ref="AC245:AE245"/>
    <mergeCell ref="X176:Y176"/>
    <mergeCell ref="L279:AD279"/>
    <mergeCell ref="AI226:AJ226"/>
    <mergeCell ref="Z255:AE255"/>
    <mergeCell ref="M255:R255"/>
    <mergeCell ref="A282:AT283"/>
    <mergeCell ref="AA238:AK238"/>
    <mergeCell ref="M251:AE251"/>
    <mergeCell ref="X180:Y180"/>
    <mergeCell ref="AP205:AQ205"/>
    <mergeCell ref="AI229:AJ229"/>
    <mergeCell ref="U175:V175"/>
    <mergeCell ref="R177:S177"/>
    <mergeCell ref="M243:AE243"/>
    <mergeCell ref="D204:M204"/>
    <mergeCell ref="M238:T238"/>
    <mergeCell ref="T197:U197"/>
    <mergeCell ref="W253:X253"/>
    <mergeCell ref="AA331:AF331"/>
    <mergeCell ref="P315:R315"/>
    <mergeCell ref="N363:O363"/>
    <mergeCell ref="AA337:AK337"/>
    <mergeCell ref="H327:R327"/>
    <mergeCell ref="H306:R306"/>
    <mergeCell ref="AA304:AK304"/>
    <mergeCell ref="AA309:AK309"/>
    <mergeCell ref="AA307:AF307"/>
    <mergeCell ref="AA305:AK305"/>
    <mergeCell ref="AA317:AK317"/>
    <mergeCell ref="AA332:AF332"/>
    <mergeCell ref="AA328:AK328"/>
    <mergeCell ref="AA327:AK327"/>
    <mergeCell ref="H332:M332"/>
    <mergeCell ref="AI315:AK315"/>
    <mergeCell ref="AA312:AK312"/>
    <mergeCell ref="AA329:AK329"/>
    <mergeCell ref="AA321:AK321"/>
    <mergeCell ref="H325:R325"/>
    <mergeCell ref="H307:M307"/>
    <mergeCell ref="H329:R329"/>
    <mergeCell ref="H330:R330"/>
    <mergeCell ref="P331:R331"/>
    <mergeCell ref="AA324:AF324"/>
    <mergeCell ref="H328:R328"/>
    <mergeCell ref="AI323:AK323"/>
    <mergeCell ref="AA320:AK320"/>
    <mergeCell ref="H317:R317"/>
    <mergeCell ref="P323:R323"/>
    <mergeCell ref="AA315:AF315"/>
    <mergeCell ref="P349:AE349"/>
    <mergeCell ref="AA308:AF308"/>
    <mergeCell ref="M254:AE254"/>
    <mergeCell ref="AA290:AK290"/>
    <mergeCell ref="AH262:AK262"/>
    <mergeCell ref="T267:X267"/>
    <mergeCell ref="AA319:AK319"/>
    <mergeCell ref="AA291:AF291"/>
    <mergeCell ref="AI291:AK291"/>
    <mergeCell ref="AA323:AF323"/>
    <mergeCell ref="H320:R320"/>
    <mergeCell ref="H296:R296"/>
    <mergeCell ref="H323:M323"/>
    <mergeCell ref="AA330:AK330"/>
    <mergeCell ref="H324:M324"/>
    <mergeCell ref="AA325:AK325"/>
    <mergeCell ref="H315:M315"/>
    <mergeCell ref="H321:R321"/>
    <mergeCell ref="H322:R322"/>
    <mergeCell ref="L276:S276"/>
    <mergeCell ref="L278:Q278"/>
    <mergeCell ref="AA289:AK289"/>
    <mergeCell ref="AH254:AK254"/>
    <mergeCell ref="M259:AE259"/>
    <mergeCell ref="AA293:AK293"/>
    <mergeCell ref="L280:AD280"/>
    <mergeCell ref="L275:AD275"/>
    <mergeCell ref="H290:R290"/>
    <mergeCell ref="V276:W276"/>
    <mergeCell ref="AA301:AK301"/>
    <mergeCell ref="AA296:AK296"/>
    <mergeCell ref="H301:R301"/>
    <mergeCell ref="L277:AD277"/>
    <mergeCell ref="P339:R339"/>
    <mergeCell ref="AA341:AK341"/>
    <mergeCell ref="E368:AH369"/>
    <mergeCell ref="Q365:AG365"/>
    <mergeCell ref="H340:M340"/>
    <mergeCell ref="S402:U402"/>
    <mergeCell ref="AA339:AF339"/>
    <mergeCell ref="S489:AK490"/>
    <mergeCell ref="M263:R263"/>
    <mergeCell ref="M265:T265"/>
    <mergeCell ref="AA314:AK314"/>
    <mergeCell ref="AA313:AK313"/>
    <mergeCell ref="H319:R319"/>
    <mergeCell ref="AA316:AF316"/>
    <mergeCell ref="AA297:AK297"/>
    <mergeCell ref="H288:R288"/>
    <mergeCell ref="M253:T253"/>
    <mergeCell ref="L274:AJ274"/>
    <mergeCell ref="H289:R289"/>
    <mergeCell ref="H291:M291"/>
    <mergeCell ref="H299:M299"/>
    <mergeCell ref="H300:M300"/>
    <mergeCell ref="AA257:AK257"/>
    <mergeCell ref="M260:AE260"/>
    <mergeCell ref="AA265:AK265"/>
    <mergeCell ref="H295:R295"/>
    <mergeCell ref="M261:T261"/>
    <mergeCell ref="H298:R298"/>
    <mergeCell ref="H312:R312"/>
    <mergeCell ref="AI307:AK307"/>
    <mergeCell ref="H304:R304"/>
    <mergeCell ref="H303:R303"/>
    <mergeCell ref="P424:Q424"/>
    <mergeCell ref="AC521:AF521"/>
    <mergeCell ref="AH527:AK527"/>
    <mergeCell ref="AC517:AF517"/>
    <mergeCell ref="D473:V473"/>
    <mergeCell ref="AC504:AF504"/>
    <mergeCell ref="D470:V470"/>
    <mergeCell ref="D438:AF438"/>
    <mergeCell ref="H314:R314"/>
    <mergeCell ref="H316:M316"/>
    <mergeCell ref="AA322:AK322"/>
    <mergeCell ref="H292:M292"/>
    <mergeCell ref="H309:R309"/>
    <mergeCell ref="O529:AA529"/>
    <mergeCell ref="AH533:AK533"/>
    <mergeCell ref="M356:N356"/>
    <mergeCell ref="B520:H542"/>
    <mergeCell ref="Z432:AA432"/>
    <mergeCell ref="Q487:AK487"/>
    <mergeCell ref="Q486:AK486"/>
    <mergeCell ref="AH502:AK502"/>
    <mergeCell ref="AC499:AK499"/>
    <mergeCell ref="W468:Y468"/>
    <mergeCell ref="B503:H508"/>
    <mergeCell ref="D450:AF450"/>
    <mergeCell ref="N370:Q370"/>
    <mergeCell ref="AH500:AK500"/>
    <mergeCell ref="H331:M331"/>
    <mergeCell ref="H341:R341"/>
    <mergeCell ref="H335:R335"/>
    <mergeCell ref="AA333:AK333"/>
    <mergeCell ref="H339:M339"/>
    <mergeCell ref="D469:V469"/>
    <mergeCell ref="W473:Y473"/>
    <mergeCell ref="Q394:U394"/>
    <mergeCell ref="AD412:AE412"/>
    <mergeCell ref="H414:AE415"/>
    <mergeCell ref="AE425:AF425"/>
    <mergeCell ref="T556:V556"/>
    <mergeCell ref="AC520:AF520"/>
    <mergeCell ref="AC527:AF527"/>
    <mergeCell ref="W551:Y553"/>
    <mergeCell ref="AH521:AK521"/>
    <mergeCell ref="AC530:AF530"/>
    <mergeCell ref="Z555:AD555"/>
    <mergeCell ref="O535:AA535"/>
    <mergeCell ref="AH523:AK523"/>
    <mergeCell ref="AE554:AH554"/>
    <mergeCell ref="I421:K421"/>
    <mergeCell ref="AH524:AK524"/>
    <mergeCell ref="AH525:AK525"/>
    <mergeCell ref="P418:R418"/>
    <mergeCell ref="Q492:AK492"/>
    <mergeCell ref="AF418:AH418"/>
    <mergeCell ref="AC528:AF528"/>
    <mergeCell ref="C554:L554"/>
    <mergeCell ref="D446:AF446"/>
    <mergeCell ref="D447:AF447"/>
    <mergeCell ref="W466:Y466"/>
    <mergeCell ref="AG446:AJ446"/>
    <mergeCell ref="W467:Y467"/>
    <mergeCell ref="W470:Y470"/>
    <mergeCell ref="D471:V471"/>
    <mergeCell ref="O532:AA532"/>
    <mergeCell ref="B551:L553"/>
    <mergeCell ref="Z559:AD559"/>
    <mergeCell ref="Z562:AD562"/>
    <mergeCell ref="AH505:AK505"/>
    <mergeCell ref="AA336:AK336"/>
    <mergeCell ref="H333:R333"/>
    <mergeCell ref="Q493:AK493"/>
    <mergeCell ref="AC502:AF502"/>
    <mergeCell ref="B514:H516"/>
    <mergeCell ref="B517:H519"/>
    <mergeCell ref="D406:AJ407"/>
    <mergeCell ref="D445:AF445"/>
    <mergeCell ref="D451:AJ452"/>
    <mergeCell ref="Q558:S558"/>
    <mergeCell ref="AH512:AK512"/>
    <mergeCell ref="M557:P557"/>
    <mergeCell ref="AH520:AK520"/>
    <mergeCell ref="AC537:AF537"/>
    <mergeCell ref="O526:AA526"/>
    <mergeCell ref="AC529:AF529"/>
    <mergeCell ref="AH530:AK530"/>
    <mergeCell ref="Z556:AD556"/>
    <mergeCell ref="AI555:AL555"/>
    <mergeCell ref="T558:V558"/>
    <mergeCell ref="W561:Y561"/>
    <mergeCell ref="W562:Y562"/>
    <mergeCell ref="AI556:AL556"/>
    <mergeCell ref="T559:V559"/>
    <mergeCell ref="T557:V557"/>
    <mergeCell ref="Q389:U389"/>
    <mergeCell ref="AJ357:AK357"/>
    <mergeCell ref="D444:AF444"/>
    <mergeCell ref="Z569:AK569"/>
    <mergeCell ref="N607:O607"/>
    <mergeCell ref="G593:R593"/>
    <mergeCell ref="G605:L605"/>
    <mergeCell ref="H606:R606"/>
    <mergeCell ref="AI597:AK597"/>
    <mergeCell ref="C565:L565"/>
    <mergeCell ref="W558:Y558"/>
    <mergeCell ref="AE558:AH558"/>
    <mergeCell ref="C557:L557"/>
    <mergeCell ref="Z570:AK570"/>
    <mergeCell ref="T565:V565"/>
    <mergeCell ref="C560:L560"/>
    <mergeCell ref="Z560:AD560"/>
    <mergeCell ref="AI563:AL563"/>
    <mergeCell ref="Z563:AD563"/>
    <mergeCell ref="T560:V560"/>
    <mergeCell ref="G570:R570"/>
    <mergeCell ref="Z561:AD561"/>
    <mergeCell ref="G586:R586"/>
    <mergeCell ref="W560:Y560"/>
    <mergeCell ref="P572:R572"/>
    <mergeCell ref="AI605:AK605"/>
    <mergeCell ref="G604:R604"/>
    <mergeCell ref="G577:R577"/>
    <mergeCell ref="AK624:AN626"/>
    <mergeCell ref="AG599:AH599"/>
    <mergeCell ref="G595:R595"/>
    <mergeCell ref="G596:R596"/>
    <mergeCell ref="H614:R614"/>
    <mergeCell ref="G613:L613"/>
    <mergeCell ref="Z577:AK577"/>
    <mergeCell ref="AF574:AK574"/>
    <mergeCell ref="Z585:AK585"/>
    <mergeCell ref="G579:R579"/>
    <mergeCell ref="G594:R594"/>
    <mergeCell ref="Z594:AK594"/>
    <mergeCell ref="Z610:AK610"/>
    <mergeCell ref="AF628:AJ628"/>
    <mergeCell ref="N599:O599"/>
    <mergeCell ref="AA590:AK590"/>
    <mergeCell ref="AI589:AK589"/>
    <mergeCell ref="Z596:AK596"/>
    <mergeCell ref="H598:R598"/>
    <mergeCell ref="AG583:AH583"/>
    <mergeCell ref="G588:R588"/>
    <mergeCell ref="Z580:AK580"/>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J794:N794"/>
    <mergeCell ref="J789:N789"/>
    <mergeCell ref="X795:AB795"/>
    <mergeCell ref="Z813:AE813"/>
    <mergeCell ref="C798:AN799"/>
    <mergeCell ref="J793:N793"/>
    <mergeCell ref="G752:J752"/>
    <mergeCell ref="Y801:AC801"/>
    <mergeCell ref="Y800:AC800"/>
    <mergeCell ref="T741:W741"/>
    <mergeCell ref="AC796:AG796"/>
    <mergeCell ref="AC788:AG788"/>
    <mergeCell ref="G738:J738"/>
    <mergeCell ref="O783:S786"/>
    <mergeCell ref="M825:P825"/>
    <mergeCell ref="AK746:AO746"/>
    <mergeCell ref="O735:S735"/>
    <mergeCell ref="T738:W738"/>
    <mergeCell ref="C825:H825"/>
    <mergeCell ref="G727:J727"/>
    <mergeCell ref="N673:O673"/>
    <mergeCell ref="G687:L687"/>
    <mergeCell ref="T722:W722"/>
    <mergeCell ref="K729:N729"/>
    <mergeCell ref="Z677:AK677"/>
    <mergeCell ref="B718:F718"/>
    <mergeCell ref="G720:J720"/>
    <mergeCell ref="B721:F721"/>
    <mergeCell ref="B753:F753"/>
    <mergeCell ref="O752:S752"/>
    <mergeCell ref="AH726:AJ726"/>
    <mergeCell ref="O718:S718"/>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U826:X826"/>
    <mergeCell ref="X794:AB794"/>
    <mergeCell ref="O714:S717"/>
    <mergeCell ref="M828:P828"/>
    <mergeCell ref="J779:K779"/>
    <mergeCell ref="J787:N787"/>
    <mergeCell ref="C829:H829"/>
    <mergeCell ref="U829:X829"/>
    <mergeCell ref="X752:AB752"/>
    <mergeCell ref="Q828:T828"/>
    <mergeCell ref="T728:W728"/>
    <mergeCell ref="AC740:AG740"/>
    <mergeCell ref="AC741:AG741"/>
    <mergeCell ref="AC737:AG737"/>
    <mergeCell ref="J769:N772"/>
    <mergeCell ref="AG823:AJ824"/>
    <mergeCell ref="AC797:AG797"/>
    <mergeCell ref="AC787:AG787"/>
    <mergeCell ref="AC753:AG753"/>
    <mergeCell ref="O753:S753"/>
    <mergeCell ref="AC742:AG742"/>
    <mergeCell ref="AC743:AG743"/>
    <mergeCell ref="AC744:AG744"/>
    <mergeCell ref="AC745:AG745"/>
    <mergeCell ref="AC746:AG746"/>
    <mergeCell ref="AC826:AF826"/>
    <mergeCell ref="AC827:AF827"/>
    <mergeCell ref="B734:F734"/>
    <mergeCell ref="X789:AB789"/>
    <mergeCell ref="O788:S788"/>
    <mergeCell ref="C828:H828"/>
    <mergeCell ref="Q829:T829"/>
    <mergeCell ref="T791:W791"/>
    <mergeCell ref="T787:W787"/>
    <mergeCell ref="T788:W788"/>
    <mergeCell ref="T789:W789"/>
    <mergeCell ref="AZ851:BA851"/>
    <mergeCell ref="AC890:AH890"/>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AC777:AG777"/>
    <mergeCell ref="T794:W794"/>
    <mergeCell ref="T792:W792"/>
    <mergeCell ref="O777:S777"/>
    <mergeCell ref="X788:AB788"/>
    <mergeCell ref="O797:S797"/>
    <mergeCell ref="Q827:T827"/>
    <mergeCell ref="O793:S793"/>
    <mergeCell ref="J790:N790"/>
    <mergeCell ref="AC789:AG789"/>
    <mergeCell ref="AC790:AG790"/>
    <mergeCell ref="Z818:AE818"/>
    <mergeCell ref="T795:W795"/>
    <mergeCell ref="T776:W776"/>
    <mergeCell ref="T774:W774"/>
    <mergeCell ref="F930:T930"/>
    <mergeCell ref="F931:T931"/>
    <mergeCell ref="U936:Z936"/>
    <mergeCell ref="F944:T944"/>
    <mergeCell ref="U944:Z944"/>
    <mergeCell ref="F940:T940"/>
    <mergeCell ref="U939:Z939"/>
    <mergeCell ref="U940:Z940"/>
    <mergeCell ref="AA938:AF938"/>
    <mergeCell ref="U923:Z923"/>
    <mergeCell ref="BD902:BE902"/>
    <mergeCell ref="BD900:BE900"/>
    <mergeCell ref="W875:AC875"/>
    <mergeCell ref="T858:V858"/>
    <mergeCell ref="T860:V860"/>
    <mergeCell ref="W867:AC867"/>
    <mergeCell ref="W862:AC862"/>
    <mergeCell ref="M876:V876"/>
    <mergeCell ref="W868:AC868"/>
    <mergeCell ref="AC893:AH893"/>
    <mergeCell ref="W872:AC872"/>
    <mergeCell ref="AC884:AH884"/>
    <mergeCell ref="M875:V875"/>
    <mergeCell ref="W877:AC877"/>
    <mergeCell ref="W871:AC871"/>
    <mergeCell ref="BD899:BE899"/>
    <mergeCell ref="BD901:BE901"/>
    <mergeCell ref="AC886:AH886"/>
    <mergeCell ref="AA931:AF931"/>
    <mergeCell ref="U932:Z932"/>
    <mergeCell ref="AA932:AF932"/>
    <mergeCell ref="F938:T938"/>
    <mergeCell ref="Q832:T832"/>
    <mergeCell ref="AG830:AJ830"/>
    <mergeCell ref="U832:X832"/>
    <mergeCell ref="M832:P832"/>
    <mergeCell ref="W866:AC866"/>
    <mergeCell ref="W859:AC859"/>
    <mergeCell ref="W849:AC849"/>
    <mergeCell ref="M877:V877"/>
    <mergeCell ref="W869:AC869"/>
    <mergeCell ref="W842:AC842"/>
    <mergeCell ref="W847:AC847"/>
    <mergeCell ref="W876:AC876"/>
    <mergeCell ref="M861:V861"/>
    <mergeCell ref="W845:AC845"/>
    <mergeCell ref="M846:V846"/>
    <mergeCell ref="J849:V849"/>
    <mergeCell ref="W846:AC846"/>
    <mergeCell ref="M830:P830"/>
    <mergeCell ref="C832:L832"/>
    <mergeCell ref="W857:AC857"/>
    <mergeCell ref="M874:V874"/>
    <mergeCell ref="Y831:AB831"/>
    <mergeCell ref="W851:AC851"/>
    <mergeCell ref="W855:AC855"/>
    <mergeCell ref="W852:AC852"/>
    <mergeCell ref="W854:AC854"/>
    <mergeCell ref="W874:AC874"/>
    <mergeCell ref="C837:AJ837"/>
    <mergeCell ref="F946:H946"/>
    <mergeCell ref="AA967:AG967"/>
    <mergeCell ref="F926:T926"/>
    <mergeCell ref="F927:T927"/>
    <mergeCell ref="F928:T928"/>
    <mergeCell ref="U926:Z926"/>
    <mergeCell ref="AA926:AF926"/>
    <mergeCell ref="U927:Z927"/>
    <mergeCell ref="AA927:AF927"/>
    <mergeCell ref="F929:T929"/>
    <mergeCell ref="AC887:AH887"/>
    <mergeCell ref="AE956:AK956"/>
    <mergeCell ref="BD904:BE904"/>
    <mergeCell ref="BD906:BF906"/>
    <mergeCell ref="BD905:BF905"/>
    <mergeCell ref="BD910:BE910"/>
    <mergeCell ref="BD903:BE903"/>
    <mergeCell ref="AC889:AH889"/>
    <mergeCell ref="AC894:AH894"/>
    <mergeCell ref="Z899:AE899"/>
    <mergeCell ref="AC888:AH888"/>
    <mergeCell ref="F937:T937"/>
    <mergeCell ref="U937:Z937"/>
    <mergeCell ref="AA937:AF937"/>
    <mergeCell ref="F942:T942"/>
    <mergeCell ref="U942:Z942"/>
    <mergeCell ref="AA942:AF942"/>
    <mergeCell ref="C892:AB892"/>
    <mergeCell ref="U924:Z924"/>
    <mergeCell ref="U933:Z933"/>
    <mergeCell ref="U934:Z934"/>
    <mergeCell ref="P945:T945"/>
    <mergeCell ref="O795:S795"/>
    <mergeCell ref="AC791:AG791"/>
    <mergeCell ref="T796:W796"/>
    <mergeCell ref="AA944:AF944"/>
    <mergeCell ref="M637:P637"/>
    <mergeCell ref="M638:P638"/>
    <mergeCell ref="W638:Y638"/>
    <mergeCell ref="Z654:AK654"/>
    <mergeCell ref="P647:R647"/>
    <mergeCell ref="AI647:AK647"/>
    <mergeCell ref="G654:R654"/>
    <mergeCell ref="G653:R653"/>
    <mergeCell ref="AE696:AI696"/>
    <mergeCell ref="K718:N718"/>
    <mergeCell ref="G718:J718"/>
    <mergeCell ref="G670:R670"/>
    <mergeCell ref="Z669:AK669"/>
    <mergeCell ref="E707:AK707"/>
    <mergeCell ref="W706:AK706"/>
    <mergeCell ref="AH749:AJ749"/>
    <mergeCell ref="AH739:AJ739"/>
    <mergeCell ref="AH740:AJ740"/>
    <mergeCell ref="W843:AC843"/>
    <mergeCell ref="AA928:AF928"/>
    <mergeCell ref="O730:S730"/>
    <mergeCell ref="AA936:AF936"/>
    <mergeCell ref="U943:Z943"/>
    <mergeCell ref="U941:Z941"/>
    <mergeCell ref="AA943:AF943"/>
    <mergeCell ref="AC885:AH885"/>
    <mergeCell ref="W861:AC861"/>
    <mergeCell ref="C895:AB895"/>
    <mergeCell ref="T742:W742"/>
    <mergeCell ref="X745:AB745"/>
    <mergeCell ref="X746:AB746"/>
    <mergeCell ref="K724:N724"/>
    <mergeCell ref="AI655:AK655"/>
    <mergeCell ref="G662:R662"/>
    <mergeCell ref="AG681:AH681"/>
    <mergeCell ref="AI687:AK687"/>
    <mergeCell ref="J705:O705"/>
    <mergeCell ref="Z655:AE655"/>
    <mergeCell ref="B736:F736"/>
    <mergeCell ref="B733:F733"/>
    <mergeCell ref="B731:F731"/>
    <mergeCell ref="B730:F730"/>
    <mergeCell ref="G683:R683"/>
    <mergeCell ref="N681:O681"/>
    <mergeCell ref="X719:AB719"/>
    <mergeCell ref="G686:R686"/>
    <mergeCell ref="N689:O689"/>
    <mergeCell ref="G678:R678"/>
    <mergeCell ref="P679:R679"/>
    <mergeCell ref="G661:R661"/>
    <mergeCell ref="B720:F720"/>
    <mergeCell ref="B722:F722"/>
    <mergeCell ref="AG673:AH673"/>
    <mergeCell ref="B728:F728"/>
    <mergeCell ref="B725:F725"/>
    <mergeCell ref="B724:F724"/>
    <mergeCell ref="B727:F727"/>
    <mergeCell ref="H680:R680"/>
    <mergeCell ref="Z668:AK668"/>
    <mergeCell ref="G676:R676"/>
    <mergeCell ref="CK746:CL746"/>
    <mergeCell ref="CM746:CN746"/>
    <mergeCell ref="CG739:CH739"/>
    <mergeCell ref="CG740:CH740"/>
    <mergeCell ref="CK737:CL737"/>
    <mergeCell ref="CG732:CH732"/>
    <mergeCell ref="CP734:CT734"/>
    <mergeCell ref="G644:R644"/>
    <mergeCell ref="P655:R655"/>
    <mergeCell ref="K737:N737"/>
    <mergeCell ref="J704:X704"/>
    <mergeCell ref="K720:N720"/>
    <mergeCell ref="T714:W717"/>
    <mergeCell ref="H664:R664"/>
    <mergeCell ref="AA648:AK648"/>
    <mergeCell ref="AK637:AN637"/>
    <mergeCell ref="CM724:CN724"/>
    <mergeCell ref="CG741:CH741"/>
    <mergeCell ref="CI741:CJ741"/>
    <mergeCell ref="CK744:CL744"/>
    <mergeCell ref="CM744:CN744"/>
    <mergeCell ref="AK727:AO727"/>
    <mergeCell ref="AH724:AJ724"/>
    <mergeCell ref="CG738:CH738"/>
    <mergeCell ref="CK739:CL739"/>
    <mergeCell ref="N657:O657"/>
    <mergeCell ref="Z660:AK660"/>
    <mergeCell ref="G663:L663"/>
    <mergeCell ref="T732:W732"/>
    <mergeCell ref="T731:W731"/>
    <mergeCell ref="N649:O649"/>
    <mergeCell ref="AH719:AJ719"/>
    <mergeCell ref="CP751:CT751"/>
    <mergeCell ref="CM751:CN751"/>
    <mergeCell ref="CZ725:DD725"/>
    <mergeCell ref="DE722:DI722"/>
    <mergeCell ref="K725:N725"/>
    <mergeCell ref="X720:AB720"/>
    <mergeCell ref="CM735:CN735"/>
    <mergeCell ref="K751:N751"/>
    <mergeCell ref="O751:S751"/>
    <mergeCell ref="CM720:CN720"/>
    <mergeCell ref="CP720:CT720"/>
    <mergeCell ref="CI720:CJ720"/>
    <mergeCell ref="CU720:CY720"/>
    <mergeCell ref="CU723:CY723"/>
    <mergeCell ref="CM722:CN722"/>
    <mergeCell ref="CG722:CH722"/>
    <mergeCell ref="DE727:DI727"/>
    <mergeCell ref="CZ741:DD741"/>
    <mergeCell ref="AC736:AG736"/>
    <mergeCell ref="CG729:CH729"/>
    <mergeCell ref="CG723:CH723"/>
    <mergeCell ref="CG720:CH720"/>
    <mergeCell ref="CU733:CY733"/>
    <mergeCell ref="CZ740:DD740"/>
    <mergeCell ref="CU741:CY741"/>
    <mergeCell ref="CZ739:DD739"/>
    <mergeCell ref="CK734:CL734"/>
    <mergeCell ref="CM734:CN734"/>
    <mergeCell ref="CK738:CL738"/>
    <mergeCell ref="CI731:CJ731"/>
    <mergeCell ref="CI728:CJ728"/>
    <mergeCell ref="CP725:CT725"/>
    <mergeCell ref="CU740:CY740"/>
    <mergeCell ref="CI739:CJ739"/>
    <mergeCell ref="CK725:CL725"/>
    <mergeCell ref="CP723:CT723"/>
    <mergeCell ref="CU727:CY727"/>
    <mergeCell ref="CK724:CL724"/>
    <mergeCell ref="DE730:DI730"/>
    <mergeCell ref="CM730:CN730"/>
    <mergeCell ref="CK727:CL727"/>
    <mergeCell ref="CG742:CH742"/>
    <mergeCell ref="CG743:CH743"/>
    <mergeCell ref="CK741:CL741"/>
    <mergeCell ref="CM741:CN741"/>
    <mergeCell ref="CP724:CT724"/>
    <mergeCell ref="CP727:CT727"/>
    <mergeCell ref="CI727:CJ727"/>
    <mergeCell ref="CZ735:DD735"/>
    <mergeCell ref="CU734:CY734"/>
    <mergeCell ref="CP736:CT736"/>
    <mergeCell ref="CM737:CN737"/>
    <mergeCell ref="CU737:CY737"/>
    <mergeCell ref="CZ738:DD738"/>
    <mergeCell ref="CM736:CN736"/>
    <mergeCell ref="CI738:CJ738"/>
    <mergeCell ref="CP741:CT741"/>
    <mergeCell ref="CZ723:DD723"/>
    <mergeCell ref="DE731:DI731"/>
    <mergeCell ref="CI723:CJ723"/>
    <mergeCell ref="DE739:DI739"/>
    <mergeCell ref="CP728:CT728"/>
    <mergeCell ref="CU728:CY728"/>
    <mergeCell ref="CK732:CL732"/>
    <mergeCell ref="DJ737:DN737"/>
    <mergeCell ref="DJ735:DN735"/>
    <mergeCell ref="CG727:CH727"/>
    <mergeCell ref="CZ728:DD728"/>
    <mergeCell ref="CU730:CY730"/>
    <mergeCell ref="CK728:CL728"/>
    <mergeCell ref="CZ731:DD731"/>
    <mergeCell ref="CK731:CL731"/>
    <mergeCell ref="CK729:CL729"/>
    <mergeCell ref="DE737:DI737"/>
    <mergeCell ref="DJ727:DN727"/>
    <mergeCell ref="DJ726:DN726"/>
    <mergeCell ref="CU724:CY724"/>
    <mergeCell ref="CU725:CY725"/>
    <mergeCell ref="CI725:CJ725"/>
    <mergeCell ref="CP730:CT730"/>
    <mergeCell ref="CU731:CY731"/>
    <mergeCell ref="CI726:CJ726"/>
    <mergeCell ref="CG726:CH726"/>
    <mergeCell ref="CM727:CN727"/>
    <mergeCell ref="CK726:CL726"/>
    <mergeCell ref="DE732:DI732"/>
    <mergeCell ref="CM732:CN732"/>
    <mergeCell ref="DJ725:DN725"/>
    <mergeCell ref="DE725:DI725"/>
    <mergeCell ref="CP726:CT726"/>
    <mergeCell ref="DE729:DI729"/>
    <mergeCell ref="CG735:CH735"/>
    <mergeCell ref="CI737:CJ737"/>
    <mergeCell ref="DE726:DI726"/>
    <mergeCell ref="CZ724:DD724"/>
    <mergeCell ref="CU736:CY736"/>
    <mergeCell ref="DE734:DI734"/>
    <mergeCell ref="CG737:CH737"/>
    <mergeCell ref="CZ729:DD729"/>
    <mergeCell ref="CG733:CH733"/>
    <mergeCell ref="CI734:CJ734"/>
    <mergeCell ref="CI719:CJ719"/>
    <mergeCell ref="CZ727:DD727"/>
    <mergeCell ref="CP719:CT719"/>
    <mergeCell ref="CM733:CN733"/>
    <mergeCell ref="CI733:CJ733"/>
    <mergeCell ref="CG719:CH719"/>
    <mergeCell ref="CI721:CJ721"/>
    <mergeCell ref="CP737:CT737"/>
    <mergeCell ref="CZ734:DD734"/>
    <mergeCell ref="CI735:CJ735"/>
    <mergeCell ref="DE728:DI728"/>
    <mergeCell ref="CU729:CY729"/>
    <mergeCell ref="CP733:CT733"/>
    <mergeCell ref="CK735:CL735"/>
    <mergeCell ref="CP732:CT732"/>
    <mergeCell ref="CM729:CN729"/>
    <mergeCell ref="CM723:CN723"/>
    <mergeCell ref="CM725:CN725"/>
    <mergeCell ref="CK730:CL730"/>
    <mergeCell ref="CP731:CT731"/>
    <mergeCell ref="CI729:CJ729"/>
    <mergeCell ref="CP729:CT729"/>
    <mergeCell ref="CU722:CY722"/>
    <mergeCell ref="CZ722:DD722"/>
    <mergeCell ref="CM739:CN739"/>
    <mergeCell ref="M634:P634"/>
    <mergeCell ref="Z661:AK661"/>
    <mergeCell ref="Q634:S634"/>
    <mergeCell ref="AK636:AN636"/>
    <mergeCell ref="C637:L637"/>
    <mergeCell ref="G679:L679"/>
    <mergeCell ref="Z662:AK662"/>
    <mergeCell ref="G651:R651"/>
    <mergeCell ref="G652:R652"/>
    <mergeCell ref="G610:R610"/>
    <mergeCell ref="A617:AT618"/>
    <mergeCell ref="B624:L626"/>
    <mergeCell ref="Z613:AE613"/>
    <mergeCell ref="AC629:AE629"/>
    <mergeCell ref="AO633:AS633"/>
    <mergeCell ref="G677:R677"/>
    <mergeCell ref="Z678:AK678"/>
    <mergeCell ref="CK736:CL736"/>
    <mergeCell ref="M627:P627"/>
    <mergeCell ref="M629:P629"/>
    <mergeCell ref="W624:Y626"/>
    <mergeCell ref="W628:Y628"/>
    <mergeCell ref="P663:R663"/>
    <mergeCell ref="X728:AB728"/>
    <mergeCell ref="O719:S719"/>
    <mergeCell ref="AO640:AS640"/>
    <mergeCell ref="W636:Y636"/>
    <mergeCell ref="CI717:CJ717"/>
    <mergeCell ref="AA680:AK680"/>
    <mergeCell ref="Q638:S638"/>
    <mergeCell ref="H648:R648"/>
    <mergeCell ref="M358:N358"/>
    <mergeCell ref="Z578:AK578"/>
    <mergeCell ref="AH519:AK519"/>
    <mergeCell ref="AH536:AK536"/>
    <mergeCell ref="AG448:AJ448"/>
    <mergeCell ref="AH528:AK528"/>
    <mergeCell ref="M559:P559"/>
    <mergeCell ref="C564:L564"/>
    <mergeCell ref="M564:P564"/>
    <mergeCell ref="W554:Y554"/>
    <mergeCell ref="W555:Y555"/>
    <mergeCell ref="Z558:AD558"/>
    <mergeCell ref="M562:P562"/>
    <mergeCell ref="M563:P563"/>
    <mergeCell ref="AI561:AL561"/>
    <mergeCell ref="Q564:S564"/>
    <mergeCell ref="AE561:AH561"/>
    <mergeCell ref="M560:P560"/>
    <mergeCell ref="Q563:S563"/>
    <mergeCell ref="AI565:AL565"/>
    <mergeCell ref="AE562:AH562"/>
    <mergeCell ref="Q562:S562"/>
    <mergeCell ref="G568:R568"/>
    <mergeCell ref="M574:R574"/>
    <mergeCell ref="AH501:AK501"/>
    <mergeCell ref="G474:V474"/>
    <mergeCell ref="AH526:AK526"/>
    <mergeCell ref="M561:P561"/>
    <mergeCell ref="R411:S411"/>
    <mergeCell ref="W556:Y556"/>
    <mergeCell ref="C561:L561"/>
    <mergeCell ref="Q556:S556"/>
    <mergeCell ref="M636:P636"/>
    <mergeCell ref="AA664:AK664"/>
    <mergeCell ref="T635:V635"/>
    <mergeCell ref="T636:V636"/>
    <mergeCell ref="T637:V637"/>
    <mergeCell ref="O722:S722"/>
    <mergeCell ref="W563:Y563"/>
    <mergeCell ref="Z595:AK595"/>
    <mergeCell ref="G603:R603"/>
    <mergeCell ref="P597:R597"/>
    <mergeCell ref="G597:L597"/>
    <mergeCell ref="G602:R602"/>
    <mergeCell ref="W564:Y564"/>
    <mergeCell ref="W565:Y565"/>
    <mergeCell ref="AO632:AS632"/>
    <mergeCell ref="M554:P554"/>
    <mergeCell ref="W465:Y465"/>
    <mergeCell ref="Z635:AB635"/>
    <mergeCell ref="G609:R609"/>
    <mergeCell ref="N615:O615"/>
    <mergeCell ref="M628:P628"/>
    <mergeCell ref="M633:P633"/>
    <mergeCell ref="Z605:AE605"/>
    <mergeCell ref="Z609:AK609"/>
    <mergeCell ref="AC632:AE632"/>
    <mergeCell ref="H672:R672"/>
    <mergeCell ref="AA606:AK606"/>
    <mergeCell ref="P605:R605"/>
    <mergeCell ref="C628:L628"/>
    <mergeCell ref="W633:Y633"/>
    <mergeCell ref="Z630:AB630"/>
    <mergeCell ref="Z603:AK603"/>
    <mergeCell ref="T630:V630"/>
    <mergeCell ref="T631:V631"/>
    <mergeCell ref="AC628:AE628"/>
    <mergeCell ref="C629:L629"/>
    <mergeCell ref="T629:V629"/>
    <mergeCell ref="AO631:AS631"/>
    <mergeCell ref="AM558:AS558"/>
    <mergeCell ref="AM566:AS566"/>
    <mergeCell ref="Q632:S632"/>
    <mergeCell ref="AM562:AS562"/>
    <mergeCell ref="Q624:S626"/>
    <mergeCell ref="G572:L572"/>
    <mergeCell ref="Z581:AE581"/>
    <mergeCell ref="Z586:AK586"/>
    <mergeCell ref="M565:P565"/>
    <mergeCell ref="T563:V563"/>
    <mergeCell ref="Z564:AD564"/>
    <mergeCell ref="Z565:AD565"/>
    <mergeCell ref="Z572:AE572"/>
    <mergeCell ref="AI562:AL562"/>
    <mergeCell ref="Z589:AE589"/>
    <mergeCell ref="G585:R585"/>
    <mergeCell ref="AG575:AH575"/>
    <mergeCell ref="Z568:AK568"/>
    <mergeCell ref="Z571:AK571"/>
    <mergeCell ref="AI564:AL564"/>
    <mergeCell ref="T561:V561"/>
    <mergeCell ref="Q630:S630"/>
    <mergeCell ref="G589:L589"/>
    <mergeCell ref="G569:R569"/>
    <mergeCell ref="H582:R582"/>
    <mergeCell ref="Z579:AK579"/>
    <mergeCell ref="W469:Y469"/>
    <mergeCell ref="AH515:AK515"/>
    <mergeCell ref="AC516:AF516"/>
    <mergeCell ref="G719:J719"/>
    <mergeCell ref="P589:R589"/>
    <mergeCell ref="Z588:AK588"/>
    <mergeCell ref="AM556:AS556"/>
    <mergeCell ref="Z434:AA434"/>
    <mergeCell ref="H590:R590"/>
    <mergeCell ref="T721:W721"/>
    <mergeCell ref="AE695:AI695"/>
    <mergeCell ref="Z644:AK644"/>
    <mergeCell ref="AO636:AS636"/>
    <mergeCell ref="CZ718:DD718"/>
    <mergeCell ref="AC721:AG721"/>
    <mergeCell ref="AC722:AG722"/>
    <mergeCell ref="AH720:AJ720"/>
    <mergeCell ref="AK722:AO722"/>
    <mergeCell ref="AH721:AJ721"/>
    <mergeCell ref="AK719:AO719"/>
    <mergeCell ref="AO641:AS641"/>
    <mergeCell ref="Z651:AK651"/>
    <mergeCell ref="AK638:AN638"/>
    <mergeCell ref="CM717:CN717"/>
    <mergeCell ref="CM719:CN719"/>
    <mergeCell ref="CM721:CN721"/>
    <mergeCell ref="W703:AK703"/>
    <mergeCell ref="AF636:AJ636"/>
    <mergeCell ref="AF637:AJ637"/>
    <mergeCell ref="AC636:AE636"/>
    <mergeCell ref="Z647:AE647"/>
    <mergeCell ref="AC720:AG720"/>
    <mergeCell ref="AK721:AO721"/>
    <mergeCell ref="CG725:CH725"/>
    <mergeCell ref="DJ723:DN723"/>
    <mergeCell ref="DJ724:DN724"/>
    <mergeCell ref="DO727:DS727"/>
    <mergeCell ref="DO728:DS728"/>
    <mergeCell ref="DO722:DS722"/>
    <mergeCell ref="DO723:DS723"/>
    <mergeCell ref="DO724:DS724"/>
    <mergeCell ref="DJ721:DN721"/>
    <mergeCell ref="DO726:DS726"/>
    <mergeCell ref="G684:R684"/>
    <mergeCell ref="G581:L581"/>
    <mergeCell ref="Z604:AK604"/>
    <mergeCell ref="C563:L563"/>
    <mergeCell ref="AE565:AH565"/>
    <mergeCell ref="G587:R587"/>
    <mergeCell ref="G578:R578"/>
    <mergeCell ref="DO717:DS717"/>
    <mergeCell ref="CZ721:DD721"/>
    <mergeCell ref="AE564:AH564"/>
    <mergeCell ref="T638:V638"/>
    <mergeCell ref="T628:V628"/>
    <mergeCell ref="DJ719:DN719"/>
    <mergeCell ref="CU717:CY717"/>
    <mergeCell ref="AC635:AE635"/>
    <mergeCell ref="W635:Y635"/>
    <mergeCell ref="Z597:AE597"/>
    <mergeCell ref="AF629:AJ629"/>
    <mergeCell ref="AI613:AK613"/>
    <mergeCell ref="AA614:AK614"/>
    <mergeCell ref="AC624:AE626"/>
    <mergeCell ref="AH509:AK509"/>
    <mergeCell ref="AM561:AS561"/>
    <mergeCell ref="Z631:AB631"/>
    <mergeCell ref="AF624:AJ626"/>
    <mergeCell ref="AM559:AS559"/>
    <mergeCell ref="Z687:AE687"/>
    <mergeCell ref="AH718:AJ718"/>
    <mergeCell ref="AC718:AG718"/>
    <mergeCell ref="AK714:AO717"/>
    <mergeCell ref="AK718:AO718"/>
    <mergeCell ref="AK630:AN630"/>
    <mergeCell ref="AK631:AN631"/>
    <mergeCell ref="AK632:AN632"/>
    <mergeCell ref="AI671:AK671"/>
    <mergeCell ref="AK627:AN627"/>
    <mergeCell ref="AF632:AJ632"/>
    <mergeCell ref="AC631:AE631"/>
    <mergeCell ref="AM565:AS565"/>
    <mergeCell ref="AE563:AH563"/>
    <mergeCell ref="AM563:AS563"/>
    <mergeCell ref="Z676:AK676"/>
    <mergeCell ref="W700:AK700"/>
    <mergeCell ref="Z683:AK683"/>
    <mergeCell ref="AA688:AK688"/>
    <mergeCell ref="AO628:AS628"/>
    <mergeCell ref="AG607:AH607"/>
    <mergeCell ref="AO624:AS626"/>
    <mergeCell ref="AG591:AH591"/>
    <mergeCell ref="Z632:AB632"/>
    <mergeCell ref="AE556:AH556"/>
    <mergeCell ref="AE559:AH559"/>
    <mergeCell ref="AI559:AL559"/>
    <mergeCell ref="AC503:AF503"/>
    <mergeCell ref="AC513:AF513"/>
    <mergeCell ref="Z611:AK611"/>
    <mergeCell ref="AC518:AF518"/>
    <mergeCell ref="AH504:AK504"/>
    <mergeCell ref="AH517:AK517"/>
    <mergeCell ref="W471:Y471"/>
    <mergeCell ref="EH652:EL652"/>
    <mergeCell ref="EJ725:EN725"/>
    <mergeCell ref="DZ728:ED728"/>
    <mergeCell ref="EE724:EI724"/>
    <mergeCell ref="Z679:AE679"/>
    <mergeCell ref="Z670:AK670"/>
    <mergeCell ref="AK728:AO728"/>
    <mergeCell ref="AK729:AO729"/>
    <mergeCell ref="DX668:EB668"/>
    <mergeCell ref="EC668:EG668"/>
    <mergeCell ref="DO718:DS718"/>
    <mergeCell ref="DO719:DS719"/>
    <mergeCell ref="AK628:AN628"/>
    <mergeCell ref="AM564:AS564"/>
    <mergeCell ref="AI581:AK581"/>
    <mergeCell ref="Z601:AK601"/>
    <mergeCell ref="DE717:DI717"/>
    <mergeCell ref="CU719:CY719"/>
    <mergeCell ref="CG718:CH718"/>
    <mergeCell ref="EE722:EI722"/>
    <mergeCell ref="DZ718:ED718"/>
    <mergeCell ref="EE718:EI718"/>
    <mergeCell ref="EJ718:EN718"/>
    <mergeCell ref="DJ718:DN718"/>
    <mergeCell ref="CZ719:DD719"/>
    <mergeCell ref="DZ731:ED731"/>
    <mergeCell ref="DZ717:ED717"/>
    <mergeCell ref="AC630:AE630"/>
    <mergeCell ref="DZ726:ED726"/>
    <mergeCell ref="DU728:DY728"/>
    <mergeCell ref="DU722:DY722"/>
    <mergeCell ref="DO725:DS725"/>
    <mergeCell ref="DO721:DS721"/>
    <mergeCell ref="Z671:AE671"/>
    <mergeCell ref="CP721:CT721"/>
    <mergeCell ref="AF631:AJ631"/>
    <mergeCell ref="AK633:AN633"/>
    <mergeCell ref="Z645:AK645"/>
    <mergeCell ref="Z629:AB629"/>
    <mergeCell ref="AE699:AI699"/>
    <mergeCell ref="DE720:DI720"/>
    <mergeCell ref="DE724:DI724"/>
    <mergeCell ref="AA672:AK672"/>
    <mergeCell ref="Z684:AK684"/>
    <mergeCell ref="DX652:EB652"/>
    <mergeCell ref="EC652:EG652"/>
    <mergeCell ref="DO730:DS730"/>
    <mergeCell ref="DO731:DS731"/>
    <mergeCell ref="DJ728:DN728"/>
    <mergeCell ref="AC719:AG719"/>
    <mergeCell ref="Z653:AK653"/>
    <mergeCell ref="DO729:DS729"/>
    <mergeCell ref="AF633:AJ633"/>
    <mergeCell ref="DJ731:DN731"/>
    <mergeCell ref="DJ729:DN729"/>
    <mergeCell ref="DE719:DI719"/>
    <mergeCell ref="CZ720:DD720"/>
    <mergeCell ref="ET752:EX752"/>
    <mergeCell ref="EO751:ES751"/>
    <mergeCell ref="CZ752:DD752"/>
    <mergeCell ref="ET753:EX753"/>
    <mergeCell ref="K727:N727"/>
    <mergeCell ref="K726:N726"/>
    <mergeCell ref="ET718:EX718"/>
    <mergeCell ref="DU725:DY725"/>
    <mergeCell ref="DZ725:ED725"/>
    <mergeCell ref="DU723:DY723"/>
    <mergeCell ref="DZ723:ED723"/>
    <mergeCell ref="EE719:EI719"/>
    <mergeCell ref="DZ720:ED720"/>
    <mergeCell ref="EJ719:EN719"/>
    <mergeCell ref="AC729:AG729"/>
    <mergeCell ref="O728:S728"/>
    <mergeCell ref="ET725:EX725"/>
    <mergeCell ref="DU724:DY724"/>
    <mergeCell ref="DZ719:ED719"/>
    <mergeCell ref="EO730:ES730"/>
    <mergeCell ref="ET730:EX730"/>
    <mergeCell ref="EO724:ES724"/>
    <mergeCell ref="ET724:EX724"/>
    <mergeCell ref="EO726:ES726"/>
    <mergeCell ref="ET726:EX726"/>
    <mergeCell ref="ET722:EX722"/>
    <mergeCell ref="ET720:EX720"/>
    <mergeCell ref="K730:N730"/>
    <mergeCell ref="EO728:ES728"/>
    <mergeCell ref="ET728:EX728"/>
    <mergeCell ref="T727:W727"/>
    <mergeCell ref="EO720:ES720"/>
    <mergeCell ref="ET731:EX731"/>
    <mergeCell ref="EJ727:EN727"/>
    <mergeCell ref="EO729:ES729"/>
    <mergeCell ref="EO732:ES732"/>
    <mergeCell ref="ET729:EX729"/>
    <mergeCell ref="EO719:ES719"/>
    <mergeCell ref="ET719:EX719"/>
    <mergeCell ref="EJ722:EN722"/>
    <mergeCell ref="ET736:EX736"/>
    <mergeCell ref="EE735:EI735"/>
    <mergeCell ref="EJ734:EN734"/>
    <mergeCell ref="EE733:EI733"/>
    <mergeCell ref="ET732:EX732"/>
    <mergeCell ref="ET721:EX721"/>
    <mergeCell ref="EE720:EI720"/>
    <mergeCell ref="DU730:DY730"/>
    <mergeCell ref="EE728:EI728"/>
    <mergeCell ref="EJ728:EN728"/>
    <mergeCell ref="EO727:ES727"/>
    <mergeCell ref="EJ733:EN733"/>
    <mergeCell ref="DZ729:ED729"/>
    <mergeCell ref="ET727:EX727"/>
    <mergeCell ref="DZ727:ED727"/>
    <mergeCell ref="EE727:EI727"/>
    <mergeCell ref="EE723:EI723"/>
    <mergeCell ref="EJ723:EN723"/>
    <mergeCell ref="EO725:ES725"/>
    <mergeCell ref="EJ724:EN724"/>
    <mergeCell ref="EO723:ES723"/>
    <mergeCell ref="DZ734:ED734"/>
    <mergeCell ref="DU726:DY726"/>
    <mergeCell ref="EO721:ES721"/>
    <mergeCell ref="M823:P824"/>
    <mergeCell ref="DG122:DM122"/>
    <mergeCell ref="CU122:CV122"/>
    <mergeCell ref="AH714:AJ717"/>
    <mergeCell ref="AH725:AJ725"/>
    <mergeCell ref="BI841:BL841"/>
    <mergeCell ref="AC823:AF824"/>
    <mergeCell ref="Z816:AE816"/>
    <mergeCell ref="AC773:AG773"/>
    <mergeCell ref="AC725:AG725"/>
    <mergeCell ref="AC726:AG726"/>
    <mergeCell ref="AC830:AF830"/>
    <mergeCell ref="Y828:AB828"/>
    <mergeCell ref="AC769:AG772"/>
    <mergeCell ref="Y832:AB832"/>
    <mergeCell ref="DJ739:DN739"/>
    <mergeCell ref="CK740:CL740"/>
    <mergeCell ref="DE752:DI752"/>
    <mergeCell ref="AF627:AJ627"/>
    <mergeCell ref="CG752:CH752"/>
    <mergeCell ref="AC831:AF831"/>
    <mergeCell ref="AH734:AJ734"/>
    <mergeCell ref="X737:AB737"/>
    <mergeCell ref="X790:AB790"/>
    <mergeCell ref="U831:X831"/>
    <mergeCell ref="CU774:CY774"/>
    <mergeCell ref="X783:AB786"/>
    <mergeCell ref="X787:AB787"/>
    <mergeCell ref="X796:AB796"/>
    <mergeCell ref="Y829:AB829"/>
    <mergeCell ref="AC829:AF829"/>
    <mergeCell ref="Y826:AB826"/>
    <mergeCell ref="P816:Y816"/>
    <mergeCell ref="D1046:AE1047"/>
    <mergeCell ref="M826:P826"/>
    <mergeCell ref="M871:V871"/>
    <mergeCell ref="M878:V878"/>
    <mergeCell ref="Q825:T825"/>
    <mergeCell ref="W870:AC870"/>
    <mergeCell ref="O790:S790"/>
    <mergeCell ref="DO739:DS739"/>
    <mergeCell ref="CG736:CH736"/>
    <mergeCell ref="CI740:CJ740"/>
    <mergeCell ref="BG848:BL848"/>
    <mergeCell ref="AH731:AJ731"/>
    <mergeCell ref="CP802:CT802"/>
    <mergeCell ref="CP788:CT788"/>
    <mergeCell ref="U830:X830"/>
    <mergeCell ref="J796:N796"/>
    <mergeCell ref="J777:N777"/>
    <mergeCell ref="CU777:CY777"/>
    <mergeCell ref="CU753:CY753"/>
    <mergeCell ref="CM752:CN752"/>
    <mergeCell ref="CP752:CT752"/>
    <mergeCell ref="CP774:CT774"/>
    <mergeCell ref="DJ732:DN732"/>
    <mergeCell ref="CU732:CY732"/>
    <mergeCell ref="CG751:CH751"/>
    <mergeCell ref="CU738:CY738"/>
    <mergeCell ref="DO733:DS733"/>
    <mergeCell ref="DO734:DS734"/>
    <mergeCell ref="O796:S796"/>
    <mergeCell ref="U946:Z946"/>
    <mergeCell ref="U825:X825"/>
    <mergeCell ref="Z814:AE814"/>
    <mergeCell ref="Y827:AB827"/>
    <mergeCell ref="AG827:AJ827"/>
    <mergeCell ref="U920:Z920"/>
    <mergeCell ref="M968:S968"/>
    <mergeCell ref="F932:T932"/>
    <mergeCell ref="AA939:AF939"/>
    <mergeCell ref="AA940:AF940"/>
    <mergeCell ref="W853:AC853"/>
    <mergeCell ref="AC828:AF828"/>
    <mergeCell ref="AG829:AJ829"/>
    <mergeCell ref="AG826:AJ826"/>
    <mergeCell ref="AG825:AJ825"/>
    <mergeCell ref="I948:T948"/>
    <mergeCell ref="AC895:AH895"/>
    <mergeCell ref="AA933:AF933"/>
    <mergeCell ref="Z900:AE900"/>
    <mergeCell ref="Y825:AB825"/>
    <mergeCell ref="AC825:AF825"/>
    <mergeCell ref="AA941:AF941"/>
    <mergeCell ref="AA929:AF929"/>
    <mergeCell ref="U930:Z930"/>
    <mergeCell ref="AA930:AF930"/>
    <mergeCell ref="U949:Z949"/>
    <mergeCell ref="C830:H830"/>
    <mergeCell ref="F831:L831"/>
    <mergeCell ref="U827:X827"/>
    <mergeCell ref="C827:H827"/>
    <mergeCell ref="Z817:AE817"/>
    <mergeCell ref="I949:T949"/>
    <mergeCell ref="U938:Z938"/>
    <mergeCell ref="M955:S955"/>
    <mergeCell ref="U928:Z928"/>
    <mergeCell ref="U948:Z948"/>
    <mergeCell ref="U935:Z935"/>
    <mergeCell ref="AA923:AF923"/>
    <mergeCell ref="AB917:AE917"/>
    <mergeCell ref="AA922:AF922"/>
    <mergeCell ref="M958:S958"/>
    <mergeCell ref="AA972:AG972"/>
    <mergeCell ref="AA920:AF920"/>
    <mergeCell ref="AA919:AF919"/>
    <mergeCell ref="U925:Z925"/>
    <mergeCell ref="A910:AT911"/>
    <mergeCell ref="F936:T936"/>
    <mergeCell ref="AA947:AF947"/>
    <mergeCell ref="Y830:AB830"/>
    <mergeCell ref="U922:Z922"/>
    <mergeCell ref="AA924:AF924"/>
    <mergeCell ref="M969:S969"/>
    <mergeCell ref="AA935:AF935"/>
    <mergeCell ref="AA918:AF918"/>
    <mergeCell ref="AA969:AG969"/>
    <mergeCell ref="AA949:AF949"/>
    <mergeCell ref="E885:AB885"/>
    <mergeCell ref="M831:P831"/>
    <mergeCell ref="Q831:T831"/>
    <mergeCell ref="M960:S960"/>
    <mergeCell ref="Z901:AE901"/>
    <mergeCell ref="W878:AC878"/>
    <mergeCell ref="U931:Z931"/>
    <mergeCell ref="F915:T915"/>
    <mergeCell ref="I946:T946"/>
    <mergeCell ref="AA946:AF946"/>
    <mergeCell ref="C826:H826"/>
    <mergeCell ref="K752:N752"/>
    <mergeCell ref="J774:N774"/>
    <mergeCell ref="O727:S727"/>
    <mergeCell ref="O756:R756"/>
    <mergeCell ref="AG756:AJ756"/>
    <mergeCell ref="A1125:B1125"/>
    <mergeCell ref="G725:J725"/>
    <mergeCell ref="B732:F732"/>
    <mergeCell ref="T745:W745"/>
    <mergeCell ref="AH730:AJ730"/>
    <mergeCell ref="AC723:AG723"/>
    <mergeCell ref="AC794:AG794"/>
    <mergeCell ref="AC795:AG795"/>
    <mergeCell ref="BG976:BL976"/>
    <mergeCell ref="AA950:AF950"/>
    <mergeCell ref="BD907:BE907"/>
    <mergeCell ref="BD908:BE908"/>
    <mergeCell ref="U947:Z947"/>
    <mergeCell ref="U919:Z919"/>
    <mergeCell ref="U945:Z945"/>
    <mergeCell ref="AA934:AF934"/>
    <mergeCell ref="U921:Z921"/>
    <mergeCell ref="AA921:AF921"/>
    <mergeCell ref="AC883:AH883"/>
    <mergeCell ref="Z902:AE902"/>
    <mergeCell ref="W863:AC863"/>
    <mergeCell ref="AC891:AH891"/>
    <mergeCell ref="C894:AB894"/>
    <mergeCell ref="AG832:AJ832"/>
    <mergeCell ref="W844:AC844"/>
    <mergeCell ref="AC832:AF832"/>
    <mergeCell ref="B742:F742"/>
    <mergeCell ref="B743:F743"/>
    <mergeCell ref="G734:J734"/>
    <mergeCell ref="X740:AB740"/>
    <mergeCell ref="AE702:AF702"/>
    <mergeCell ref="O729:S729"/>
    <mergeCell ref="G645:R645"/>
    <mergeCell ref="AI663:AK663"/>
    <mergeCell ref="AK748:AO748"/>
    <mergeCell ref="G659:R659"/>
    <mergeCell ref="G675:R675"/>
    <mergeCell ref="Z667:AK667"/>
    <mergeCell ref="D1125:AK1127"/>
    <mergeCell ref="X726:AB726"/>
    <mergeCell ref="AH723:AJ723"/>
    <mergeCell ref="A1097:B1097"/>
    <mergeCell ref="AE960:AK960"/>
    <mergeCell ref="AE961:AK961"/>
    <mergeCell ref="AA948:AF948"/>
    <mergeCell ref="T730:W730"/>
    <mergeCell ref="M967:S967"/>
    <mergeCell ref="O792:S792"/>
    <mergeCell ref="T726:W726"/>
    <mergeCell ref="A1100:B1100"/>
    <mergeCell ref="G733:J733"/>
    <mergeCell ref="A1094:B1094"/>
    <mergeCell ref="K732:N732"/>
    <mergeCell ref="AJ991:AQ991"/>
    <mergeCell ref="W865:AC865"/>
    <mergeCell ref="W879:AC879"/>
    <mergeCell ref="G726:J726"/>
    <mergeCell ref="K733:N733"/>
    <mergeCell ref="O748:S748"/>
    <mergeCell ref="T775:W775"/>
    <mergeCell ref="C763:AR765"/>
    <mergeCell ref="AC752:AG752"/>
    <mergeCell ref="T749:W749"/>
    <mergeCell ref="K750:N750"/>
    <mergeCell ref="X748:AB748"/>
    <mergeCell ref="X749:AB749"/>
    <mergeCell ref="X750:AB750"/>
    <mergeCell ref="AC749:AG749"/>
    <mergeCell ref="AC750:AG750"/>
    <mergeCell ref="AC751:AG751"/>
    <mergeCell ref="O745:S745"/>
    <mergeCell ref="T748:W748"/>
    <mergeCell ref="X747:AB747"/>
    <mergeCell ref="AH752:AJ752"/>
    <mergeCell ref="AH751:AJ751"/>
    <mergeCell ref="G753:J753"/>
    <mergeCell ref="AD759:AF759"/>
    <mergeCell ref="O746:S746"/>
    <mergeCell ref="T746:W746"/>
    <mergeCell ref="K747:N747"/>
    <mergeCell ref="AH750:AJ750"/>
    <mergeCell ref="AK750:AO750"/>
    <mergeCell ref="B752:F752"/>
    <mergeCell ref="O750:S750"/>
    <mergeCell ref="U823:X824"/>
    <mergeCell ref="G739:J739"/>
    <mergeCell ref="X741:AB741"/>
    <mergeCell ref="O747:S747"/>
    <mergeCell ref="T747:W747"/>
    <mergeCell ref="AC748:AG748"/>
    <mergeCell ref="Q823:T824"/>
    <mergeCell ref="Z809:AE809"/>
    <mergeCell ref="O791:S791"/>
    <mergeCell ref="J783:N786"/>
    <mergeCell ref="T790:W790"/>
    <mergeCell ref="T793:W793"/>
    <mergeCell ref="O775:S775"/>
    <mergeCell ref="O731:S731"/>
    <mergeCell ref="W629:Y629"/>
    <mergeCell ref="M630:P630"/>
    <mergeCell ref="M631:P631"/>
    <mergeCell ref="M632:P632"/>
    <mergeCell ref="Q633:S633"/>
    <mergeCell ref="AC634:AE634"/>
    <mergeCell ref="Q631:S631"/>
    <mergeCell ref="T632:V632"/>
    <mergeCell ref="T633:V633"/>
    <mergeCell ref="T736:W736"/>
    <mergeCell ref="O720:S720"/>
    <mergeCell ref="O733:S733"/>
    <mergeCell ref="K719:N719"/>
    <mergeCell ref="K731:N731"/>
    <mergeCell ref="AC638:AE638"/>
    <mergeCell ref="O776:S776"/>
    <mergeCell ref="O769:S772"/>
    <mergeCell ref="B754:AH755"/>
    <mergeCell ref="J792:N792"/>
    <mergeCell ref="Z806:AE806"/>
    <mergeCell ref="X791:AB791"/>
    <mergeCell ref="G601:R601"/>
    <mergeCell ref="W634:Y634"/>
    <mergeCell ref="X774:AB774"/>
    <mergeCell ref="J788:N788"/>
    <mergeCell ref="T773:W773"/>
    <mergeCell ref="AC747:AG747"/>
    <mergeCell ref="J773:N773"/>
    <mergeCell ref="O773:S773"/>
    <mergeCell ref="T752:W752"/>
    <mergeCell ref="J776:N776"/>
    <mergeCell ref="AF638:AJ638"/>
    <mergeCell ref="B739:F739"/>
    <mergeCell ref="K735:N735"/>
    <mergeCell ref="K736:N736"/>
    <mergeCell ref="G736:J736"/>
    <mergeCell ref="P671:R671"/>
    <mergeCell ref="B751:F751"/>
    <mergeCell ref="O732:S732"/>
    <mergeCell ref="G737:J737"/>
    <mergeCell ref="G735:J735"/>
    <mergeCell ref="K743:N743"/>
    <mergeCell ref="O743:S743"/>
    <mergeCell ref="T743:W743"/>
    <mergeCell ref="K744:N744"/>
    <mergeCell ref="O744:S744"/>
    <mergeCell ref="K728:N728"/>
    <mergeCell ref="K746:N746"/>
    <mergeCell ref="T751:W751"/>
    <mergeCell ref="K748:N748"/>
    <mergeCell ref="AJ1029:AQ1031"/>
    <mergeCell ref="AA598:AK598"/>
    <mergeCell ref="C766:AR768"/>
    <mergeCell ref="B737:F737"/>
    <mergeCell ref="B735:F735"/>
    <mergeCell ref="B738:F738"/>
    <mergeCell ref="K749:N749"/>
    <mergeCell ref="O749:S749"/>
    <mergeCell ref="X751:AB751"/>
    <mergeCell ref="K740:N740"/>
    <mergeCell ref="AC738:AG738"/>
    <mergeCell ref="AH753:AJ753"/>
    <mergeCell ref="AK745:AO745"/>
    <mergeCell ref="AH741:AJ741"/>
    <mergeCell ref="AK740:AO740"/>
    <mergeCell ref="AK741:AO741"/>
    <mergeCell ref="AK752:AO752"/>
    <mergeCell ref="O741:S741"/>
    <mergeCell ref="AO630:AS630"/>
    <mergeCell ref="G669:R669"/>
    <mergeCell ref="D1029:AE1029"/>
    <mergeCell ref="B991:AA991"/>
    <mergeCell ref="D994:AE994"/>
    <mergeCell ref="D1000:AE1000"/>
    <mergeCell ref="T718:W718"/>
    <mergeCell ref="O721:S721"/>
    <mergeCell ref="K722:N722"/>
    <mergeCell ref="K723:N723"/>
    <mergeCell ref="T723:W723"/>
    <mergeCell ref="K721:N721"/>
    <mergeCell ref="G667:R667"/>
    <mergeCell ref="AC731:AG731"/>
    <mergeCell ref="AJ1041:AQ1044"/>
    <mergeCell ref="D1030:AE1031"/>
    <mergeCell ref="B993:AE993"/>
    <mergeCell ref="D1045:AE1045"/>
    <mergeCell ref="D1014:AE1015"/>
    <mergeCell ref="AG1045:AH1045"/>
    <mergeCell ref="D1017:AE1019"/>
    <mergeCell ref="AG1032:AH1032"/>
    <mergeCell ref="D1036:AE1036"/>
    <mergeCell ref="AG1041:AH1041"/>
    <mergeCell ref="AG1036:AH1036"/>
    <mergeCell ref="D1026:AE1028"/>
    <mergeCell ref="U915:Z917"/>
    <mergeCell ref="U950:Z950"/>
    <mergeCell ref="AA975:AG975"/>
    <mergeCell ref="AA945:AF945"/>
    <mergeCell ref="U918:Z918"/>
    <mergeCell ref="T973:Z973"/>
    <mergeCell ref="I947:T947"/>
    <mergeCell ref="D1001:AE1001"/>
    <mergeCell ref="D1002:AE1006"/>
    <mergeCell ref="D1011:AE1011"/>
    <mergeCell ref="D1012:AE1012"/>
    <mergeCell ref="AF1027:AI1028"/>
    <mergeCell ref="M962:S962"/>
    <mergeCell ref="AA925:AF925"/>
    <mergeCell ref="AE958:AK958"/>
    <mergeCell ref="F916:T917"/>
    <mergeCell ref="F939:T939"/>
    <mergeCell ref="AB988:AI988"/>
    <mergeCell ref="R986:AA986"/>
    <mergeCell ref="M959:S959"/>
    <mergeCell ref="D1053:AI1053"/>
    <mergeCell ref="D1049:AE1049"/>
    <mergeCell ref="D1032:AE1032"/>
    <mergeCell ref="D1050:AE1051"/>
    <mergeCell ref="X1048:Y1048"/>
    <mergeCell ref="X1052:Y1052"/>
    <mergeCell ref="I1048:J1048"/>
    <mergeCell ref="I1052:J1052"/>
    <mergeCell ref="AG1049:AH1049"/>
    <mergeCell ref="AG1025:AH1025"/>
    <mergeCell ref="AA973:AG973"/>
    <mergeCell ref="R985:AA985"/>
    <mergeCell ref="A979:AT981"/>
    <mergeCell ref="AJ985:AQ985"/>
    <mergeCell ref="AJ1013:AQ1015"/>
    <mergeCell ref="AJ1016:AQ1019"/>
    <mergeCell ref="AJ1025:AQ1028"/>
    <mergeCell ref="AJ987:AQ987"/>
    <mergeCell ref="AJ988:AQ988"/>
    <mergeCell ref="B992:AI992"/>
    <mergeCell ref="R987:AA987"/>
    <mergeCell ref="D1022:AE1023"/>
    <mergeCell ref="D988:Q988"/>
    <mergeCell ref="D989:Q989"/>
    <mergeCell ref="R988:AA988"/>
    <mergeCell ref="O974:P974"/>
    <mergeCell ref="AJ1053:AQ1053"/>
    <mergeCell ref="AG1029:AH1029"/>
    <mergeCell ref="D1037:AE1040"/>
    <mergeCell ref="AJ1036:AQ1040"/>
    <mergeCell ref="D1041:AE1041"/>
    <mergeCell ref="D1042:AE1044"/>
    <mergeCell ref="F975:L975"/>
    <mergeCell ref="M975:S975"/>
    <mergeCell ref="D985:Q985"/>
    <mergeCell ref="D986:Q986"/>
    <mergeCell ref="AB985:AI985"/>
    <mergeCell ref="AB986:AI986"/>
    <mergeCell ref="AB987:AI987"/>
    <mergeCell ref="D987:Q987"/>
    <mergeCell ref="R989:AA989"/>
    <mergeCell ref="AJ989:AQ989"/>
    <mergeCell ref="AB957:AK957"/>
    <mergeCell ref="AA970:AG970"/>
    <mergeCell ref="AF1023:AI1024"/>
    <mergeCell ref="M970:S970"/>
    <mergeCell ref="AA971:AG971"/>
    <mergeCell ref="T972:Z972"/>
    <mergeCell ref="D1007:AE1007"/>
    <mergeCell ref="R990:AA990"/>
    <mergeCell ref="J957:S957"/>
    <mergeCell ref="AJ990:AQ990"/>
    <mergeCell ref="AE959:AK959"/>
    <mergeCell ref="W974:AG974"/>
    <mergeCell ref="M973:S973"/>
    <mergeCell ref="M972:S972"/>
    <mergeCell ref="FT721:FX721"/>
    <mergeCell ref="D1033:AE1035"/>
    <mergeCell ref="AJ1032:AQ1035"/>
    <mergeCell ref="AJ994:AQ1000"/>
    <mergeCell ref="AJ1007:AQ1010"/>
    <mergeCell ref="AJ1011:AQ1012"/>
    <mergeCell ref="AJ986:AQ986"/>
    <mergeCell ref="AJ1001:AQ1006"/>
    <mergeCell ref="AJ1020:AQ1024"/>
    <mergeCell ref="D1020:AE1021"/>
    <mergeCell ref="AB991:AI991"/>
    <mergeCell ref="D1025:AE1025"/>
    <mergeCell ref="AF1026:AI1026"/>
    <mergeCell ref="AA968:AG968"/>
    <mergeCell ref="AE955:AK955"/>
    <mergeCell ref="I950:T950"/>
    <mergeCell ref="D995:AE998"/>
    <mergeCell ref="D999:AE999"/>
    <mergeCell ref="M971:S971"/>
    <mergeCell ref="M956:S956"/>
    <mergeCell ref="EZ728:FD728"/>
    <mergeCell ref="FE728:FI728"/>
    <mergeCell ref="FJ728:FN728"/>
    <mergeCell ref="FO728:FS728"/>
    <mergeCell ref="FT728:FX728"/>
    <mergeCell ref="FJ725:FN725"/>
    <mergeCell ref="FO725:FS725"/>
    <mergeCell ref="FT725:FX725"/>
    <mergeCell ref="EZ721:FD721"/>
    <mergeCell ref="FE721:FI721"/>
    <mergeCell ref="EZ725:FD725"/>
    <mergeCell ref="FE725:FI725"/>
    <mergeCell ref="FT717:FX717"/>
    <mergeCell ref="FY717:GC717"/>
    <mergeCell ref="EZ718:FD718"/>
    <mergeCell ref="FE718:FI718"/>
    <mergeCell ref="FJ718:FN718"/>
    <mergeCell ref="FO718:FS718"/>
    <mergeCell ref="FT718:FX718"/>
    <mergeCell ref="FY718:GC718"/>
    <mergeCell ref="EZ719:FD719"/>
    <mergeCell ref="FE719:FI719"/>
    <mergeCell ref="FJ719:FN719"/>
    <mergeCell ref="FO719:FS719"/>
    <mergeCell ref="FT719:FX719"/>
    <mergeCell ref="FY719:GC719"/>
    <mergeCell ref="J1024:AE1024"/>
    <mergeCell ref="FY720:GC720"/>
    <mergeCell ref="AJ992:AQ992"/>
    <mergeCell ref="AJ993:AQ993"/>
    <mergeCell ref="D1013:AE1013"/>
    <mergeCell ref="AF993:AI993"/>
    <mergeCell ref="AG994:AH994"/>
    <mergeCell ref="AG1001:AH1001"/>
    <mergeCell ref="AG1007:AH1007"/>
    <mergeCell ref="AG1011:AH1011"/>
    <mergeCell ref="AG1013:AH1013"/>
    <mergeCell ref="AG1016:AH1016"/>
    <mergeCell ref="AG1020:AH1020"/>
    <mergeCell ref="D1016:AE1016"/>
    <mergeCell ref="D1008:AE1010"/>
    <mergeCell ref="AF1021:AI1022"/>
    <mergeCell ref="FO730:FS730"/>
    <mergeCell ref="FT730:FX730"/>
    <mergeCell ref="FT720:FX720"/>
    <mergeCell ref="FY725:GC725"/>
    <mergeCell ref="EZ726:FD726"/>
    <mergeCell ref="FE726:FI726"/>
    <mergeCell ref="FJ726:FN726"/>
    <mergeCell ref="FO726:FS726"/>
    <mergeCell ref="FT726:FX726"/>
    <mergeCell ref="FY726:GC726"/>
    <mergeCell ref="EZ727:FD727"/>
    <mergeCell ref="FE727:FI727"/>
    <mergeCell ref="FJ727:FN727"/>
    <mergeCell ref="FO727:FS727"/>
    <mergeCell ref="FT727:FX727"/>
    <mergeCell ref="FY727:GC727"/>
    <mergeCell ref="FY721:GC721"/>
    <mergeCell ref="EZ722:FD722"/>
    <mergeCell ref="FE722:FI722"/>
    <mergeCell ref="FJ722:FN722"/>
    <mergeCell ref="FO722:FS722"/>
    <mergeCell ref="FT722:FX722"/>
    <mergeCell ref="FY722:GC722"/>
    <mergeCell ref="EZ723:FD723"/>
    <mergeCell ref="FE723:FI723"/>
    <mergeCell ref="FJ723:FN723"/>
    <mergeCell ref="FO723:FS723"/>
    <mergeCell ref="FT723:FX723"/>
    <mergeCell ref="FY723:GC723"/>
    <mergeCell ref="EZ724:FD724"/>
    <mergeCell ref="FT724:FX724"/>
    <mergeCell ref="FY724:GC724"/>
    <mergeCell ref="FJ724:FN724"/>
    <mergeCell ref="FO724:FS724"/>
    <mergeCell ref="FY738:GC738"/>
    <mergeCell ref="FY730:GC730"/>
    <mergeCell ref="EZ731:FD731"/>
    <mergeCell ref="FE731:FI731"/>
    <mergeCell ref="FJ731:FN731"/>
    <mergeCell ref="FO731:FS731"/>
    <mergeCell ref="FT731:FX731"/>
    <mergeCell ref="FY731:GC731"/>
    <mergeCell ref="EZ732:FD732"/>
    <mergeCell ref="FE732:FI732"/>
    <mergeCell ref="FJ732:FN732"/>
    <mergeCell ref="FO732:FS732"/>
    <mergeCell ref="FT732:FX732"/>
    <mergeCell ref="FY732:GC732"/>
    <mergeCell ref="FO736:FS736"/>
    <mergeCell ref="FT736:FX736"/>
    <mergeCell ref="FY736:GC736"/>
    <mergeCell ref="EZ737:FD737"/>
    <mergeCell ref="FE737:FI737"/>
    <mergeCell ref="FJ737:FN737"/>
    <mergeCell ref="FO737:FS737"/>
    <mergeCell ref="FJ734:FN734"/>
    <mergeCell ref="FO734:FS734"/>
    <mergeCell ref="FT734:FX734"/>
    <mergeCell ref="FY734:GC734"/>
    <mergeCell ref="EZ735:FD735"/>
    <mergeCell ref="FE735:FI735"/>
    <mergeCell ref="FT737:FX737"/>
    <mergeCell ref="FE730:FI730"/>
    <mergeCell ref="FJ730:FN730"/>
    <mergeCell ref="FY728:GC728"/>
    <mergeCell ref="EZ729:FD729"/>
    <mergeCell ref="FE729:FI729"/>
    <mergeCell ref="FJ729:FN729"/>
    <mergeCell ref="FO729:FS729"/>
    <mergeCell ref="FT729:FX729"/>
    <mergeCell ref="FY729:GC729"/>
    <mergeCell ref="FY737:GC737"/>
    <mergeCell ref="FT751:FX751"/>
    <mergeCell ref="FY751:GC751"/>
    <mergeCell ref="EZ752:FD752"/>
    <mergeCell ref="FE752:FI752"/>
    <mergeCell ref="FJ752:FN752"/>
    <mergeCell ref="FO752:FS752"/>
    <mergeCell ref="FT752:FX752"/>
    <mergeCell ref="EZ730:FD730"/>
    <mergeCell ref="EZ751:FD751"/>
    <mergeCell ref="EZ740:FD740"/>
    <mergeCell ref="FE740:FI740"/>
    <mergeCell ref="FE745:FI745"/>
    <mergeCell ref="FJ745:FN745"/>
    <mergeCell ref="FO745:FS745"/>
    <mergeCell ref="FT745:FX745"/>
    <mergeCell ref="FY733:GC733"/>
    <mergeCell ref="FY739:GC739"/>
    <mergeCell ref="EZ734:FD734"/>
    <mergeCell ref="FE734:FI734"/>
    <mergeCell ref="EZ738:FD738"/>
    <mergeCell ref="FE738:FI738"/>
    <mergeCell ref="FJ738:FN738"/>
    <mergeCell ref="FO738:FS738"/>
    <mergeCell ref="FT738:FX738"/>
    <mergeCell ref="FT739:FX739"/>
    <mergeCell ref="EW638:FA638"/>
    <mergeCell ref="ER648:EV648"/>
    <mergeCell ref="ER647:EV647"/>
    <mergeCell ref="EH645:EL645"/>
    <mergeCell ref="EM645:EQ645"/>
    <mergeCell ref="EH640:EL640"/>
    <mergeCell ref="EM640:EQ640"/>
    <mergeCell ref="DX639:EB639"/>
    <mergeCell ref="FY740:GC740"/>
    <mergeCell ref="DX646:EB646"/>
    <mergeCell ref="EC646:EG646"/>
    <mergeCell ref="EH646:EL646"/>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FJ735:FN735"/>
    <mergeCell ref="FO735:FS735"/>
    <mergeCell ref="FT735:FX735"/>
    <mergeCell ref="FY735:GC735"/>
    <mergeCell ref="EZ736:FD736"/>
    <mergeCell ref="FE736:FI736"/>
    <mergeCell ref="FJ736:FN736"/>
    <mergeCell ref="FE751:FI751"/>
    <mergeCell ref="FJ751:FN751"/>
    <mergeCell ref="FO751:FS751"/>
    <mergeCell ref="DX664:EB664"/>
    <mergeCell ref="EC664:EG664"/>
    <mergeCell ref="EH664:EL664"/>
    <mergeCell ref="EZ739:FD739"/>
    <mergeCell ref="FE739:FI739"/>
    <mergeCell ref="FJ739:FN739"/>
    <mergeCell ref="FO739:FS739"/>
    <mergeCell ref="DZ730:ED730"/>
    <mergeCell ref="EE730:EI730"/>
    <mergeCell ref="EJ730:EN730"/>
    <mergeCell ref="ET733:EX733"/>
    <mergeCell ref="EO733:ES733"/>
    <mergeCell ref="EO734:ES734"/>
    <mergeCell ref="ET734:EX734"/>
    <mergeCell ref="DZ736:ED736"/>
    <mergeCell ref="EE736:EI736"/>
    <mergeCell ref="EJ736:EN736"/>
    <mergeCell ref="ET735:EX735"/>
    <mergeCell ref="FE724:FI724"/>
    <mergeCell ref="EE731:EI731"/>
    <mergeCell ref="EJ731:EN731"/>
    <mergeCell ref="DU732:DY732"/>
    <mergeCell ref="DZ732:ED732"/>
    <mergeCell ref="EE732:EI732"/>
    <mergeCell ref="EJ732:EN732"/>
    <mergeCell ref="EE737:EI737"/>
    <mergeCell ref="EJ737:EN737"/>
    <mergeCell ref="DU736:DY736"/>
    <mergeCell ref="DU733:DY733"/>
    <mergeCell ref="EW637:FA637"/>
    <mergeCell ref="EC645:EG645"/>
    <mergeCell ref="ER645:EV645"/>
    <mergeCell ref="EW645:FA645"/>
    <mergeCell ref="EM637:EQ637"/>
    <mergeCell ref="EM644:EQ644"/>
    <mergeCell ref="ER644:EV644"/>
    <mergeCell ref="EM646:EQ646"/>
    <mergeCell ref="EW642:FA642"/>
    <mergeCell ref="EW643:FA643"/>
    <mergeCell ref="EC649:EG649"/>
    <mergeCell ref="EC639:EG639"/>
    <mergeCell ref="EH639:EL639"/>
    <mergeCell ref="EM639:EQ639"/>
    <mergeCell ref="ER646:EV646"/>
    <mergeCell ref="EW646:FA646"/>
    <mergeCell ref="EW653:FA653"/>
    <mergeCell ref="EH649:EL649"/>
    <mergeCell ref="EC647:EG647"/>
    <mergeCell ref="ER641:EV641"/>
    <mergeCell ref="EH641:EL641"/>
    <mergeCell ref="EW644:FA644"/>
    <mergeCell ref="EC641:EG641"/>
    <mergeCell ref="EC643:EG643"/>
    <mergeCell ref="EH643:EL643"/>
    <mergeCell ref="EM643:EQ643"/>
    <mergeCell ref="EC648:EG648"/>
    <mergeCell ref="EW639:FA639"/>
    <mergeCell ref="EC640:EG640"/>
    <mergeCell ref="EW640:FA640"/>
    <mergeCell ref="ER643:EV643"/>
    <mergeCell ref="ER640:EV640"/>
    <mergeCell ref="FJ721:FN721"/>
    <mergeCell ref="FO721:FS721"/>
    <mergeCell ref="EO718:ES718"/>
    <mergeCell ref="DU720:DY720"/>
    <mergeCell ref="EM668:EQ668"/>
    <mergeCell ref="DX670:EB670"/>
    <mergeCell ref="EM664:EQ664"/>
    <mergeCell ref="ER664:EV664"/>
    <mergeCell ref="EC667:EG667"/>
    <mergeCell ref="EH667:EL667"/>
    <mergeCell ref="EM666:EQ666"/>
    <mergeCell ref="ER666:EV666"/>
    <mergeCell ref="DX649:EB649"/>
    <mergeCell ref="DX655:EB655"/>
    <mergeCell ref="EE734:EI734"/>
    <mergeCell ref="DU731:DY731"/>
    <mergeCell ref="DJ738:DN738"/>
    <mergeCell ref="EO737:ES737"/>
    <mergeCell ref="DU737:DY737"/>
    <mergeCell ref="DU735:DY735"/>
    <mergeCell ref="DO737:DS737"/>
    <mergeCell ref="DO738:DS738"/>
    <mergeCell ref="EZ720:FD720"/>
    <mergeCell ref="FE720:FI720"/>
    <mergeCell ref="FJ720:FN720"/>
    <mergeCell ref="FO720:FS720"/>
    <mergeCell ref="EZ717:FD717"/>
    <mergeCell ref="FE717:FI717"/>
    <mergeCell ref="FJ717:FN717"/>
    <mergeCell ref="FO717:FS717"/>
    <mergeCell ref="EW670:FA670"/>
    <mergeCell ref="EW656:FA656"/>
    <mergeCell ref="ER650:EV650"/>
    <mergeCell ref="EM650:EQ650"/>
    <mergeCell ref="DX653:EB653"/>
    <mergeCell ref="EC653:EG653"/>
    <mergeCell ref="DX654:EB654"/>
    <mergeCell ref="DX643:EB643"/>
    <mergeCell ref="DX640:EB640"/>
    <mergeCell ref="ER639:EV639"/>
    <mergeCell ref="DX644:EB644"/>
    <mergeCell ref="DX642:EB642"/>
    <mergeCell ref="ER651:EV651"/>
    <mergeCell ref="ER652:EV652"/>
    <mergeCell ref="DZ733:ED733"/>
    <mergeCell ref="DX662:EB662"/>
    <mergeCell ref="EC662:EG662"/>
    <mergeCell ref="EH662:EL662"/>
    <mergeCell ref="DX659:EB659"/>
    <mergeCell ref="ER660:EV660"/>
    <mergeCell ref="EH666:EL666"/>
    <mergeCell ref="EC654:EG654"/>
    <mergeCell ref="EH654:EL654"/>
    <mergeCell ref="EH668:EL668"/>
    <mergeCell ref="DX657:EB657"/>
    <mergeCell ref="EC657:EG657"/>
    <mergeCell ref="EH657:EL657"/>
    <mergeCell ref="EM657:EQ657"/>
    <mergeCell ref="ET717:EX717"/>
    <mergeCell ref="EE729:EI729"/>
    <mergeCell ref="EO731:ES731"/>
    <mergeCell ref="DZ724:ED724"/>
    <mergeCell ref="ET723:EX723"/>
    <mergeCell ref="EE725:EI725"/>
    <mergeCell ref="DU734:DY734"/>
    <mergeCell ref="B641:AN641"/>
    <mergeCell ref="G643:R643"/>
    <mergeCell ref="EM670:EQ670"/>
    <mergeCell ref="AK730:AO730"/>
    <mergeCell ref="AC724:AG724"/>
    <mergeCell ref="AC730:AG730"/>
    <mergeCell ref="AE693:AF693"/>
    <mergeCell ref="AH727:AJ727"/>
    <mergeCell ref="X725:AB725"/>
    <mergeCell ref="DU729:DY729"/>
    <mergeCell ref="DJ730:DN730"/>
    <mergeCell ref="G671:L671"/>
    <mergeCell ref="EO740:ES740"/>
    <mergeCell ref="ER669:EV669"/>
    <mergeCell ref="ER668:EV668"/>
    <mergeCell ref="EW668:FA668"/>
    <mergeCell ref="EW664:FA664"/>
    <mergeCell ref="EW666:FA666"/>
    <mergeCell ref="EW654:FA654"/>
    <mergeCell ref="DX647:EB647"/>
    <mergeCell ref="ER661:EV661"/>
    <mergeCell ref="EO738:ES738"/>
    <mergeCell ref="DE738:DI738"/>
    <mergeCell ref="EM649:EQ649"/>
    <mergeCell ref="EM654:EQ654"/>
    <mergeCell ref="ER654:EV654"/>
    <mergeCell ref="EM652:EQ652"/>
    <mergeCell ref="DX650:EB650"/>
    <mergeCell ref="EC650:EG650"/>
    <mergeCell ref="EC655:EG655"/>
    <mergeCell ref="DX667:EB667"/>
    <mergeCell ref="FT740:FX740"/>
    <mergeCell ref="FT733:FX733"/>
    <mergeCell ref="Z627:AB627"/>
    <mergeCell ref="DO777:DS777"/>
    <mergeCell ref="DE773:DI773"/>
    <mergeCell ref="CZ777:DD777"/>
    <mergeCell ref="DE777:DI777"/>
    <mergeCell ref="DE775:DI775"/>
    <mergeCell ref="EE751:EI751"/>
    <mergeCell ref="DU751:DY751"/>
    <mergeCell ref="DZ751:ED751"/>
    <mergeCell ref="DU752:DY752"/>
    <mergeCell ref="DZ752:ED752"/>
    <mergeCell ref="DJ752:DN752"/>
    <mergeCell ref="EZ753:FD753"/>
    <mergeCell ref="FE753:FI753"/>
    <mergeCell ref="EJ735:EN735"/>
    <mergeCell ref="EO735:ES735"/>
    <mergeCell ref="DZ735:ED735"/>
    <mergeCell ref="FJ740:FN740"/>
    <mergeCell ref="ET737:EX737"/>
    <mergeCell ref="EJ753:EN753"/>
    <mergeCell ref="DO740:DS740"/>
    <mergeCell ref="DJ740:DN740"/>
    <mergeCell ref="DO754:DS754"/>
    <mergeCell ref="DE753:DI753"/>
    <mergeCell ref="DO751:DS751"/>
    <mergeCell ref="DO752:DS752"/>
    <mergeCell ref="DE751:DI751"/>
    <mergeCell ref="EE752:EI752"/>
    <mergeCell ref="CG745:CH745"/>
    <mergeCell ref="CI745:CJ745"/>
    <mergeCell ref="FO740:FS740"/>
    <mergeCell ref="EC637:EG637"/>
    <mergeCell ref="EH637:EL637"/>
    <mergeCell ref="T624:V626"/>
    <mergeCell ref="ET751:EX751"/>
    <mergeCell ref="EJ751:EN751"/>
    <mergeCell ref="EO739:ES739"/>
    <mergeCell ref="ET739:EX739"/>
    <mergeCell ref="DJ773:DN773"/>
    <mergeCell ref="DJ777:DN777"/>
    <mergeCell ref="CZ774:DD774"/>
    <mergeCell ref="AO634:AS634"/>
    <mergeCell ref="CZ773:DD773"/>
    <mergeCell ref="DJ774:DN774"/>
    <mergeCell ref="AF635:AJ635"/>
    <mergeCell ref="AO635:AS635"/>
    <mergeCell ref="EZ733:FD733"/>
    <mergeCell ref="FE733:FI733"/>
    <mergeCell ref="FJ733:FN733"/>
    <mergeCell ref="FO733:FS733"/>
    <mergeCell ref="ET740:EX740"/>
    <mergeCell ref="Z636:AB636"/>
    <mergeCell ref="Z637:AB637"/>
    <mergeCell ref="Z638:AB638"/>
    <mergeCell ref="W627:Y627"/>
    <mergeCell ref="T627:V627"/>
    <mergeCell ref="AO627:AS627"/>
    <mergeCell ref="EO752:ES752"/>
    <mergeCell ref="EJ752:EN752"/>
    <mergeCell ref="ET738:EX738"/>
    <mergeCell ref="DU738:DY738"/>
    <mergeCell ref="CK745:CL745"/>
    <mergeCell ref="CP789:CT789"/>
    <mergeCell ref="DU739:DY739"/>
    <mergeCell ref="DZ739:ED739"/>
    <mergeCell ref="EE739:EI739"/>
    <mergeCell ref="DO753:DS753"/>
    <mergeCell ref="DO773:DS773"/>
    <mergeCell ref="DJ751:DN751"/>
    <mergeCell ref="CP777:CT777"/>
    <mergeCell ref="CP773:CT773"/>
    <mergeCell ref="CU752:CY752"/>
    <mergeCell ref="CZ745:DD745"/>
    <mergeCell ref="DE745:DI745"/>
    <mergeCell ref="CU773:CY773"/>
    <mergeCell ref="CP738:CT738"/>
    <mergeCell ref="DZ737:ED737"/>
    <mergeCell ref="EE753:EI753"/>
    <mergeCell ref="EO753:ES753"/>
    <mergeCell ref="DJ776:DN776"/>
    <mergeCell ref="DO776:DS776"/>
    <mergeCell ref="DO775:DS775"/>
    <mergeCell ref="DJ753:DN753"/>
    <mergeCell ref="CP787:CT787"/>
    <mergeCell ref="DE740:DI740"/>
    <mergeCell ref="DU740:DY740"/>
    <mergeCell ref="DZ740:ED740"/>
    <mergeCell ref="EE740:EI740"/>
    <mergeCell ref="EJ740:EN740"/>
    <mergeCell ref="CU775:CY775"/>
    <mergeCell ref="EE745:EI745"/>
    <mergeCell ref="EO745:ES745"/>
    <mergeCell ref="DU749:DY749"/>
    <mergeCell ref="DZ749:ED749"/>
    <mergeCell ref="CI753:CJ753"/>
    <mergeCell ref="CM753:CN753"/>
    <mergeCell ref="CP753:CT753"/>
    <mergeCell ref="DO732:DS732"/>
    <mergeCell ref="CK751:CL751"/>
    <mergeCell ref="CP775:CT775"/>
    <mergeCell ref="CP776:CT776"/>
    <mergeCell ref="DJ734:DN734"/>
    <mergeCell ref="AO637:AS637"/>
    <mergeCell ref="EM641:EQ641"/>
    <mergeCell ref="ER655:EV655"/>
    <mergeCell ref="EH648:EL648"/>
    <mergeCell ref="EH651:EL651"/>
    <mergeCell ref="EH650:EL650"/>
    <mergeCell ref="AK736:AO736"/>
    <mergeCell ref="EO736:ES736"/>
    <mergeCell ref="CI730:CJ730"/>
    <mergeCell ref="DO735:DS735"/>
    <mergeCell ref="DO736:DS736"/>
    <mergeCell ref="CI736:CJ736"/>
    <mergeCell ref="CZ737:DD737"/>
    <mergeCell ref="DE733:DI733"/>
    <mergeCell ref="CU735:CY735"/>
    <mergeCell ref="CZ751:DD751"/>
    <mergeCell ref="CI751:CJ751"/>
    <mergeCell ref="CP735:CT735"/>
    <mergeCell ref="DJ736:DN736"/>
    <mergeCell ref="DE736:DI736"/>
    <mergeCell ref="CM740:CN740"/>
    <mergeCell ref="AK749:AO749"/>
    <mergeCell ref="EJ739:EN739"/>
    <mergeCell ref="AK751:AO751"/>
    <mergeCell ref="EW661:FA661"/>
    <mergeCell ref="EM662:EQ662"/>
    <mergeCell ref="ER662:EV662"/>
    <mergeCell ref="DU727:DY727"/>
    <mergeCell ref="EE726:EI726"/>
    <mergeCell ref="EJ726:EN726"/>
    <mergeCell ref="DO720:DS720"/>
    <mergeCell ref="AH729:AJ729"/>
    <mergeCell ref="DU718:DY718"/>
    <mergeCell ref="DU721:DY721"/>
    <mergeCell ref="EE721:EI721"/>
    <mergeCell ref="EJ721:EN721"/>
    <mergeCell ref="DZ721:ED721"/>
    <mergeCell ref="DZ722:ED722"/>
    <mergeCell ref="DU717:DY717"/>
    <mergeCell ref="DU719:DY719"/>
    <mergeCell ref="EE717:EI717"/>
    <mergeCell ref="EJ720:EN720"/>
    <mergeCell ref="AK726:AO726"/>
    <mergeCell ref="EO722:ES722"/>
    <mergeCell ref="EO717:ES717"/>
    <mergeCell ref="CU721:CY721"/>
    <mergeCell ref="EJ729:EN729"/>
    <mergeCell ref="EJ717:EN717"/>
    <mergeCell ref="DJ720:DN720"/>
    <mergeCell ref="DJ717:DN717"/>
    <mergeCell ref="DJ722:DN722"/>
    <mergeCell ref="DE721:DI721"/>
    <mergeCell ref="DE723:DI723"/>
    <mergeCell ref="CU718:CY718"/>
    <mergeCell ref="CP717:CT717"/>
    <mergeCell ref="AK720:AO720"/>
    <mergeCell ref="EW660:FA660"/>
    <mergeCell ref="DX661:EB661"/>
    <mergeCell ref="DX645:EB645"/>
    <mergeCell ref="EW641:FA641"/>
    <mergeCell ref="EC642:EG642"/>
    <mergeCell ref="EH642:EL642"/>
    <mergeCell ref="EM642:EQ642"/>
    <mergeCell ref="ER642:EV642"/>
    <mergeCell ref="DX641:EB641"/>
    <mergeCell ref="EC644:EG644"/>
    <mergeCell ref="EH644:EL644"/>
    <mergeCell ref="DX656:EB656"/>
    <mergeCell ref="EC656:EG656"/>
    <mergeCell ref="EH656:EL656"/>
    <mergeCell ref="EM656:EQ656"/>
    <mergeCell ref="EW669:FA669"/>
    <mergeCell ref="EH653:EL653"/>
    <mergeCell ref="EM653:EQ653"/>
    <mergeCell ref="ER653:EV653"/>
    <mergeCell ref="EW647:FA647"/>
    <mergeCell ref="EW655:FA655"/>
    <mergeCell ref="EW650:FA650"/>
    <mergeCell ref="EW648:FA648"/>
    <mergeCell ref="EW651:FA651"/>
    <mergeCell ref="EW649:FA649"/>
    <mergeCell ref="EW652:FA652"/>
    <mergeCell ref="ER657:EV657"/>
    <mergeCell ref="EW657:FA657"/>
    <mergeCell ref="EH659:EL659"/>
    <mergeCell ref="EC661:EG661"/>
    <mergeCell ref="EH661:EL661"/>
    <mergeCell ref="EM651:EQ651"/>
    <mergeCell ref="ER649:EV649"/>
    <mergeCell ref="CP794:CT794"/>
    <mergeCell ref="CP795:CT795"/>
    <mergeCell ref="CP796:CT796"/>
    <mergeCell ref="CP793:CT793"/>
    <mergeCell ref="CP792:CT792"/>
    <mergeCell ref="CP791:CT791"/>
    <mergeCell ref="CP790:CT790"/>
    <mergeCell ref="AK723:AO723"/>
    <mergeCell ref="AK724:AO724"/>
    <mergeCell ref="AK725:AO725"/>
    <mergeCell ref="CZ753:DD753"/>
    <mergeCell ref="DJ775:DN775"/>
    <mergeCell ref="CU739:CY739"/>
    <mergeCell ref="EH655:EL655"/>
    <mergeCell ref="EM655:EQ655"/>
    <mergeCell ref="EH647:EL647"/>
    <mergeCell ref="EM647:EQ647"/>
    <mergeCell ref="DX648:EB648"/>
    <mergeCell ref="DX651:EB651"/>
    <mergeCell ref="EC651:EG651"/>
    <mergeCell ref="EM648:EQ648"/>
    <mergeCell ref="DE776:DI776"/>
    <mergeCell ref="DJ746:DN746"/>
    <mergeCell ref="DO746:DS746"/>
    <mergeCell ref="CZ746:DD746"/>
    <mergeCell ref="DE744:DI744"/>
    <mergeCell ref="DE750:DI750"/>
    <mergeCell ref="DJ750:DN750"/>
    <mergeCell ref="DO774:DS774"/>
    <mergeCell ref="DU753:DY753"/>
    <mergeCell ref="DZ753:ED753"/>
    <mergeCell ref="DE774:DI774"/>
    <mergeCell ref="AA573:AK573"/>
    <mergeCell ref="DZ738:ED738"/>
    <mergeCell ref="EE738:EI738"/>
    <mergeCell ref="EJ738:EN738"/>
    <mergeCell ref="EM636:EQ636"/>
    <mergeCell ref="DX637:EB637"/>
    <mergeCell ref="AC633:AE633"/>
    <mergeCell ref="B639:AN639"/>
    <mergeCell ref="B640:AN640"/>
    <mergeCell ref="B719:F719"/>
    <mergeCell ref="V381:W381"/>
    <mergeCell ref="T555:V555"/>
    <mergeCell ref="W559:Y559"/>
    <mergeCell ref="Z646:AK646"/>
    <mergeCell ref="G580:R580"/>
    <mergeCell ref="W631:Y631"/>
    <mergeCell ref="AG615:AH615"/>
    <mergeCell ref="G612:R612"/>
    <mergeCell ref="Q636:S636"/>
    <mergeCell ref="Q637:S637"/>
    <mergeCell ref="C636:L636"/>
    <mergeCell ref="N665:O665"/>
    <mergeCell ref="G611:R611"/>
    <mergeCell ref="Z602:AK602"/>
    <mergeCell ref="Z612:AK612"/>
    <mergeCell ref="AC627:AE627"/>
    <mergeCell ref="AA656:AK656"/>
    <mergeCell ref="DE735:DI735"/>
    <mergeCell ref="AH737:AJ737"/>
    <mergeCell ref="AH738:AJ738"/>
    <mergeCell ref="AH736:AJ736"/>
    <mergeCell ref="AC739:AG739"/>
    <mergeCell ref="X732:AB732"/>
    <mergeCell ref="K734:N734"/>
    <mergeCell ref="AH733:AJ733"/>
    <mergeCell ref="G723:J723"/>
    <mergeCell ref="O725:S725"/>
    <mergeCell ref="O726:S726"/>
    <mergeCell ref="AK737:AO737"/>
    <mergeCell ref="X735:AB735"/>
    <mergeCell ref="X736:AB736"/>
    <mergeCell ref="T735:W735"/>
    <mergeCell ref="T734:W734"/>
    <mergeCell ref="AC727:AG727"/>
    <mergeCell ref="AC728:AG728"/>
    <mergeCell ref="AC732:AG732"/>
    <mergeCell ref="X733:AB733"/>
    <mergeCell ref="G732:J732"/>
    <mergeCell ref="AH735:AJ735"/>
    <mergeCell ref="X734:AB734"/>
    <mergeCell ref="X724:AB724"/>
    <mergeCell ref="T744:W744"/>
    <mergeCell ref="X721:AB721"/>
    <mergeCell ref="X727:AB727"/>
    <mergeCell ref="K745:N745"/>
    <mergeCell ref="G728:J728"/>
    <mergeCell ref="O737:S737"/>
    <mergeCell ref="O738:S738"/>
    <mergeCell ref="T740:W740"/>
    <mergeCell ref="G741:J741"/>
    <mergeCell ref="T739:W739"/>
    <mergeCell ref="A69:AT70"/>
    <mergeCell ref="A72:AT73"/>
    <mergeCell ref="A544:AT545"/>
    <mergeCell ref="A480:AT481"/>
    <mergeCell ref="A351:AT352"/>
    <mergeCell ref="I392:N392"/>
    <mergeCell ref="M357:N357"/>
    <mergeCell ref="J385:U385"/>
    <mergeCell ref="Q635:S635"/>
    <mergeCell ref="Z593:AK593"/>
    <mergeCell ref="AK629:AN629"/>
    <mergeCell ref="C633:L633"/>
    <mergeCell ref="AI331:AK331"/>
    <mergeCell ref="Z624:AB626"/>
    <mergeCell ref="P613:R613"/>
    <mergeCell ref="W632:Y632"/>
    <mergeCell ref="Q627:S627"/>
    <mergeCell ref="Q628:S628"/>
    <mergeCell ref="Q629:S629"/>
    <mergeCell ref="P421:R421"/>
    <mergeCell ref="C634:L634"/>
    <mergeCell ref="M624:P626"/>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3:AT14"/>
    <mergeCell ref="A1061:AQ1061"/>
    <mergeCell ref="AF1017:AI1019"/>
    <mergeCell ref="AF1014:AI1015"/>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D990:Q990"/>
    <mergeCell ref="AB989:AI989"/>
    <mergeCell ref="AB990:AI990"/>
    <mergeCell ref="B744:F744"/>
    <mergeCell ref="B745:F745"/>
    <mergeCell ref="AJ1045:AQ1048"/>
    <mergeCell ref="AJ1049:AQ1052"/>
    <mergeCell ref="U929:Z929"/>
    <mergeCell ref="B746:F746"/>
    <mergeCell ref="B747:F747"/>
    <mergeCell ref="B748:F748"/>
    <mergeCell ref="B749:F749"/>
    <mergeCell ref="B750:F750"/>
    <mergeCell ref="T750:W750"/>
    <mergeCell ref="AE962:AK962"/>
    <mergeCell ref="M961:S961"/>
    <mergeCell ref="B740:F740"/>
    <mergeCell ref="O739:S739"/>
    <mergeCell ref="O740:S740"/>
    <mergeCell ref="K741:N741"/>
    <mergeCell ref="O736:S736"/>
    <mergeCell ref="K738:N738"/>
    <mergeCell ref="G647:L647"/>
    <mergeCell ref="C638:L638"/>
    <mergeCell ref="AK731:AO731"/>
    <mergeCell ref="AK738:AO738"/>
    <mergeCell ref="Z686:AK686"/>
    <mergeCell ref="G730:J730"/>
    <mergeCell ref="X730:AB730"/>
    <mergeCell ref="X731:AB731"/>
    <mergeCell ref="AH732:AJ732"/>
    <mergeCell ref="Z675:AK675"/>
    <mergeCell ref="T737:W737"/>
    <mergeCell ref="X739:AB739"/>
    <mergeCell ref="G740:J740"/>
    <mergeCell ref="T733:W733"/>
    <mergeCell ref="O734:S734"/>
    <mergeCell ref="K739:N739"/>
    <mergeCell ref="AC734:AG734"/>
    <mergeCell ref="AC735:AG735"/>
    <mergeCell ref="B714:F717"/>
    <mergeCell ref="G729:J729"/>
    <mergeCell ref="B726:F726"/>
    <mergeCell ref="G655:L655"/>
    <mergeCell ref="H656:R656"/>
    <mergeCell ref="AC733:AG733"/>
    <mergeCell ref="AG649:AH649"/>
    <mergeCell ref="H688:R688"/>
    <mergeCell ref="C1089:D1089"/>
    <mergeCell ref="C1090:D1090"/>
    <mergeCell ref="C1091:D1091"/>
    <mergeCell ref="A1065:B1065"/>
    <mergeCell ref="A1067:B1067"/>
    <mergeCell ref="C1065:D1065"/>
    <mergeCell ref="C1066:D1066"/>
    <mergeCell ref="C1067:D1067"/>
    <mergeCell ref="C1068:D1068"/>
    <mergeCell ref="C1069:D1069"/>
    <mergeCell ref="C1070:D1070"/>
    <mergeCell ref="C1071:D1071"/>
    <mergeCell ref="C1072:D1072"/>
    <mergeCell ref="C1073:D1073"/>
    <mergeCell ref="C1074:D1074"/>
    <mergeCell ref="C1075:D1075"/>
    <mergeCell ref="C1076:D1076"/>
    <mergeCell ref="A1089:B1089"/>
    <mergeCell ref="A1085:B1085"/>
    <mergeCell ref="A1081:B1081"/>
    <mergeCell ref="A1075:B1075"/>
    <mergeCell ref="A1070:B1070"/>
    <mergeCell ref="A1103:B1103"/>
    <mergeCell ref="C1103:D1103"/>
    <mergeCell ref="E1103:AR1104"/>
    <mergeCell ref="C1092:D1092"/>
    <mergeCell ref="C1093:D1093"/>
    <mergeCell ref="C1094:D1094"/>
    <mergeCell ref="C1095:D1095"/>
    <mergeCell ref="C1096:D1096"/>
    <mergeCell ref="C1097:D1097"/>
    <mergeCell ref="C1098:D1098"/>
    <mergeCell ref="C1099:D1099"/>
    <mergeCell ref="C1100:D1100"/>
    <mergeCell ref="E1067:AR1068"/>
    <mergeCell ref="E1070:AR1073"/>
    <mergeCell ref="E1075:AR1079"/>
    <mergeCell ref="E1081:AR1083"/>
    <mergeCell ref="E1085:AR1087"/>
    <mergeCell ref="E1089:AR1091"/>
    <mergeCell ref="E1094:AR1095"/>
    <mergeCell ref="E1097:AR1098"/>
    <mergeCell ref="E1100:AR1101"/>
    <mergeCell ref="C1077:D1077"/>
    <mergeCell ref="C1078:D1078"/>
    <mergeCell ref="C1079:D1079"/>
    <mergeCell ref="C1080:D1080"/>
    <mergeCell ref="C1081:D1081"/>
    <mergeCell ref="C1082:D1082"/>
    <mergeCell ref="C1083:D1083"/>
    <mergeCell ref="C1084:D1084"/>
    <mergeCell ref="C1085:D1085"/>
    <mergeCell ref="C1087:D1087"/>
    <mergeCell ref="C1088:D1088"/>
  </mergeCells>
  <phoneticPr fontId="0" type="noConversion"/>
  <conditionalFormatting sqref="B1060:F1060 AO1060:AP1060">
    <cfRule type="expression" dxfId="105" priority="5">
      <formula>0=$B$1060</formula>
    </cfRule>
  </conditionalFormatting>
  <conditionalFormatting sqref="C555:C565 Q555:AS565 Q628:Z638 AC628:AS638">
    <cfRule type="expression" dxfId="104" priority="22">
      <formula>$AT555="!"</formula>
    </cfRule>
  </conditionalFormatting>
  <conditionalFormatting sqref="C628:C638">
    <cfRule type="expression" dxfId="103" priority="21">
      <formula>$AT628="!"</formula>
    </cfRule>
  </conditionalFormatting>
  <conditionalFormatting sqref="C894:T895">
    <cfRule type="expression" dxfId="102" priority="7">
      <formula>AND(AC894&lt;&gt;"",OR(C894="Other (Specify):",C894=""))</formula>
    </cfRule>
  </conditionalFormatting>
  <conditionalFormatting sqref="D213">
    <cfRule type="expression" dxfId="101" priority="263">
      <formula>AND($Q$212&gt;0,$T$212&lt;75%)</formula>
    </cfRule>
  </conditionalFormatting>
  <conditionalFormatting sqref="D216">
    <cfRule type="expression" dxfId="100" priority="30">
      <formula>NOT($D$211="At-Risk")</formula>
    </cfRule>
  </conditionalFormatting>
  <conditionalFormatting sqref="D215:U215">
    <cfRule type="expression" dxfId="99" priority="34">
      <formula>NOT(OR($D$214="Seniors",$D$211="Seniors"))</formula>
    </cfRule>
  </conditionalFormatting>
  <conditionalFormatting sqref="D214:Z214">
    <cfRule type="expression" dxfId="98" priority="264">
      <formula>AND($Q$212&gt;0,$T$212&lt;75%)</formula>
    </cfRule>
  </conditionalFormatting>
  <conditionalFormatting sqref="E707:AK707">
    <cfRule type="expression" dxfId="97" priority="20">
      <formula>AND($W$706="Other",OR($E$707="(specify here)",$E$707=""))</formula>
    </cfRule>
  </conditionalFormatting>
  <conditionalFormatting sqref="F831:L831">
    <cfRule type="expression" dxfId="96" priority="15">
      <formula>AND(OR(M831&lt;&gt;"",$Q$811&lt;&gt;"",$U$811&lt;&gt;"",$Y$811&lt;&gt;"",$AC$811&lt;&gt;"",$AG$811&lt;&gt;"",SUM($M$831:$AJ$831)&gt;0),OR(F831="(specify here)",F831=""))</formula>
    </cfRule>
  </conditionalFormatting>
  <conditionalFormatting sqref="F457:AB458">
    <cfRule type="expression" dxfId="95" priority="4">
      <formula>$AC$454=""</formula>
    </cfRule>
  </conditionalFormatting>
  <conditionalFormatting sqref="G1055:AN1060">
    <cfRule type="expression" dxfId="94" priority="1">
      <formula>OR($Z$205="15% set-aside",$Z$205="15% set-aside with qualifying low value rehab")</formula>
    </cfRule>
  </conditionalFormatting>
  <conditionalFormatting sqref="L508:X508">
    <cfRule type="expression" dxfId="93" priority="29">
      <formula>AND(NOT(AC508="N/A"),AH508&lt;&gt;"",OR(L508="(specify here)",L508=""))</formula>
    </cfRule>
  </conditionalFormatting>
  <conditionalFormatting sqref="M846:V846">
    <cfRule type="expression" dxfId="92" priority="14">
      <formula>AND(W846&lt;&gt;"",OR(M846="(specify here)",M846=""))</formula>
    </cfRule>
  </conditionalFormatting>
  <conditionalFormatting sqref="M861:V861">
    <cfRule type="expression" dxfId="91" priority="13">
      <formula>AND(W861&lt;&gt;"",OR(M861="(specify here)",M861=""))</formula>
    </cfRule>
  </conditionalFormatting>
  <conditionalFormatting sqref="M871:V871">
    <cfRule type="expression" dxfId="90" priority="12">
      <formula>AND(W871&lt;&gt;"",OR(M871="(specify here)",M871=""))</formula>
    </cfRule>
  </conditionalFormatting>
  <conditionalFormatting sqref="M874:V878">
    <cfRule type="expression" dxfId="89" priority="11">
      <formula>AND(W874&lt;&gt;"",OR(M874="(specify here)",M874=""))</formula>
    </cfRule>
  </conditionalFormatting>
  <conditionalFormatting sqref="O520:AA520">
    <cfRule type="expression" dxfId="88" priority="28">
      <formula>AND(OR(AND(NOT(AC520="N/A"),AH520&lt;&gt;""),AND(NOT(AC521="N/A"),AH521&lt;&gt;""),AND(NOT(AC522="N/A"),AH522&lt;&gt;"")),OR(O520="(specify here)",O520=""))</formula>
    </cfRule>
  </conditionalFormatting>
  <conditionalFormatting sqref="O523:AA523">
    <cfRule type="expression" dxfId="87" priority="27">
      <formula>AND(OR(AND(NOT(AC523="N/A"),AH523&lt;&gt;""),AND(NOT(AC524="N/A"),AH524&lt;&gt;""),AND(NOT(AC525="N/A"),AH525&lt;&gt;"")),OR(O523="(specify here)",O523=""))</formula>
    </cfRule>
  </conditionalFormatting>
  <conditionalFormatting sqref="O526:AA526">
    <cfRule type="expression" dxfId="86" priority="26">
      <formula>AND(OR(AND(NOT(AC526="N/A"),AH526&lt;&gt;""),AND(NOT(AC527="N/A"),AH527&lt;&gt;""),AND(NOT(AC528="N/A"),AH528&lt;&gt;"")),OR(O526="(specify here)",O526=""))</formula>
    </cfRule>
  </conditionalFormatting>
  <conditionalFormatting sqref="O529:AA529">
    <cfRule type="expression" dxfId="85" priority="25">
      <formula>AND(OR(AND(NOT(AC529="N/A"),AH529&lt;&gt;""),AND(NOT(AC530="N/A"),AH530&lt;&gt;""),AND(NOT(AC531="N/A"),AH531&lt;&gt;"")),OR(O529="(specify here)",O529=""))</formula>
    </cfRule>
  </conditionalFormatting>
  <conditionalFormatting sqref="O532:AA532">
    <cfRule type="expression" dxfId="84" priority="24">
      <formula>AND(OR(AND(NOT(AC532="N/A"),AH532&lt;&gt;""),AND(NOT(AC533="N/A"),AH533&lt;&gt;""),AND(NOT(AC534="N/A"),AH534&lt;&gt;"")),OR(O532="(specify here)",O532=""))</formula>
    </cfRule>
  </conditionalFormatting>
  <conditionalFormatting sqref="O535:AA535">
    <cfRule type="expression" dxfId="83" priority="23">
      <formula>AND(OR(AND(NOT(AC535="N/A"),AH535&lt;&gt;""),AND(NOT(AC536="N/A"),AH536&lt;&gt;""),AND(NOT(AC537="N/A"),AH537&lt;&gt;"")),OR(O535="(specify here)",O535=""))</formula>
    </cfRule>
  </conditionalFormatting>
  <conditionalFormatting sqref="P816:Y816">
    <cfRule type="expression" dxfId="82" priority="16">
      <formula>AND(Z816&lt;&gt;"",OR(P816="(specify here)",P816=""))</formula>
    </cfRule>
  </conditionalFormatting>
  <conditionalFormatting sqref="T212:U212">
    <cfRule type="expression" dxfId="81" priority="3">
      <formula>AND($T$212=0,$Q$212="")</formula>
    </cfRule>
  </conditionalFormatting>
  <conditionalFormatting sqref="U894:U895">
    <cfRule type="expression" dxfId="80" priority="260">
      <formula>AND(AU878&lt;&gt;"",OR(U894="Other (Specify):",U894=""))</formula>
    </cfRule>
  </conditionalFormatting>
  <conditionalFormatting sqref="V894:AB895">
    <cfRule type="expression" dxfId="79" priority="261">
      <formula>AND(AV888&lt;&gt;"",OR(V894="Other (Specify):",V894=""))</formula>
    </cfRule>
  </conditionalFormatting>
  <conditionalFormatting sqref="W974:AG974">
    <cfRule type="expression" dxfId="78" priority="6">
      <formula>AND($AA$953&lt;&gt;"",OR($W$952="",$W$952="(specify here)"))</formula>
    </cfRule>
  </conditionalFormatting>
  <conditionalFormatting sqref="Y508:AB508">
    <cfRule type="expression" dxfId="77" priority="262">
      <formula>AND(NOT(AP508="N/A"),AU507&lt;&gt;"",OR(Y508="(specify here)",Y508=""))</formula>
    </cfRule>
  </conditionalFormatting>
  <conditionalFormatting sqref="AA1057:AF1057">
    <cfRule type="expression" dxfId="76" priority="2">
      <formula>OR($Z$205="15% set-aside",$Z$205="15% set-aside with qualifying low value rehab")</formula>
    </cfRule>
  </conditionalFormatting>
  <conditionalFormatting sqref="AA215:AO215">
    <cfRule type="expression" dxfId="75" priority="35">
      <formula>NOT(OR($D$214="Seniors",$D$211="Seniors"))</formula>
    </cfRule>
  </conditionalFormatting>
  <conditionalFormatting sqref="AB216:AM216">
    <cfRule type="expression" dxfId="74" priority="31">
      <formula>NOT($D$211="At-Risk")</formula>
    </cfRule>
  </conditionalFormatting>
  <conditionalFormatting sqref="AF1021">
    <cfRule type="cellIs" dxfId="73" priority="41" stopIfTrue="1" operator="equal">
      <formula>"Please Enter Amount:"</formula>
    </cfRule>
  </conditionalFormatting>
  <conditionalFormatting sqref="AF1026">
    <cfRule type="cellIs" dxfId="72" priority="38" stopIfTrue="1" operator="equal">
      <formula>"Please Enter Amount:"</formula>
    </cfRule>
  </conditionalFormatting>
  <conditionalFormatting sqref="AF1033">
    <cfRule type="cellIs" dxfId="71" priority="39" stopIfTrue="1" operator="equal">
      <formula>"Please Enter Amount:"</formula>
    </cfRule>
  </conditionalFormatting>
  <conditionalFormatting sqref="AG441:AJ441">
    <cfRule type="expression" dxfId="70" priority="45" stopIfTrue="1">
      <formula>"iserror(d31)"</formula>
    </cfRule>
  </conditionalFormatting>
  <conditionalFormatting sqref="AJ1045">
    <cfRule type="cellIs" dxfId="69" priority="44" stopIfTrue="1" operator="equal">
      <formula>"#DIV/0!"</formula>
    </cfRule>
  </conditionalFormatting>
  <dataValidations xWindow="329" yWindow="269" count="59">
    <dataValidation type="list" allowBlank="1" showInputMessage="1" showErrorMessage="1" sqref="S413:T413 A1081:B1081 AE425:AF425 A1103:B1103 M355:N358 A1125:B1125 A1097:B1097 A1070:B1070 A1075:B1075 R411:S412 A1089:B1089 A1094:B1094 A1100:B1100 A1065:B1065 A1067:B1067 A1085:B1085" xr:uid="{00000000-0002-0000-0400-000000000000}">
      <formula1>"N/A, Yes"</formula1>
    </dataValidation>
    <dataValidation type="list" allowBlank="1" showInputMessage="1" showErrorMessage="1" sqref="O974 N689 AG689 AG665 N665 AG673 N673 AG681 N681 AG615 AG649 N649 AG657 N657 AG607 AG599 N591 AG591 N607 AG583 N599 N575 N615 N583 AG575 O33:P33 X180 R177 AP205 T195:T197 AH194 T199:T200" xr:uid="{00000000-0002-0000-0400-000001000000}">
      <formula1>"Yes, No"</formula1>
    </dataValidation>
    <dataValidation type="list" allowBlank="1" showInputMessage="1" showErrorMessage="1" sqref="AG1011 AG1020 AG1029 AG994 AG1001 AG1036 Q489 AG1007 AG1013 AG1016 AG1025 AG1032 AG1041" xr:uid="{00000000-0002-0000-0400-000002000000}">
      <formula1>"Yes,No"</formula1>
    </dataValidation>
    <dataValidation type="list" allowBlank="1" showInputMessage="1" showErrorMessage="1" sqref="J1024"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8:U950"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211:AI211 AH195:AI197"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CU122:CV122" xr:uid="{00000000-0002-0000-0400-000010000000}">
      <formula1>$CU$124:$CU$125</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5:T945" xr:uid="{00000000-0002-0000-0400-000014000000}">
      <formula1>"No,Yes"</formula1>
    </dataValidation>
    <dataValidation type="list" allowBlank="1" showInputMessage="1" showErrorMessage="1" sqref="M969:S969"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7 AB957" xr:uid="{00000000-0002-0000-0400-00001E000000}">
      <formula1>"(select one),Project-based vouchers (PBVs),Project-based contract (PBC),RAD conversion - PBVs, RAD conversion - PBC"</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Q212:R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2:AK962"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2:S962"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2:S972" xr:uid="{9CEC7422-BB08-4918-A04B-C33D1AA3FF65}">
      <formula1>"(select one),Project-based vouchers (PBVs),Project-based contract (PBC),RAD PBVs, RAD PBC"</formula1>
    </dataValidation>
    <dataValidation type="list" allowBlank="1" showInputMessage="1" showErrorMessage="1" sqref="J787:N796 J773:N776 B718:F752" xr:uid="{00000000-0002-0000-0400-00002C000000}">
      <formula1>UnitSizes</formula1>
    </dataValidation>
    <dataValidation type="list" showInputMessage="1" showErrorMessage="1" sqref="D220:Z220" xr:uid="{00000000-0002-0000-0400-000020000000}">
      <formula1>$BC$197:$BC$210</formula1>
    </dataValidation>
    <dataValidation type="list" allowBlank="1" showInputMessage="1" showErrorMessage="1" sqref="Z205:AN205" xr:uid="{161915D1-A3E5-473D-99BC-4B3E70D889E3}">
      <formula1>$BI$212:$BI$217</formula1>
    </dataValidation>
    <dataValidation type="list" allowBlank="1" showInputMessage="1" showErrorMessage="1" sqref="AC220:AQ220" xr:uid="{5ED4EA51-A5F7-4FD5-BA7A-660BC831B638}">
      <formula1>$BN$148:$BN$155</formula1>
    </dataValidation>
  </dataValidations>
  <hyperlinks>
    <hyperlink ref="AB200"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45" man="1"/>
    <brk id="272" max="45" man="1"/>
    <brk id="334" max="45" man="1"/>
    <brk id="383" max="45" man="1"/>
    <brk id="435" max="45" man="1"/>
    <brk id="496" max="45" man="1"/>
    <brk id="543" max="45" man="1"/>
    <brk id="666" max="45" man="1"/>
    <brk id="708" max="45" man="1"/>
    <brk id="760" max="45" man="1"/>
    <brk id="819" max="45" man="1"/>
    <brk id="880" max="45" man="1"/>
    <brk id="950" max="45" man="1"/>
  </rowBreaks>
  <drawing r:id="rId6"/>
  <legacyDrawing r:id="rId7"/>
  <tableParts count="1">
    <tablePart r:id="rId8"/>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showGridLines="0" topLeftCell="A83" workbookViewId="0">
      <selection activeCell="G27" sqref="G27"/>
    </sheetView>
  </sheetViews>
  <sheetFormatPr defaultColWidth="0" defaultRowHeight="12" zeroHeight="1"/>
  <cols>
    <col min="1" max="1" width="35.7109375" style="187" customWidth="1"/>
    <col min="2" max="12" width="12.140625" style="158" customWidth="1"/>
    <col min="13" max="17" width="11.28515625" style="158" customWidth="1"/>
    <col min="18" max="18" width="12.7109375" style="158" customWidth="1"/>
    <col min="19" max="20" width="12.140625" style="158" customWidth="1"/>
    <col min="21" max="21" width="0.28515625" style="161" customWidth="1"/>
    <col min="22" max="16383" width="8.85546875" style="158" hidden="1"/>
    <col min="16384" max="16384" width="0.140625" style="158" customWidth="1"/>
  </cols>
  <sheetData>
    <row r="1" spans="1:21" s="110" customFormat="1" ht="13.5">
      <c r="A1" s="168" t="s">
        <v>549</v>
      </c>
      <c r="B1" s="125"/>
      <c r="C1" s="125"/>
      <c r="D1" s="125"/>
      <c r="E1" s="126"/>
      <c r="F1" s="1861" t="s">
        <v>621</v>
      </c>
      <c r="G1" s="1862"/>
      <c r="H1" s="1862"/>
      <c r="I1" s="1862"/>
      <c r="J1" s="1862"/>
      <c r="K1" s="1862"/>
      <c r="L1" s="1862"/>
      <c r="M1" s="1862"/>
      <c r="N1" s="1862"/>
      <c r="O1" s="1862"/>
      <c r="P1" s="1862"/>
      <c r="Q1" s="1862"/>
      <c r="R1" s="1863"/>
      <c r="S1" s="112"/>
      <c r="T1" s="111"/>
      <c r="U1" s="113"/>
    </row>
    <row r="2" spans="1:21" s="138" customFormat="1" ht="71.25" customHeight="1">
      <c r="A2" s="137"/>
      <c r="B2" s="138" t="s">
        <v>23</v>
      </c>
      <c r="C2" s="138" t="s">
        <v>373</v>
      </c>
      <c r="D2" s="138" t="s">
        <v>372</v>
      </c>
      <c r="E2" s="138" t="s">
        <v>24</v>
      </c>
      <c r="F2" s="139" t="str">
        <f>Application!B627&amp;Application!C627</f>
        <v>1)CalHFA</v>
      </c>
      <c r="G2" s="139" t="str">
        <f>Application!B628&amp;Application!C628</f>
        <v>2)CalHFA MIP</v>
      </c>
      <c r="H2" s="139" t="str">
        <f>Application!B629&amp;Application!C629</f>
        <v>3)City of Ventura</v>
      </c>
      <c r="I2" s="139" t="str">
        <f>Application!B630&amp;Application!C630</f>
        <v>4)R4 Capital Solar Credits</v>
      </c>
      <c r="J2" s="139" t="str">
        <f>Application!B631&amp;Application!C631</f>
        <v>5)Red Tail Multifamily Land Development, LLC</v>
      </c>
      <c r="K2" s="139" t="str">
        <f>Application!B632&amp;Application!C632</f>
        <v>6)</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182</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300000</v>
      </c>
      <c r="C4" s="147">
        <v>300000</v>
      </c>
      <c r="D4" s="147"/>
      <c r="E4" s="147">
        <f>C4-SUM(F4:J4)</f>
        <v>300000</v>
      </c>
      <c r="F4" s="147"/>
      <c r="G4" s="147"/>
      <c r="H4" s="147"/>
      <c r="I4" s="147"/>
      <c r="J4" s="147"/>
      <c r="K4" s="147"/>
      <c r="L4" s="147"/>
      <c r="M4" s="147"/>
      <c r="N4" s="147"/>
      <c r="O4" s="147"/>
      <c r="P4" s="147"/>
      <c r="Q4" s="147"/>
      <c r="R4" s="516">
        <f>SUM(E4:Q4)</f>
        <v>300000</v>
      </c>
      <c r="S4" s="148"/>
      <c r="T4" s="148"/>
      <c r="U4" s="143"/>
    </row>
    <row r="5" spans="1:21" s="144" customFormat="1">
      <c r="A5" s="145" t="s">
        <v>28</v>
      </c>
      <c r="B5" s="146">
        <f>SUM(C5+D5)</f>
        <v>0</v>
      </c>
      <c r="C5" s="147"/>
      <c r="D5" s="147"/>
      <c r="E5" s="147"/>
      <c r="F5" s="147"/>
      <c r="G5" s="147"/>
      <c r="H5" s="147"/>
      <c r="I5" s="147"/>
      <c r="J5" s="147"/>
      <c r="K5" s="147"/>
      <c r="L5" s="147"/>
      <c r="M5" s="147"/>
      <c r="N5" s="147"/>
      <c r="O5" s="147"/>
      <c r="P5" s="147"/>
      <c r="Q5" s="147"/>
      <c r="R5" s="516">
        <f>SUM(E5:Q5)</f>
        <v>0</v>
      </c>
      <c r="S5" s="148"/>
      <c r="T5" s="148"/>
      <c r="U5" s="143"/>
    </row>
    <row r="6" spans="1:21" s="144" customFormat="1">
      <c r="A6" s="145" t="s">
        <v>29</v>
      </c>
      <c r="B6" s="146">
        <f>SUM(C6+D6)</f>
        <v>0</v>
      </c>
      <c r="C6" s="147"/>
      <c r="D6" s="147"/>
      <c r="E6" s="147"/>
      <c r="F6" s="147"/>
      <c r="G6" s="147"/>
      <c r="H6" s="147"/>
      <c r="I6" s="147"/>
      <c r="J6" s="147"/>
      <c r="K6" s="147"/>
      <c r="L6" s="147"/>
      <c r="M6" s="147"/>
      <c r="N6" s="147"/>
      <c r="O6" s="147"/>
      <c r="P6" s="147"/>
      <c r="Q6" s="147"/>
      <c r="R6" s="516">
        <f>SUM(E6:Q6)</f>
        <v>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16">
        <f>SUM(E7:Q7)</f>
        <v>0</v>
      </c>
      <c r="S7" s="148"/>
      <c r="T7" s="148"/>
      <c r="U7" s="143"/>
    </row>
    <row r="8" spans="1:21" s="144" customFormat="1">
      <c r="A8" s="149" t="s">
        <v>593</v>
      </c>
      <c r="B8" s="146">
        <f>SUM(C8:D8)</f>
        <v>300000</v>
      </c>
      <c r="C8" s="146">
        <f t="shared" ref="C8:Q8" si="0">SUM(C4:C7)</f>
        <v>300000</v>
      </c>
      <c r="D8" s="146">
        <f t="shared" si="0"/>
        <v>0</v>
      </c>
      <c r="E8" s="146">
        <f t="shared" si="0"/>
        <v>300000</v>
      </c>
      <c r="F8" s="146">
        <f t="shared" si="0"/>
        <v>0</v>
      </c>
      <c r="G8" s="146">
        <f t="shared" si="0"/>
        <v>0</v>
      </c>
      <c r="H8" s="146">
        <f t="shared" si="0"/>
        <v>0</v>
      </c>
      <c r="I8" s="146">
        <f t="shared" si="0"/>
        <v>0</v>
      </c>
      <c r="J8" s="146">
        <f t="shared" si="0"/>
        <v>0</v>
      </c>
      <c r="K8" s="146">
        <f t="shared" si="0"/>
        <v>0</v>
      </c>
      <c r="L8" s="146">
        <f t="shared" si="0"/>
        <v>0</v>
      </c>
      <c r="M8" s="146">
        <f t="shared" si="0"/>
        <v>0</v>
      </c>
      <c r="N8" s="146">
        <f t="shared" si="0"/>
        <v>0</v>
      </c>
      <c r="O8" s="146">
        <f t="shared" si="0"/>
        <v>0</v>
      </c>
      <c r="P8" s="146"/>
      <c r="Q8" s="146">
        <f t="shared" si="0"/>
        <v>0</v>
      </c>
      <c r="R8" s="342">
        <f>SUM(R4:R7)</f>
        <v>300000</v>
      </c>
      <c r="S8" s="148"/>
      <c r="T8" s="148"/>
      <c r="U8" s="143"/>
    </row>
    <row r="9" spans="1:21" s="144" customFormat="1">
      <c r="A9" s="145" t="s">
        <v>594</v>
      </c>
      <c r="B9" s="146">
        <f>SUM(C9+D9)</f>
        <v>0</v>
      </c>
      <c r="C9" s="147"/>
      <c r="D9" s="147"/>
      <c r="E9" s="147"/>
      <c r="F9" s="147"/>
      <c r="G9" s="147"/>
      <c r="H9" s="147"/>
      <c r="I9" s="147"/>
      <c r="J9" s="147"/>
      <c r="K9" s="147"/>
      <c r="L9" s="147"/>
      <c r="M9" s="147"/>
      <c r="N9" s="147"/>
      <c r="O9" s="147"/>
      <c r="P9" s="147"/>
      <c r="Q9" s="147"/>
      <c r="R9" s="516">
        <f>SUM(E9:Q9)</f>
        <v>0</v>
      </c>
      <c r="S9" s="148"/>
      <c r="T9" s="147"/>
      <c r="U9" s="143"/>
    </row>
    <row r="10" spans="1:21" s="144" customFormat="1">
      <c r="A10" s="145" t="s">
        <v>595</v>
      </c>
      <c r="B10" s="146">
        <f>SUM(C10+D10)</f>
        <v>0</v>
      </c>
      <c r="C10" s="147"/>
      <c r="D10" s="147"/>
      <c r="E10" s="147"/>
      <c r="F10" s="147"/>
      <c r="G10" s="147"/>
      <c r="H10" s="147"/>
      <c r="I10" s="147"/>
      <c r="J10" s="147"/>
      <c r="K10" s="147"/>
      <c r="L10" s="147"/>
      <c r="M10" s="147"/>
      <c r="N10" s="147"/>
      <c r="O10" s="147"/>
      <c r="P10" s="147"/>
      <c r="Q10" s="147"/>
      <c r="R10" s="516">
        <f>SUM(E10:Q10)</f>
        <v>0</v>
      </c>
      <c r="S10" s="147"/>
      <c r="T10" s="147"/>
      <c r="U10" s="143"/>
    </row>
    <row r="11" spans="1:21" s="144" customFormat="1">
      <c r="A11" s="149" t="s">
        <v>596</v>
      </c>
      <c r="B11" s="146">
        <f>SUM(C11:D11)</f>
        <v>0</v>
      </c>
      <c r="C11" s="146">
        <f t="shared" ref="C11:Q11" si="1">SUM(C9:C10)</f>
        <v>0</v>
      </c>
      <c r="D11" s="146">
        <f t="shared" si="1"/>
        <v>0</v>
      </c>
      <c r="E11" s="146">
        <f t="shared" si="1"/>
        <v>0</v>
      </c>
      <c r="F11" s="146">
        <f t="shared" si="1"/>
        <v>0</v>
      </c>
      <c r="G11" s="146">
        <f t="shared" si="1"/>
        <v>0</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42">
        <f>SUM(R9:R10)</f>
        <v>0</v>
      </c>
      <c r="S11" s="148"/>
      <c r="T11" s="150">
        <f>SUM(T9:T10)</f>
        <v>0</v>
      </c>
      <c r="U11" s="143"/>
    </row>
    <row r="12" spans="1:21" s="144" customFormat="1">
      <c r="A12" s="149" t="s">
        <v>84</v>
      </c>
      <c r="B12" s="146">
        <f t="shared" ref="B12:Q12" si="2">SUM(B8+B11)</f>
        <v>300000</v>
      </c>
      <c r="C12" s="146">
        <f t="shared" si="2"/>
        <v>300000</v>
      </c>
      <c r="D12" s="146">
        <f t="shared" si="2"/>
        <v>0</v>
      </c>
      <c r="E12" s="146">
        <f t="shared" si="2"/>
        <v>300000</v>
      </c>
      <c r="F12" s="146">
        <f t="shared" si="2"/>
        <v>0</v>
      </c>
      <c r="G12" s="146">
        <f t="shared" si="2"/>
        <v>0</v>
      </c>
      <c r="H12" s="146">
        <f t="shared" si="2"/>
        <v>0</v>
      </c>
      <c r="I12" s="146">
        <f t="shared" si="2"/>
        <v>0</v>
      </c>
      <c r="J12" s="146">
        <f t="shared" si="2"/>
        <v>0</v>
      </c>
      <c r="K12" s="146">
        <f t="shared" si="2"/>
        <v>0</v>
      </c>
      <c r="L12" s="146">
        <f t="shared" si="2"/>
        <v>0</v>
      </c>
      <c r="M12" s="146">
        <f t="shared" si="2"/>
        <v>0</v>
      </c>
      <c r="N12" s="146">
        <f t="shared" si="2"/>
        <v>0</v>
      </c>
      <c r="O12" s="146">
        <f t="shared" si="2"/>
        <v>0</v>
      </c>
      <c r="P12" s="146"/>
      <c r="Q12" s="146">
        <f t="shared" si="2"/>
        <v>0</v>
      </c>
      <c r="R12" s="342">
        <f>SUM(R8+R11)</f>
        <v>300000</v>
      </c>
      <c r="S12" s="148"/>
      <c r="T12" s="148"/>
      <c r="U12" s="143"/>
    </row>
    <row r="13" spans="1:21" s="144" customFormat="1">
      <c r="A13" s="287" t="s">
        <v>902</v>
      </c>
      <c r="B13" s="146">
        <f>SUM(C13+D13)</f>
        <v>20000</v>
      </c>
      <c r="C13" s="147">
        <v>20000</v>
      </c>
      <c r="D13" s="147"/>
      <c r="E13" s="147">
        <f>C13-SUM(F13:J13)</f>
        <v>20000</v>
      </c>
      <c r="F13" s="147"/>
      <c r="G13" s="147"/>
      <c r="H13" s="147"/>
      <c r="I13" s="147"/>
      <c r="J13" s="147"/>
      <c r="K13" s="147"/>
      <c r="L13" s="147"/>
      <c r="M13" s="147"/>
      <c r="N13" s="147"/>
      <c r="O13" s="147"/>
      <c r="P13" s="147"/>
      <c r="Q13" s="147"/>
      <c r="R13" s="516">
        <f>SUM(E13:Q13)</f>
        <v>20000</v>
      </c>
      <c r="S13" s="147"/>
      <c r="T13" s="147"/>
      <c r="U13" s="143"/>
    </row>
    <row r="14" spans="1:21" s="144" customFormat="1" ht="24">
      <c r="A14" s="288" t="s">
        <v>1643</v>
      </c>
      <c r="B14" s="146">
        <f>SUM(C14+D14)</f>
        <v>0</v>
      </c>
      <c r="C14" s="147"/>
      <c r="D14" s="147"/>
      <c r="E14" s="147"/>
      <c r="F14" s="147"/>
      <c r="G14" s="147"/>
      <c r="H14" s="147"/>
      <c r="I14" s="147"/>
      <c r="J14" s="147"/>
      <c r="K14" s="147"/>
      <c r="L14" s="147"/>
      <c r="M14" s="147"/>
      <c r="N14" s="147"/>
      <c r="O14" s="147"/>
      <c r="P14" s="147"/>
      <c r="Q14" s="147"/>
      <c r="R14" s="516">
        <f>SUM(E14:Q14)</f>
        <v>0</v>
      </c>
      <c r="S14" s="147"/>
      <c r="T14" s="147"/>
      <c r="U14" s="143"/>
    </row>
    <row r="15" spans="1:21" s="144" customFormat="1">
      <c r="A15" s="288" t="s">
        <v>1161</v>
      </c>
      <c r="B15" s="146">
        <f>SUM(C15+D15)</f>
        <v>0</v>
      </c>
      <c r="C15" s="147"/>
      <c r="D15" s="147"/>
      <c r="E15" s="147"/>
      <c r="F15" s="147"/>
      <c r="G15" s="147"/>
      <c r="H15" s="147"/>
      <c r="I15" s="147"/>
      <c r="J15" s="147"/>
      <c r="K15" s="147"/>
      <c r="L15" s="147"/>
      <c r="M15" s="147"/>
      <c r="N15" s="147"/>
      <c r="O15" s="147"/>
      <c r="P15" s="147"/>
      <c r="Q15" s="147"/>
      <c r="R15" s="516">
        <f>SUM(E15:Q15)</f>
        <v>0</v>
      </c>
      <c r="S15" s="148"/>
      <c r="T15" s="148"/>
      <c r="U15" s="143"/>
    </row>
    <row r="16" spans="1:21" s="144" customFormat="1">
      <c r="A16" s="141" t="s">
        <v>597</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598</v>
      </c>
      <c r="B17" s="146">
        <f t="shared" ref="B17:B26" si="3">SUM(C17+D17)</f>
        <v>0</v>
      </c>
      <c r="C17" s="147"/>
      <c r="D17" s="147"/>
      <c r="E17" s="147"/>
      <c r="F17" s="147"/>
      <c r="G17" s="147"/>
      <c r="H17" s="147"/>
      <c r="I17" s="147"/>
      <c r="J17" s="147"/>
      <c r="K17" s="147"/>
      <c r="L17" s="147"/>
      <c r="M17" s="147"/>
      <c r="N17" s="147"/>
      <c r="O17" s="147"/>
      <c r="P17" s="147"/>
      <c r="Q17" s="147"/>
      <c r="R17" s="516">
        <f>SUM(E17:Q17)</f>
        <v>0</v>
      </c>
      <c r="S17" s="147"/>
      <c r="T17" s="147"/>
      <c r="U17" s="143"/>
    </row>
    <row r="18" spans="1:21" s="144" customFormat="1">
      <c r="A18" s="145" t="s">
        <v>599</v>
      </c>
      <c r="B18" s="146">
        <f t="shared" si="3"/>
        <v>0</v>
      </c>
      <c r="C18" s="147"/>
      <c r="D18" s="147"/>
      <c r="E18" s="147"/>
      <c r="F18" s="147"/>
      <c r="G18" s="147"/>
      <c r="H18" s="147"/>
      <c r="I18" s="147"/>
      <c r="J18" s="147"/>
      <c r="K18" s="147"/>
      <c r="L18" s="147"/>
      <c r="M18" s="147"/>
      <c r="N18" s="147"/>
      <c r="O18" s="147"/>
      <c r="P18" s="147"/>
      <c r="Q18" s="147"/>
      <c r="R18" s="516">
        <f>SUM(E18:Q18)</f>
        <v>0</v>
      </c>
      <c r="S18" s="147"/>
      <c r="T18" s="147"/>
      <c r="U18" s="143"/>
    </row>
    <row r="19" spans="1:21" s="144" customFormat="1">
      <c r="A19" s="145" t="s">
        <v>600</v>
      </c>
      <c r="B19" s="146">
        <f t="shared" si="3"/>
        <v>0</v>
      </c>
      <c r="C19" s="147"/>
      <c r="D19" s="147"/>
      <c r="E19" s="147"/>
      <c r="F19" s="147"/>
      <c r="G19" s="147"/>
      <c r="H19" s="147"/>
      <c r="I19" s="147"/>
      <c r="J19" s="147"/>
      <c r="K19" s="147"/>
      <c r="L19" s="147"/>
      <c r="M19" s="147"/>
      <c r="N19" s="147"/>
      <c r="O19" s="147"/>
      <c r="P19" s="147"/>
      <c r="Q19" s="147"/>
      <c r="R19" s="516">
        <f>SUM(E19:Q19)</f>
        <v>0</v>
      </c>
      <c r="S19" s="147"/>
      <c r="T19" s="147"/>
      <c r="U19" s="143"/>
    </row>
    <row r="20" spans="1:21" s="144" customFormat="1">
      <c r="A20" s="145" t="s">
        <v>137</v>
      </c>
      <c r="B20" s="146">
        <f t="shared" si="3"/>
        <v>0</v>
      </c>
      <c r="C20" s="147"/>
      <c r="D20" s="147"/>
      <c r="E20" s="147"/>
      <c r="F20" s="147"/>
      <c r="G20" s="147"/>
      <c r="H20" s="147"/>
      <c r="I20" s="147"/>
      <c r="J20" s="147"/>
      <c r="K20" s="147"/>
      <c r="L20" s="147"/>
      <c r="M20" s="147"/>
      <c r="N20" s="147"/>
      <c r="O20" s="147"/>
      <c r="P20" s="147"/>
      <c r="Q20" s="147"/>
      <c r="R20" s="516">
        <f t="shared" ref="R20:R27" si="4">SUM(E20:Q20)</f>
        <v>0</v>
      </c>
      <c r="S20" s="147"/>
      <c r="T20" s="147"/>
      <c r="U20" s="143"/>
    </row>
    <row r="21" spans="1:21" s="144" customFormat="1">
      <c r="A21" s="145" t="s">
        <v>138</v>
      </c>
      <c r="B21" s="146">
        <f t="shared" si="3"/>
        <v>0</v>
      </c>
      <c r="C21" s="147"/>
      <c r="D21" s="147"/>
      <c r="E21" s="147"/>
      <c r="F21" s="147"/>
      <c r="G21" s="147"/>
      <c r="H21" s="147"/>
      <c r="I21" s="147"/>
      <c r="J21" s="147"/>
      <c r="K21" s="147"/>
      <c r="L21" s="147"/>
      <c r="M21" s="147"/>
      <c r="N21" s="147"/>
      <c r="O21" s="147"/>
      <c r="P21" s="147"/>
      <c r="Q21" s="147"/>
      <c r="R21" s="516">
        <f t="shared" si="4"/>
        <v>0</v>
      </c>
      <c r="S21" s="147"/>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16">
        <f t="shared" si="4"/>
        <v>0</v>
      </c>
      <c r="S22" s="147"/>
      <c r="T22" s="147"/>
      <c r="U22" s="143"/>
    </row>
    <row r="23" spans="1:21" s="144" customFormat="1">
      <c r="A23" s="145" t="s">
        <v>140</v>
      </c>
      <c r="B23" s="146">
        <f t="shared" si="3"/>
        <v>0</v>
      </c>
      <c r="C23" s="147"/>
      <c r="D23" s="147"/>
      <c r="E23" s="147"/>
      <c r="F23" s="147"/>
      <c r="G23" s="147"/>
      <c r="H23" s="147"/>
      <c r="I23" s="147"/>
      <c r="J23" s="147"/>
      <c r="K23" s="147"/>
      <c r="L23" s="147"/>
      <c r="M23" s="147"/>
      <c r="N23" s="147"/>
      <c r="O23" s="147"/>
      <c r="P23" s="147"/>
      <c r="Q23" s="147"/>
      <c r="R23" s="516">
        <f t="shared" si="4"/>
        <v>0</v>
      </c>
      <c r="S23" s="147"/>
      <c r="T23" s="147"/>
      <c r="U23" s="143"/>
    </row>
    <row r="24" spans="1:21" s="144" customFormat="1">
      <c r="A24" s="508" t="s">
        <v>1640</v>
      </c>
      <c r="B24" s="146">
        <f t="shared" si="3"/>
        <v>0</v>
      </c>
      <c r="C24" s="147"/>
      <c r="D24" s="147"/>
      <c r="E24" s="147"/>
      <c r="F24" s="147"/>
      <c r="G24" s="147"/>
      <c r="H24" s="147"/>
      <c r="I24" s="147"/>
      <c r="J24" s="147"/>
      <c r="K24" s="147"/>
      <c r="L24" s="147"/>
      <c r="M24" s="147"/>
      <c r="N24" s="147"/>
      <c r="O24" s="147"/>
      <c r="P24" s="147"/>
      <c r="Q24" s="147"/>
      <c r="R24" s="516">
        <f t="shared" si="4"/>
        <v>0</v>
      </c>
      <c r="S24" s="147"/>
      <c r="T24" s="147"/>
      <c r="U24" s="143"/>
    </row>
    <row r="25" spans="1:21" s="144" customFormat="1">
      <c r="A25" s="1149" t="s">
        <v>34</v>
      </c>
      <c r="B25" s="146">
        <f t="shared" si="3"/>
        <v>0</v>
      </c>
      <c r="C25" s="147"/>
      <c r="D25" s="147"/>
      <c r="E25" s="147"/>
      <c r="F25" s="147"/>
      <c r="G25" s="147"/>
      <c r="H25" s="147"/>
      <c r="I25" s="147"/>
      <c r="J25" s="147"/>
      <c r="K25" s="147"/>
      <c r="L25" s="147"/>
      <c r="M25" s="147"/>
      <c r="N25" s="147"/>
      <c r="O25" s="147"/>
      <c r="P25" s="147"/>
      <c r="Q25" s="147"/>
      <c r="R25" s="516">
        <f t="shared" si="4"/>
        <v>0</v>
      </c>
      <c r="S25" s="147"/>
      <c r="T25" s="147"/>
      <c r="U25" s="143"/>
    </row>
    <row r="26" spans="1:21" s="144" customFormat="1">
      <c r="A26" s="149" t="s">
        <v>133</v>
      </c>
      <c r="B26" s="146">
        <f t="shared" si="3"/>
        <v>0</v>
      </c>
      <c r="C26" s="146">
        <f>SUM(C17:C25)</f>
        <v>0</v>
      </c>
      <c r="D26" s="146">
        <f t="shared" ref="D26:Q26" si="5">SUM(D17:D25)</f>
        <v>0</v>
      </c>
      <c r="E26" s="146">
        <f t="shared" si="5"/>
        <v>0</v>
      </c>
      <c r="F26" s="146">
        <f t="shared" si="5"/>
        <v>0</v>
      </c>
      <c r="G26" s="146">
        <f t="shared" si="5"/>
        <v>0</v>
      </c>
      <c r="H26" s="146">
        <f t="shared" si="5"/>
        <v>0</v>
      </c>
      <c r="I26" s="146">
        <f t="shared" si="5"/>
        <v>0</v>
      </c>
      <c r="J26" s="146">
        <f t="shared" si="5"/>
        <v>0</v>
      </c>
      <c r="K26" s="146">
        <f t="shared" si="5"/>
        <v>0</v>
      </c>
      <c r="L26" s="146">
        <f t="shared" si="5"/>
        <v>0</v>
      </c>
      <c r="M26" s="146">
        <f t="shared" si="5"/>
        <v>0</v>
      </c>
      <c r="N26" s="146">
        <f t="shared" si="5"/>
        <v>0</v>
      </c>
      <c r="O26" s="146">
        <f t="shared" si="5"/>
        <v>0</v>
      </c>
      <c r="P26" s="146">
        <f t="shared" si="5"/>
        <v>0</v>
      </c>
      <c r="Q26" s="146">
        <f t="shared" si="5"/>
        <v>0</v>
      </c>
      <c r="R26" s="342">
        <f>SUM(R17:R25)</f>
        <v>0</v>
      </c>
      <c r="S26" s="150">
        <f>SUM(S17:S25)</f>
        <v>0</v>
      </c>
      <c r="T26" s="150">
        <f>SUM(T17:T25)</f>
        <v>0</v>
      </c>
      <c r="U26" s="143"/>
    </row>
    <row r="27" spans="1:21" s="144" customFormat="1">
      <c r="A27" s="149" t="s">
        <v>141</v>
      </c>
      <c r="B27" s="146">
        <f>SUM(C27:D27)</f>
        <v>0</v>
      </c>
      <c r="C27" s="147"/>
      <c r="D27" s="147"/>
      <c r="E27" s="147"/>
      <c r="F27" s="147"/>
      <c r="G27" s="147"/>
      <c r="H27" s="147"/>
      <c r="I27" s="147"/>
      <c r="J27" s="147"/>
      <c r="K27" s="147"/>
      <c r="L27" s="147"/>
      <c r="M27" s="147"/>
      <c r="N27" s="147"/>
      <c r="O27" s="147"/>
      <c r="P27" s="147"/>
      <c r="Q27" s="147"/>
      <c r="R27" s="516">
        <f t="shared" si="4"/>
        <v>0</v>
      </c>
      <c r="S27" s="147"/>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598</v>
      </c>
      <c r="B29" s="146">
        <f>SUM(C29+D29)</f>
        <v>3250000</v>
      </c>
      <c r="C29" s="147">
        <v>3250000</v>
      </c>
      <c r="D29" s="147"/>
      <c r="E29" s="147">
        <f>C29-SUM(F29:J29)</f>
        <v>2577896</v>
      </c>
      <c r="F29" s="147">
        <f>F108-F30</f>
        <v>672104</v>
      </c>
      <c r="G29" s="147"/>
      <c r="H29" s="147"/>
      <c r="I29" s="147"/>
      <c r="J29" s="147"/>
      <c r="K29" s="147"/>
      <c r="L29" s="147"/>
      <c r="M29" s="147"/>
      <c r="N29" s="147"/>
      <c r="O29" s="147"/>
      <c r="P29" s="147"/>
      <c r="Q29" s="147"/>
      <c r="R29" s="516">
        <f t="shared" ref="R29:R37" si="6">SUM(E29:Q29)</f>
        <v>3250000</v>
      </c>
      <c r="S29" s="147">
        <f>C29</f>
        <v>3250000</v>
      </c>
      <c r="T29" s="147"/>
      <c r="U29" s="143"/>
    </row>
    <row r="30" spans="1:21" s="144" customFormat="1">
      <c r="A30" s="145" t="s">
        <v>599</v>
      </c>
      <c r="B30" s="146">
        <f>SUM(C30+D30)</f>
        <v>22382653</v>
      </c>
      <c r="C30" s="147">
        <f>20682653+1700000</f>
        <v>22382653</v>
      </c>
      <c r="D30" s="147"/>
      <c r="E30" s="147"/>
      <c r="F30" s="147">
        <v>17196860</v>
      </c>
      <c r="G30" s="147">
        <f>G108</f>
        <v>4000000</v>
      </c>
      <c r="H30" s="147">
        <f>H108</f>
        <v>762535</v>
      </c>
      <c r="I30" s="147">
        <f>I108</f>
        <v>423258</v>
      </c>
      <c r="J30" s="147"/>
      <c r="K30" s="147"/>
      <c r="L30" s="147"/>
      <c r="M30" s="147"/>
      <c r="N30" s="147"/>
      <c r="O30" s="147"/>
      <c r="P30" s="147"/>
      <c r="Q30" s="147"/>
      <c r="R30" s="516">
        <f t="shared" si="6"/>
        <v>22382653</v>
      </c>
      <c r="S30" s="147">
        <f>C30</f>
        <v>22382653</v>
      </c>
      <c r="T30" s="147"/>
      <c r="U30" s="143"/>
    </row>
    <row r="31" spans="1:21" s="144" customFormat="1">
      <c r="A31" s="145" t="s">
        <v>600</v>
      </c>
      <c r="B31" s="146">
        <f t="shared" ref="B31:B38" si="7">SUM(C31+D31)</f>
        <v>2513319</v>
      </c>
      <c r="C31" s="147">
        <v>2513319</v>
      </c>
      <c r="D31" s="147"/>
      <c r="E31" s="147">
        <f t="shared" ref="E31:E36" si="8">C31-SUM(F31:J31)</f>
        <v>2513319</v>
      </c>
      <c r="F31" s="147"/>
      <c r="G31" s="147"/>
      <c r="H31" s="147"/>
      <c r="I31" s="147"/>
      <c r="J31" s="147"/>
      <c r="K31" s="147"/>
      <c r="L31" s="147"/>
      <c r="M31" s="147"/>
      <c r="N31" s="147"/>
      <c r="O31" s="147"/>
      <c r="P31" s="147"/>
      <c r="Q31" s="147"/>
      <c r="R31" s="516">
        <f t="shared" si="6"/>
        <v>2513319</v>
      </c>
      <c r="S31" s="147">
        <f t="shared" ref="S31:S33" si="9">C31</f>
        <v>2513319</v>
      </c>
      <c r="T31" s="147"/>
      <c r="U31" s="143"/>
    </row>
    <row r="32" spans="1:21" s="144" customFormat="1">
      <c r="A32" s="145" t="s">
        <v>137</v>
      </c>
      <c r="B32" s="146">
        <f t="shared" si="7"/>
        <v>664181</v>
      </c>
      <c r="C32" s="147">
        <v>664181</v>
      </c>
      <c r="D32" s="147"/>
      <c r="E32" s="147">
        <f t="shared" si="8"/>
        <v>664181</v>
      </c>
      <c r="F32" s="147"/>
      <c r="G32" s="147"/>
      <c r="H32" s="147"/>
      <c r="I32" s="147"/>
      <c r="J32" s="147"/>
      <c r="K32" s="147"/>
      <c r="L32" s="147"/>
      <c r="M32" s="147"/>
      <c r="N32" s="147"/>
      <c r="O32" s="147"/>
      <c r="P32" s="147"/>
      <c r="Q32" s="147"/>
      <c r="R32" s="516">
        <f t="shared" si="6"/>
        <v>664181</v>
      </c>
      <c r="S32" s="147">
        <f t="shared" si="9"/>
        <v>664181</v>
      </c>
      <c r="T32" s="147"/>
      <c r="U32" s="143"/>
    </row>
    <row r="33" spans="1:21" s="144" customFormat="1">
      <c r="A33" s="145" t="s">
        <v>138</v>
      </c>
      <c r="B33" s="146">
        <f t="shared" si="7"/>
        <v>500000</v>
      </c>
      <c r="C33" s="147">
        <v>500000</v>
      </c>
      <c r="D33" s="147"/>
      <c r="E33" s="147">
        <f t="shared" si="8"/>
        <v>500000</v>
      </c>
      <c r="F33" s="147"/>
      <c r="G33" s="147"/>
      <c r="H33" s="147"/>
      <c r="I33" s="147"/>
      <c r="J33" s="147"/>
      <c r="K33" s="147"/>
      <c r="L33" s="147"/>
      <c r="M33" s="147"/>
      <c r="N33" s="147"/>
      <c r="O33" s="147"/>
      <c r="P33" s="147"/>
      <c r="Q33" s="147"/>
      <c r="R33" s="516">
        <f t="shared" si="6"/>
        <v>500000</v>
      </c>
      <c r="S33" s="147">
        <f t="shared" si="9"/>
        <v>500000</v>
      </c>
      <c r="T33" s="147"/>
      <c r="U33" s="143"/>
    </row>
    <row r="34" spans="1:21" s="144" customFormat="1">
      <c r="A34" s="145" t="s">
        <v>139</v>
      </c>
      <c r="B34" s="146">
        <f t="shared" si="7"/>
        <v>0</v>
      </c>
      <c r="C34" s="147"/>
      <c r="D34" s="147"/>
      <c r="E34" s="147"/>
      <c r="F34" s="147"/>
      <c r="G34" s="147"/>
      <c r="H34" s="147"/>
      <c r="I34" s="147"/>
      <c r="J34" s="147"/>
      <c r="K34" s="147"/>
      <c r="L34" s="147"/>
      <c r="M34" s="147"/>
      <c r="N34" s="147"/>
      <c r="O34" s="147"/>
      <c r="P34" s="147"/>
      <c r="Q34" s="147"/>
      <c r="R34" s="516">
        <f t="shared" si="6"/>
        <v>0</v>
      </c>
      <c r="S34" s="147"/>
      <c r="T34" s="147"/>
      <c r="U34" s="143"/>
    </row>
    <row r="35" spans="1:21" s="144" customFormat="1">
      <c r="A35" s="145" t="s">
        <v>140</v>
      </c>
      <c r="B35" s="146">
        <f t="shared" si="7"/>
        <v>850000</v>
      </c>
      <c r="C35" s="147">
        <v>850000</v>
      </c>
      <c r="D35" s="147"/>
      <c r="E35" s="147">
        <f t="shared" si="8"/>
        <v>850000</v>
      </c>
      <c r="F35" s="147"/>
      <c r="G35" s="147"/>
      <c r="H35" s="147"/>
      <c r="I35" s="147"/>
      <c r="J35" s="147"/>
      <c r="K35" s="147"/>
      <c r="L35" s="147"/>
      <c r="M35" s="147"/>
      <c r="N35" s="147"/>
      <c r="O35" s="147"/>
      <c r="P35" s="147"/>
      <c r="Q35" s="147"/>
      <c r="R35" s="516">
        <f t="shared" si="6"/>
        <v>850000</v>
      </c>
      <c r="S35" s="147">
        <f>C35</f>
        <v>850000</v>
      </c>
      <c r="T35" s="147"/>
      <c r="U35" s="143"/>
    </row>
    <row r="36" spans="1:21" s="144" customFormat="1">
      <c r="A36" s="283" t="s">
        <v>1640</v>
      </c>
      <c r="B36" s="146">
        <f t="shared" si="7"/>
        <v>250000</v>
      </c>
      <c r="C36" s="147">
        <v>250000</v>
      </c>
      <c r="D36" s="147"/>
      <c r="E36" s="147">
        <f t="shared" si="8"/>
        <v>250000</v>
      </c>
      <c r="F36" s="147"/>
      <c r="G36" s="147"/>
      <c r="H36" s="147"/>
      <c r="I36" s="147"/>
      <c r="J36" s="147"/>
      <c r="K36" s="147"/>
      <c r="L36" s="147"/>
      <c r="M36" s="147"/>
      <c r="N36" s="147"/>
      <c r="O36" s="147"/>
      <c r="P36" s="147"/>
      <c r="Q36" s="147"/>
      <c r="R36" s="516">
        <f t="shared" si="6"/>
        <v>250000</v>
      </c>
      <c r="S36" s="147">
        <f>C36</f>
        <v>250000</v>
      </c>
      <c r="T36" s="147"/>
      <c r="U36" s="143"/>
    </row>
    <row r="37" spans="1:21" s="144" customFormat="1">
      <c r="A37" s="1149" t="s">
        <v>34</v>
      </c>
      <c r="B37" s="146">
        <f t="shared" si="7"/>
        <v>0</v>
      </c>
      <c r="C37" s="147"/>
      <c r="D37" s="147"/>
      <c r="E37" s="147"/>
      <c r="F37" s="147"/>
      <c r="G37" s="147"/>
      <c r="H37" s="147"/>
      <c r="I37" s="147"/>
      <c r="J37" s="147"/>
      <c r="K37" s="147"/>
      <c r="L37" s="147"/>
      <c r="M37" s="147"/>
      <c r="N37" s="147"/>
      <c r="O37" s="147"/>
      <c r="P37" s="147"/>
      <c r="Q37" s="147"/>
      <c r="R37" s="516">
        <f t="shared" si="6"/>
        <v>0</v>
      </c>
      <c r="S37" s="147"/>
      <c r="T37" s="147"/>
      <c r="U37" s="143"/>
    </row>
    <row r="38" spans="1:21" s="144" customFormat="1">
      <c r="A38" s="149" t="s">
        <v>143</v>
      </c>
      <c r="B38" s="146">
        <f t="shared" si="7"/>
        <v>30410153</v>
      </c>
      <c r="C38" s="146">
        <f>SUM(C29:C37)</f>
        <v>30410153</v>
      </c>
      <c r="D38" s="146">
        <f t="shared" ref="D38:Q38" si="10">SUM(D29:D37)</f>
        <v>0</v>
      </c>
      <c r="E38" s="146">
        <f t="shared" si="10"/>
        <v>7355396</v>
      </c>
      <c r="F38" s="146">
        <f t="shared" si="10"/>
        <v>17868964</v>
      </c>
      <c r="G38" s="146">
        <f t="shared" si="10"/>
        <v>4000000</v>
      </c>
      <c r="H38" s="146">
        <f t="shared" si="10"/>
        <v>762535</v>
      </c>
      <c r="I38" s="146">
        <f t="shared" si="10"/>
        <v>423258</v>
      </c>
      <c r="J38" s="146">
        <f t="shared" si="10"/>
        <v>0</v>
      </c>
      <c r="K38" s="146">
        <f t="shared" si="10"/>
        <v>0</v>
      </c>
      <c r="L38" s="146">
        <f t="shared" si="10"/>
        <v>0</v>
      </c>
      <c r="M38" s="146">
        <f t="shared" si="10"/>
        <v>0</v>
      </c>
      <c r="N38" s="146">
        <f t="shared" si="10"/>
        <v>0</v>
      </c>
      <c r="O38" s="146">
        <f t="shared" si="10"/>
        <v>0</v>
      </c>
      <c r="P38" s="146">
        <f t="shared" si="10"/>
        <v>0</v>
      </c>
      <c r="Q38" s="146">
        <f t="shared" si="10"/>
        <v>0</v>
      </c>
      <c r="R38" s="342">
        <f>SUM(R29:R37)</f>
        <v>30410153</v>
      </c>
      <c r="S38" s="150">
        <f>SUM(S29:S37)</f>
        <v>30410153</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700000</v>
      </c>
      <c r="C40" s="147">
        <v>700000</v>
      </c>
      <c r="D40" s="147"/>
      <c r="E40" s="147">
        <f t="shared" ref="E40" si="11">C40-SUM(F40:J40)</f>
        <v>700000</v>
      </c>
      <c r="F40" s="147"/>
      <c r="G40" s="147"/>
      <c r="H40" s="147"/>
      <c r="I40" s="147"/>
      <c r="J40" s="147"/>
      <c r="K40" s="147"/>
      <c r="L40" s="147"/>
      <c r="M40" s="147"/>
      <c r="N40" s="147"/>
      <c r="O40" s="147"/>
      <c r="P40" s="147"/>
      <c r="Q40" s="147"/>
      <c r="R40" s="516">
        <f>SUM(E40:Q40)</f>
        <v>700000</v>
      </c>
      <c r="S40" s="147">
        <f>C40</f>
        <v>700000</v>
      </c>
      <c r="T40" s="147"/>
      <c r="U40" s="143"/>
    </row>
    <row r="41" spans="1:21" s="144" customFormat="1">
      <c r="A41" s="145" t="s">
        <v>146</v>
      </c>
      <c r="B41" s="146">
        <f>SUM(C41+D41)</f>
        <v>700000</v>
      </c>
      <c r="C41" s="147">
        <f>1400000-C40</f>
        <v>700000</v>
      </c>
      <c r="D41" s="147"/>
      <c r="E41" s="147">
        <f>C41</f>
        <v>700000</v>
      </c>
      <c r="F41" s="147"/>
      <c r="G41" s="147"/>
      <c r="H41" s="147"/>
      <c r="I41" s="147"/>
      <c r="J41" s="147"/>
      <c r="K41" s="147"/>
      <c r="L41" s="147"/>
      <c r="M41" s="147"/>
      <c r="N41" s="147"/>
      <c r="O41" s="147"/>
      <c r="P41" s="147"/>
      <c r="Q41" s="147"/>
      <c r="R41" s="516">
        <f>SUM(E41:Q41)</f>
        <v>700000</v>
      </c>
      <c r="S41" s="147">
        <f>C41</f>
        <v>700000</v>
      </c>
      <c r="T41" s="147"/>
      <c r="U41" s="143"/>
    </row>
    <row r="42" spans="1:21" s="144" customFormat="1">
      <c r="A42" s="149" t="s">
        <v>147</v>
      </c>
      <c r="B42" s="146">
        <f>SUM(C42:D42)</f>
        <v>1400000</v>
      </c>
      <c r="C42" s="146">
        <f>SUM(C39:C41)</f>
        <v>1400000</v>
      </c>
      <c r="D42" s="146">
        <f>SUM(D39:D41)</f>
        <v>0</v>
      </c>
      <c r="E42" s="146">
        <f t="shared" ref="E42:T42" si="12">SUM(E40:E41)</f>
        <v>1400000</v>
      </c>
      <c r="F42" s="146">
        <f t="shared" si="12"/>
        <v>0</v>
      </c>
      <c r="G42" s="146">
        <f t="shared" si="12"/>
        <v>0</v>
      </c>
      <c r="H42" s="146">
        <f t="shared" si="12"/>
        <v>0</v>
      </c>
      <c r="I42" s="146">
        <f t="shared" si="12"/>
        <v>0</v>
      </c>
      <c r="J42" s="146">
        <f t="shared" si="12"/>
        <v>0</v>
      </c>
      <c r="K42" s="146">
        <f t="shared" si="12"/>
        <v>0</v>
      </c>
      <c r="L42" s="146">
        <f t="shared" si="12"/>
        <v>0</v>
      </c>
      <c r="M42" s="146">
        <f t="shared" si="12"/>
        <v>0</v>
      </c>
      <c r="N42" s="146">
        <f t="shared" si="12"/>
        <v>0</v>
      </c>
      <c r="O42" s="146">
        <f t="shared" si="12"/>
        <v>0</v>
      </c>
      <c r="P42" s="146">
        <f t="shared" si="12"/>
        <v>0</v>
      </c>
      <c r="Q42" s="146">
        <f t="shared" si="12"/>
        <v>0</v>
      </c>
      <c r="R42" s="342">
        <f>SUM(R40:R41)</f>
        <v>1400000</v>
      </c>
      <c r="S42" s="150">
        <f t="shared" si="12"/>
        <v>1400000</v>
      </c>
      <c r="T42" s="150">
        <f t="shared" si="12"/>
        <v>0</v>
      </c>
      <c r="U42" s="143"/>
    </row>
    <row r="43" spans="1:21" s="144" customFormat="1">
      <c r="A43" s="149" t="s">
        <v>148</v>
      </c>
      <c r="B43" s="146">
        <f>SUM(C43:D43)</f>
        <v>150000</v>
      </c>
      <c r="C43" s="147">
        <v>150000</v>
      </c>
      <c r="D43" s="147"/>
      <c r="E43" s="147">
        <f t="shared" ref="E43" si="13">C43-SUM(F43:J43)</f>
        <v>150000</v>
      </c>
      <c r="F43" s="147"/>
      <c r="G43" s="147"/>
      <c r="H43" s="147"/>
      <c r="I43" s="147"/>
      <c r="J43" s="147"/>
      <c r="K43" s="147"/>
      <c r="L43" s="147"/>
      <c r="M43" s="147"/>
      <c r="N43" s="147"/>
      <c r="O43" s="147"/>
      <c r="P43" s="147"/>
      <c r="Q43" s="147"/>
      <c r="R43" s="516">
        <f>SUM(E43:Q43)</f>
        <v>150000</v>
      </c>
      <c r="S43" s="147">
        <f>C43</f>
        <v>150000</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4">SUM(C45+D45)</f>
        <v>3272118</v>
      </c>
      <c r="C45" s="147">
        <f>3272117+1</f>
        <v>3272118</v>
      </c>
      <c r="D45" s="147"/>
      <c r="E45" s="147">
        <f t="shared" ref="E45:E46" si="15">C45-SUM(F45:J45)</f>
        <v>3272118</v>
      </c>
      <c r="F45" s="147"/>
      <c r="G45" s="147"/>
      <c r="H45" s="147"/>
      <c r="I45" s="147"/>
      <c r="J45" s="147"/>
      <c r="K45" s="147"/>
      <c r="L45" s="147"/>
      <c r="M45" s="147"/>
      <c r="N45" s="147"/>
      <c r="O45" s="147"/>
      <c r="P45" s="147"/>
      <c r="Q45" s="147"/>
      <c r="R45" s="516">
        <f t="shared" ref="R45:R53" si="16">SUM(E45:Q45)</f>
        <v>3272118</v>
      </c>
      <c r="S45" s="147">
        <f>2142492-1</f>
        <v>2142491</v>
      </c>
      <c r="T45" s="147"/>
      <c r="U45" s="143"/>
    </row>
    <row r="46" spans="1:21" s="144" customFormat="1">
      <c r="A46" s="145" t="s">
        <v>151</v>
      </c>
      <c r="B46" s="146">
        <f t="shared" si="14"/>
        <v>434385</v>
      </c>
      <c r="C46" s="147">
        <f>384385+50000</f>
        <v>434385</v>
      </c>
      <c r="D46" s="147"/>
      <c r="E46" s="147">
        <f t="shared" si="15"/>
        <v>434385</v>
      </c>
      <c r="F46" s="147"/>
      <c r="G46" s="147"/>
      <c r="H46" s="147"/>
      <c r="I46" s="147"/>
      <c r="J46" s="147"/>
      <c r="K46" s="147"/>
      <c r="L46" s="147"/>
      <c r="M46" s="147"/>
      <c r="N46" s="147"/>
      <c r="O46" s="147"/>
      <c r="P46" s="147"/>
      <c r="Q46" s="147"/>
      <c r="R46" s="516">
        <f t="shared" si="16"/>
        <v>434385</v>
      </c>
      <c r="S46" s="147">
        <f>251685+32739</f>
        <v>284424</v>
      </c>
      <c r="T46" s="147"/>
      <c r="U46" s="143"/>
    </row>
    <row r="47" spans="1:21" s="144" customFormat="1">
      <c r="A47" s="186" t="s">
        <v>152</v>
      </c>
      <c r="B47" s="146">
        <f t="shared" si="14"/>
        <v>0</v>
      </c>
      <c r="C47" s="147"/>
      <c r="D47" s="147"/>
      <c r="E47" s="147"/>
      <c r="F47" s="147"/>
      <c r="G47" s="147"/>
      <c r="H47" s="147"/>
      <c r="I47" s="147"/>
      <c r="J47" s="147"/>
      <c r="K47" s="147"/>
      <c r="L47" s="147"/>
      <c r="M47" s="147"/>
      <c r="N47" s="147"/>
      <c r="O47" s="147"/>
      <c r="P47" s="147"/>
      <c r="Q47" s="147"/>
      <c r="R47" s="516">
        <f t="shared" si="16"/>
        <v>0</v>
      </c>
      <c r="S47" s="147"/>
      <c r="T47" s="147"/>
      <c r="U47" s="143"/>
    </row>
    <row r="48" spans="1:21" s="144" customFormat="1">
      <c r="A48" s="145" t="s">
        <v>153</v>
      </c>
      <c r="B48" s="146">
        <f t="shared" si="14"/>
        <v>396195</v>
      </c>
      <c r="C48" s="147">
        <v>396195</v>
      </c>
      <c r="D48" s="147"/>
      <c r="E48" s="147">
        <f t="shared" ref="E48:E50" si="17">C48-SUM(F48:J48)</f>
        <v>396195</v>
      </c>
      <c r="F48" s="147"/>
      <c r="G48" s="147"/>
      <c r="H48" s="147"/>
      <c r="I48" s="147"/>
      <c r="J48" s="147"/>
      <c r="K48" s="147"/>
      <c r="L48" s="147"/>
      <c r="M48" s="147"/>
      <c r="N48" s="147"/>
      <c r="O48" s="147"/>
      <c r="P48" s="147"/>
      <c r="Q48" s="147"/>
      <c r="R48" s="516">
        <f t="shared" si="16"/>
        <v>396195</v>
      </c>
      <c r="S48" s="147">
        <f>C48</f>
        <v>396195</v>
      </c>
      <c r="T48" s="147"/>
      <c r="U48" s="143"/>
    </row>
    <row r="49" spans="1:21" s="144" customFormat="1">
      <c r="A49" s="145" t="s">
        <v>57</v>
      </c>
      <c r="B49" s="146">
        <f t="shared" si="14"/>
        <v>245000</v>
      </c>
      <c r="C49" s="147">
        <v>245000</v>
      </c>
      <c r="D49" s="147"/>
      <c r="E49" s="147">
        <f t="shared" si="17"/>
        <v>245000</v>
      </c>
      <c r="F49" s="147"/>
      <c r="G49" s="147"/>
      <c r="H49" s="147"/>
      <c r="I49" s="147"/>
      <c r="J49" s="147"/>
      <c r="K49" s="147"/>
      <c r="L49" s="147"/>
      <c r="M49" s="147"/>
      <c r="N49" s="147"/>
      <c r="O49" s="147"/>
      <c r="P49" s="147"/>
      <c r="Q49" s="147"/>
      <c r="R49" s="516">
        <f t="shared" si="16"/>
        <v>245000</v>
      </c>
      <c r="S49" s="147"/>
      <c r="T49" s="147"/>
      <c r="U49" s="143"/>
    </row>
    <row r="50" spans="1:21" s="144" customFormat="1">
      <c r="A50" s="145" t="s">
        <v>156</v>
      </c>
      <c r="B50" s="146">
        <f t="shared" si="14"/>
        <v>50000</v>
      </c>
      <c r="C50" s="147">
        <v>50000</v>
      </c>
      <c r="D50" s="147"/>
      <c r="E50" s="147">
        <f t="shared" si="17"/>
        <v>50000</v>
      </c>
      <c r="F50" s="147"/>
      <c r="G50" s="147"/>
      <c r="H50" s="147"/>
      <c r="I50" s="147"/>
      <c r="J50" s="147"/>
      <c r="K50" s="147"/>
      <c r="L50" s="147"/>
      <c r="M50" s="147"/>
      <c r="N50" s="147"/>
      <c r="O50" s="147"/>
      <c r="P50" s="147"/>
      <c r="Q50" s="147"/>
      <c r="R50" s="516">
        <f t="shared" si="16"/>
        <v>50000</v>
      </c>
      <c r="S50" s="147">
        <v>25000</v>
      </c>
      <c r="T50" s="147"/>
      <c r="U50" s="143"/>
    </row>
    <row r="51" spans="1:21" s="144" customFormat="1">
      <c r="A51" s="283" t="s">
        <v>154</v>
      </c>
      <c r="B51" s="146">
        <f t="shared" si="14"/>
        <v>0</v>
      </c>
      <c r="C51" s="147"/>
      <c r="D51" s="147"/>
      <c r="E51" s="147"/>
      <c r="F51" s="147"/>
      <c r="G51" s="147"/>
      <c r="H51" s="147"/>
      <c r="I51" s="147"/>
      <c r="J51" s="147"/>
      <c r="K51" s="147"/>
      <c r="L51" s="147"/>
      <c r="M51" s="147"/>
      <c r="N51" s="147"/>
      <c r="O51" s="147"/>
      <c r="P51" s="147"/>
      <c r="Q51" s="147"/>
      <c r="R51" s="516">
        <f t="shared" si="16"/>
        <v>0</v>
      </c>
      <c r="S51" s="147"/>
      <c r="T51" s="147"/>
      <c r="U51" s="143"/>
    </row>
    <row r="52" spans="1:21" s="144" customFormat="1">
      <c r="A52" s="145" t="s">
        <v>155</v>
      </c>
      <c r="B52" s="146">
        <f t="shared" si="14"/>
        <v>0</v>
      </c>
      <c r="C52" s="147"/>
      <c r="D52" s="147"/>
      <c r="E52" s="147"/>
      <c r="F52" s="147"/>
      <c r="G52" s="147"/>
      <c r="H52" s="147"/>
      <c r="I52" s="147"/>
      <c r="J52" s="147"/>
      <c r="K52" s="147"/>
      <c r="L52" s="147"/>
      <c r="M52" s="147"/>
      <c r="N52" s="147"/>
      <c r="O52" s="147"/>
      <c r="P52" s="147"/>
      <c r="Q52" s="147"/>
      <c r="R52" s="516">
        <f t="shared" si="16"/>
        <v>0</v>
      </c>
      <c r="S52" s="147"/>
      <c r="T52" s="147"/>
      <c r="U52" s="143"/>
    </row>
    <row r="53" spans="1:21" s="144" customFormat="1">
      <c r="A53" s="1149" t="s">
        <v>34</v>
      </c>
      <c r="B53" s="146">
        <f t="shared" si="14"/>
        <v>0</v>
      </c>
      <c r="C53" s="147"/>
      <c r="D53" s="147"/>
      <c r="E53" s="147"/>
      <c r="F53" s="147"/>
      <c r="G53" s="147"/>
      <c r="H53" s="147"/>
      <c r="I53" s="147"/>
      <c r="J53" s="147"/>
      <c r="K53" s="147"/>
      <c r="L53" s="147"/>
      <c r="M53" s="147"/>
      <c r="N53" s="147"/>
      <c r="O53" s="147"/>
      <c r="P53" s="147"/>
      <c r="Q53" s="147"/>
      <c r="R53" s="516">
        <f t="shared" si="16"/>
        <v>0</v>
      </c>
      <c r="S53" s="147"/>
      <c r="T53" s="147"/>
      <c r="U53" s="143"/>
    </row>
    <row r="54" spans="1:21" s="153" customFormat="1">
      <c r="A54" s="149" t="s">
        <v>157</v>
      </c>
      <c r="B54" s="150">
        <f>SUM(C54:D54)</f>
        <v>4397698</v>
      </c>
      <c r="C54" s="150">
        <f t="shared" ref="C54:T54" si="18">SUM(C45:C53)</f>
        <v>4397698</v>
      </c>
      <c r="D54" s="150">
        <f t="shared" si="18"/>
        <v>0</v>
      </c>
      <c r="E54" s="150">
        <f t="shared" si="18"/>
        <v>4397698</v>
      </c>
      <c r="F54" s="150">
        <f t="shared" si="18"/>
        <v>0</v>
      </c>
      <c r="G54" s="150">
        <f t="shared" si="18"/>
        <v>0</v>
      </c>
      <c r="H54" s="150">
        <f t="shared" si="18"/>
        <v>0</v>
      </c>
      <c r="I54" s="150">
        <f t="shared" si="18"/>
        <v>0</v>
      </c>
      <c r="J54" s="150">
        <f t="shared" si="18"/>
        <v>0</v>
      </c>
      <c r="K54" s="150">
        <f t="shared" si="18"/>
        <v>0</v>
      </c>
      <c r="L54" s="150">
        <f t="shared" si="18"/>
        <v>0</v>
      </c>
      <c r="M54" s="150">
        <f t="shared" si="18"/>
        <v>0</v>
      </c>
      <c r="N54" s="150">
        <f t="shared" si="18"/>
        <v>0</v>
      </c>
      <c r="O54" s="150">
        <f t="shared" si="18"/>
        <v>0</v>
      </c>
      <c r="P54" s="150">
        <f t="shared" si="18"/>
        <v>0</v>
      </c>
      <c r="Q54" s="150">
        <f t="shared" si="18"/>
        <v>0</v>
      </c>
      <c r="R54" s="342">
        <f t="shared" si="18"/>
        <v>4397698</v>
      </c>
      <c r="S54" s="150">
        <f>SUM(S45:S53)</f>
        <v>2848110</v>
      </c>
      <c r="T54" s="150">
        <f t="shared" si="18"/>
        <v>0</v>
      </c>
      <c r="U54" s="152"/>
    </row>
    <row r="55" spans="1:21" s="144" customFormat="1">
      <c r="A55" s="141" t="s">
        <v>417</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9">SUM(C56+D56)</f>
        <v>295534</v>
      </c>
      <c r="C56" s="147">
        <v>295534</v>
      </c>
      <c r="D56" s="147"/>
      <c r="E56" s="147">
        <f t="shared" ref="E56" si="20">C56-SUM(F56:J56)</f>
        <v>295534</v>
      </c>
      <c r="F56" s="147"/>
      <c r="G56" s="147"/>
      <c r="H56" s="147"/>
      <c r="I56" s="147"/>
      <c r="J56" s="147"/>
      <c r="K56" s="147"/>
      <c r="L56" s="147"/>
      <c r="M56" s="147"/>
      <c r="N56" s="147"/>
      <c r="O56" s="147"/>
      <c r="P56" s="147"/>
      <c r="Q56" s="147"/>
      <c r="R56" s="516">
        <f t="shared" ref="R56:R61" si="21">SUM(E56:Q56)</f>
        <v>295534</v>
      </c>
      <c r="S56" s="148"/>
      <c r="T56" s="148"/>
      <c r="U56" s="143"/>
    </row>
    <row r="57" spans="1:21" s="192" customFormat="1">
      <c r="A57" s="186" t="s">
        <v>152</v>
      </c>
      <c r="B57" s="193">
        <f t="shared" si="19"/>
        <v>0</v>
      </c>
      <c r="C57" s="190"/>
      <c r="D57" s="190"/>
      <c r="E57" s="190"/>
      <c r="F57" s="190"/>
      <c r="G57" s="190"/>
      <c r="H57" s="190"/>
      <c r="I57" s="190"/>
      <c r="J57" s="190"/>
      <c r="K57" s="190"/>
      <c r="L57" s="190"/>
      <c r="M57" s="190"/>
      <c r="N57" s="190"/>
      <c r="O57" s="190"/>
      <c r="P57" s="190"/>
      <c r="Q57" s="190"/>
      <c r="R57" s="516">
        <f t="shared" si="21"/>
        <v>0</v>
      </c>
      <c r="S57" s="194"/>
      <c r="T57" s="194"/>
      <c r="U57" s="191"/>
    </row>
    <row r="58" spans="1:21" s="144" customFormat="1">
      <c r="A58" s="145" t="s">
        <v>156</v>
      </c>
      <c r="B58" s="146">
        <f t="shared" si="19"/>
        <v>10000</v>
      </c>
      <c r="C58" s="147">
        <v>10000</v>
      </c>
      <c r="D58" s="147"/>
      <c r="E58" s="147">
        <v>10000</v>
      </c>
      <c r="F58" s="147"/>
      <c r="G58" s="147"/>
      <c r="H58" s="147"/>
      <c r="I58" s="147"/>
      <c r="J58" s="147"/>
      <c r="K58" s="147"/>
      <c r="L58" s="147"/>
      <c r="M58" s="147"/>
      <c r="N58" s="147"/>
      <c r="O58" s="147"/>
      <c r="P58" s="147"/>
      <c r="Q58" s="147"/>
      <c r="R58" s="516">
        <f t="shared" si="21"/>
        <v>10000</v>
      </c>
      <c r="S58" s="148"/>
      <c r="T58" s="148"/>
      <c r="U58" s="143"/>
    </row>
    <row r="59" spans="1:21" s="144" customFormat="1">
      <c r="A59" s="283" t="s">
        <v>154</v>
      </c>
      <c r="B59" s="146">
        <f t="shared" si="19"/>
        <v>0</v>
      </c>
      <c r="C59" s="147"/>
      <c r="D59" s="147"/>
      <c r="E59" s="147"/>
      <c r="F59" s="147"/>
      <c r="G59" s="147"/>
      <c r="H59" s="147"/>
      <c r="I59" s="147"/>
      <c r="J59" s="147"/>
      <c r="K59" s="147"/>
      <c r="L59" s="147"/>
      <c r="M59" s="147"/>
      <c r="N59" s="147"/>
      <c r="O59" s="147"/>
      <c r="P59" s="147"/>
      <c r="Q59" s="147"/>
      <c r="R59" s="516">
        <f t="shared" si="21"/>
        <v>0</v>
      </c>
      <c r="S59" s="148"/>
      <c r="T59" s="148"/>
      <c r="U59" s="143"/>
    </row>
    <row r="60" spans="1:21" s="144" customFormat="1">
      <c r="A60" s="145" t="s">
        <v>155</v>
      </c>
      <c r="B60" s="146">
        <f t="shared" si="19"/>
        <v>0</v>
      </c>
      <c r="C60" s="147"/>
      <c r="D60" s="147"/>
      <c r="E60" s="147"/>
      <c r="F60" s="147"/>
      <c r="G60" s="147"/>
      <c r="H60" s="147"/>
      <c r="I60" s="147"/>
      <c r="J60" s="147"/>
      <c r="K60" s="147"/>
      <c r="L60" s="147"/>
      <c r="M60" s="147"/>
      <c r="N60" s="147"/>
      <c r="O60" s="147"/>
      <c r="P60" s="147"/>
      <c r="Q60" s="147"/>
      <c r="R60" s="516">
        <f t="shared" si="21"/>
        <v>0</v>
      </c>
      <c r="S60" s="148"/>
      <c r="T60" s="148"/>
      <c r="U60" s="143"/>
    </row>
    <row r="61" spans="1:21" s="144" customFormat="1">
      <c r="A61" s="1149" t="s">
        <v>34</v>
      </c>
      <c r="B61" s="146">
        <f t="shared" si="19"/>
        <v>0</v>
      </c>
      <c r="C61" s="147"/>
      <c r="D61" s="147"/>
      <c r="E61" s="147"/>
      <c r="F61" s="147"/>
      <c r="G61" s="147"/>
      <c r="H61" s="147"/>
      <c r="I61" s="147"/>
      <c r="J61" s="147"/>
      <c r="K61" s="147"/>
      <c r="L61" s="147"/>
      <c r="M61" s="147"/>
      <c r="N61" s="147"/>
      <c r="O61" s="147"/>
      <c r="P61" s="147"/>
      <c r="Q61" s="147"/>
      <c r="R61" s="516">
        <f t="shared" si="21"/>
        <v>0</v>
      </c>
      <c r="S61" s="148"/>
      <c r="T61" s="148"/>
      <c r="U61" s="143"/>
    </row>
    <row r="62" spans="1:21" s="144" customFormat="1" ht="13.7" customHeight="1">
      <c r="A62" s="149" t="s">
        <v>300</v>
      </c>
      <c r="B62" s="146">
        <f>SUM(C62:D62)</f>
        <v>305534</v>
      </c>
      <c r="C62" s="146">
        <f t="shared" ref="C62:R62" si="22">SUM(C56:C61)</f>
        <v>305534</v>
      </c>
      <c r="D62" s="146">
        <f t="shared" si="22"/>
        <v>0</v>
      </c>
      <c r="E62" s="146">
        <f t="shared" si="22"/>
        <v>305534</v>
      </c>
      <c r="F62" s="146">
        <f t="shared" si="22"/>
        <v>0</v>
      </c>
      <c r="G62" s="146">
        <f t="shared" si="22"/>
        <v>0</v>
      </c>
      <c r="H62" s="146">
        <f t="shared" si="22"/>
        <v>0</v>
      </c>
      <c r="I62" s="146">
        <f t="shared" si="22"/>
        <v>0</v>
      </c>
      <c r="J62" s="146">
        <f t="shared" si="22"/>
        <v>0</v>
      </c>
      <c r="K62" s="146">
        <f t="shared" si="22"/>
        <v>0</v>
      </c>
      <c r="L62" s="146">
        <f t="shared" si="22"/>
        <v>0</v>
      </c>
      <c r="M62" s="146">
        <f t="shared" si="22"/>
        <v>0</v>
      </c>
      <c r="N62" s="146">
        <f t="shared" si="22"/>
        <v>0</v>
      </c>
      <c r="O62" s="146">
        <f t="shared" si="22"/>
        <v>0</v>
      </c>
      <c r="P62" s="146">
        <f t="shared" si="22"/>
        <v>0</v>
      </c>
      <c r="Q62" s="146">
        <f t="shared" si="22"/>
        <v>0</v>
      </c>
      <c r="R62" s="342">
        <f t="shared" si="22"/>
        <v>305534</v>
      </c>
      <c r="S62" s="148"/>
      <c r="T62" s="148"/>
      <c r="U62" s="143"/>
    </row>
    <row r="63" spans="1:21" s="144" customFormat="1">
      <c r="A63" s="154" t="s">
        <v>301</v>
      </c>
      <c r="B63" s="146">
        <f t="shared" ref="B63:R63" si="23">SUM(B8+B11+B13+B14+B15+B26+B27+B38+B42+B43+B54+B62)</f>
        <v>36983385</v>
      </c>
      <c r="C63" s="146">
        <f t="shared" si="23"/>
        <v>36983385</v>
      </c>
      <c r="D63" s="146">
        <f t="shared" si="23"/>
        <v>0</v>
      </c>
      <c r="E63" s="146">
        <f t="shared" si="23"/>
        <v>13928628</v>
      </c>
      <c r="F63" s="146">
        <f t="shared" si="23"/>
        <v>17868964</v>
      </c>
      <c r="G63" s="146">
        <f t="shared" si="23"/>
        <v>4000000</v>
      </c>
      <c r="H63" s="146">
        <f t="shared" si="23"/>
        <v>762535</v>
      </c>
      <c r="I63" s="146">
        <f t="shared" si="23"/>
        <v>423258</v>
      </c>
      <c r="J63" s="146">
        <f t="shared" si="23"/>
        <v>0</v>
      </c>
      <c r="K63" s="146">
        <f t="shared" si="23"/>
        <v>0</v>
      </c>
      <c r="L63" s="146">
        <f t="shared" si="23"/>
        <v>0</v>
      </c>
      <c r="M63" s="146">
        <f t="shared" si="23"/>
        <v>0</v>
      </c>
      <c r="N63" s="146">
        <f t="shared" si="23"/>
        <v>0</v>
      </c>
      <c r="O63" s="146">
        <f t="shared" si="23"/>
        <v>0</v>
      </c>
      <c r="P63" s="146">
        <f t="shared" si="23"/>
        <v>0</v>
      </c>
      <c r="Q63" s="146">
        <f t="shared" si="23"/>
        <v>0</v>
      </c>
      <c r="R63" s="342">
        <f t="shared" si="23"/>
        <v>36983385</v>
      </c>
      <c r="S63" s="146">
        <f>SUM(S10+S13+S14+S15+S26+S27+S38+S42+S43+S54)</f>
        <v>34808263</v>
      </c>
      <c r="T63" s="146">
        <f>SUM(T11+T13+T14+T15+T26+T27+T38+T42+T43+T54)</f>
        <v>0</v>
      </c>
      <c r="U63" s="143"/>
    </row>
    <row r="64" spans="1:21" s="144" customFormat="1" ht="24">
      <c r="A64" s="141" t="s">
        <v>1644</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170</v>
      </c>
      <c r="B65" s="146">
        <f>SUM(C65+D65)</f>
        <v>450000</v>
      </c>
      <c r="C65" s="147">
        <v>450000</v>
      </c>
      <c r="D65" s="147"/>
      <c r="E65" s="147">
        <f t="shared" ref="E65:E66" si="24">C65-SUM(F65:J65)</f>
        <v>450000</v>
      </c>
      <c r="F65" s="147"/>
      <c r="G65" s="147"/>
      <c r="H65" s="147"/>
      <c r="I65" s="147"/>
      <c r="J65" s="147"/>
      <c r="K65" s="147"/>
      <c r="L65" s="147"/>
      <c r="M65" s="147"/>
      <c r="N65" s="147"/>
      <c r="O65" s="147"/>
      <c r="P65" s="147"/>
      <c r="Q65" s="147"/>
      <c r="R65" s="516">
        <f>SUM(E65:Q65)</f>
        <v>450000</v>
      </c>
      <c r="S65" s="147">
        <v>400000</v>
      </c>
      <c r="T65" s="147"/>
      <c r="U65" s="143"/>
    </row>
    <row r="66" spans="1:21" s="144" customFormat="1" ht="24" customHeight="1">
      <c r="A66" s="283" t="s">
        <v>1641</v>
      </c>
      <c r="B66" s="146">
        <f>SUM(C66+D66)</f>
        <v>300000</v>
      </c>
      <c r="C66" s="147">
        <v>300000</v>
      </c>
      <c r="D66" s="147"/>
      <c r="E66" s="147">
        <f t="shared" si="24"/>
        <v>300000</v>
      </c>
      <c r="F66" s="147"/>
      <c r="G66" s="147"/>
      <c r="H66" s="147"/>
      <c r="I66" s="147"/>
      <c r="J66" s="147"/>
      <c r="K66" s="147"/>
      <c r="L66" s="147"/>
      <c r="M66" s="147"/>
      <c r="N66" s="147"/>
      <c r="O66" s="147"/>
      <c r="P66" s="147"/>
      <c r="Q66" s="147"/>
      <c r="R66" s="516">
        <f>SUM(E66:Q66)</f>
        <v>300000</v>
      </c>
      <c r="S66" s="147">
        <f>C66</f>
        <v>300000</v>
      </c>
      <c r="T66" s="147"/>
      <c r="U66" s="143"/>
    </row>
    <row r="67" spans="1:21" s="144" customFormat="1" ht="24" customHeight="1">
      <c r="A67" s="283" t="s">
        <v>1642</v>
      </c>
      <c r="B67" s="146">
        <f>SUM(C67+D67)</f>
        <v>0</v>
      </c>
      <c r="C67" s="147"/>
      <c r="D67" s="147"/>
      <c r="E67" s="147"/>
      <c r="F67" s="147"/>
      <c r="G67" s="147"/>
      <c r="H67" s="147"/>
      <c r="I67" s="147"/>
      <c r="J67" s="147"/>
      <c r="K67" s="147"/>
      <c r="L67" s="147"/>
      <c r="M67" s="147"/>
      <c r="N67" s="147"/>
      <c r="O67" s="147"/>
      <c r="P67" s="147"/>
      <c r="Q67" s="147"/>
      <c r="R67" s="516">
        <f>SUM(E67:Q67)</f>
        <v>0</v>
      </c>
      <c r="S67" s="147"/>
      <c r="T67" s="147"/>
      <c r="U67" s="143"/>
    </row>
    <row r="68" spans="1:21" s="144" customFormat="1" ht="12" customHeight="1">
      <c r="A68" s="283" t="s">
        <v>1648</v>
      </c>
      <c r="B68" s="146">
        <f>SUM(C68+D68)</f>
        <v>0</v>
      </c>
      <c r="C68" s="147"/>
      <c r="D68" s="147"/>
      <c r="E68" s="147"/>
      <c r="F68" s="147"/>
      <c r="G68" s="147"/>
      <c r="H68" s="147"/>
      <c r="I68" s="147"/>
      <c r="J68" s="147"/>
      <c r="K68" s="147"/>
      <c r="L68" s="147"/>
      <c r="M68" s="147"/>
      <c r="N68" s="147"/>
      <c r="O68" s="147"/>
      <c r="P68" s="147"/>
      <c r="Q68" s="147"/>
      <c r="R68" s="516">
        <f>SUM(E68:Q68)</f>
        <v>0</v>
      </c>
      <c r="S68" s="147"/>
      <c r="T68" s="147"/>
      <c r="U68" s="143"/>
    </row>
    <row r="69" spans="1:21" s="144" customFormat="1">
      <c r="A69" s="1149" t="s">
        <v>34</v>
      </c>
      <c r="B69" s="146">
        <f>SUM(C69+D69)</f>
        <v>0</v>
      </c>
      <c r="C69" s="147"/>
      <c r="D69" s="147"/>
      <c r="E69" s="147"/>
      <c r="F69" s="147"/>
      <c r="G69" s="147"/>
      <c r="H69" s="147"/>
      <c r="I69" s="147"/>
      <c r="J69" s="147"/>
      <c r="K69" s="147"/>
      <c r="L69" s="147"/>
      <c r="M69" s="147"/>
      <c r="N69" s="147"/>
      <c r="O69" s="147"/>
      <c r="P69" s="147"/>
      <c r="Q69" s="147"/>
      <c r="R69" s="516">
        <f>SUM(E69:Q69)</f>
        <v>0</v>
      </c>
      <c r="S69" s="147"/>
      <c r="T69" s="147"/>
      <c r="U69" s="143"/>
    </row>
    <row r="70" spans="1:21" s="144" customFormat="1">
      <c r="A70" s="149" t="s">
        <v>1645</v>
      </c>
      <c r="B70" s="146">
        <f>SUM(C70:D70)</f>
        <v>750000</v>
      </c>
      <c r="C70" s="146">
        <f>SUM(C65:C69)</f>
        <v>750000</v>
      </c>
      <c r="D70" s="146">
        <f>SUM(D65:D69)</f>
        <v>0</v>
      </c>
      <c r="E70" s="146">
        <f t="shared" ref="E70:T70" si="25">SUM(E65:E69)</f>
        <v>750000</v>
      </c>
      <c r="F70" s="146">
        <f t="shared" si="25"/>
        <v>0</v>
      </c>
      <c r="G70" s="146">
        <f t="shared" si="25"/>
        <v>0</v>
      </c>
      <c r="H70" s="146">
        <f t="shared" si="25"/>
        <v>0</v>
      </c>
      <c r="I70" s="146">
        <f t="shared" si="25"/>
        <v>0</v>
      </c>
      <c r="J70" s="146">
        <f t="shared" si="25"/>
        <v>0</v>
      </c>
      <c r="K70" s="146">
        <f t="shared" si="25"/>
        <v>0</v>
      </c>
      <c r="L70" s="146">
        <f t="shared" si="25"/>
        <v>0</v>
      </c>
      <c r="M70" s="146">
        <f t="shared" si="25"/>
        <v>0</v>
      </c>
      <c r="N70" s="146">
        <f t="shared" si="25"/>
        <v>0</v>
      </c>
      <c r="O70" s="146">
        <f t="shared" si="25"/>
        <v>0</v>
      </c>
      <c r="P70" s="146">
        <f t="shared" si="25"/>
        <v>0</v>
      </c>
      <c r="Q70" s="146">
        <f t="shared" si="25"/>
        <v>0</v>
      </c>
      <c r="R70" s="342">
        <f t="shared" si="25"/>
        <v>750000</v>
      </c>
      <c r="S70" s="150">
        <f t="shared" si="25"/>
        <v>700000</v>
      </c>
      <c r="T70" s="150">
        <f t="shared" si="25"/>
        <v>0</v>
      </c>
      <c r="U70" s="143"/>
    </row>
    <row r="71" spans="1:21" s="144" customFormat="1">
      <c r="A71" s="141" t="s">
        <v>602</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603</v>
      </c>
      <c r="B72" s="146">
        <f>SUM(C72+D72)</f>
        <v>0</v>
      </c>
      <c r="C72" s="147"/>
      <c r="D72" s="147"/>
      <c r="E72" s="147"/>
      <c r="F72" s="147"/>
      <c r="G72" s="147"/>
      <c r="H72" s="147"/>
      <c r="I72" s="147"/>
      <c r="J72" s="147"/>
      <c r="K72" s="147"/>
      <c r="L72" s="147"/>
      <c r="M72" s="147"/>
      <c r="N72" s="147"/>
      <c r="O72" s="147"/>
      <c r="P72" s="147"/>
      <c r="Q72" s="147"/>
      <c r="R72" s="516">
        <f>SUM(E72:Q72)</f>
        <v>0</v>
      </c>
      <c r="S72" s="148"/>
      <c r="T72" s="148"/>
      <c r="U72" s="143"/>
    </row>
    <row r="73" spans="1:21" s="144" customFormat="1">
      <c r="A73" s="145" t="s">
        <v>604</v>
      </c>
      <c r="B73" s="146">
        <f>SUM(C73+D73)</f>
        <v>0</v>
      </c>
      <c r="C73" s="147"/>
      <c r="D73" s="147"/>
      <c r="E73" s="147"/>
      <c r="F73" s="147"/>
      <c r="G73" s="147"/>
      <c r="H73" s="147"/>
      <c r="I73" s="147"/>
      <c r="J73" s="147"/>
      <c r="K73" s="147"/>
      <c r="L73" s="147"/>
      <c r="M73" s="147"/>
      <c r="N73" s="147"/>
      <c r="O73" s="147"/>
      <c r="P73" s="147"/>
      <c r="Q73" s="147"/>
      <c r="R73" s="516">
        <f>SUM(E73:Q73)</f>
        <v>0</v>
      </c>
      <c r="S73" s="148"/>
      <c r="T73" s="148"/>
      <c r="U73" s="143"/>
    </row>
    <row r="74" spans="1:21" s="144" customFormat="1">
      <c r="A74" s="450" t="s">
        <v>986</v>
      </c>
      <c r="B74" s="146">
        <f>SUM(C74+D74)</f>
        <v>0</v>
      </c>
      <c r="C74" s="147"/>
      <c r="D74" s="147"/>
      <c r="E74" s="147"/>
      <c r="F74" s="147"/>
      <c r="G74" s="147"/>
      <c r="H74" s="147"/>
      <c r="I74" s="147"/>
      <c r="J74" s="147"/>
      <c r="K74" s="147"/>
      <c r="L74" s="147"/>
      <c r="M74" s="147"/>
      <c r="N74" s="147"/>
      <c r="O74" s="147"/>
      <c r="P74" s="147"/>
      <c r="Q74" s="147"/>
      <c r="R74" s="516">
        <f>SUM(E74:Q74)</f>
        <v>0</v>
      </c>
      <c r="S74" s="148"/>
      <c r="T74" s="148"/>
      <c r="U74" s="143"/>
    </row>
    <row r="75" spans="1:21" s="144" customFormat="1">
      <c r="A75" s="145" t="s">
        <v>605</v>
      </c>
      <c r="B75" s="146">
        <f>SUM(C75+D75)</f>
        <v>692204</v>
      </c>
      <c r="C75" s="147">
        <v>692204</v>
      </c>
      <c r="D75" s="147"/>
      <c r="E75" s="147">
        <f t="shared" ref="E75" si="26">C75-SUM(F75:J75)</f>
        <v>692204</v>
      </c>
      <c r="F75" s="147"/>
      <c r="G75" s="147"/>
      <c r="H75" s="147"/>
      <c r="I75" s="147"/>
      <c r="J75" s="147"/>
      <c r="K75" s="147"/>
      <c r="L75" s="147"/>
      <c r="M75" s="147"/>
      <c r="N75" s="147"/>
      <c r="O75" s="147"/>
      <c r="P75" s="147"/>
      <c r="Q75" s="147"/>
      <c r="R75" s="516">
        <f>SUM(E75:Q75)</f>
        <v>692204</v>
      </c>
      <c r="S75" s="148"/>
      <c r="T75" s="148"/>
      <c r="U75" s="143"/>
    </row>
    <row r="76" spans="1:21" s="144" customFormat="1">
      <c r="A76" s="1149" t="s">
        <v>34</v>
      </c>
      <c r="B76" s="146">
        <f>SUM(C76+D76)</f>
        <v>0</v>
      </c>
      <c r="C76" s="147"/>
      <c r="D76" s="147"/>
      <c r="E76" s="147"/>
      <c r="F76" s="147"/>
      <c r="G76" s="147"/>
      <c r="H76" s="147"/>
      <c r="I76" s="147"/>
      <c r="J76" s="147"/>
      <c r="K76" s="147"/>
      <c r="L76" s="147"/>
      <c r="M76" s="147"/>
      <c r="N76" s="147"/>
      <c r="O76" s="147"/>
      <c r="P76" s="147"/>
      <c r="Q76" s="147"/>
      <c r="R76" s="516">
        <f>SUM(E76:Q76)</f>
        <v>0</v>
      </c>
      <c r="S76" s="148"/>
      <c r="T76" s="148"/>
      <c r="U76" s="143"/>
    </row>
    <row r="77" spans="1:21" s="144" customFormat="1">
      <c r="A77" s="149" t="s">
        <v>606</v>
      </c>
      <c r="B77" s="146">
        <f>SUM(C77:D77)</f>
        <v>692204</v>
      </c>
      <c r="C77" s="146">
        <f>SUM(C72:C76)</f>
        <v>692204</v>
      </c>
      <c r="D77" s="146">
        <f>SUM(D72:D76)</f>
        <v>0</v>
      </c>
      <c r="E77" s="146">
        <f t="shared" ref="E77:Q77" si="27">SUM(E72:E76)</f>
        <v>692204</v>
      </c>
      <c r="F77" s="146">
        <f t="shared" si="27"/>
        <v>0</v>
      </c>
      <c r="G77" s="146">
        <f t="shared" si="27"/>
        <v>0</v>
      </c>
      <c r="H77" s="146">
        <f t="shared" si="27"/>
        <v>0</v>
      </c>
      <c r="I77" s="146">
        <f t="shared" si="27"/>
        <v>0</v>
      </c>
      <c r="J77" s="146">
        <f t="shared" si="27"/>
        <v>0</v>
      </c>
      <c r="K77" s="146">
        <f t="shared" si="27"/>
        <v>0</v>
      </c>
      <c r="L77" s="146">
        <f t="shared" si="27"/>
        <v>0</v>
      </c>
      <c r="M77" s="146">
        <f t="shared" si="27"/>
        <v>0</v>
      </c>
      <c r="N77" s="146">
        <f t="shared" si="27"/>
        <v>0</v>
      </c>
      <c r="O77" s="146">
        <f t="shared" si="27"/>
        <v>0</v>
      </c>
      <c r="P77" s="146">
        <f t="shared" si="27"/>
        <v>0</v>
      </c>
      <c r="Q77" s="146">
        <f t="shared" si="27"/>
        <v>0</v>
      </c>
      <c r="R77" s="342">
        <f>SUM(R72:R76)</f>
        <v>692204</v>
      </c>
      <c r="S77" s="148"/>
      <c r="T77" s="148"/>
      <c r="U77" s="143"/>
    </row>
    <row r="78" spans="1:21" s="144" customFormat="1">
      <c r="A78" s="141" t="s">
        <v>1210</v>
      </c>
      <c r="B78" s="151"/>
      <c r="C78" s="151"/>
      <c r="D78" s="151"/>
      <c r="E78" s="151"/>
      <c r="F78" s="151"/>
      <c r="G78" s="151"/>
      <c r="H78" s="151"/>
      <c r="I78" s="151"/>
      <c r="J78" s="151"/>
      <c r="K78" s="151"/>
      <c r="L78" s="151"/>
      <c r="M78" s="151"/>
      <c r="N78" s="151"/>
      <c r="O78" s="151"/>
      <c r="P78" s="151"/>
      <c r="Q78" s="151"/>
      <c r="R78" s="343"/>
      <c r="S78" s="151"/>
      <c r="T78" s="151"/>
      <c r="U78" s="143"/>
    </row>
    <row r="79" spans="1:21" s="144" customFormat="1">
      <c r="A79" s="283" t="s">
        <v>1212</v>
      </c>
      <c r="B79" s="146">
        <f>SUM(C79:D79)</f>
        <v>1560000</v>
      </c>
      <c r="C79" s="147">
        <v>1560000</v>
      </c>
      <c r="D79" s="147"/>
      <c r="E79" s="147">
        <f t="shared" ref="E79:E80" si="28">C79-SUM(F79:J79)</f>
        <v>1560000</v>
      </c>
      <c r="F79" s="147"/>
      <c r="G79" s="147"/>
      <c r="H79" s="147"/>
      <c r="I79" s="147"/>
      <c r="J79" s="147"/>
      <c r="K79" s="147"/>
      <c r="L79" s="147"/>
      <c r="M79" s="147"/>
      <c r="N79" s="147"/>
      <c r="O79" s="147"/>
      <c r="P79" s="147"/>
      <c r="Q79" s="147"/>
      <c r="R79" s="516">
        <f>SUM(E79:Q79)</f>
        <v>1560000</v>
      </c>
      <c r="S79" s="147">
        <f>C79</f>
        <v>1560000</v>
      </c>
      <c r="T79" s="147"/>
      <c r="U79" s="143"/>
    </row>
    <row r="80" spans="1:21" s="144" customFormat="1">
      <c r="A80" s="283" t="s">
        <v>58</v>
      </c>
      <c r="B80" s="146">
        <f>SUM(C80:D80)</f>
        <v>500000</v>
      </c>
      <c r="C80" s="147">
        <v>500000</v>
      </c>
      <c r="D80" s="147"/>
      <c r="E80" s="147">
        <f t="shared" si="28"/>
        <v>500000</v>
      </c>
      <c r="F80" s="147"/>
      <c r="G80" s="147"/>
      <c r="H80" s="147"/>
      <c r="I80" s="147"/>
      <c r="J80" s="147"/>
      <c r="K80" s="147"/>
      <c r="L80" s="147"/>
      <c r="M80" s="147"/>
      <c r="N80" s="147"/>
      <c r="O80" s="147"/>
      <c r="P80" s="147"/>
      <c r="Q80" s="147"/>
      <c r="R80" s="516">
        <f>SUM(E80:Q80)</f>
        <v>500000</v>
      </c>
      <c r="S80" s="147">
        <v>250076</v>
      </c>
      <c r="T80" s="147"/>
      <c r="U80" s="143"/>
    </row>
    <row r="81" spans="1:21" s="144" customFormat="1">
      <c r="A81" s="149" t="s">
        <v>1209</v>
      </c>
      <c r="B81" s="146">
        <f>SUM(C81:D81)</f>
        <v>2060000</v>
      </c>
      <c r="C81" s="509">
        <f>SUM(C79:C80)</f>
        <v>2060000</v>
      </c>
      <c r="D81" s="509">
        <f t="shared" ref="D81:T81" si="29">SUM(D79:D80)</f>
        <v>0</v>
      </c>
      <c r="E81" s="509">
        <f t="shared" si="29"/>
        <v>2060000</v>
      </c>
      <c r="F81" s="509">
        <f t="shared" si="29"/>
        <v>0</v>
      </c>
      <c r="G81" s="509">
        <f t="shared" si="29"/>
        <v>0</v>
      </c>
      <c r="H81" s="509">
        <f t="shared" si="29"/>
        <v>0</v>
      </c>
      <c r="I81" s="509">
        <f t="shared" si="29"/>
        <v>0</v>
      </c>
      <c r="J81" s="509">
        <f t="shared" si="29"/>
        <v>0</v>
      </c>
      <c r="K81" s="509">
        <f t="shared" si="29"/>
        <v>0</v>
      </c>
      <c r="L81" s="509">
        <f t="shared" si="29"/>
        <v>0</v>
      </c>
      <c r="M81" s="509">
        <f t="shared" si="29"/>
        <v>0</v>
      </c>
      <c r="N81" s="509">
        <f t="shared" si="29"/>
        <v>0</v>
      </c>
      <c r="O81" s="509">
        <f t="shared" si="29"/>
        <v>0</v>
      </c>
      <c r="P81" s="509">
        <f t="shared" si="29"/>
        <v>0</v>
      </c>
      <c r="Q81" s="509">
        <f t="shared" si="29"/>
        <v>0</v>
      </c>
      <c r="R81" s="509">
        <f t="shared" si="29"/>
        <v>2060000</v>
      </c>
      <c r="S81" s="509">
        <f t="shared" si="29"/>
        <v>1810076</v>
      </c>
      <c r="T81" s="509">
        <f t="shared" si="29"/>
        <v>0</v>
      </c>
      <c r="U81" s="143"/>
    </row>
    <row r="82" spans="1:21" s="144" customFormat="1">
      <c r="A82" s="141" t="s">
        <v>765</v>
      </c>
      <c r="B82" s="151"/>
      <c r="C82" s="151"/>
      <c r="D82" s="151"/>
      <c r="E82" s="151"/>
      <c r="F82" s="151"/>
      <c r="G82" s="151"/>
      <c r="H82" s="151"/>
      <c r="I82" s="151"/>
      <c r="J82" s="151"/>
      <c r="K82" s="151"/>
      <c r="L82" s="151"/>
      <c r="M82" s="151"/>
      <c r="N82" s="151"/>
      <c r="O82" s="151"/>
      <c r="P82" s="151"/>
      <c r="Q82" s="151"/>
      <c r="R82" s="343"/>
      <c r="S82" s="151"/>
      <c r="T82" s="151"/>
      <c r="U82" s="143"/>
    </row>
    <row r="83" spans="1:21" s="144" customFormat="1" ht="13.7" customHeight="1">
      <c r="A83" s="145" t="s">
        <v>2095</v>
      </c>
      <c r="B83" s="146">
        <f t="shared" ref="B83:B95" si="30">SUM(C83+D83)</f>
        <v>206771</v>
      </c>
      <c r="C83" s="147">
        <v>206771</v>
      </c>
      <c r="D83" s="147"/>
      <c r="E83" s="147">
        <f t="shared" ref="E83" si="31">C83-SUM(F83:J83)</f>
        <v>206771</v>
      </c>
      <c r="F83" s="147"/>
      <c r="G83" s="147"/>
      <c r="H83" s="147"/>
      <c r="I83" s="147"/>
      <c r="J83" s="147"/>
      <c r="K83" s="147"/>
      <c r="L83" s="147"/>
      <c r="M83" s="147"/>
      <c r="N83" s="147"/>
      <c r="O83" s="147"/>
      <c r="P83" s="147"/>
      <c r="Q83" s="147"/>
      <c r="R83" s="516">
        <f t="shared" ref="R83:R95" si="32">SUM(E83:Q83)</f>
        <v>206771</v>
      </c>
      <c r="S83" s="148"/>
      <c r="T83" s="148"/>
      <c r="U83" s="143"/>
    </row>
    <row r="84" spans="1:21" s="144" customFormat="1">
      <c r="A84" s="145" t="s">
        <v>767</v>
      </c>
      <c r="B84" s="146">
        <f t="shared" si="30"/>
        <v>0</v>
      </c>
      <c r="C84" s="147"/>
      <c r="D84" s="147"/>
      <c r="E84" s="147"/>
      <c r="F84" s="147"/>
      <c r="G84" s="147"/>
      <c r="H84" s="147"/>
      <c r="I84" s="147"/>
      <c r="J84" s="147"/>
      <c r="K84" s="147"/>
      <c r="L84" s="147"/>
      <c r="M84" s="147"/>
      <c r="N84" s="147"/>
      <c r="O84" s="147"/>
      <c r="P84" s="147"/>
      <c r="Q84" s="147"/>
      <c r="R84" s="516">
        <f t="shared" si="32"/>
        <v>0</v>
      </c>
      <c r="S84" s="147"/>
      <c r="T84" s="147"/>
      <c r="U84" s="143"/>
    </row>
    <row r="85" spans="1:21" s="144" customFormat="1">
      <c r="A85" s="145" t="s">
        <v>768</v>
      </c>
      <c r="B85" s="146">
        <f t="shared" si="30"/>
        <v>2500000</v>
      </c>
      <c r="C85" s="147">
        <v>2500000</v>
      </c>
      <c r="D85" s="147"/>
      <c r="E85" s="147">
        <f t="shared" ref="E85:E86" si="33">C85-SUM(F85:J85)</f>
        <v>2500000</v>
      </c>
      <c r="F85" s="147"/>
      <c r="G85" s="147"/>
      <c r="H85" s="147"/>
      <c r="I85" s="147"/>
      <c r="J85" s="147"/>
      <c r="K85" s="147"/>
      <c r="L85" s="147"/>
      <c r="M85" s="147"/>
      <c r="N85" s="147"/>
      <c r="O85" s="147"/>
      <c r="P85" s="147"/>
      <c r="Q85" s="147"/>
      <c r="R85" s="516">
        <f t="shared" si="32"/>
        <v>2500000</v>
      </c>
      <c r="S85" s="147">
        <f>C85</f>
        <v>2500000</v>
      </c>
      <c r="T85" s="147"/>
      <c r="U85" s="143"/>
    </row>
    <row r="86" spans="1:21" s="144" customFormat="1">
      <c r="A86" s="145" t="s">
        <v>769</v>
      </c>
      <c r="B86" s="146">
        <f t="shared" si="30"/>
        <v>900000</v>
      </c>
      <c r="C86" s="147">
        <v>900000</v>
      </c>
      <c r="D86" s="147"/>
      <c r="E86" s="147">
        <f t="shared" si="33"/>
        <v>900000</v>
      </c>
      <c r="F86" s="147"/>
      <c r="G86" s="147"/>
      <c r="H86" s="147"/>
      <c r="I86" s="147"/>
      <c r="J86" s="147"/>
      <c r="K86" s="147"/>
      <c r="L86" s="147"/>
      <c r="M86" s="147"/>
      <c r="N86" s="147"/>
      <c r="O86" s="147"/>
      <c r="P86" s="147"/>
      <c r="Q86" s="147"/>
      <c r="R86" s="516">
        <f t="shared" si="32"/>
        <v>900000</v>
      </c>
      <c r="S86" s="147">
        <f>C86</f>
        <v>900000</v>
      </c>
      <c r="T86" s="147"/>
      <c r="U86" s="143"/>
    </row>
    <row r="87" spans="1:21" s="144" customFormat="1">
      <c r="A87" s="145" t="s">
        <v>770</v>
      </c>
      <c r="B87" s="146">
        <f t="shared" si="30"/>
        <v>0</v>
      </c>
      <c r="C87" s="147"/>
      <c r="D87" s="147"/>
      <c r="E87" s="147"/>
      <c r="F87" s="147"/>
      <c r="G87" s="147"/>
      <c r="H87" s="147"/>
      <c r="I87" s="147"/>
      <c r="J87" s="147"/>
      <c r="K87" s="147"/>
      <c r="L87" s="147"/>
      <c r="M87" s="147"/>
      <c r="N87" s="147"/>
      <c r="O87" s="147"/>
      <c r="P87" s="147"/>
      <c r="Q87" s="147"/>
      <c r="R87" s="516">
        <f t="shared" si="32"/>
        <v>0</v>
      </c>
      <c r="S87" s="147"/>
      <c r="T87" s="147"/>
      <c r="U87" s="143"/>
    </row>
    <row r="88" spans="1:21" s="144" customFormat="1">
      <c r="A88" s="145" t="s">
        <v>771</v>
      </c>
      <c r="B88" s="146">
        <f t="shared" si="30"/>
        <v>100000</v>
      </c>
      <c r="C88" s="147">
        <v>100000</v>
      </c>
      <c r="D88" s="147"/>
      <c r="E88" s="147">
        <f t="shared" ref="E88:E93" si="34">C88-SUM(F88:J88)</f>
        <v>100000</v>
      </c>
      <c r="F88" s="147"/>
      <c r="G88" s="147"/>
      <c r="H88" s="147"/>
      <c r="I88" s="147"/>
      <c r="J88" s="147"/>
      <c r="K88" s="147"/>
      <c r="L88" s="147"/>
      <c r="M88" s="147"/>
      <c r="N88" s="147"/>
      <c r="O88" s="147"/>
      <c r="P88" s="147"/>
      <c r="Q88" s="147"/>
      <c r="R88" s="516">
        <f t="shared" si="32"/>
        <v>100000</v>
      </c>
      <c r="S88" s="148"/>
      <c r="T88" s="148"/>
      <c r="U88" s="143"/>
    </row>
    <row r="89" spans="1:21" s="144" customFormat="1">
      <c r="A89" s="145" t="s">
        <v>772</v>
      </c>
      <c r="B89" s="146">
        <f t="shared" si="30"/>
        <v>150000</v>
      </c>
      <c r="C89" s="147">
        <v>150000</v>
      </c>
      <c r="D89" s="147"/>
      <c r="E89" s="147">
        <f t="shared" si="34"/>
        <v>150000</v>
      </c>
      <c r="F89" s="147"/>
      <c r="G89" s="147"/>
      <c r="H89" s="147"/>
      <c r="I89" s="147"/>
      <c r="J89" s="147"/>
      <c r="K89" s="147"/>
      <c r="L89" s="147"/>
      <c r="M89" s="147"/>
      <c r="N89" s="147"/>
      <c r="O89" s="147"/>
      <c r="P89" s="147"/>
      <c r="Q89" s="147"/>
      <c r="R89" s="516">
        <f t="shared" si="32"/>
        <v>150000</v>
      </c>
      <c r="S89" s="147">
        <f>C89</f>
        <v>150000</v>
      </c>
      <c r="T89" s="147"/>
      <c r="U89" s="143"/>
    </row>
    <row r="90" spans="1:21" s="144" customFormat="1">
      <c r="A90" s="145" t="s">
        <v>773</v>
      </c>
      <c r="B90" s="146">
        <f t="shared" si="30"/>
        <v>15000</v>
      </c>
      <c r="C90" s="147">
        <v>15000</v>
      </c>
      <c r="D90" s="147"/>
      <c r="E90" s="147">
        <f t="shared" si="34"/>
        <v>15000</v>
      </c>
      <c r="F90" s="147"/>
      <c r="G90" s="147"/>
      <c r="H90" s="147"/>
      <c r="I90" s="147"/>
      <c r="J90" s="147"/>
      <c r="K90" s="147"/>
      <c r="L90" s="147"/>
      <c r="M90" s="147"/>
      <c r="N90" s="147"/>
      <c r="O90" s="147"/>
      <c r="P90" s="147"/>
      <c r="Q90" s="147"/>
      <c r="R90" s="516">
        <f t="shared" si="32"/>
        <v>15000</v>
      </c>
      <c r="S90" s="147">
        <f>C90</f>
        <v>15000</v>
      </c>
      <c r="T90" s="147"/>
      <c r="U90" s="143"/>
    </row>
    <row r="91" spans="1:21" s="144" customFormat="1">
      <c r="A91" s="145" t="s">
        <v>371</v>
      </c>
      <c r="B91" s="146">
        <f t="shared" si="30"/>
        <v>55000</v>
      </c>
      <c r="C91" s="147">
        <v>55000</v>
      </c>
      <c r="D91" s="147"/>
      <c r="E91" s="147">
        <f t="shared" si="34"/>
        <v>55000</v>
      </c>
      <c r="F91" s="147"/>
      <c r="G91" s="147"/>
      <c r="H91" s="147"/>
      <c r="I91" s="147"/>
      <c r="J91" s="147"/>
      <c r="K91" s="147"/>
      <c r="L91" s="147"/>
      <c r="M91" s="147"/>
      <c r="N91" s="147"/>
      <c r="O91" s="147"/>
      <c r="P91" s="147"/>
      <c r="Q91" s="147"/>
      <c r="R91" s="516">
        <f t="shared" si="32"/>
        <v>55000</v>
      </c>
      <c r="S91" s="147">
        <v>35000</v>
      </c>
      <c r="T91" s="147"/>
      <c r="U91" s="143"/>
    </row>
    <row r="92" spans="1:21" s="144" customFormat="1">
      <c r="A92" s="283" t="s">
        <v>1211</v>
      </c>
      <c r="B92" s="146">
        <f t="shared" si="30"/>
        <v>15000</v>
      </c>
      <c r="C92" s="147">
        <v>15000</v>
      </c>
      <c r="D92" s="147"/>
      <c r="E92" s="147">
        <f t="shared" si="34"/>
        <v>15000</v>
      </c>
      <c r="F92" s="147"/>
      <c r="G92" s="147"/>
      <c r="H92" s="147"/>
      <c r="I92" s="147"/>
      <c r="J92" s="147"/>
      <c r="K92" s="147"/>
      <c r="L92" s="147"/>
      <c r="M92" s="147"/>
      <c r="N92" s="147"/>
      <c r="O92" s="147"/>
      <c r="P92" s="147"/>
      <c r="Q92" s="147"/>
      <c r="R92" s="516">
        <f t="shared" si="32"/>
        <v>15000</v>
      </c>
      <c r="S92" s="147">
        <v>0</v>
      </c>
      <c r="T92" s="147"/>
      <c r="U92" s="143"/>
    </row>
    <row r="93" spans="1:21" s="144" customFormat="1">
      <c r="A93" s="1149" t="s">
        <v>2726</v>
      </c>
      <c r="B93" s="146">
        <f t="shared" si="30"/>
        <v>40000</v>
      </c>
      <c r="C93" s="147">
        <v>40000</v>
      </c>
      <c r="D93" s="147"/>
      <c r="E93" s="147">
        <f t="shared" si="34"/>
        <v>40000</v>
      </c>
      <c r="F93" s="147"/>
      <c r="G93" s="147"/>
      <c r="H93" s="147"/>
      <c r="I93" s="147"/>
      <c r="J93" s="147"/>
      <c r="K93" s="147"/>
      <c r="L93" s="147"/>
      <c r="M93" s="147"/>
      <c r="N93" s="147"/>
      <c r="O93" s="147"/>
      <c r="P93" s="147"/>
      <c r="Q93" s="147"/>
      <c r="R93" s="516">
        <f t="shared" si="32"/>
        <v>40000</v>
      </c>
      <c r="S93" s="147"/>
      <c r="T93" s="147"/>
      <c r="U93" s="143"/>
    </row>
    <row r="94" spans="1:21" s="144" customFormat="1">
      <c r="A94" s="1149" t="s">
        <v>34</v>
      </c>
      <c r="B94" s="146">
        <f t="shared" si="30"/>
        <v>0</v>
      </c>
      <c r="C94" s="147"/>
      <c r="D94" s="147"/>
      <c r="E94" s="147"/>
      <c r="F94" s="147"/>
      <c r="G94" s="147"/>
      <c r="H94" s="147"/>
      <c r="I94" s="147"/>
      <c r="J94" s="147"/>
      <c r="K94" s="147"/>
      <c r="L94" s="147"/>
      <c r="M94" s="147"/>
      <c r="N94" s="147"/>
      <c r="O94" s="147"/>
      <c r="P94" s="147"/>
      <c r="Q94" s="147"/>
      <c r="R94" s="516">
        <f t="shared" si="32"/>
        <v>0</v>
      </c>
      <c r="S94" s="147"/>
      <c r="T94" s="147"/>
      <c r="U94" s="143"/>
    </row>
    <row r="95" spans="1:21" s="144" customFormat="1">
      <c r="A95" s="1149" t="s">
        <v>34</v>
      </c>
      <c r="B95" s="146">
        <f t="shared" si="30"/>
        <v>0</v>
      </c>
      <c r="C95" s="147"/>
      <c r="D95" s="147"/>
      <c r="E95" s="147"/>
      <c r="F95" s="147"/>
      <c r="G95" s="147"/>
      <c r="H95" s="147"/>
      <c r="I95" s="147"/>
      <c r="J95" s="147"/>
      <c r="K95" s="147"/>
      <c r="L95" s="147"/>
      <c r="M95" s="147"/>
      <c r="N95" s="147"/>
      <c r="O95" s="147"/>
      <c r="P95" s="147"/>
      <c r="Q95" s="147"/>
      <c r="R95" s="516">
        <f t="shared" si="32"/>
        <v>0</v>
      </c>
      <c r="S95" s="147"/>
      <c r="T95" s="147"/>
      <c r="U95" s="143"/>
    </row>
    <row r="96" spans="1:21" s="144" customFormat="1">
      <c r="A96" s="149" t="s">
        <v>774</v>
      </c>
      <c r="B96" s="146">
        <f>SUM(C96:D96)</f>
        <v>3981771</v>
      </c>
      <c r="C96" s="146">
        <f t="shared" ref="C96:R96" si="35">SUM(C83:C95)</f>
        <v>3981771</v>
      </c>
      <c r="D96" s="146">
        <f t="shared" si="35"/>
        <v>0</v>
      </c>
      <c r="E96" s="146">
        <f t="shared" si="35"/>
        <v>3981771</v>
      </c>
      <c r="F96" s="146">
        <f t="shared" si="35"/>
        <v>0</v>
      </c>
      <c r="G96" s="146">
        <f t="shared" si="35"/>
        <v>0</v>
      </c>
      <c r="H96" s="146">
        <f t="shared" si="35"/>
        <v>0</v>
      </c>
      <c r="I96" s="146">
        <f t="shared" si="35"/>
        <v>0</v>
      </c>
      <c r="J96" s="146">
        <f t="shared" si="35"/>
        <v>0</v>
      </c>
      <c r="K96" s="146">
        <f t="shared" si="35"/>
        <v>0</v>
      </c>
      <c r="L96" s="146">
        <f t="shared" si="35"/>
        <v>0</v>
      </c>
      <c r="M96" s="146">
        <f t="shared" si="35"/>
        <v>0</v>
      </c>
      <c r="N96" s="146">
        <f t="shared" si="35"/>
        <v>0</v>
      </c>
      <c r="O96" s="146">
        <f t="shared" si="35"/>
        <v>0</v>
      </c>
      <c r="P96" s="146">
        <f t="shared" si="35"/>
        <v>0</v>
      </c>
      <c r="Q96" s="146">
        <f t="shared" si="35"/>
        <v>0</v>
      </c>
      <c r="R96" s="342">
        <f t="shared" si="35"/>
        <v>3981771</v>
      </c>
      <c r="S96" s="150">
        <f>SUM(S84:S87,S89:S95)</f>
        <v>3600000</v>
      </c>
      <c r="T96" s="146">
        <f>SUM(T84:T87,T89:T95)</f>
        <v>0</v>
      </c>
      <c r="U96" s="143"/>
    </row>
    <row r="97" spans="1:21" s="144" customFormat="1">
      <c r="A97" s="149" t="s">
        <v>775</v>
      </c>
      <c r="B97" s="146">
        <f>SUM(C97:D97)</f>
        <v>44467360</v>
      </c>
      <c r="C97" s="146">
        <f t="shared" ref="C97:R97" si="36">SUM(C63+C70+C77+C81+C96)</f>
        <v>44467360</v>
      </c>
      <c r="D97" s="146">
        <f t="shared" si="36"/>
        <v>0</v>
      </c>
      <c r="E97" s="146">
        <f t="shared" si="36"/>
        <v>21412603</v>
      </c>
      <c r="F97" s="146">
        <f t="shared" si="36"/>
        <v>17868964</v>
      </c>
      <c r="G97" s="146">
        <f t="shared" si="36"/>
        <v>4000000</v>
      </c>
      <c r="H97" s="146">
        <f t="shared" si="36"/>
        <v>762535</v>
      </c>
      <c r="I97" s="146">
        <f t="shared" si="36"/>
        <v>423258</v>
      </c>
      <c r="J97" s="146">
        <f t="shared" si="36"/>
        <v>0</v>
      </c>
      <c r="K97" s="146">
        <f t="shared" si="36"/>
        <v>0</v>
      </c>
      <c r="L97" s="146">
        <f t="shared" si="36"/>
        <v>0</v>
      </c>
      <c r="M97" s="146">
        <f t="shared" si="36"/>
        <v>0</v>
      </c>
      <c r="N97" s="146">
        <f t="shared" si="36"/>
        <v>0</v>
      </c>
      <c r="O97" s="146">
        <f t="shared" si="36"/>
        <v>0</v>
      </c>
      <c r="P97" s="146">
        <f t="shared" si="36"/>
        <v>0</v>
      </c>
      <c r="Q97" s="146">
        <f t="shared" si="36"/>
        <v>0</v>
      </c>
      <c r="R97" s="146">
        <f t="shared" si="36"/>
        <v>44467360</v>
      </c>
      <c r="S97" s="146">
        <f>SUM(S63+S70+S81+S96)</f>
        <v>40918339</v>
      </c>
      <c r="T97" s="146">
        <f>SUM(T63+T70+T81+T96)</f>
        <v>0</v>
      </c>
      <c r="U97" s="143"/>
    </row>
    <row r="98" spans="1:21" s="144" customFormat="1">
      <c r="A98" s="141" t="s">
        <v>776</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777</v>
      </c>
      <c r="B99" s="146">
        <f>SUM(C99+D99)</f>
        <v>6137750</v>
      </c>
      <c r="C99" s="979">
        <v>6137750</v>
      </c>
      <c r="D99" s="979"/>
      <c r="E99" s="979">
        <f t="shared" ref="E99" si="37">C99-SUM(F99:J99)</f>
        <v>1155687</v>
      </c>
      <c r="F99" s="147"/>
      <c r="G99" s="147"/>
      <c r="H99" s="147"/>
      <c r="I99" s="147"/>
      <c r="J99" s="147">
        <f>J108</f>
        <v>4982063</v>
      </c>
      <c r="K99" s="147"/>
      <c r="L99" s="147"/>
      <c r="M99" s="147"/>
      <c r="N99" s="147"/>
      <c r="O99" s="147"/>
      <c r="P99" s="147"/>
      <c r="Q99" s="147"/>
      <c r="R99" s="516">
        <f>SUM(E99:Q99)</f>
        <v>6137750</v>
      </c>
      <c r="S99" s="147">
        <f>C99</f>
        <v>6137750</v>
      </c>
      <c r="T99" s="147"/>
      <c r="U99" s="143"/>
    </row>
    <row r="100" spans="1:21" s="144" customFormat="1">
      <c r="A100" s="283" t="s">
        <v>1646</v>
      </c>
      <c r="B100" s="146">
        <f>SUM(C100+D100)</f>
        <v>0</v>
      </c>
      <c r="C100" s="147"/>
      <c r="D100" s="147"/>
      <c r="E100" s="147"/>
      <c r="F100" s="147"/>
      <c r="G100" s="147"/>
      <c r="H100" s="147"/>
      <c r="I100" s="147"/>
      <c r="J100" s="147"/>
      <c r="K100" s="147"/>
      <c r="L100" s="147"/>
      <c r="M100" s="147"/>
      <c r="N100" s="147"/>
      <c r="O100" s="147"/>
      <c r="P100" s="147"/>
      <c r="Q100" s="147"/>
      <c r="R100" s="516">
        <f>SUM(E100:Q100)</f>
        <v>0</v>
      </c>
      <c r="S100" s="147"/>
      <c r="T100" s="147"/>
      <c r="U100" s="143"/>
    </row>
    <row r="101" spans="1:21" s="144" customFormat="1" ht="12" customHeight="1">
      <c r="A101" s="145" t="s">
        <v>778</v>
      </c>
      <c r="B101" s="146">
        <f>SUM(C101+D101)</f>
        <v>0</v>
      </c>
      <c r="C101" s="147"/>
      <c r="D101" s="147"/>
      <c r="E101" s="147"/>
      <c r="F101" s="147"/>
      <c r="G101" s="147"/>
      <c r="H101" s="147"/>
      <c r="I101" s="147"/>
      <c r="J101" s="147"/>
      <c r="K101" s="147"/>
      <c r="L101" s="147"/>
      <c r="M101" s="147"/>
      <c r="N101" s="147"/>
      <c r="O101" s="147"/>
      <c r="P101" s="147"/>
      <c r="Q101" s="147"/>
      <c r="R101" s="516">
        <f>SUM(E101:Q101)</f>
        <v>0</v>
      </c>
      <c r="S101" s="147"/>
      <c r="T101" s="147"/>
      <c r="U101" s="143"/>
    </row>
    <row r="102" spans="1:21" s="144" customFormat="1">
      <c r="A102" s="283" t="s">
        <v>1647</v>
      </c>
      <c r="B102" s="146">
        <f>SUM(C102+D102)</f>
        <v>0</v>
      </c>
      <c r="C102" s="147"/>
      <c r="D102" s="147"/>
      <c r="E102" s="147"/>
      <c r="F102" s="147"/>
      <c r="G102" s="147"/>
      <c r="H102" s="147"/>
      <c r="I102" s="147"/>
      <c r="J102" s="147"/>
      <c r="K102" s="147"/>
      <c r="L102" s="147"/>
      <c r="M102" s="147"/>
      <c r="N102" s="147"/>
      <c r="O102" s="147"/>
      <c r="P102" s="147"/>
      <c r="Q102" s="147"/>
      <c r="R102" s="516">
        <f>SUM(E102:Q102)</f>
        <v>0</v>
      </c>
      <c r="S102" s="147"/>
      <c r="T102" s="147"/>
      <c r="U102" s="143"/>
    </row>
    <row r="103" spans="1:21" s="144" customFormat="1">
      <c r="A103" s="1149" t="s">
        <v>34</v>
      </c>
      <c r="B103" s="146">
        <f>SUM(C103+D103)</f>
        <v>0</v>
      </c>
      <c r="C103" s="147"/>
      <c r="D103" s="147"/>
      <c r="E103" s="147"/>
      <c r="F103" s="147"/>
      <c r="G103" s="147"/>
      <c r="H103" s="147"/>
      <c r="I103" s="147"/>
      <c r="J103" s="147"/>
      <c r="K103" s="147"/>
      <c r="L103" s="147"/>
      <c r="M103" s="147"/>
      <c r="N103" s="147"/>
      <c r="O103" s="147"/>
      <c r="P103" s="147"/>
      <c r="Q103" s="147"/>
      <c r="R103" s="516">
        <f>SUM(E103:Q103)</f>
        <v>0</v>
      </c>
      <c r="S103" s="147"/>
      <c r="T103" s="147"/>
      <c r="U103" s="143"/>
    </row>
    <row r="104" spans="1:21" s="144" customFormat="1">
      <c r="A104" s="149" t="s">
        <v>779</v>
      </c>
      <c r="B104" s="146">
        <f>SUM(C104:D104)</f>
        <v>6137750</v>
      </c>
      <c r="C104" s="146">
        <f>SUM(C99:C103)</f>
        <v>6137750</v>
      </c>
      <c r="D104" s="146">
        <f t="shared" ref="D104:T104" si="38">SUM(D99:D103)</f>
        <v>0</v>
      </c>
      <c r="E104" s="146">
        <f t="shared" si="38"/>
        <v>1155687</v>
      </c>
      <c r="F104" s="146">
        <f t="shared" si="38"/>
        <v>0</v>
      </c>
      <c r="G104" s="146">
        <f t="shared" si="38"/>
        <v>0</v>
      </c>
      <c r="H104" s="146">
        <f t="shared" si="38"/>
        <v>0</v>
      </c>
      <c r="I104" s="146">
        <f t="shared" si="38"/>
        <v>0</v>
      </c>
      <c r="J104" s="146">
        <f t="shared" si="38"/>
        <v>4982063</v>
      </c>
      <c r="K104" s="146">
        <f t="shared" si="38"/>
        <v>0</v>
      </c>
      <c r="L104" s="146">
        <f t="shared" si="38"/>
        <v>0</v>
      </c>
      <c r="M104" s="146">
        <f t="shared" si="38"/>
        <v>0</v>
      </c>
      <c r="N104" s="146">
        <f t="shared" si="38"/>
        <v>0</v>
      </c>
      <c r="O104" s="146">
        <f t="shared" si="38"/>
        <v>0</v>
      </c>
      <c r="P104" s="146">
        <f t="shared" si="38"/>
        <v>0</v>
      </c>
      <c r="Q104" s="146">
        <f t="shared" si="38"/>
        <v>0</v>
      </c>
      <c r="R104" s="342">
        <f t="shared" si="38"/>
        <v>6137750</v>
      </c>
      <c r="S104" s="150">
        <f t="shared" si="38"/>
        <v>6137750</v>
      </c>
      <c r="T104" s="150">
        <f t="shared" si="38"/>
        <v>0</v>
      </c>
      <c r="U104" s="143"/>
    </row>
    <row r="105" spans="1:21" s="144" customFormat="1">
      <c r="A105" s="149" t="s">
        <v>780</v>
      </c>
      <c r="B105" s="150">
        <f>SUM(C105:D105)</f>
        <v>50605110</v>
      </c>
      <c r="C105" s="150">
        <f t="shared" ref="C105:R105" si="39">SUM(C97+C104)</f>
        <v>50605110</v>
      </c>
      <c r="D105" s="150">
        <f t="shared" si="39"/>
        <v>0</v>
      </c>
      <c r="E105" s="150">
        <f t="shared" si="39"/>
        <v>22568290</v>
      </c>
      <c r="F105" s="150">
        <f t="shared" si="39"/>
        <v>17868964</v>
      </c>
      <c r="G105" s="150">
        <f t="shared" si="39"/>
        <v>4000000</v>
      </c>
      <c r="H105" s="150">
        <f t="shared" si="39"/>
        <v>762535</v>
      </c>
      <c r="I105" s="150">
        <f t="shared" si="39"/>
        <v>423258</v>
      </c>
      <c r="J105" s="150">
        <f t="shared" si="39"/>
        <v>4982063</v>
      </c>
      <c r="K105" s="150">
        <f t="shared" si="39"/>
        <v>0</v>
      </c>
      <c r="L105" s="150">
        <f t="shared" si="39"/>
        <v>0</v>
      </c>
      <c r="M105" s="150">
        <f t="shared" si="39"/>
        <v>0</v>
      </c>
      <c r="N105" s="150">
        <f t="shared" si="39"/>
        <v>0</v>
      </c>
      <c r="O105" s="150">
        <f t="shared" si="39"/>
        <v>0</v>
      </c>
      <c r="P105" s="150">
        <f t="shared" si="39"/>
        <v>0</v>
      </c>
      <c r="Q105" s="150">
        <f t="shared" si="39"/>
        <v>0</v>
      </c>
      <c r="R105" s="342">
        <f t="shared" si="39"/>
        <v>50605110</v>
      </c>
      <c r="S105" s="150">
        <f>S97+S104</f>
        <v>47056089</v>
      </c>
      <c r="T105" s="150">
        <f>T97+T104</f>
        <v>0</v>
      </c>
      <c r="U105" s="143"/>
    </row>
    <row r="106" spans="1:21">
      <c r="A106" s="514" t="s">
        <v>1020</v>
      </c>
      <c r="B106" s="157"/>
      <c r="C106" s="157"/>
      <c r="D106" s="157"/>
      <c r="H106" s="159" t="s">
        <v>92</v>
      </c>
      <c r="I106" s="159"/>
      <c r="J106" s="159"/>
      <c r="R106" s="160" t="s">
        <v>93</v>
      </c>
      <c r="S106" s="147"/>
      <c r="T106" s="147"/>
    </row>
    <row r="107" spans="1:21">
      <c r="A107" s="157" t="s">
        <v>183</v>
      </c>
      <c r="C107" s="157"/>
      <c r="D107" s="157"/>
      <c r="I107" s="162" t="s">
        <v>349</v>
      </c>
      <c r="J107" s="162"/>
      <c r="R107" s="160" t="s">
        <v>94</v>
      </c>
      <c r="S107" s="150">
        <f>S105+S106</f>
        <v>47056089</v>
      </c>
      <c r="T107" s="150">
        <f>T105+T106</f>
        <v>0</v>
      </c>
    </row>
    <row r="108" spans="1:21" s="189" customFormat="1">
      <c r="A108" s="162" t="s">
        <v>879</v>
      </c>
      <c r="B108" s="157"/>
      <c r="C108" s="157"/>
      <c r="D108" s="157"/>
      <c r="E108" s="301">
        <f>Application!AO640</f>
        <v>22568290</v>
      </c>
      <c r="F108" s="301">
        <f>Application!AO627</f>
        <v>17868964</v>
      </c>
      <c r="G108" s="301">
        <f>Application!AO628</f>
        <v>4000000</v>
      </c>
      <c r="H108" s="301">
        <f>Application!AO629</f>
        <v>762535</v>
      </c>
      <c r="I108" s="301">
        <f>Application!AO630</f>
        <v>423258</v>
      </c>
      <c r="J108" s="301">
        <f>Application!AO631</f>
        <v>4982063</v>
      </c>
      <c r="K108" s="301">
        <f>Application!AO632</f>
        <v>0</v>
      </c>
      <c r="L108" s="301">
        <f>Application!AO633</f>
        <v>0</v>
      </c>
      <c r="M108" s="301">
        <f>Application!AO634</f>
        <v>0</v>
      </c>
      <c r="N108" s="301">
        <f>Application!AO635</f>
        <v>0</v>
      </c>
      <c r="O108" s="301">
        <f>Application!AO636</f>
        <v>0</v>
      </c>
      <c r="P108" s="301">
        <f>Application!AO637</f>
        <v>0</v>
      </c>
      <c r="Q108" s="301">
        <f>Application!AO638</f>
        <v>0</v>
      </c>
      <c r="R108" s="158"/>
      <c r="S108" s="158"/>
      <c r="T108" s="158"/>
      <c r="U108" s="188"/>
    </row>
    <row r="109" spans="1:21" ht="10.15" customHeight="1">
      <c r="A109" s="157"/>
      <c r="B109" s="157"/>
      <c r="C109" s="157"/>
      <c r="D109" s="157"/>
    </row>
    <row r="110" spans="1:21">
      <c r="A110" s="162" t="s">
        <v>958</v>
      </c>
      <c r="B110" s="157"/>
      <c r="C110" s="157"/>
      <c r="D110" s="157"/>
    </row>
    <row r="111" spans="1:21">
      <c r="A111" s="156" t="s">
        <v>959</v>
      </c>
      <c r="B111" s="157"/>
      <c r="C111" s="157"/>
      <c r="D111" s="157"/>
    </row>
    <row r="112" spans="1:21" ht="12" customHeight="1">
      <c r="A112" s="312"/>
      <c r="B112" s="157"/>
      <c r="C112" s="157"/>
      <c r="D112" s="157"/>
    </row>
    <row r="113" spans="1:21">
      <c r="A113" s="156" t="s">
        <v>1019</v>
      </c>
      <c r="B113" s="157"/>
      <c r="C113" s="157"/>
      <c r="D113" s="157"/>
    </row>
    <row r="114" spans="1:21">
      <c r="A114" s="156" t="s">
        <v>2096</v>
      </c>
      <c r="B114" s="157"/>
      <c r="C114" s="157"/>
      <c r="D114" s="157"/>
    </row>
    <row r="115" spans="1:21" ht="12" customHeight="1">
      <c r="A115" s="312"/>
      <c r="B115" s="157"/>
      <c r="C115" s="157"/>
      <c r="D115" s="157"/>
    </row>
    <row r="116" spans="1:21">
      <c r="A116" s="345" t="s">
        <v>1022</v>
      </c>
      <c r="B116" s="157"/>
      <c r="C116" s="157"/>
      <c r="D116" s="157"/>
    </row>
    <row r="117" spans="1:21">
      <c r="A117" s="345" t="s">
        <v>1223</v>
      </c>
      <c r="B117" s="157"/>
      <c r="C117" s="157"/>
      <c r="D117" s="157"/>
    </row>
    <row r="118" spans="1:21">
      <c r="A118" s="345" t="s">
        <v>1021</v>
      </c>
      <c r="B118" s="157"/>
      <c r="C118" s="157"/>
      <c r="D118" s="157"/>
    </row>
    <row r="119" spans="1:21">
      <c r="A119" s="345" t="s">
        <v>1023</v>
      </c>
      <c r="B119" s="157"/>
      <c r="C119" s="157"/>
      <c r="D119" s="157"/>
    </row>
    <row r="120" spans="1:21" ht="12" customHeight="1">
      <c r="A120" s="344"/>
      <c r="B120" s="157"/>
      <c r="C120" s="157"/>
      <c r="D120" s="157"/>
    </row>
    <row r="121" spans="1:21" ht="15.75">
      <c r="A121" s="338" t="s">
        <v>1005</v>
      </c>
      <c r="B121" s="157"/>
      <c r="C121" s="157"/>
      <c r="D121" s="157"/>
    </row>
    <row r="122" spans="1:21">
      <c r="A122" s="325" t="s">
        <v>989</v>
      </c>
      <c r="B122" s="324"/>
      <c r="C122" s="324"/>
      <c r="D122" s="1867" t="s">
        <v>990</v>
      </c>
      <c r="E122" s="1867"/>
      <c r="F122" s="1867"/>
      <c r="G122" s="324"/>
      <c r="H122" s="324"/>
      <c r="I122" s="324"/>
      <c r="J122" s="324"/>
      <c r="K122" s="324"/>
      <c r="L122" s="324"/>
      <c r="M122" s="324"/>
      <c r="N122" s="324"/>
      <c r="O122" s="324"/>
      <c r="P122" s="324"/>
      <c r="Q122" s="324"/>
      <c r="R122" s="324"/>
      <c r="S122" s="324"/>
      <c r="T122" s="324"/>
      <c r="U122" s="326"/>
    </row>
    <row r="123" spans="1:21">
      <c r="A123" s="324" t="s">
        <v>991</v>
      </c>
      <c r="B123" s="333"/>
      <c r="C123" s="324"/>
      <c r="D123" s="1869" t="s">
        <v>1224</v>
      </c>
      <c r="E123" s="1787"/>
      <c r="F123" s="1787"/>
      <c r="G123" s="1787"/>
      <c r="H123" s="1787"/>
      <c r="I123" s="1787"/>
      <c r="J123" s="1787"/>
      <c r="K123" s="1787"/>
      <c r="L123" s="1787"/>
      <c r="M123" s="1787"/>
      <c r="N123" s="1787"/>
      <c r="O123" s="1787"/>
      <c r="P123" s="1787"/>
      <c r="Q123" s="1787"/>
      <c r="R123" s="1787"/>
      <c r="S123" s="1787"/>
      <c r="T123" s="324"/>
      <c r="U123" s="326"/>
    </row>
    <row r="124" spans="1:21" ht="12.75">
      <c r="A124" s="117" t="s">
        <v>992</v>
      </c>
      <c r="B124" s="333"/>
      <c r="C124" s="117"/>
      <c r="D124" s="1787"/>
      <c r="E124" s="1787"/>
      <c r="F124" s="1787"/>
      <c r="G124" s="1787"/>
      <c r="H124" s="1787"/>
      <c r="I124" s="1787"/>
      <c r="J124" s="1787"/>
      <c r="K124" s="1787"/>
      <c r="L124" s="1787"/>
      <c r="M124" s="1787"/>
      <c r="N124" s="1787"/>
      <c r="O124" s="1787"/>
      <c r="P124" s="1787"/>
      <c r="Q124" s="1787"/>
      <c r="R124" s="1787"/>
      <c r="S124" s="1787"/>
      <c r="T124" s="324"/>
      <c r="U124" s="326"/>
    </row>
    <row r="125" spans="1:21" ht="12.75">
      <c r="A125" s="117" t="s">
        <v>993</v>
      </c>
      <c r="B125" s="333"/>
      <c r="C125" s="117"/>
      <c r="D125" s="1787"/>
      <c r="E125" s="1787"/>
      <c r="F125" s="1787"/>
      <c r="G125" s="1787"/>
      <c r="H125" s="1787"/>
      <c r="I125" s="1787"/>
      <c r="J125" s="1787"/>
      <c r="K125" s="1787"/>
      <c r="L125" s="1787"/>
      <c r="M125" s="1787"/>
      <c r="N125" s="1787"/>
      <c r="O125" s="1787"/>
      <c r="P125" s="1787"/>
      <c r="Q125" s="1787"/>
      <c r="R125" s="1787"/>
      <c r="S125" s="1787"/>
      <c r="T125" s="324"/>
      <c r="U125" s="326"/>
    </row>
    <row r="126" spans="1:21" ht="12.75">
      <c r="A126" s="117" t="s">
        <v>994</v>
      </c>
      <c r="B126" s="333"/>
      <c r="C126" s="117"/>
      <c r="D126" s="116"/>
      <c r="E126" s="116"/>
      <c r="F126" s="116"/>
      <c r="G126" s="116"/>
      <c r="H126" s="116"/>
      <c r="I126" s="116"/>
      <c r="J126" s="116"/>
      <c r="K126" s="116"/>
      <c r="L126" s="116"/>
      <c r="M126" s="116"/>
      <c r="N126" s="116"/>
      <c r="O126" s="117"/>
      <c r="P126" s="117"/>
      <c r="Q126" s="117"/>
      <c r="R126" s="117"/>
      <c r="S126" s="117"/>
      <c r="T126" s="324"/>
      <c r="U126" s="326"/>
    </row>
    <row r="127" spans="1:21" ht="12.75">
      <c r="A127" s="117" t="s">
        <v>995</v>
      </c>
      <c r="B127" s="333"/>
      <c r="C127" s="117"/>
      <c r="D127" s="116"/>
      <c r="E127" s="116"/>
      <c r="F127" s="116"/>
      <c r="G127" s="116"/>
      <c r="H127" s="116"/>
      <c r="I127" s="116"/>
      <c r="J127" s="116"/>
      <c r="K127" s="116"/>
      <c r="L127" s="116"/>
      <c r="M127" s="116"/>
      <c r="N127" s="116"/>
      <c r="O127" s="117"/>
      <c r="P127" s="117"/>
      <c r="Q127" s="117"/>
      <c r="R127" s="117"/>
      <c r="S127" s="117"/>
      <c r="T127" s="324"/>
      <c r="U127" s="326"/>
    </row>
    <row r="128" spans="1:21" ht="12.75">
      <c r="A128" s="117" t="s">
        <v>996</v>
      </c>
      <c r="B128" s="333"/>
      <c r="C128" s="117"/>
      <c r="D128" s="1864"/>
      <c r="E128" s="1864"/>
      <c r="F128" s="1864"/>
      <c r="G128" s="1864"/>
      <c r="H128" s="1864"/>
      <c r="I128" s="117"/>
      <c r="J128" s="1865"/>
      <c r="K128" s="1865"/>
      <c r="L128" s="117"/>
      <c r="M128" s="117"/>
      <c r="N128" s="117"/>
      <c r="O128" s="117"/>
      <c r="P128" s="117"/>
      <c r="Q128" s="117"/>
      <c r="R128" s="117"/>
      <c r="S128" s="117"/>
      <c r="T128" s="324"/>
      <c r="U128" s="326"/>
    </row>
    <row r="129" spans="1:21" ht="12.75">
      <c r="A129" s="117" t="s">
        <v>299</v>
      </c>
      <c r="B129" s="333"/>
      <c r="C129" s="117"/>
      <c r="D129" s="1866" t="s">
        <v>997</v>
      </c>
      <c r="E129" s="1866"/>
      <c r="F129" s="1866"/>
      <c r="G129" s="1866"/>
      <c r="H129" s="1866"/>
      <c r="I129" s="117"/>
      <c r="J129" s="117" t="s">
        <v>998</v>
      </c>
      <c r="K129" s="117"/>
      <c r="L129" s="117"/>
      <c r="M129" s="117"/>
      <c r="N129" s="117"/>
      <c r="O129" s="117"/>
      <c r="P129" s="117"/>
      <c r="Q129" s="117"/>
      <c r="R129" s="117"/>
      <c r="S129" s="117"/>
      <c r="T129" s="324"/>
      <c r="U129" s="326"/>
    </row>
    <row r="130" spans="1:21" ht="12" customHeight="1">
      <c r="A130" s="117"/>
      <c r="B130" s="332"/>
      <c r="C130" s="117"/>
      <c r="D130" s="117"/>
      <c r="E130" s="117"/>
      <c r="F130" s="117"/>
      <c r="G130" s="117"/>
      <c r="H130" s="117"/>
      <c r="I130" s="117"/>
      <c r="J130" s="117"/>
      <c r="K130" s="117"/>
      <c r="L130" s="117"/>
      <c r="M130" s="117"/>
      <c r="N130" s="117"/>
      <c r="O130" s="117"/>
      <c r="P130" s="117"/>
      <c r="Q130" s="117"/>
      <c r="R130" s="117"/>
      <c r="S130" s="117"/>
      <c r="T130" s="324"/>
      <c r="U130" s="326"/>
    </row>
    <row r="131" spans="1:21" ht="12.75">
      <c r="A131" s="335" t="s">
        <v>999</v>
      </c>
      <c r="B131" s="334">
        <f>SUM(B123:B129)</f>
        <v>0</v>
      </c>
      <c r="C131" s="117"/>
      <c r="D131" s="1815"/>
      <c r="E131" s="1815"/>
      <c r="F131" s="1815"/>
      <c r="G131" s="1815"/>
      <c r="H131" s="1815"/>
      <c r="I131" s="117"/>
      <c r="J131" s="1815"/>
      <c r="K131" s="1815"/>
      <c r="L131" s="1815"/>
      <c r="M131" s="1815"/>
      <c r="N131" s="117"/>
      <c r="O131" s="117"/>
      <c r="P131" s="117"/>
      <c r="Q131" s="117"/>
      <c r="R131" s="117"/>
      <c r="S131" s="117"/>
      <c r="T131" s="324"/>
      <c r="U131" s="326"/>
    </row>
    <row r="132" spans="1:21" ht="12" customHeight="1">
      <c r="A132" s="336"/>
      <c r="B132" s="117"/>
      <c r="C132" s="117"/>
      <c r="D132" s="1870" t="s">
        <v>1000</v>
      </c>
      <c r="E132" s="1870"/>
      <c r="F132" s="1870"/>
      <c r="G132" s="1870"/>
      <c r="H132" s="1870"/>
      <c r="I132" s="117"/>
      <c r="J132" s="1870" t="s">
        <v>1001</v>
      </c>
      <c r="K132" s="1870"/>
      <c r="L132" s="1870"/>
      <c r="M132" s="1870"/>
      <c r="N132" s="117"/>
      <c r="O132" s="117"/>
      <c r="P132" s="117"/>
      <c r="Q132" s="117"/>
      <c r="R132" s="117"/>
      <c r="S132" s="117"/>
      <c r="T132" s="324"/>
      <c r="U132" s="326"/>
    </row>
    <row r="133" spans="1:21" ht="12" customHeight="1">
      <c r="A133" s="336"/>
      <c r="B133" s="117"/>
      <c r="C133" s="117"/>
      <c r="D133" s="117"/>
      <c r="E133" s="117"/>
      <c r="F133" s="117"/>
      <c r="G133" s="117"/>
      <c r="H133" s="117"/>
      <c r="I133" s="117"/>
      <c r="J133" s="117"/>
      <c r="K133" s="117"/>
      <c r="L133" s="117"/>
      <c r="M133" s="117"/>
      <c r="N133" s="117"/>
      <c r="O133" s="117"/>
      <c r="P133" s="117"/>
      <c r="Q133" s="117"/>
      <c r="R133" s="117"/>
      <c r="S133" s="117"/>
      <c r="T133" s="324"/>
      <c r="U133" s="326"/>
    </row>
    <row r="134" spans="1:21" ht="12.75">
      <c r="A134" s="91" t="s">
        <v>1002</v>
      </c>
      <c r="B134" s="117"/>
      <c r="C134" s="117"/>
      <c r="D134" s="117"/>
      <c r="E134" s="117"/>
      <c r="F134" s="117"/>
      <c r="G134" s="117"/>
      <c r="H134" s="117"/>
      <c r="I134" s="117"/>
      <c r="J134" s="117"/>
      <c r="K134" s="117"/>
      <c r="L134" s="117"/>
      <c r="M134" s="117"/>
      <c r="N134" s="117"/>
      <c r="O134" s="117"/>
      <c r="P134" s="117"/>
      <c r="Q134" s="117"/>
      <c r="R134" s="117"/>
      <c r="S134" s="117"/>
      <c r="T134" s="324"/>
      <c r="U134" s="326"/>
    </row>
    <row r="135" spans="1:21" ht="12.75">
      <c r="A135" s="312" t="s">
        <v>1003</v>
      </c>
      <c r="B135" s="117"/>
      <c r="C135" s="117"/>
      <c r="D135" s="117"/>
      <c r="E135" s="117"/>
      <c r="F135" s="117"/>
      <c r="G135" s="117"/>
      <c r="H135" s="117"/>
      <c r="I135" s="117"/>
      <c r="J135" s="117"/>
      <c r="K135" s="117"/>
      <c r="L135" s="117"/>
      <c r="M135" s="117"/>
      <c r="N135" s="337"/>
      <c r="O135" s="117"/>
      <c r="P135" s="117"/>
      <c r="Q135" s="117"/>
      <c r="R135" s="117"/>
      <c r="S135" s="117"/>
      <c r="T135" s="324"/>
      <c r="U135" s="326"/>
    </row>
    <row r="136" spans="1:21" ht="12" customHeight="1">
      <c r="A136" s="336"/>
      <c r="B136" s="117"/>
      <c r="C136" s="117"/>
      <c r="D136" s="117"/>
      <c r="E136" s="117"/>
      <c r="F136" s="117"/>
      <c r="G136" s="117"/>
      <c r="H136" s="117"/>
      <c r="I136" s="117"/>
      <c r="J136" s="117"/>
      <c r="K136" s="117"/>
      <c r="L136" s="117"/>
      <c r="M136" s="117"/>
      <c r="N136" s="117"/>
      <c r="O136" s="117"/>
      <c r="P136" s="117"/>
      <c r="Q136" s="117"/>
      <c r="R136" s="117"/>
      <c r="S136" s="117"/>
      <c r="T136" s="330"/>
      <c r="U136" s="331"/>
    </row>
    <row r="137" spans="1:21" ht="12.75">
      <c r="A137" s="336"/>
      <c r="B137" s="117"/>
      <c r="C137" s="117"/>
      <c r="D137" s="117"/>
      <c r="E137" s="117"/>
      <c r="F137" s="117"/>
      <c r="G137" s="117"/>
      <c r="H137" s="117"/>
      <c r="I137" s="117"/>
      <c r="J137" s="117"/>
      <c r="K137" s="117"/>
      <c r="L137" s="117"/>
      <c r="M137" s="117"/>
      <c r="N137" s="117"/>
      <c r="O137" s="117"/>
      <c r="P137" s="117"/>
      <c r="Q137" s="117"/>
      <c r="R137" s="117"/>
      <c r="S137" s="117"/>
      <c r="T137" s="330"/>
      <c r="U137" s="331"/>
    </row>
    <row r="138" spans="1:21" ht="12" customHeight="1">
      <c r="A138" s="1871"/>
      <c r="B138" s="1864"/>
      <c r="C138" s="1864"/>
      <c r="D138" s="328"/>
      <c r="E138" s="1865"/>
      <c r="F138" s="1865"/>
      <c r="G138" s="117"/>
      <c r="H138" s="117"/>
      <c r="I138" s="117"/>
      <c r="J138" s="117"/>
      <c r="K138" s="117"/>
      <c r="L138" s="117"/>
      <c r="M138" s="117"/>
      <c r="N138" s="117"/>
      <c r="O138" s="117"/>
      <c r="P138" s="117"/>
      <c r="Q138" s="117"/>
      <c r="R138" s="117"/>
      <c r="S138" s="117"/>
      <c r="T138" s="330"/>
      <c r="U138" s="331"/>
    </row>
    <row r="139" spans="1:21" ht="12.75">
      <c r="A139" s="1868" t="s">
        <v>1004</v>
      </c>
      <c r="B139" s="1868"/>
      <c r="C139" s="1868"/>
      <c r="D139" s="328"/>
      <c r="E139" s="117" t="s">
        <v>998</v>
      </c>
      <c r="F139" s="117"/>
      <c r="G139" s="117"/>
      <c r="H139" s="117"/>
      <c r="I139" s="117"/>
      <c r="J139" s="117"/>
      <c r="K139" s="117"/>
      <c r="L139" s="117"/>
      <c r="M139" s="117"/>
      <c r="N139" s="117"/>
      <c r="O139" s="117"/>
      <c r="P139" s="117"/>
      <c r="Q139" s="117"/>
      <c r="R139" s="117"/>
      <c r="S139" s="117"/>
      <c r="T139" s="330"/>
      <c r="U139" s="331"/>
    </row>
    <row r="140" spans="1:21" ht="12.75">
      <c r="A140" s="336"/>
      <c r="B140" s="117"/>
      <c r="C140" s="117"/>
      <c r="D140" s="328"/>
      <c r="E140" s="117"/>
      <c r="F140" s="117"/>
      <c r="G140" s="117"/>
      <c r="H140" s="117"/>
      <c r="I140" s="117"/>
      <c r="J140" s="117"/>
      <c r="K140" s="117"/>
      <c r="L140" s="117"/>
      <c r="M140" s="117"/>
      <c r="N140" s="117"/>
      <c r="O140" s="117"/>
      <c r="P140" s="117"/>
      <c r="Q140" s="117"/>
      <c r="R140" s="117"/>
      <c r="S140" s="117"/>
      <c r="T140" s="327"/>
      <c r="U140" s="329"/>
    </row>
    <row r="151"/>
    <row r="152"/>
    <row r="153"/>
    <row r="154"/>
    <row r="155"/>
  </sheetData>
  <sheetProtection algorithmName="SHA-512" hashValue="Wq/YQutSlSrteu5qCeqDFsUGfTRTiTztd6D3eqZkAVg4ecV9b+XCvwNY/f+5282xEuGV/Kzm5tHj2lR3zft/YQ==" saltValue="YcjIan+MpCuK2jpyah+gCQ=="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8" priority="8">
      <formula>AND(B25&gt;0,OR(A25="",A25="Other: (Specify)"))</formula>
    </cfRule>
  </conditionalFormatting>
  <conditionalFormatting sqref="A37">
    <cfRule type="expression" dxfId="67" priority="7">
      <formula>AND(B37&gt;0,OR(A37="",A37="Other: (Specify)"))</formula>
    </cfRule>
  </conditionalFormatting>
  <conditionalFormatting sqref="A53">
    <cfRule type="expression" dxfId="66" priority="6">
      <formula>AND(B53&gt;0,OR(A53="",A53="Other: (Specify)"))</formula>
    </cfRule>
  </conditionalFormatting>
  <conditionalFormatting sqref="A61">
    <cfRule type="expression" dxfId="65" priority="5">
      <formula>AND(B61&gt;0,OR(A61="",A61="Other: (Specify)"))</formula>
    </cfRule>
  </conditionalFormatting>
  <conditionalFormatting sqref="A69">
    <cfRule type="expression" dxfId="64" priority="4">
      <formula>AND(B69&gt;0,OR(A69="",A69="Other: (Specify)"))</formula>
    </cfRule>
  </conditionalFormatting>
  <conditionalFormatting sqref="A76">
    <cfRule type="expression" dxfId="63" priority="3">
      <formula>AND(B76&gt;0,OR(A76="",A76="Other: (Specify)"))</formula>
    </cfRule>
  </conditionalFormatting>
  <conditionalFormatting sqref="A93:A95">
    <cfRule type="expression" dxfId="62" priority="2">
      <formula>AND(B93&gt;0,OR(A93="",A93="Other: (Specify)"))</formula>
    </cfRule>
  </conditionalFormatting>
  <conditionalFormatting sqref="A103">
    <cfRule type="expression" dxfId="61" priority="1">
      <formula>AND(B103&gt;0,OR(A103="",A103="Other: (Specify)"))</formula>
    </cfRule>
  </conditionalFormatting>
  <conditionalFormatting sqref="C10">
    <cfRule type="expression" dxfId="60" priority="85">
      <formula>"(S10+T10)&gt;C10 "</formula>
    </cfRule>
  </conditionalFormatting>
  <conditionalFormatting sqref="E105:Q105">
    <cfRule type="cellIs" dxfId="59" priority="208" stopIfTrue="1" operator="notEqual">
      <formula>E$108</formula>
    </cfRule>
  </conditionalFormatting>
  <conditionalFormatting sqref="R4:R15">
    <cfRule type="cellIs" dxfId="58"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7"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6"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5"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4"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3"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52"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51"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50" priority="213" stopIfTrue="1" operator="notEqual">
      <formula>$B79</formula>
    </cfRule>
  </conditionalFormatting>
  <conditionalFormatting sqref="R83:R96">
    <cfRule type="cellIs" dxfId="49"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8"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7" priority="253" stopIfTrue="1">
      <formula>(S10+T10)&gt;C10</formula>
    </cfRule>
  </conditionalFormatting>
  <conditionalFormatting sqref="S13:S14">
    <cfRule type="expression" dxfId="46" priority="202" stopIfTrue="1">
      <formula>(S13+T13)&gt;C13</formula>
    </cfRule>
  </conditionalFormatting>
  <conditionalFormatting sqref="S17:S25">
    <cfRule type="expression" dxfId="45" priority="186" stopIfTrue="1">
      <formula>(S17+T17)&gt;C17</formula>
    </cfRule>
  </conditionalFormatting>
  <conditionalFormatting sqref="S27">
    <cfRule type="expression" dxfId="44" priority="179" stopIfTrue="1">
      <formula>(S27+T27)&gt;C27</formula>
    </cfRule>
  </conditionalFormatting>
  <conditionalFormatting sqref="S29:S37">
    <cfRule type="expression" dxfId="43" priority="169" stopIfTrue="1">
      <formula>(S29+T29)&gt;C29</formula>
    </cfRule>
  </conditionalFormatting>
  <conditionalFormatting sqref="S40:S41">
    <cfRule type="expression" dxfId="42" priority="160" stopIfTrue="1">
      <formula>(S40+T40)&gt;C40</formula>
    </cfRule>
  </conditionalFormatting>
  <conditionalFormatting sqref="S43">
    <cfRule type="expression" dxfId="41" priority="157" stopIfTrue="1">
      <formula>(S43+T43)&gt;C43</formula>
    </cfRule>
  </conditionalFormatting>
  <conditionalFormatting sqref="S45:S53">
    <cfRule type="expression" dxfId="40" priority="142" stopIfTrue="1">
      <formula>(S45+T45)&gt;C45</formula>
    </cfRule>
  </conditionalFormatting>
  <conditionalFormatting sqref="S65:S69">
    <cfRule type="expression" dxfId="39" priority="131" stopIfTrue="1">
      <formula>(S65+T65)&gt;C65</formula>
    </cfRule>
  </conditionalFormatting>
  <conditionalFormatting sqref="S79:S80">
    <cfRule type="expression" dxfId="38" priority="127" stopIfTrue="1">
      <formula>(S79+T79)&gt;C79</formula>
    </cfRule>
  </conditionalFormatting>
  <conditionalFormatting sqref="S84:S87">
    <cfRule type="expression" dxfId="37" priority="121" stopIfTrue="1">
      <formula>(S84+T84)&gt;C84</formula>
    </cfRule>
  </conditionalFormatting>
  <conditionalFormatting sqref="S89:S95">
    <cfRule type="expression" dxfId="36" priority="110" stopIfTrue="1">
      <formula>(S89+T89)&gt;C89</formula>
    </cfRule>
  </conditionalFormatting>
  <conditionalFormatting sqref="S99:S103">
    <cfRule type="expression" dxfId="35" priority="93" stopIfTrue="1">
      <formula>(S99+T99)&gt;C99</formula>
    </cfRule>
  </conditionalFormatting>
  <conditionalFormatting sqref="T9">
    <cfRule type="expression" dxfId="34" priority="254" stopIfTrue="1">
      <formula>T9&gt;C9</formula>
    </cfRule>
  </conditionalFormatting>
  <conditionalFormatting sqref="T10">
    <cfRule type="expression" dxfId="33" priority="83" stopIfTrue="1">
      <formula>(S10+T10)&gt;C10</formula>
    </cfRule>
  </conditionalFormatting>
  <conditionalFormatting sqref="T13:T14">
    <cfRule type="expression" dxfId="32" priority="80" stopIfTrue="1">
      <formula>(S13+T13)&gt;C13</formula>
    </cfRule>
  </conditionalFormatting>
  <conditionalFormatting sqref="T17:T25">
    <cfRule type="expression" dxfId="31" priority="56" stopIfTrue="1">
      <formula>(S17+T17)&gt;C17</formula>
    </cfRule>
  </conditionalFormatting>
  <conditionalFormatting sqref="T27">
    <cfRule type="expression" dxfId="30" priority="54" stopIfTrue="1">
      <formula>(S27+T27)&gt;C27</formula>
    </cfRule>
  </conditionalFormatting>
  <conditionalFormatting sqref="T29:T37">
    <cfRule type="expression" dxfId="29" priority="45" stopIfTrue="1">
      <formula>(S29+T29)&gt;C29</formula>
    </cfRule>
  </conditionalFormatting>
  <conditionalFormatting sqref="T40:T41">
    <cfRule type="expression" dxfId="28" priority="43" stopIfTrue="1">
      <formula>(S40+T40)&gt;C40</formula>
    </cfRule>
  </conditionalFormatting>
  <conditionalFormatting sqref="T43">
    <cfRule type="expression" dxfId="27" priority="42" stopIfTrue="1">
      <formula>(S43+T43)&gt;C43</formula>
    </cfRule>
  </conditionalFormatting>
  <conditionalFormatting sqref="T45:T53">
    <cfRule type="expression" dxfId="26" priority="32" stopIfTrue="1">
      <formula>(S45+T45)&gt;C45</formula>
    </cfRule>
  </conditionalFormatting>
  <conditionalFormatting sqref="T65:T69">
    <cfRule type="expression" dxfId="25" priority="30" stopIfTrue="1">
      <formula>(S65+T65)&gt;C65</formula>
    </cfRule>
  </conditionalFormatting>
  <conditionalFormatting sqref="T79:T80">
    <cfRule type="expression" dxfId="24" priority="28" stopIfTrue="1">
      <formula>(S79+T79)&gt;C79</formula>
    </cfRule>
  </conditionalFormatting>
  <conditionalFormatting sqref="T84:T87">
    <cfRule type="expression" dxfId="23" priority="24" stopIfTrue="1">
      <formula>(S84+T84)&gt;C84</formula>
    </cfRule>
  </conditionalFormatting>
  <conditionalFormatting sqref="T89:T95">
    <cfRule type="expression" dxfId="22" priority="17" stopIfTrue="1">
      <formula>(S89+T89)&gt;C89</formula>
    </cfRule>
  </conditionalFormatting>
  <conditionalFormatting sqref="T99:T103">
    <cfRule type="expression" dxfId="21" priority="9" stopIfTrue="1">
      <formula>(S99+T99)&gt;C99</formula>
    </cfRule>
  </conditionalFormatting>
  <dataValidations count="2">
    <dataValidation type="whole" operator="greaterThanOrEqual" allowBlank="1" showInputMessage="1" showErrorMessage="1" errorTitle="Whole Numbers Only" error="Do not enter any decimals in the sheet. Please use whole numbers only." sqref="B1:XFD1048576 A1:A24 A26:A36 A38:A52 A54:A60 A62:A68 A70:A75 A77:A92 A96:A102 A104:A1048576" xr:uid="{9F64370A-DD5F-4B2F-8A1A-BDD1E6C8426A}">
      <formula1>0</formula1>
    </dataValidation>
    <dataValidation operator="greaterThanOrEqual" allowBlank="1" showInputMessage="1" showErrorMessage="1" sqref="A103 A93:A95 A76 A69 A61 A53 A37 A25" xr:uid="{7C8DF8F1-0437-43F5-A0AD-5F5CE7414F43}"/>
  </dataValidations>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showGridLines="0" workbookViewId="0">
      <selection sqref="A1:J1"/>
    </sheetView>
  </sheetViews>
  <sheetFormatPr defaultColWidth="0" defaultRowHeight="12" zeroHeight="1"/>
  <cols>
    <col min="1" max="1" width="32.7109375" style="397" customWidth="1"/>
    <col min="2" max="3" width="12.140625" style="393" customWidth="1"/>
    <col min="4" max="6" width="12.85546875" style="393" customWidth="1"/>
    <col min="7" max="9" width="12.140625" style="393" customWidth="1"/>
    <col min="10" max="10" width="12.140625" style="394" customWidth="1"/>
    <col min="11" max="11" width="8.85546875" style="395" hidden="1" customWidth="1"/>
    <col min="12" max="21" width="8.85546875" style="393" hidden="1" customWidth="1"/>
    <col min="22" max="23" width="0" style="393" hidden="1"/>
    <col min="24" max="256" width="8.85546875" style="393" hidden="1"/>
    <col min="257" max="257" width="32.7109375" style="393" hidden="1" customWidth="1"/>
    <col min="258" max="259" width="12.140625" style="393" hidden="1" customWidth="1"/>
    <col min="260" max="260" width="12.85546875" style="393" hidden="1" customWidth="1"/>
    <col min="261" max="266" width="12.140625" style="393" hidden="1" customWidth="1"/>
    <col min="267" max="277" width="8.85546875" style="393" hidden="1" customWidth="1"/>
    <col min="278" max="512" width="8.85546875" style="393" hidden="1"/>
    <col min="513" max="513" width="32.7109375" style="393" hidden="1" customWidth="1"/>
    <col min="514" max="515" width="12.140625" style="393" hidden="1" customWidth="1"/>
    <col min="516" max="516" width="12.85546875" style="393" hidden="1" customWidth="1"/>
    <col min="517" max="522" width="12.140625" style="393" hidden="1" customWidth="1"/>
    <col min="523" max="533" width="8.85546875" style="393" hidden="1" customWidth="1"/>
    <col min="534" max="768" width="8.85546875" style="393" hidden="1"/>
    <col min="769" max="769" width="32.7109375" style="393" hidden="1" customWidth="1"/>
    <col min="770" max="771" width="12.140625" style="393" hidden="1" customWidth="1"/>
    <col min="772" max="772" width="12.85546875" style="393" hidden="1" customWidth="1"/>
    <col min="773" max="778" width="12.140625" style="393" hidden="1" customWidth="1"/>
    <col min="779" max="789" width="8.85546875" style="393" hidden="1" customWidth="1"/>
    <col min="790" max="1024" width="8.85546875" style="393" hidden="1"/>
    <col min="1025" max="1025" width="32.7109375" style="393" hidden="1" customWidth="1"/>
    <col min="1026" max="1027" width="12.140625" style="393" hidden="1" customWidth="1"/>
    <col min="1028" max="1028" width="12.85546875" style="393" hidden="1" customWidth="1"/>
    <col min="1029" max="1034" width="12.140625" style="393" hidden="1" customWidth="1"/>
    <col min="1035" max="1045" width="8.85546875" style="393" hidden="1" customWidth="1"/>
    <col min="1046" max="1280" width="8.85546875" style="393" hidden="1"/>
    <col min="1281" max="1281" width="32.7109375" style="393" hidden="1" customWidth="1"/>
    <col min="1282" max="1283" width="12.140625" style="393" hidden="1" customWidth="1"/>
    <col min="1284" max="1284" width="12.85546875" style="393" hidden="1" customWidth="1"/>
    <col min="1285" max="1290" width="12.140625" style="393" hidden="1" customWidth="1"/>
    <col min="1291" max="1301" width="8.85546875" style="393" hidden="1" customWidth="1"/>
    <col min="1302" max="1536" width="8.85546875" style="393" hidden="1"/>
    <col min="1537" max="1537" width="32.7109375" style="393" hidden="1" customWidth="1"/>
    <col min="1538" max="1539" width="12.140625" style="393" hidden="1" customWidth="1"/>
    <col min="1540" max="1540" width="12.85546875" style="393" hidden="1" customWidth="1"/>
    <col min="1541" max="1546" width="12.140625" style="393" hidden="1" customWidth="1"/>
    <col min="1547" max="1557" width="8.85546875" style="393" hidden="1" customWidth="1"/>
    <col min="1558" max="1792" width="8.85546875" style="393" hidden="1"/>
    <col min="1793" max="1793" width="32.7109375" style="393" hidden="1" customWidth="1"/>
    <col min="1794" max="1795" width="12.140625" style="393" hidden="1" customWidth="1"/>
    <col min="1796" max="1796" width="12.85546875" style="393" hidden="1" customWidth="1"/>
    <col min="1797" max="1802" width="12.140625" style="393" hidden="1" customWidth="1"/>
    <col min="1803" max="1813" width="8.85546875" style="393" hidden="1" customWidth="1"/>
    <col min="1814" max="2048" width="8.85546875" style="393" hidden="1"/>
    <col min="2049" max="2049" width="32.7109375" style="393" hidden="1" customWidth="1"/>
    <col min="2050" max="2051" width="12.140625" style="393" hidden="1" customWidth="1"/>
    <col min="2052" max="2052" width="12.85546875" style="393" hidden="1" customWidth="1"/>
    <col min="2053" max="2058" width="12.140625" style="393" hidden="1" customWidth="1"/>
    <col min="2059" max="2069" width="8.85546875" style="393" hidden="1" customWidth="1"/>
    <col min="2070" max="2304" width="8.85546875" style="393" hidden="1"/>
    <col min="2305" max="2305" width="32.7109375" style="393" hidden="1" customWidth="1"/>
    <col min="2306" max="2307" width="12.140625" style="393" hidden="1" customWidth="1"/>
    <col min="2308" max="2308" width="12.85546875" style="393" hidden="1" customWidth="1"/>
    <col min="2309" max="2314" width="12.140625" style="393" hidden="1" customWidth="1"/>
    <col min="2315" max="2325" width="8.85546875" style="393" hidden="1" customWidth="1"/>
    <col min="2326" max="2560" width="8.85546875" style="393" hidden="1"/>
    <col min="2561" max="2561" width="32.7109375" style="393" hidden="1" customWidth="1"/>
    <col min="2562" max="2563" width="12.140625" style="393" hidden="1" customWidth="1"/>
    <col min="2564" max="2564" width="12.85546875" style="393" hidden="1" customWidth="1"/>
    <col min="2565" max="2570" width="12.140625" style="393" hidden="1" customWidth="1"/>
    <col min="2571" max="2581" width="8.85546875" style="393" hidden="1" customWidth="1"/>
    <col min="2582" max="2816" width="8.85546875" style="393" hidden="1"/>
    <col min="2817" max="2817" width="32.7109375" style="393" hidden="1" customWidth="1"/>
    <col min="2818" max="2819" width="12.140625" style="393" hidden="1" customWidth="1"/>
    <col min="2820" max="2820" width="12.85546875" style="393" hidden="1" customWidth="1"/>
    <col min="2821" max="2826" width="12.140625" style="393" hidden="1" customWidth="1"/>
    <col min="2827" max="2837" width="8.85546875" style="393" hidden="1" customWidth="1"/>
    <col min="2838" max="3072" width="8.85546875" style="393" hidden="1"/>
    <col min="3073" max="3073" width="32.7109375" style="393" hidden="1" customWidth="1"/>
    <col min="3074" max="3075" width="12.140625" style="393" hidden="1" customWidth="1"/>
    <col min="3076" max="3076" width="12.85546875" style="393" hidden="1" customWidth="1"/>
    <col min="3077" max="3082" width="12.140625" style="393" hidden="1" customWidth="1"/>
    <col min="3083" max="3093" width="8.85546875" style="393" hidden="1" customWidth="1"/>
    <col min="3094" max="3328" width="8.85546875" style="393" hidden="1"/>
    <col min="3329" max="3329" width="32.7109375" style="393" hidden="1" customWidth="1"/>
    <col min="3330" max="3331" width="12.140625" style="393" hidden="1" customWidth="1"/>
    <col min="3332" max="3332" width="12.85546875" style="393" hidden="1" customWidth="1"/>
    <col min="3333" max="3338" width="12.140625" style="393" hidden="1" customWidth="1"/>
    <col min="3339" max="3349" width="8.85546875" style="393" hidden="1" customWidth="1"/>
    <col min="3350" max="3584" width="8.85546875" style="393" hidden="1"/>
    <col min="3585" max="3585" width="32.7109375" style="393" hidden="1" customWidth="1"/>
    <col min="3586" max="3587" width="12.140625" style="393" hidden="1" customWidth="1"/>
    <col min="3588" max="3588" width="12.85546875" style="393" hidden="1" customWidth="1"/>
    <col min="3589" max="3594" width="12.140625" style="393" hidden="1" customWidth="1"/>
    <col min="3595" max="3605" width="8.85546875" style="393" hidden="1" customWidth="1"/>
    <col min="3606" max="3840" width="8.85546875" style="393" hidden="1"/>
    <col min="3841" max="3841" width="32.7109375" style="393" hidden="1" customWidth="1"/>
    <col min="3842" max="3843" width="12.140625" style="393" hidden="1" customWidth="1"/>
    <col min="3844" max="3844" width="12.85546875" style="393" hidden="1" customWidth="1"/>
    <col min="3845" max="3850" width="12.140625" style="393" hidden="1" customWidth="1"/>
    <col min="3851" max="3861" width="8.85546875" style="393" hidden="1" customWidth="1"/>
    <col min="3862" max="4096" width="8.85546875" style="393" hidden="1"/>
    <col min="4097" max="4097" width="32.7109375" style="393" hidden="1" customWidth="1"/>
    <col min="4098" max="4099" width="12.140625" style="393" hidden="1" customWidth="1"/>
    <col min="4100" max="4100" width="12.85546875" style="393" hidden="1" customWidth="1"/>
    <col min="4101" max="4106" width="12.140625" style="393" hidden="1" customWidth="1"/>
    <col min="4107" max="4117" width="8.85546875" style="393" hidden="1" customWidth="1"/>
    <col min="4118" max="4352" width="8.85546875" style="393" hidden="1"/>
    <col min="4353" max="4353" width="32.7109375" style="393" hidden="1" customWidth="1"/>
    <col min="4354" max="4355" width="12.140625" style="393" hidden="1" customWidth="1"/>
    <col min="4356" max="4356" width="12.85546875" style="393" hidden="1" customWidth="1"/>
    <col min="4357" max="4362" width="12.140625" style="393" hidden="1" customWidth="1"/>
    <col min="4363" max="4373" width="8.85546875" style="393" hidden="1" customWidth="1"/>
    <col min="4374" max="4608" width="8.85546875" style="393" hidden="1"/>
    <col min="4609" max="4609" width="32.7109375" style="393" hidden="1" customWidth="1"/>
    <col min="4610" max="4611" width="12.140625" style="393" hidden="1" customWidth="1"/>
    <col min="4612" max="4612" width="12.85546875" style="393" hidden="1" customWidth="1"/>
    <col min="4613" max="4618" width="12.140625" style="393" hidden="1" customWidth="1"/>
    <col min="4619" max="4629" width="8.85546875" style="393" hidden="1" customWidth="1"/>
    <col min="4630" max="4864" width="8.85546875" style="393" hidden="1"/>
    <col min="4865" max="4865" width="32.7109375" style="393" hidden="1" customWidth="1"/>
    <col min="4866" max="4867" width="12.140625" style="393" hidden="1" customWidth="1"/>
    <col min="4868" max="4868" width="12.85546875" style="393" hidden="1" customWidth="1"/>
    <col min="4869" max="4874" width="12.140625" style="393" hidden="1" customWidth="1"/>
    <col min="4875" max="4885" width="8.85546875" style="393" hidden="1" customWidth="1"/>
    <col min="4886" max="5120" width="8.85546875" style="393" hidden="1"/>
    <col min="5121" max="5121" width="32.7109375" style="393" hidden="1" customWidth="1"/>
    <col min="5122" max="5123" width="12.140625" style="393" hidden="1" customWidth="1"/>
    <col min="5124" max="5124" width="12.85546875" style="393" hidden="1" customWidth="1"/>
    <col min="5125" max="5130" width="12.140625" style="393" hidden="1" customWidth="1"/>
    <col min="5131" max="5141" width="8.85546875" style="393" hidden="1" customWidth="1"/>
    <col min="5142" max="5376" width="8.85546875" style="393" hidden="1"/>
    <col min="5377" max="5377" width="32.7109375" style="393" hidden="1" customWidth="1"/>
    <col min="5378" max="5379" width="12.140625" style="393" hidden="1" customWidth="1"/>
    <col min="5380" max="5380" width="12.85546875" style="393" hidden="1" customWidth="1"/>
    <col min="5381" max="5386" width="12.140625" style="393" hidden="1" customWidth="1"/>
    <col min="5387" max="5397" width="8.85546875" style="393" hidden="1" customWidth="1"/>
    <col min="5398" max="5632" width="8.85546875" style="393" hidden="1"/>
    <col min="5633" max="5633" width="32.7109375" style="393" hidden="1" customWidth="1"/>
    <col min="5634" max="5635" width="12.140625" style="393" hidden="1" customWidth="1"/>
    <col min="5636" max="5636" width="12.85546875" style="393" hidden="1" customWidth="1"/>
    <col min="5637" max="5642" width="12.140625" style="393" hidden="1" customWidth="1"/>
    <col min="5643" max="5653" width="8.85546875" style="393" hidden="1" customWidth="1"/>
    <col min="5654" max="5888" width="8.85546875" style="393" hidden="1"/>
    <col min="5889" max="5889" width="32.7109375" style="393" hidden="1" customWidth="1"/>
    <col min="5890" max="5891" width="12.140625" style="393" hidden="1" customWidth="1"/>
    <col min="5892" max="5892" width="12.85546875" style="393" hidden="1" customWidth="1"/>
    <col min="5893" max="5898" width="12.140625" style="393" hidden="1" customWidth="1"/>
    <col min="5899" max="5909" width="8.85546875" style="393" hidden="1" customWidth="1"/>
    <col min="5910" max="6144" width="8.85546875" style="393" hidden="1"/>
    <col min="6145" max="6145" width="32.7109375" style="393" hidden="1" customWidth="1"/>
    <col min="6146" max="6147" width="12.140625" style="393" hidden="1" customWidth="1"/>
    <col min="6148" max="6148" width="12.85546875" style="393" hidden="1" customWidth="1"/>
    <col min="6149" max="6154" width="12.140625" style="393" hidden="1" customWidth="1"/>
    <col min="6155" max="6165" width="8.85546875" style="393" hidden="1" customWidth="1"/>
    <col min="6166" max="6400" width="8.85546875" style="393" hidden="1"/>
    <col min="6401" max="6401" width="32.7109375" style="393" hidden="1" customWidth="1"/>
    <col min="6402" max="6403" width="12.140625" style="393" hidden="1" customWidth="1"/>
    <col min="6404" max="6404" width="12.85546875" style="393" hidden="1" customWidth="1"/>
    <col min="6405" max="6410" width="12.140625" style="393" hidden="1" customWidth="1"/>
    <col min="6411" max="6421" width="8.85546875" style="393" hidden="1" customWidth="1"/>
    <col min="6422" max="6656" width="8.85546875" style="393" hidden="1"/>
    <col min="6657" max="6657" width="32.7109375" style="393" hidden="1" customWidth="1"/>
    <col min="6658" max="6659" width="12.140625" style="393" hidden="1" customWidth="1"/>
    <col min="6660" max="6660" width="12.85546875" style="393" hidden="1" customWidth="1"/>
    <col min="6661" max="6666" width="12.140625" style="393" hidden="1" customWidth="1"/>
    <col min="6667" max="6677" width="8.85546875" style="393" hidden="1" customWidth="1"/>
    <col min="6678" max="6912" width="8.85546875" style="393" hidden="1"/>
    <col min="6913" max="6913" width="32.7109375" style="393" hidden="1" customWidth="1"/>
    <col min="6914" max="6915" width="12.140625" style="393" hidden="1" customWidth="1"/>
    <col min="6916" max="6916" width="12.85546875" style="393" hidden="1" customWidth="1"/>
    <col min="6917" max="6922" width="12.140625" style="393" hidden="1" customWidth="1"/>
    <col min="6923" max="6933" width="8.85546875" style="393" hidden="1" customWidth="1"/>
    <col min="6934" max="7168" width="8.85546875" style="393" hidden="1"/>
    <col min="7169" max="7169" width="32.7109375" style="393" hidden="1" customWidth="1"/>
    <col min="7170" max="7171" width="12.140625" style="393" hidden="1" customWidth="1"/>
    <col min="7172" max="7172" width="12.85546875" style="393" hidden="1" customWidth="1"/>
    <col min="7173" max="7178" width="12.140625" style="393" hidden="1" customWidth="1"/>
    <col min="7179" max="7189" width="8.85546875" style="393" hidden="1" customWidth="1"/>
    <col min="7190" max="7424" width="8.85546875" style="393" hidden="1"/>
    <col min="7425" max="7425" width="32.7109375" style="393" hidden="1" customWidth="1"/>
    <col min="7426" max="7427" width="12.140625" style="393" hidden="1" customWidth="1"/>
    <col min="7428" max="7428" width="12.85546875" style="393" hidden="1" customWidth="1"/>
    <col min="7429" max="7434" width="12.140625" style="393" hidden="1" customWidth="1"/>
    <col min="7435" max="7445" width="8.85546875" style="393" hidden="1" customWidth="1"/>
    <col min="7446" max="7680" width="8.85546875" style="393" hidden="1"/>
    <col min="7681" max="7681" width="32.7109375" style="393" hidden="1" customWidth="1"/>
    <col min="7682" max="7683" width="12.140625" style="393" hidden="1" customWidth="1"/>
    <col min="7684" max="7684" width="12.85546875" style="393" hidden="1" customWidth="1"/>
    <col min="7685" max="7690" width="12.140625" style="393" hidden="1" customWidth="1"/>
    <col min="7691" max="7701" width="8.85546875" style="393" hidden="1" customWidth="1"/>
    <col min="7702" max="7936" width="8.85546875" style="393" hidden="1"/>
    <col min="7937" max="7937" width="32.7109375" style="393" hidden="1" customWidth="1"/>
    <col min="7938" max="7939" width="12.140625" style="393" hidden="1" customWidth="1"/>
    <col min="7940" max="7940" width="12.85546875" style="393" hidden="1" customWidth="1"/>
    <col min="7941" max="7946" width="12.140625" style="393" hidden="1" customWidth="1"/>
    <col min="7947" max="7957" width="8.85546875" style="393" hidden="1" customWidth="1"/>
    <col min="7958" max="8192" width="8.85546875" style="393" hidden="1"/>
    <col min="8193" max="8193" width="32.7109375" style="393" hidden="1" customWidth="1"/>
    <col min="8194" max="8195" width="12.140625" style="393" hidden="1" customWidth="1"/>
    <col min="8196" max="8196" width="12.85546875" style="393" hidden="1" customWidth="1"/>
    <col min="8197" max="8202" width="12.140625" style="393" hidden="1" customWidth="1"/>
    <col min="8203" max="8213" width="8.85546875" style="393" hidden="1" customWidth="1"/>
    <col min="8214" max="8448" width="8.85546875" style="393" hidden="1"/>
    <col min="8449" max="8449" width="32.7109375" style="393" hidden="1" customWidth="1"/>
    <col min="8450" max="8451" width="12.140625" style="393" hidden="1" customWidth="1"/>
    <col min="8452" max="8452" width="12.85546875" style="393" hidden="1" customWidth="1"/>
    <col min="8453" max="8458" width="12.140625" style="393" hidden="1" customWidth="1"/>
    <col min="8459" max="8469" width="8.85546875" style="393" hidden="1" customWidth="1"/>
    <col min="8470" max="8704" width="8.85546875" style="393" hidden="1"/>
    <col min="8705" max="8705" width="32.7109375" style="393" hidden="1" customWidth="1"/>
    <col min="8706" max="8707" width="12.140625" style="393" hidden="1" customWidth="1"/>
    <col min="8708" max="8708" width="12.85546875" style="393" hidden="1" customWidth="1"/>
    <col min="8709" max="8714" width="12.140625" style="393" hidden="1" customWidth="1"/>
    <col min="8715" max="8725" width="8.85546875" style="393" hidden="1" customWidth="1"/>
    <col min="8726" max="8960" width="8.85546875" style="393" hidden="1"/>
    <col min="8961" max="8961" width="32.7109375" style="393" hidden="1" customWidth="1"/>
    <col min="8962" max="8963" width="12.140625" style="393" hidden="1" customWidth="1"/>
    <col min="8964" max="8964" width="12.85546875" style="393" hidden="1" customWidth="1"/>
    <col min="8965" max="8970" width="12.140625" style="393" hidden="1" customWidth="1"/>
    <col min="8971" max="8981" width="8.85546875" style="393" hidden="1" customWidth="1"/>
    <col min="8982" max="9216" width="8.85546875" style="393" hidden="1"/>
    <col min="9217" max="9217" width="32.7109375" style="393" hidden="1" customWidth="1"/>
    <col min="9218" max="9219" width="12.140625" style="393" hidden="1" customWidth="1"/>
    <col min="9220" max="9220" width="12.85546875" style="393" hidden="1" customWidth="1"/>
    <col min="9221" max="9226" width="12.140625" style="393" hidden="1" customWidth="1"/>
    <col min="9227" max="9237" width="8.85546875" style="393" hidden="1" customWidth="1"/>
    <col min="9238" max="9472" width="8.85546875" style="393" hidden="1"/>
    <col min="9473" max="9473" width="32.7109375" style="393" hidden="1" customWidth="1"/>
    <col min="9474" max="9475" width="12.140625" style="393" hidden="1" customWidth="1"/>
    <col min="9476" max="9476" width="12.85546875" style="393" hidden="1" customWidth="1"/>
    <col min="9477" max="9482" width="12.140625" style="393" hidden="1" customWidth="1"/>
    <col min="9483" max="9493" width="8.85546875" style="393" hidden="1" customWidth="1"/>
    <col min="9494" max="9728" width="8.85546875" style="393" hidden="1"/>
    <col min="9729" max="9729" width="32.7109375" style="393" hidden="1" customWidth="1"/>
    <col min="9730" max="9731" width="12.140625" style="393" hidden="1" customWidth="1"/>
    <col min="9732" max="9732" width="12.85546875" style="393" hidden="1" customWidth="1"/>
    <col min="9733" max="9738" width="12.140625" style="393" hidden="1" customWidth="1"/>
    <col min="9739" max="9749" width="8.85546875" style="393" hidden="1" customWidth="1"/>
    <col min="9750" max="9984" width="8.85546875" style="393" hidden="1"/>
    <col min="9985" max="9985" width="32.7109375" style="393" hidden="1" customWidth="1"/>
    <col min="9986" max="9987" width="12.140625" style="393" hidden="1" customWidth="1"/>
    <col min="9988" max="9988" width="12.85546875" style="393" hidden="1" customWidth="1"/>
    <col min="9989" max="9994" width="12.140625" style="393" hidden="1" customWidth="1"/>
    <col min="9995" max="10005" width="8.85546875" style="393" hidden="1" customWidth="1"/>
    <col min="10006" max="10240" width="8.85546875" style="393" hidden="1"/>
    <col min="10241" max="10241" width="32.7109375" style="393" hidden="1" customWidth="1"/>
    <col min="10242" max="10243" width="12.140625" style="393" hidden="1" customWidth="1"/>
    <col min="10244" max="10244" width="12.85546875" style="393" hidden="1" customWidth="1"/>
    <col min="10245" max="10250" width="12.140625" style="393" hidden="1" customWidth="1"/>
    <col min="10251" max="10261" width="8.85546875" style="393" hidden="1" customWidth="1"/>
    <col min="10262" max="10496" width="8.85546875" style="393" hidden="1"/>
    <col min="10497" max="10497" width="32.7109375" style="393" hidden="1" customWidth="1"/>
    <col min="10498" max="10499" width="12.140625" style="393" hidden="1" customWidth="1"/>
    <col min="10500" max="10500" width="12.85546875" style="393" hidden="1" customWidth="1"/>
    <col min="10501" max="10506" width="12.140625" style="393" hidden="1" customWidth="1"/>
    <col min="10507" max="10517" width="8.85546875" style="393" hidden="1" customWidth="1"/>
    <col min="10518" max="10752" width="8.85546875" style="393" hidden="1"/>
    <col min="10753" max="10753" width="32.7109375" style="393" hidden="1" customWidth="1"/>
    <col min="10754" max="10755" width="12.140625" style="393" hidden="1" customWidth="1"/>
    <col min="10756" max="10756" width="12.85546875" style="393" hidden="1" customWidth="1"/>
    <col min="10757" max="10762" width="12.140625" style="393" hidden="1" customWidth="1"/>
    <col min="10763" max="10773" width="8.85546875" style="393" hidden="1" customWidth="1"/>
    <col min="10774" max="11008" width="8.85546875" style="393" hidden="1"/>
    <col min="11009" max="11009" width="32.7109375" style="393" hidden="1" customWidth="1"/>
    <col min="11010" max="11011" width="12.140625" style="393" hidden="1" customWidth="1"/>
    <col min="11012" max="11012" width="12.85546875" style="393" hidden="1" customWidth="1"/>
    <col min="11013" max="11018" width="12.140625" style="393" hidden="1" customWidth="1"/>
    <col min="11019" max="11029" width="8.85546875" style="393" hidden="1" customWidth="1"/>
    <col min="11030" max="11264" width="8.85546875" style="393" hidden="1"/>
    <col min="11265" max="11265" width="32.7109375" style="393" hidden="1" customWidth="1"/>
    <col min="11266" max="11267" width="12.140625" style="393" hidden="1" customWidth="1"/>
    <col min="11268" max="11268" width="12.85546875" style="393" hidden="1" customWidth="1"/>
    <col min="11269" max="11274" width="12.140625" style="393" hidden="1" customWidth="1"/>
    <col min="11275" max="11285" width="8.85546875" style="393" hidden="1" customWidth="1"/>
    <col min="11286" max="11520" width="8.85546875" style="393" hidden="1"/>
    <col min="11521" max="11521" width="32.7109375" style="393" hidden="1" customWidth="1"/>
    <col min="11522" max="11523" width="12.140625" style="393" hidden="1" customWidth="1"/>
    <col min="11524" max="11524" width="12.85546875" style="393" hidden="1" customWidth="1"/>
    <col min="11525" max="11530" width="12.140625" style="393" hidden="1" customWidth="1"/>
    <col min="11531" max="11541" width="8.85546875" style="393" hidden="1" customWidth="1"/>
    <col min="11542" max="11776" width="8.85546875" style="393" hidden="1"/>
    <col min="11777" max="11777" width="32.7109375" style="393" hidden="1" customWidth="1"/>
    <col min="11778" max="11779" width="12.140625" style="393" hidden="1" customWidth="1"/>
    <col min="11780" max="11780" width="12.85546875" style="393" hidden="1" customWidth="1"/>
    <col min="11781" max="11786" width="12.140625" style="393" hidden="1" customWidth="1"/>
    <col min="11787" max="11797" width="8.85546875" style="393" hidden="1" customWidth="1"/>
    <col min="11798" max="12032" width="8.85546875" style="393" hidden="1"/>
    <col min="12033" max="12033" width="32.7109375" style="393" hidden="1" customWidth="1"/>
    <col min="12034" max="12035" width="12.140625" style="393" hidden="1" customWidth="1"/>
    <col min="12036" max="12036" width="12.85546875" style="393" hidden="1" customWidth="1"/>
    <col min="12037" max="12042" width="12.140625" style="393" hidden="1" customWidth="1"/>
    <col min="12043" max="12053" width="8.85546875" style="393" hidden="1" customWidth="1"/>
    <col min="12054" max="12288" width="8.85546875" style="393" hidden="1"/>
    <col min="12289" max="12289" width="32.7109375" style="393" hidden="1" customWidth="1"/>
    <col min="12290" max="12291" width="12.140625" style="393" hidden="1" customWidth="1"/>
    <col min="12292" max="12292" width="12.85546875" style="393" hidden="1" customWidth="1"/>
    <col min="12293" max="12298" width="12.140625" style="393" hidden="1" customWidth="1"/>
    <col min="12299" max="12309" width="8.85546875" style="393" hidden="1" customWidth="1"/>
    <col min="12310" max="12544" width="8.85546875" style="393" hidden="1"/>
    <col min="12545" max="12545" width="32.7109375" style="393" hidden="1" customWidth="1"/>
    <col min="12546" max="12547" width="12.140625" style="393" hidden="1" customWidth="1"/>
    <col min="12548" max="12548" width="12.85546875" style="393" hidden="1" customWidth="1"/>
    <col min="12549" max="12554" width="12.140625" style="393" hidden="1" customWidth="1"/>
    <col min="12555" max="12565" width="8.85546875" style="393" hidden="1" customWidth="1"/>
    <col min="12566" max="12800" width="8.85546875" style="393" hidden="1"/>
    <col min="12801" max="12801" width="32.7109375" style="393" hidden="1" customWidth="1"/>
    <col min="12802" max="12803" width="12.140625" style="393" hidden="1" customWidth="1"/>
    <col min="12804" max="12804" width="12.85546875" style="393" hidden="1" customWidth="1"/>
    <col min="12805" max="12810" width="12.140625" style="393" hidden="1" customWidth="1"/>
    <col min="12811" max="12821" width="8.85546875" style="393" hidden="1" customWidth="1"/>
    <col min="12822" max="13056" width="8.85546875" style="393" hidden="1"/>
    <col min="13057" max="13057" width="32.7109375" style="393" hidden="1" customWidth="1"/>
    <col min="13058" max="13059" width="12.140625" style="393" hidden="1" customWidth="1"/>
    <col min="13060" max="13060" width="12.85546875" style="393" hidden="1" customWidth="1"/>
    <col min="13061" max="13066" width="12.140625" style="393" hidden="1" customWidth="1"/>
    <col min="13067" max="13077" width="8.85546875" style="393" hidden="1" customWidth="1"/>
    <col min="13078" max="13312" width="8.85546875" style="393" hidden="1"/>
    <col min="13313" max="13313" width="32.7109375" style="393" hidden="1" customWidth="1"/>
    <col min="13314" max="13315" width="12.140625" style="393" hidden="1" customWidth="1"/>
    <col min="13316" max="13316" width="12.85546875" style="393" hidden="1" customWidth="1"/>
    <col min="13317" max="13322" width="12.140625" style="393" hidden="1" customWidth="1"/>
    <col min="13323" max="13333" width="8.85546875" style="393" hidden="1" customWidth="1"/>
    <col min="13334" max="13568" width="8.85546875" style="393" hidden="1"/>
    <col min="13569" max="13569" width="32.7109375" style="393" hidden="1" customWidth="1"/>
    <col min="13570" max="13571" width="12.140625" style="393" hidden="1" customWidth="1"/>
    <col min="13572" max="13572" width="12.85546875" style="393" hidden="1" customWidth="1"/>
    <col min="13573" max="13578" width="12.140625" style="393" hidden="1" customWidth="1"/>
    <col min="13579" max="13589" width="8.85546875" style="393" hidden="1" customWidth="1"/>
    <col min="13590" max="13824" width="8.85546875" style="393" hidden="1"/>
    <col min="13825" max="13825" width="32.7109375" style="393" hidden="1" customWidth="1"/>
    <col min="13826" max="13827" width="12.140625" style="393" hidden="1" customWidth="1"/>
    <col min="13828" max="13828" width="12.85546875" style="393" hidden="1" customWidth="1"/>
    <col min="13829" max="13834" width="12.140625" style="393" hidden="1" customWidth="1"/>
    <col min="13835" max="13845" width="8.85546875" style="393" hidden="1" customWidth="1"/>
    <col min="13846" max="14080" width="8.85546875" style="393" hidden="1"/>
    <col min="14081" max="14081" width="32.7109375" style="393" hidden="1" customWidth="1"/>
    <col min="14082" max="14083" width="12.140625" style="393" hidden="1" customWidth="1"/>
    <col min="14084" max="14084" width="12.85546875" style="393" hidden="1" customWidth="1"/>
    <col min="14085" max="14090" width="12.140625" style="393" hidden="1" customWidth="1"/>
    <col min="14091" max="14101" width="8.85546875" style="393" hidden="1" customWidth="1"/>
    <col min="14102" max="14336" width="8.85546875" style="393" hidden="1"/>
    <col min="14337" max="14337" width="32.7109375" style="393" hidden="1" customWidth="1"/>
    <col min="14338" max="14339" width="12.140625" style="393" hidden="1" customWidth="1"/>
    <col min="14340" max="14340" width="12.85546875" style="393" hidden="1" customWidth="1"/>
    <col min="14341" max="14346" width="12.140625" style="393" hidden="1" customWidth="1"/>
    <col min="14347" max="14357" width="8.85546875" style="393" hidden="1" customWidth="1"/>
    <col min="14358" max="14592" width="8.85546875" style="393" hidden="1"/>
    <col min="14593" max="14593" width="32.7109375" style="393" hidden="1" customWidth="1"/>
    <col min="14594" max="14595" width="12.140625" style="393" hidden="1" customWidth="1"/>
    <col min="14596" max="14596" width="12.85546875" style="393" hidden="1" customWidth="1"/>
    <col min="14597" max="14602" width="12.140625" style="393" hidden="1" customWidth="1"/>
    <col min="14603" max="14613" width="8.85546875" style="393" hidden="1" customWidth="1"/>
    <col min="14614" max="14848" width="8.85546875" style="393" hidden="1"/>
    <col min="14849" max="14849" width="32.7109375" style="393" hidden="1" customWidth="1"/>
    <col min="14850" max="14851" width="12.140625" style="393" hidden="1" customWidth="1"/>
    <col min="14852" max="14852" width="12.85546875" style="393" hidden="1" customWidth="1"/>
    <col min="14853" max="14858" width="12.140625" style="393" hidden="1" customWidth="1"/>
    <col min="14859" max="14869" width="8.85546875" style="393" hidden="1" customWidth="1"/>
    <col min="14870" max="15104" width="8.85546875" style="393" hidden="1"/>
    <col min="15105" max="15105" width="32.7109375" style="393" hidden="1" customWidth="1"/>
    <col min="15106" max="15107" width="12.140625" style="393" hidden="1" customWidth="1"/>
    <col min="15108" max="15108" width="12.85546875" style="393" hidden="1" customWidth="1"/>
    <col min="15109" max="15114" width="12.140625" style="393" hidden="1" customWidth="1"/>
    <col min="15115" max="15125" width="8.85546875" style="393" hidden="1" customWidth="1"/>
    <col min="15126" max="15360" width="8.85546875" style="393" hidden="1"/>
    <col min="15361" max="15361" width="32.7109375" style="393" hidden="1" customWidth="1"/>
    <col min="15362" max="15363" width="12.140625" style="393" hidden="1" customWidth="1"/>
    <col min="15364" max="15364" width="12.85546875" style="393" hidden="1" customWidth="1"/>
    <col min="15365" max="15370" width="12.140625" style="393" hidden="1" customWidth="1"/>
    <col min="15371" max="15381" width="8.85546875" style="393" hidden="1" customWidth="1"/>
    <col min="15382" max="15616" width="8.85546875" style="393" hidden="1"/>
    <col min="15617" max="15617" width="32.7109375" style="393" hidden="1" customWidth="1"/>
    <col min="15618" max="15619" width="12.140625" style="393" hidden="1" customWidth="1"/>
    <col min="15620" max="15620" width="12.85546875" style="393" hidden="1" customWidth="1"/>
    <col min="15621" max="15626" width="12.140625" style="393" hidden="1" customWidth="1"/>
    <col min="15627" max="15637" width="8.85546875" style="393" hidden="1" customWidth="1"/>
    <col min="15638" max="15872" width="8.85546875" style="393" hidden="1"/>
    <col min="15873" max="15873" width="32.7109375" style="393" hidden="1" customWidth="1"/>
    <col min="15874" max="15875" width="12.140625" style="393" hidden="1" customWidth="1"/>
    <col min="15876" max="15876" width="12.85546875" style="393" hidden="1" customWidth="1"/>
    <col min="15877" max="15882" width="12.140625" style="393" hidden="1" customWidth="1"/>
    <col min="15883" max="15893" width="8.85546875" style="393" hidden="1" customWidth="1"/>
    <col min="15894" max="16128" width="8.85546875" style="393" hidden="1"/>
    <col min="16129" max="16129" width="32.7109375" style="393" hidden="1" customWidth="1"/>
    <col min="16130" max="16131" width="12.140625" style="393" hidden="1" customWidth="1"/>
    <col min="16132" max="16132" width="12.85546875" style="393" hidden="1" customWidth="1"/>
    <col min="16133" max="16138" width="12.140625" style="393" hidden="1" customWidth="1"/>
    <col min="16139" max="16149" width="8.85546875" style="393" hidden="1" customWidth="1"/>
    <col min="16150" max="16384" width="8.85546875" style="393" hidden="1"/>
  </cols>
  <sheetData>
    <row r="1" spans="1:11" s="356" customFormat="1" ht="12.75">
      <c r="A1" s="1874" t="s">
        <v>1227</v>
      </c>
      <c r="B1" s="1875"/>
      <c r="C1" s="1875"/>
      <c r="D1" s="1875"/>
      <c r="E1" s="1875"/>
      <c r="F1" s="1875"/>
      <c r="G1" s="1875"/>
      <c r="H1" s="1875"/>
      <c r="I1" s="1875"/>
      <c r="J1" s="1876"/>
      <c r="K1" s="355"/>
    </row>
    <row r="2" spans="1:11" s="401" customFormat="1" ht="72">
      <c r="A2" s="398"/>
      <c r="B2" s="399" t="s">
        <v>1027</v>
      </c>
      <c r="C2" s="399" t="s">
        <v>1229</v>
      </c>
      <c r="D2" s="399" t="s">
        <v>1230</v>
      </c>
      <c r="E2" s="399" t="s">
        <v>1158</v>
      </c>
      <c r="F2" s="399" t="s">
        <v>1231</v>
      </c>
      <c r="G2" s="399" t="s">
        <v>1232</v>
      </c>
      <c r="H2" s="399" t="s">
        <v>1028</v>
      </c>
      <c r="I2" s="399" t="s">
        <v>1233</v>
      </c>
      <c r="J2" s="399" t="s">
        <v>1234</v>
      </c>
      <c r="K2" s="400"/>
    </row>
    <row r="3" spans="1:11" s="360" customFormat="1">
      <c r="A3" s="357" t="s">
        <v>26</v>
      </c>
      <c r="B3" s="358"/>
      <c r="C3" s="358"/>
      <c r="D3" s="358"/>
      <c r="E3" s="358"/>
      <c r="F3" s="358"/>
      <c r="G3" s="358"/>
      <c r="H3" s="358"/>
      <c r="I3" s="358"/>
      <c r="J3" s="358"/>
      <c r="K3" s="359"/>
    </row>
    <row r="4" spans="1:11" s="360" customFormat="1">
      <c r="A4" s="364" t="s">
        <v>27</v>
      </c>
      <c r="B4" s="361">
        <f>'Sources and Uses Budget'!C4</f>
        <v>300000</v>
      </c>
      <c r="C4" s="362"/>
      <c r="D4" s="362"/>
      <c r="E4" s="363"/>
      <c r="F4" s="363"/>
      <c r="G4" s="363"/>
      <c r="H4" s="363"/>
      <c r="I4" s="363"/>
      <c r="J4" s="363"/>
      <c r="K4" s="359"/>
    </row>
    <row r="5" spans="1:11" s="360" customFormat="1">
      <c r="A5" s="364" t="s">
        <v>28</v>
      </c>
      <c r="B5" s="361">
        <f>'Sources and Uses Budget'!C5</f>
        <v>0</v>
      </c>
      <c r="C5" s="362"/>
      <c r="D5" s="362"/>
      <c r="E5" s="363"/>
      <c r="F5" s="363"/>
      <c r="G5" s="363"/>
      <c r="H5" s="363"/>
      <c r="I5" s="363"/>
      <c r="J5" s="363"/>
      <c r="K5" s="359"/>
    </row>
    <row r="6" spans="1:11" s="360" customFormat="1">
      <c r="A6" s="364" t="s">
        <v>29</v>
      </c>
      <c r="B6" s="361">
        <f>'Sources and Uses Budget'!C6</f>
        <v>0</v>
      </c>
      <c r="C6" s="362"/>
      <c r="D6" s="362"/>
      <c r="E6" s="363"/>
      <c r="F6" s="363"/>
      <c r="G6" s="363"/>
      <c r="H6" s="363"/>
      <c r="I6" s="363"/>
      <c r="J6" s="363"/>
      <c r="K6" s="359"/>
    </row>
    <row r="7" spans="1:11" s="360" customFormat="1">
      <c r="A7" s="364" t="s">
        <v>97</v>
      </c>
      <c r="B7" s="361">
        <f>'Sources and Uses Budget'!C7</f>
        <v>0</v>
      </c>
      <c r="C7" s="362"/>
      <c r="D7" s="362"/>
      <c r="E7" s="363"/>
      <c r="F7" s="363"/>
      <c r="G7" s="363"/>
      <c r="H7" s="363"/>
      <c r="I7" s="363"/>
      <c r="J7" s="363"/>
      <c r="K7" s="359"/>
    </row>
    <row r="8" spans="1:11" s="360" customFormat="1">
      <c r="A8" s="365" t="s">
        <v>593</v>
      </c>
      <c r="B8" s="361">
        <f>'Sources and Uses Budget'!C8</f>
        <v>300000</v>
      </c>
      <c r="C8" s="361">
        <f>SUM(C4:C7)</f>
        <v>0</v>
      </c>
      <c r="D8" s="361">
        <f>SUM(D4:D7)</f>
        <v>0</v>
      </c>
      <c r="E8" s="363"/>
      <c r="F8" s="363"/>
      <c r="G8" s="363"/>
      <c r="H8" s="363"/>
      <c r="I8" s="363"/>
      <c r="J8" s="363"/>
      <c r="K8" s="359"/>
    </row>
    <row r="9" spans="1:11" s="360" customFormat="1">
      <c r="A9" s="364" t="s">
        <v>594</v>
      </c>
      <c r="B9" s="361">
        <f>'Sources and Uses Budget'!C9</f>
        <v>0</v>
      </c>
      <c r="C9" s="362"/>
      <c r="D9" s="362"/>
      <c r="E9" s="363"/>
      <c r="F9" s="363"/>
      <c r="G9" s="363"/>
      <c r="H9" s="361">
        <f>'Sources and Uses Budget'!T9</f>
        <v>0</v>
      </c>
      <c r="I9" s="362"/>
      <c r="J9" s="362"/>
      <c r="K9" s="359"/>
    </row>
    <row r="10" spans="1:11" s="360" customFormat="1">
      <c r="A10" s="364" t="s">
        <v>595</v>
      </c>
      <c r="B10" s="361">
        <f>'Sources and Uses Budget'!C10</f>
        <v>0</v>
      </c>
      <c r="C10" s="362"/>
      <c r="D10" s="362"/>
      <c r="E10" s="361">
        <f>'Sources and Uses Budget'!S10</f>
        <v>0</v>
      </c>
      <c r="F10" s="362"/>
      <c r="G10" s="362"/>
      <c r="H10" s="361">
        <f>'Sources and Uses Budget'!T10</f>
        <v>0</v>
      </c>
      <c r="I10" s="362"/>
      <c r="J10" s="362"/>
      <c r="K10" s="359"/>
    </row>
    <row r="11" spans="1:11" s="360" customFormat="1">
      <c r="A11" s="365" t="s">
        <v>596</v>
      </c>
      <c r="B11" s="361">
        <f>'Sources and Uses Budget'!C11</f>
        <v>0</v>
      </c>
      <c r="C11" s="361">
        <f>SUM(C9:C10)</f>
        <v>0</v>
      </c>
      <c r="D11" s="361">
        <f>SUM(D9:D10)</f>
        <v>0</v>
      </c>
      <c r="E11" s="363"/>
      <c r="F11" s="363"/>
      <c r="G11" s="363"/>
      <c r="H11" s="361">
        <f>'Sources and Uses Budget'!T11</f>
        <v>0</v>
      </c>
      <c r="I11" s="361">
        <f>SUM(I9:I10)</f>
        <v>0</v>
      </c>
      <c r="J11" s="361">
        <f>SUM(J9:J10)</f>
        <v>0</v>
      </c>
      <c r="K11" s="359"/>
    </row>
    <row r="12" spans="1:11" s="360" customFormat="1">
      <c r="A12" s="365" t="s">
        <v>84</v>
      </c>
      <c r="B12" s="361">
        <f>'Sources and Uses Budget'!C12</f>
        <v>300000</v>
      </c>
      <c r="C12" s="361">
        <f>SUM(C8+C11)</f>
        <v>0</v>
      </c>
      <c r="D12" s="361">
        <f>SUM(D8+D11)</f>
        <v>0</v>
      </c>
      <c r="E12" s="363"/>
      <c r="F12" s="363"/>
      <c r="G12" s="363"/>
      <c r="H12" s="363"/>
      <c r="I12" s="363"/>
      <c r="J12" s="363"/>
      <c r="K12" s="359"/>
    </row>
    <row r="13" spans="1:11" s="360" customFormat="1">
      <c r="A13" s="366" t="s">
        <v>902</v>
      </c>
      <c r="B13" s="361">
        <f>'Sources and Uses Budget'!C13</f>
        <v>20000</v>
      </c>
      <c r="C13" s="362"/>
      <c r="D13" s="362"/>
      <c r="E13" s="361">
        <f>'Sources and Uses Budget'!S13</f>
        <v>0</v>
      </c>
      <c r="F13" s="362"/>
      <c r="G13" s="362"/>
      <c r="H13" s="361">
        <f>'Sources and Uses Budget'!T13</f>
        <v>0</v>
      </c>
      <c r="I13" s="362"/>
      <c r="J13" s="362"/>
      <c r="K13" s="359"/>
    </row>
    <row r="14" spans="1:11" s="360" customFormat="1" ht="24">
      <c r="A14" s="364" t="s">
        <v>903</v>
      </c>
      <c r="B14" s="361">
        <f>'Sources and Uses Budget'!C14</f>
        <v>0</v>
      </c>
      <c r="C14" s="362"/>
      <c r="D14" s="362"/>
      <c r="E14" s="361">
        <f>'Sources and Uses Budget'!S14</f>
        <v>0</v>
      </c>
      <c r="F14" s="362"/>
      <c r="G14" s="362"/>
      <c r="H14" s="361">
        <f>'Sources and Uses Budget'!T14</f>
        <v>0</v>
      </c>
      <c r="I14" s="362"/>
      <c r="J14" s="362"/>
      <c r="K14" s="359"/>
    </row>
    <row r="15" spans="1:11" s="360" customFormat="1">
      <c r="A15" s="364" t="s">
        <v>1161</v>
      </c>
      <c r="B15" s="361">
        <f>'Sources and Uses Budget'!C15</f>
        <v>0</v>
      </c>
      <c r="C15" s="362"/>
      <c r="D15" s="362"/>
      <c r="E15" s="363">
        <f>'Sources and Uses Budget'!S15</f>
        <v>0</v>
      </c>
      <c r="F15" s="363"/>
      <c r="G15" s="363"/>
      <c r="H15" s="363">
        <f>'Sources and Uses Budget'!T15</f>
        <v>0</v>
      </c>
      <c r="I15" s="363"/>
      <c r="J15" s="363"/>
      <c r="K15" s="359"/>
    </row>
    <row r="16" spans="1:11" s="360" customFormat="1">
      <c r="A16" s="357" t="s">
        <v>597</v>
      </c>
      <c r="B16" s="358"/>
      <c r="C16" s="358"/>
      <c r="D16" s="358"/>
      <c r="E16" s="358"/>
      <c r="F16" s="358"/>
      <c r="G16" s="358"/>
      <c r="H16" s="358"/>
      <c r="I16" s="358"/>
      <c r="J16" s="358"/>
      <c r="K16" s="359"/>
    </row>
    <row r="17" spans="1:11" s="360" customFormat="1">
      <c r="A17" s="364" t="s">
        <v>598</v>
      </c>
      <c r="B17" s="361">
        <f>'Sources and Uses Budget'!C17</f>
        <v>0</v>
      </c>
      <c r="C17" s="362"/>
      <c r="D17" s="362"/>
      <c r="E17" s="361">
        <f>'Sources and Uses Budget'!S17</f>
        <v>0</v>
      </c>
      <c r="F17" s="362"/>
      <c r="G17" s="362"/>
      <c r="H17" s="361">
        <f>'Sources and Uses Budget'!T17</f>
        <v>0</v>
      </c>
      <c r="I17" s="362"/>
      <c r="J17" s="362"/>
      <c r="K17" s="359"/>
    </row>
    <row r="18" spans="1:11" s="360" customFormat="1">
      <c r="A18" s="364" t="s">
        <v>599</v>
      </c>
      <c r="B18" s="361">
        <f>'Sources and Uses Budget'!C18</f>
        <v>0</v>
      </c>
      <c r="C18" s="362"/>
      <c r="D18" s="362"/>
      <c r="E18" s="361">
        <f>'Sources and Uses Budget'!S18</f>
        <v>0</v>
      </c>
      <c r="F18" s="362"/>
      <c r="G18" s="362"/>
      <c r="H18" s="361">
        <f>'Sources and Uses Budget'!T18</f>
        <v>0</v>
      </c>
      <c r="I18" s="362"/>
      <c r="J18" s="362"/>
      <c r="K18" s="359"/>
    </row>
    <row r="19" spans="1:11" s="360" customFormat="1">
      <c r="A19" s="364" t="s">
        <v>600</v>
      </c>
      <c r="B19" s="361">
        <f>'Sources and Uses Budget'!C19</f>
        <v>0</v>
      </c>
      <c r="C19" s="362"/>
      <c r="D19" s="362"/>
      <c r="E19" s="361">
        <f>'Sources and Uses Budget'!S19</f>
        <v>0</v>
      </c>
      <c r="F19" s="362"/>
      <c r="G19" s="362"/>
      <c r="H19" s="361">
        <f>'Sources and Uses Budget'!T19</f>
        <v>0</v>
      </c>
      <c r="I19" s="362"/>
      <c r="J19" s="362"/>
      <c r="K19" s="359"/>
    </row>
    <row r="20" spans="1:11" s="360" customFormat="1">
      <c r="A20" s="364" t="s">
        <v>137</v>
      </c>
      <c r="B20" s="361">
        <f>'Sources and Uses Budget'!C20</f>
        <v>0</v>
      </c>
      <c r="C20" s="362"/>
      <c r="D20" s="362"/>
      <c r="E20" s="361">
        <f>'Sources and Uses Budget'!S20</f>
        <v>0</v>
      </c>
      <c r="F20" s="362"/>
      <c r="G20" s="362"/>
      <c r="H20" s="361">
        <f>'Sources and Uses Budget'!T20</f>
        <v>0</v>
      </c>
      <c r="I20" s="362"/>
      <c r="J20" s="362"/>
      <c r="K20" s="359"/>
    </row>
    <row r="21" spans="1:11" s="360" customFormat="1">
      <c r="A21" s="364" t="s">
        <v>138</v>
      </c>
      <c r="B21" s="361">
        <f>'Sources and Uses Budget'!C21</f>
        <v>0</v>
      </c>
      <c r="C21" s="362"/>
      <c r="D21" s="362"/>
      <c r="E21" s="361">
        <f>'Sources and Uses Budget'!S21</f>
        <v>0</v>
      </c>
      <c r="F21" s="362"/>
      <c r="G21" s="362"/>
      <c r="H21" s="361">
        <f>'Sources and Uses Budget'!T21</f>
        <v>0</v>
      </c>
      <c r="I21" s="362"/>
      <c r="J21" s="362"/>
      <c r="K21" s="359"/>
    </row>
    <row r="22" spans="1:11" s="360" customFormat="1">
      <c r="A22" s="364" t="s">
        <v>139</v>
      </c>
      <c r="B22" s="361">
        <f>'Sources and Uses Budget'!C22</f>
        <v>0</v>
      </c>
      <c r="C22" s="362"/>
      <c r="D22" s="362"/>
      <c r="E22" s="361">
        <f>'Sources and Uses Budget'!S22</f>
        <v>0</v>
      </c>
      <c r="F22" s="362"/>
      <c r="G22" s="362"/>
      <c r="H22" s="361">
        <f>'Sources and Uses Budget'!T22</f>
        <v>0</v>
      </c>
      <c r="I22" s="362"/>
      <c r="J22" s="362"/>
      <c r="K22" s="359"/>
    </row>
    <row r="23" spans="1:11" s="360" customFormat="1">
      <c r="A23" s="364" t="s">
        <v>140</v>
      </c>
      <c r="B23" s="361">
        <f>'Sources and Uses Budget'!C23</f>
        <v>0</v>
      </c>
      <c r="C23" s="362"/>
      <c r="D23" s="362"/>
      <c r="E23" s="361">
        <f>'Sources and Uses Budget'!S23</f>
        <v>0</v>
      </c>
      <c r="F23" s="362"/>
      <c r="G23" s="362"/>
      <c r="H23" s="361">
        <f>'Sources and Uses Budget'!T23</f>
        <v>0</v>
      </c>
      <c r="I23" s="362"/>
      <c r="J23" s="362"/>
      <c r="K23" s="359"/>
    </row>
    <row r="24" spans="1:11" s="360" customFormat="1">
      <c r="A24" s="508" t="s">
        <v>1640</v>
      </c>
      <c r="B24" s="361">
        <f>'Sources and Uses Budget'!C24</f>
        <v>0</v>
      </c>
      <c r="C24" s="362"/>
      <c r="D24" s="362"/>
      <c r="E24" s="361">
        <f>'Sources and Uses Budget'!S24</f>
        <v>0</v>
      </c>
      <c r="F24" s="362"/>
      <c r="G24" s="362"/>
      <c r="H24" s="361">
        <f>'Sources and Uses Budget'!T24</f>
        <v>0</v>
      </c>
      <c r="I24" s="362"/>
      <c r="J24" s="362"/>
      <c r="K24" s="359"/>
    </row>
    <row r="25" spans="1:11" s="360" customFormat="1">
      <c r="A25" s="364" t="str">
        <f>'Sources and Uses Budget'!$A25</f>
        <v>Other: (Specify)</v>
      </c>
      <c r="B25" s="361">
        <f>'Sources and Uses Budget'!C25</f>
        <v>0</v>
      </c>
      <c r="C25" s="362"/>
      <c r="D25" s="362"/>
      <c r="E25" s="361">
        <f>'Sources and Uses Budget'!S25</f>
        <v>0</v>
      </c>
      <c r="F25" s="362"/>
      <c r="G25" s="362"/>
      <c r="H25" s="361">
        <f>'Sources and Uses Budget'!T25</f>
        <v>0</v>
      </c>
      <c r="I25" s="362"/>
      <c r="J25" s="362"/>
      <c r="K25" s="359"/>
    </row>
    <row r="26" spans="1:11" s="360" customFormat="1">
      <c r="A26" s="365" t="s">
        <v>133</v>
      </c>
      <c r="B26" s="361">
        <f>'Sources and Uses Budget'!C26</f>
        <v>0</v>
      </c>
      <c r="C26" s="361">
        <f>SUM(C17:C25)</f>
        <v>0</v>
      </c>
      <c r="D26" s="361">
        <f>SUM(D17:D25)</f>
        <v>0</v>
      </c>
      <c r="E26" s="361">
        <f>'Sources and Uses Budget'!S26</f>
        <v>0</v>
      </c>
      <c r="F26" s="367">
        <f>SUM(F17:F25)</f>
        <v>0</v>
      </c>
      <c r="G26" s="367">
        <f>SUM(G17:G25)</f>
        <v>0</v>
      </c>
      <c r="H26" s="361">
        <f>'Sources and Uses Budget'!T26</f>
        <v>0</v>
      </c>
      <c r="I26" s="367">
        <f>SUM(I17:I25)</f>
        <v>0</v>
      </c>
      <c r="J26" s="367">
        <f>SUM(J17:J25)</f>
        <v>0</v>
      </c>
      <c r="K26" s="359"/>
    </row>
    <row r="27" spans="1:11" s="360" customFormat="1">
      <c r="A27" s="365" t="s">
        <v>141</v>
      </c>
      <c r="B27" s="361">
        <f>'Sources and Uses Budget'!C27</f>
        <v>0</v>
      </c>
      <c r="C27" s="362"/>
      <c r="D27" s="362"/>
      <c r="E27" s="361">
        <f>'Sources and Uses Budget'!S27</f>
        <v>0</v>
      </c>
      <c r="F27" s="362"/>
      <c r="G27" s="362"/>
      <c r="H27" s="361">
        <f>'Sources and Uses Budget'!T27</f>
        <v>0</v>
      </c>
      <c r="I27" s="362"/>
      <c r="J27" s="362"/>
      <c r="K27" s="359"/>
    </row>
    <row r="28" spans="1:11" s="360" customFormat="1">
      <c r="A28" s="357" t="s">
        <v>142</v>
      </c>
      <c r="B28" s="358"/>
      <c r="C28" s="358"/>
      <c r="D28" s="358"/>
      <c r="E28" s="358"/>
      <c r="F28" s="358"/>
      <c r="G28" s="358"/>
      <c r="H28" s="358"/>
      <c r="I28" s="358"/>
      <c r="J28" s="358"/>
      <c r="K28" s="359"/>
    </row>
    <row r="29" spans="1:11" s="360" customFormat="1">
      <c r="A29" s="145" t="s">
        <v>598</v>
      </c>
      <c r="B29" s="361">
        <f>'Sources and Uses Budget'!C29</f>
        <v>3250000</v>
      </c>
      <c r="C29" s="362"/>
      <c r="D29" s="362"/>
      <c r="E29" s="361">
        <f>'Sources and Uses Budget'!S29</f>
        <v>3250000</v>
      </c>
      <c r="F29" s="362"/>
      <c r="G29" s="362"/>
      <c r="H29" s="361">
        <f>'Sources and Uses Budget'!T29</f>
        <v>0</v>
      </c>
      <c r="I29" s="362"/>
      <c r="J29" s="362"/>
      <c r="K29" s="359"/>
    </row>
    <row r="30" spans="1:11" s="360" customFormat="1">
      <c r="A30" s="145" t="s">
        <v>599</v>
      </c>
      <c r="B30" s="361">
        <f>'Sources and Uses Budget'!C30</f>
        <v>22382653</v>
      </c>
      <c r="C30" s="362"/>
      <c r="D30" s="362"/>
      <c r="E30" s="361">
        <f>'Sources and Uses Budget'!S30</f>
        <v>22382653</v>
      </c>
      <c r="F30" s="362"/>
      <c r="G30" s="362"/>
      <c r="H30" s="361">
        <f>'Sources and Uses Budget'!T30</f>
        <v>0</v>
      </c>
      <c r="I30" s="362"/>
      <c r="J30" s="362"/>
      <c r="K30" s="359"/>
    </row>
    <row r="31" spans="1:11" s="360" customFormat="1">
      <c r="A31" s="145" t="s">
        <v>600</v>
      </c>
      <c r="B31" s="361">
        <f>'Sources and Uses Budget'!C31</f>
        <v>2513319</v>
      </c>
      <c r="C31" s="362"/>
      <c r="D31" s="362"/>
      <c r="E31" s="361">
        <f>'Sources and Uses Budget'!S31</f>
        <v>2513319</v>
      </c>
      <c r="F31" s="362"/>
      <c r="G31" s="362"/>
      <c r="H31" s="361">
        <f>'Sources and Uses Budget'!T31</f>
        <v>0</v>
      </c>
      <c r="I31" s="362"/>
      <c r="J31" s="362"/>
      <c r="K31" s="359"/>
    </row>
    <row r="32" spans="1:11" s="360" customFormat="1">
      <c r="A32" s="145" t="s">
        <v>137</v>
      </c>
      <c r="B32" s="361">
        <f>'Sources and Uses Budget'!C32</f>
        <v>664181</v>
      </c>
      <c r="C32" s="362"/>
      <c r="D32" s="362"/>
      <c r="E32" s="361">
        <f>'Sources and Uses Budget'!S32</f>
        <v>664181</v>
      </c>
      <c r="F32" s="362"/>
      <c r="G32" s="362"/>
      <c r="H32" s="361">
        <f>'Sources and Uses Budget'!T32</f>
        <v>0</v>
      </c>
      <c r="I32" s="362"/>
      <c r="J32" s="362"/>
      <c r="K32" s="359"/>
    </row>
    <row r="33" spans="1:11" s="360" customFormat="1">
      <c r="A33" s="145" t="s">
        <v>138</v>
      </c>
      <c r="B33" s="361">
        <f>'Sources and Uses Budget'!C33</f>
        <v>500000</v>
      </c>
      <c r="C33" s="362"/>
      <c r="D33" s="362"/>
      <c r="E33" s="361">
        <f>'Sources and Uses Budget'!S33</f>
        <v>500000</v>
      </c>
      <c r="F33" s="362"/>
      <c r="G33" s="362"/>
      <c r="H33" s="361">
        <f>'Sources and Uses Budget'!T33</f>
        <v>0</v>
      </c>
      <c r="I33" s="362"/>
      <c r="J33" s="362"/>
      <c r="K33" s="359"/>
    </row>
    <row r="34" spans="1:11" s="360" customFormat="1">
      <c r="A34" s="145" t="s">
        <v>139</v>
      </c>
      <c r="B34" s="361">
        <f>'Sources and Uses Budget'!C34</f>
        <v>0</v>
      </c>
      <c r="C34" s="362"/>
      <c r="D34" s="362"/>
      <c r="E34" s="361">
        <f>'Sources and Uses Budget'!S34</f>
        <v>0</v>
      </c>
      <c r="F34" s="362"/>
      <c r="G34" s="362"/>
      <c r="H34" s="361">
        <f>'Sources and Uses Budget'!T34</f>
        <v>0</v>
      </c>
      <c r="I34" s="362"/>
      <c r="J34" s="362"/>
      <c r="K34" s="359"/>
    </row>
    <row r="35" spans="1:11" s="360" customFormat="1">
      <c r="A35" s="145" t="s">
        <v>140</v>
      </c>
      <c r="B35" s="361">
        <f>'Sources and Uses Budget'!C35</f>
        <v>850000</v>
      </c>
      <c r="C35" s="362"/>
      <c r="D35" s="362"/>
      <c r="E35" s="361">
        <f>'Sources and Uses Budget'!S35</f>
        <v>850000</v>
      </c>
      <c r="F35" s="362"/>
      <c r="G35" s="362"/>
      <c r="H35" s="361">
        <f>'Sources and Uses Budget'!T35</f>
        <v>0</v>
      </c>
      <c r="I35" s="362"/>
      <c r="J35" s="362"/>
      <c r="K35" s="359"/>
    </row>
    <row r="36" spans="1:11" s="360" customFormat="1">
      <c r="A36" s="508" t="s">
        <v>1640</v>
      </c>
      <c r="B36" s="361">
        <f>'Sources and Uses Budget'!C36</f>
        <v>250000</v>
      </c>
      <c r="C36" s="362"/>
      <c r="D36" s="362"/>
      <c r="E36" s="361">
        <f>'Sources and Uses Budget'!S36</f>
        <v>250000</v>
      </c>
      <c r="F36" s="362"/>
      <c r="G36" s="362"/>
      <c r="H36" s="361">
        <f>'Sources and Uses Budget'!T36</f>
        <v>0</v>
      </c>
      <c r="I36" s="362"/>
      <c r="J36" s="362"/>
      <c r="K36" s="359"/>
    </row>
    <row r="37" spans="1:11" s="360" customFormat="1">
      <c r="A37" s="364" t="str">
        <f>'Sources and Uses Budget'!$A37</f>
        <v>Other: (Specify)</v>
      </c>
      <c r="B37" s="361">
        <f>'Sources and Uses Budget'!C37</f>
        <v>0</v>
      </c>
      <c r="C37" s="362"/>
      <c r="D37" s="362"/>
      <c r="E37" s="361">
        <f>'Sources and Uses Budget'!S37</f>
        <v>0</v>
      </c>
      <c r="F37" s="362"/>
      <c r="G37" s="362"/>
      <c r="H37" s="361">
        <f>'Sources and Uses Budget'!T37</f>
        <v>0</v>
      </c>
      <c r="I37" s="362"/>
      <c r="J37" s="362"/>
      <c r="K37" s="359"/>
    </row>
    <row r="38" spans="1:11" s="360" customFormat="1">
      <c r="A38" s="365" t="s">
        <v>143</v>
      </c>
      <c r="B38" s="361">
        <f>'Sources and Uses Budget'!C38</f>
        <v>30410153</v>
      </c>
      <c r="C38" s="361">
        <f>SUM(C29:C37)</f>
        <v>0</v>
      </c>
      <c r="D38" s="361">
        <f>SUM(D29:D37)</f>
        <v>0</v>
      </c>
      <c r="E38" s="361">
        <f>'Sources and Uses Budget'!S38</f>
        <v>30410153</v>
      </c>
      <c r="F38" s="367">
        <f>SUM(F29:F37)</f>
        <v>0</v>
      </c>
      <c r="G38" s="367">
        <f>SUM(G29:G37)</f>
        <v>0</v>
      </c>
      <c r="H38" s="361">
        <f>'Sources and Uses Budget'!T38</f>
        <v>0</v>
      </c>
      <c r="I38" s="367">
        <f>SUM(I29:I37)</f>
        <v>0</v>
      </c>
      <c r="J38" s="367">
        <f>SUM(J29:J37)</f>
        <v>0</v>
      </c>
      <c r="K38" s="359"/>
    </row>
    <row r="39" spans="1:11" s="360" customFormat="1">
      <c r="A39" s="357" t="s">
        <v>144</v>
      </c>
      <c r="B39" s="358"/>
      <c r="C39" s="358"/>
      <c r="D39" s="358"/>
      <c r="E39" s="358"/>
      <c r="F39" s="358"/>
      <c r="G39" s="358"/>
      <c r="H39" s="358"/>
      <c r="I39" s="358"/>
      <c r="J39" s="358"/>
      <c r="K39" s="359"/>
    </row>
    <row r="40" spans="1:11" s="360" customFormat="1">
      <c r="A40" s="364" t="s">
        <v>145</v>
      </c>
      <c r="B40" s="361">
        <f>'Sources and Uses Budget'!C40</f>
        <v>700000</v>
      </c>
      <c r="C40" s="362"/>
      <c r="D40" s="362"/>
      <c r="E40" s="361">
        <f>'Sources and Uses Budget'!S40</f>
        <v>700000</v>
      </c>
      <c r="F40" s="362"/>
      <c r="G40" s="362"/>
      <c r="H40" s="361">
        <f>'Sources and Uses Budget'!T40</f>
        <v>0</v>
      </c>
      <c r="I40" s="362"/>
      <c r="J40" s="362"/>
      <c r="K40" s="359"/>
    </row>
    <row r="41" spans="1:11" s="360" customFormat="1">
      <c r="A41" s="364" t="s">
        <v>146</v>
      </c>
      <c r="B41" s="361">
        <f>'Sources and Uses Budget'!C41</f>
        <v>700000</v>
      </c>
      <c r="C41" s="362"/>
      <c r="D41" s="362"/>
      <c r="E41" s="361">
        <f>'Sources and Uses Budget'!S41</f>
        <v>700000</v>
      </c>
      <c r="F41" s="362"/>
      <c r="G41" s="362"/>
      <c r="H41" s="361">
        <f>'Sources and Uses Budget'!T41</f>
        <v>0</v>
      </c>
      <c r="I41" s="362"/>
      <c r="J41" s="362"/>
      <c r="K41" s="359"/>
    </row>
    <row r="42" spans="1:11" s="360" customFormat="1">
      <c r="A42" s="365" t="s">
        <v>147</v>
      </c>
      <c r="B42" s="361">
        <f>'Sources and Uses Budget'!C42</f>
        <v>1400000</v>
      </c>
      <c r="C42" s="361">
        <f>SUM(C39:C41)</f>
        <v>0</v>
      </c>
      <c r="D42" s="361">
        <f>SUM(D39:D41)</f>
        <v>0</v>
      </c>
      <c r="E42" s="361">
        <f>'Sources and Uses Budget'!S42</f>
        <v>1400000</v>
      </c>
      <c r="F42" s="367">
        <f>SUM(F40:F41)</f>
        <v>0</v>
      </c>
      <c r="G42" s="367">
        <f>SUM(G40:G41)</f>
        <v>0</v>
      </c>
      <c r="H42" s="361">
        <f>'Sources and Uses Budget'!T42</f>
        <v>0</v>
      </c>
      <c r="I42" s="367">
        <f>SUM(I40:I41)</f>
        <v>0</v>
      </c>
      <c r="J42" s="367">
        <f>SUM(J40:J41)</f>
        <v>0</v>
      </c>
      <c r="K42" s="359"/>
    </row>
    <row r="43" spans="1:11" s="360" customFormat="1">
      <c r="A43" s="365" t="s">
        <v>148</v>
      </c>
      <c r="B43" s="361">
        <f>'Sources and Uses Budget'!C43</f>
        <v>150000</v>
      </c>
      <c r="C43" s="362"/>
      <c r="D43" s="362"/>
      <c r="E43" s="361">
        <f>'Sources and Uses Budget'!S43</f>
        <v>150000</v>
      </c>
      <c r="F43" s="362"/>
      <c r="G43" s="362"/>
      <c r="H43" s="361">
        <f>'Sources and Uses Budget'!T43</f>
        <v>0</v>
      </c>
      <c r="I43" s="362"/>
      <c r="J43" s="362"/>
      <c r="K43" s="359"/>
    </row>
    <row r="44" spans="1:11" s="360" customFormat="1">
      <c r="A44" s="357" t="s">
        <v>149</v>
      </c>
      <c r="B44" s="358"/>
      <c r="C44" s="358"/>
      <c r="D44" s="358"/>
      <c r="E44" s="358"/>
      <c r="F44" s="358"/>
      <c r="G44" s="358"/>
      <c r="H44" s="358"/>
      <c r="I44" s="358"/>
      <c r="J44" s="358"/>
      <c r="K44" s="359"/>
    </row>
    <row r="45" spans="1:11" s="360" customFormat="1">
      <c r="A45" s="364" t="s">
        <v>150</v>
      </c>
      <c r="B45" s="361">
        <f>'Sources and Uses Budget'!C45</f>
        <v>3272118</v>
      </c>
      <c r="C45" s="362"/>
      <c r="D45" s="362"/>
      <c r="E45" s="361">
        <f>'Sources and Uses Budget'!S45</f>
        <v>2142491</v>
      </c>
      <c r="F45" s="362"/>
      <c r="G45" s="362"/>
      <c r="H45" s="361">
        <f>'Sources and Uses Budget'!T45</f>
        <v>0</v>
      </c>
      <c r="I45" s="362"/>
      <c r="J45" s="362"/>
      <c r="K45" s="359"/>
    </row>
    <row r="46" spans="1:11" s="360" customFormat="1">
      <c r="A46" s="364" t="s">
        <v>151</v>
      </c>
      <c r="B46" s="361">
        <f>'Sources and Uses Budget'!C46</f>
        <v>434385</v>
      </c>
      <c r="C46" s="362"/>
      <c r="D46" s="362"/>
      <c r="E46" s="361">
        <f>'Sources and Uses Budget'!S46</f>
        <v>284424</v>
      </c>
      <c r="F46" s="362"/>
      <c r="G46" s="362"/>
      <c r="H46" s="361">
        <f>'Sources and Uses Budget'!T46</f>
        <v>0</v>
      </c>
      <c r="I46" s="362"/>
      <c r="J46" s="362"/>
      <c r="K46" s="359"/>
    </row>
    <row r="47" spans="1:11" s="360" customFormat="1" ht="12" customHeight="1">
      <c r="A47" s="364" t="s">
        <v>152</v>
      </c>
      <c r="B47" s="361">
        <f>'Sources and Uses Budget'!C47</f>
        <v>0</v>
      </c>
      <c r="C47" s="362"/>
      <c r="D47" s="362"/>
      <c r="E47" s="361">
        <f>'Sources and Uses Budget'!S47</f>
        <v>0</v>
      </c>
      <c r="F47" s="362"/>
      <c r="G47" s="362"/>
      <c r="H47" s="361">
        <f>'Sources and Uses Budget'!T47</f>
        <v>0</v>
      </c>
      <c r="I47" s="362"/>
      <c r="J47" s="362"/>
      <c r="K47" s="359"/>
    </row>
    <row r="48" spans="1:11" s="360" customFormat="1">
      <c r="A48" s="364" t="s">
        <v>153</v>
      </c>
      <c r="B48" s="361">
        <f>'Sources and Uses Budget'!C48</f>
        <v>396195</v>
      </c>
      <c r="C48" s="362"/>
      <c r="D48" s="362"/>
      <c r="E48" s="361">
        <f>'Sources and Uses Budget'!S48</f>
        <v>396195</v>
      </c>
      <c r="F48" s="362"/>
      <c r="G48" s="362"/>
      <c r="H48" s="361">
        <f>'Sources and Uses Budget'!T48</f>
        <v>0</v>
      </c>
      <c r="I48" s="362"/>
      <c r="J48" s="362"/>
      <c r="K48" s="359"/>
    </row>
    <row r="49" spans="1:11" s="360" customFormat="1">
      <c r="A49" s="283" t="s">
        <v>57</v>
      </c>
      <c r="B49" s="361">
        <f>'Sources and Uses Budget'!C49</f>
        <v>245000</v>
      </c>
      <c r="C49" s="362"/>
      <c r="D49" s="362"/>
      <c r="E49" s="361">
        <f>'Sources and Uses Budget'!S49</f>
        <v>0</v>
      </c>
      <c r="F49" s="362"/>
      <c r="G49" s="362"/>
      <c r="H49" s="361">
        <f>'Sources and Uses Budget'!T49</f>
        <v>0</v>
      </c>
      <c r="I49" s="362"/>
      <c r="J49" s="362"/>
      <c r="K49" s="359"/>
    </row>
    <row r="50" spans="1:11" s="360" customFormat="1">
      <c r="A50" s="364" t="s">
        <v>156</v>
      </c>
      <c r="B50" s="361">
        <f>'Sources and Uses Budget'!C50</f>
        <v>50000</v>
      </c>
      <c r="C50" s="362"/>
      <c r="D50" s="362"/>
      <c r="E50" s="361">
        <f>'Sources and Uses Budget'!S50</f>
        <v>25000</v>
      </c>
      <c r="F50" s="362"/>
      <c r="G50" s="362"/>
      <c r="H50" s="361">
        <f>'Sources and Uses Budget'!T50</f>
        <v>0</v>
      </c>
      <c r="I50" s="362"/>
      <c r="J50" s="362"/>
      <c r="K50" s="359"/>
    </row>
    <row r="51" spans="1:11" s="360" customFormat="1">
      <c r="A51" s="364" t="s">
        <v>154</v>
      </c>
      <c r="B51" s="361">
        <f>'Sources and Uses Budget'!C51</f>
        <v>0</v>
      </c>
      <c r="C51" s="362"/>
      <c r="D51" s="362"/>
      <c r="E51" s="361">
        <f>'Sources and Uses Budget'!S51</f>
        <v>0</v>
      </c>
      <c r="F51" s="362"/>
      <c r="G51" s="362"/>
      <c r="H51" s="361">
        <f>'Sources and Uses Budget'!T51</f>
        <v>0</v>
      </c>
      <c r="I51" s="362"/>
      <c r="J51" s="362"/>
      <c r="K51" s="359"/>
    </row>
    <row r="52" spans="1:11" s="360" customFormat="1">
      <c r="A52" s="364" t="s">
        <v>155</v>
      </c>
      <c r="B52" s="361">
        <f>'Sources and Uses Budget'!C52</f>
        <v>0</v>
      </c>
      <c r="C52" s="362"/>
      <c r="D52" s="362"/>
      <c r="E52" s="361">
        <f>'Sources and Uses Budget'!S52</f>
        <v>0</v>
      </c>
      <c r="F52" s="362"/>
      <c r="G52" s="362"/>
      <c r="H52" s="361">
        <f>'Sources and Uses Budget'!T52</f>
        <v>0</v>
      </c>
      <c r="I52" s="362"/>
      <c r="J52" s="362"/>
      <c r="K52" s="359"/>
    </row>
    <row r="53" spans="1:11" s="360" customFormat="1">
      <c r="A53" s="364" t="str">
        <f>'Sources and Uses Budget'!$A53</f>
        <v>Other: (Specify)</v>
      </c>
      <c r="B53" s="361">
        <f>'Sources and Uses Budget'!C53</f>
        <v>0</v>
      </c>
      <c r="C53" s="362"/>
      <c r="D53" s="362"/>
      <c r="E53" s="361">
        <f>'Sources and Uses Budget'!S53</f>
        <v>0</v>
      </c>
      <c r="F53" s="362"/>
      <c r="G53" s="362"/>
      <c r="H53" s="361">
        <f>'Sources and Uses Budget'!T53</f>
        <v>0</v>
      </c>
      <c r="I53" s="362"/>
      <c r="J53" s="362"/>
      <c r="K53" s="359"/>
    </row>
    <row r="54" spans="1:11" s="369" customFormat="1">
      <c r="A54" s="365" t="s">
        <v>157</v>
      </c>
      <c r="B54" s="361">
        <f>'Sources and Uses Budget'!C54</f>
        <v>4397698</v>
      </c>
      <c r="C54" s="367">
        <f>SUM(C45:C53)</f>
        <v>0</v>
      </c>
      <c r="D54" s="367">
        <f>SUM(D45:D53)</f>
        <v>0</v>
      </c>
      <c r="E54" s="361">
        <f>'Sources and Uses Budget'!S54</f>
        <v>2848110</v>
      </c>
      <c r="F54" s="367">
        <f>SUM(F45:F53)</f>
        <v>0</v>
      </c>
      <c r="G54" s="367">
        <f>SUM(G45:G53)</f>
        <v>0</v>
      </c>
      <c r="H54" s="361">
        <f>'Sources and Uses Budget'!T54</f>
        <v>0</v>
      </c>
      <c r="I54" s="367">
        <f>SUM(I45:I53)</f>
        <v>0</v>
      </c>
      <c r="J54" s="367">
        <f>SUM(J45:J53)</f>
        <v>0</v>
      </c>
      <c r="K54" s="368"/>
    </row>
    <row r="55" spans="1:11" s="360" customFormat="1">
      <c r="A55" s="357" t="s">
        <v>417</v>
      </c>
      <c r="B55" s="358"/>
      <c r="C55" s="358"/>
      <c r="D55" s="358"/>
      <c r="E55" s="358"/>
      <c r="F55" s="358"/>
      <c r="G55" s="358"/>
      <c r="H55" s="358"/>
      <c r="I55" s="358"/>
      <c r="J55" s="358"/>
      <c r="K55" s="359"/>
    </row>
    <row r="56" spans="1:11" s="360" customFormat="1">
      <c r="A56" s="364" t="s">
        <v>158</v>
      </c>
      <c r="B56" s="361">
        <f>'Sources and Uses Budget'!C56</f>
        <v>295534</v>
      </c>
      <c r="C56" s="362"/>
      <c r="D56" s="362"/>
      <c r="E56" s="363"/>
      <c r="F56" s="363"/>
      <c r="G56" s="363"/>
      <c r="H56" s="363"/>
      <c r="I56" s="363"/>
      <c r="J56" s="363"/>
      <c r="K56" s="359"/>
    </row>
    <row r="57" spans="1:11" s="360" customFormat="1" ht="12" customHeight="1">
      <c r="A57" s="364" t="s">
        <v>152</v>
      </c>
      <c r="B57" s="361">
        <f>'Sources and Uses Budget'!C57</f>
        <v>0</v>
      </c>
      <c r="C57" s="362"/>
      <c r="D57" s="362"/>
      <c r="E57" s="363"/>
      <c r="F57" s="363"/>
      <c r="G57" s="363"/>
      <c r="H57" s="363"/>
      <c r="I57" s="363"/>
      <c r="J57" s="363"/>
      <c r="K57" s="359"/>
    </row>
    <row r="58" spans="1:11" s="360" customFormat="1">
      <c r="A58" s="364" t="s">
        <v>156</v>
      </c>
      <c r="B58" s="361">
        <f>'Sources and Uses Budget'!C58</f>
        <v>10000</v>
      </c>
      <c r="C58" s="362"/>
      <c r="D58" s="362"/>
      <c r="E58" s="363"/>
      <c r="F58" s="363"/>
      <c r="G58" s="363"/>
      <c r="H58" s="363"/>
      <c r="I58" s="363"/>
      <c r="J58" s="363"/>
      <c r="K58" s="359"/>
    </row>
    <row r="59" spans="1:11" s="360" customFormat="1">
      <c r="A59" s="364" t="s">
        <v>154</v>
      </c>
      <c r="B59" s="361">
        <f>'Sources and Uses Budget'!C59</f>
        <v>0</v>
      </c>
      <c r="C59" s="362"/>
      <c r="D59" s="362"/>
      <c r="E59" s="363"/>
      <c r="F59" s="363"/>
      <c r="G59" s="363"/>
      <c r="H59" s="363"/>
      <c r="I59" s="363"/>
      <c r="J59" s="363"/>
      <c r="K59" s="359"/>
    </row>
    <row r="60" spans="1:11" s="360" customFormat="1">
      <c r="A60" s="364" t="s">
        <v>155</v>
      </c>
      <c r="B60" s="361">
        <f>'Sources and Uses Budget'!C60</f>
        <v>0</v>
      </c>
      <c r="C60" s="362"/>
      <c r="D60" s="362"/>
      <c r="E60" s="363"/>
      <c r="F60" s="363"/>
      <c r="G60" s="363"/>
      <c r="H60" s="363"/>
      <c r="I60" s="363"/>
      <c r="J60" s="363"/>
      <c r="K60" s="359"/>
    </row>
    <row r="61" spans="1:11" s="360" customFormat="1">
      <c r="A61" s="364" t="str">
        <f>'Sources and Uses Budget'!$A61</f>
        <v>Other: (Specify)</v>
      </c>
      <c r="B61" s="361">
        <f>'Sources and Uses Budget'!C61</f>
        <v>0</v>
      </c>
      <c r="C61" s="362"/>
      <c r="D61" s="362"/>
      <c r="E61" s="363"/>
      <c r="F61" s="363"/>
      <c r="G61" s="363"/>
      <c r="H61" s="363"/>
      <c r="I61" s="363"/>
      <c r="J61" s="363"/>
      <c r="K61" s="359"/>
    </row>
    <row r="62" spans="1:11" s="360" customFormat="1" ht="13.7" customHeight="1">
      <c r="A62" s="365" t="s">
        <v>300</v>
      </c>
      <c r="B62" s="361">
        <f>'Sources and Uses Budget'!C62</f>
        <v>305534</v>
      </c>
      <c r="C62" s="361">
        <f>SUM(C56:C61)</f>
        <v>0</v>
      </c>
      <c r="D62" s="361">
        <f>SUM(D56:D61)</f>
        <v>0</v>
      </c>
      <c r="E62" s="363"/>
      <c r="F62" s="363"/>
      <c r="G62" s="363"/>
      <c r="H62" s="363"/>
      <c r="I62" s="363"/>
      <c r="J62" s="363"/>
      <c r="K62" s="359"/>
    </row>
    <row r="63" spans="1:11" s="360" customFormat="1">
      <c r="A63" s="370" t="s">
        <v>301</v>
      </c>
      <c r="B63" s="361">
        <f>'Sources and Uses Budget'!C63</f>
        <v>36983385</v>
      </c>
      <c r="C63" s="361">
        <f>SUM(C8+C11+C13+C14+C15+C26+C27+C38+C42+C43+C54+C62)</f>
        <v>0</v>
      </c>
      <c r="D63" s="361">
        <f>SUM(D8+D11+D13+D14+D15+D26+D27+D38+D42+D43+D54+D62)</f>
        <v>0</v>
      </c>
      <c r="E63" s="361">
        <f>'Sources and Uses Budget'!S63</f>
        <v>34808263</v>
      </c>
      <c r="F63" s="361">
        <f>SUM(F10+F13+F14+F15+F26+F27+F38+F42+F43+F54)</f>
        <v>0</v>
      </c>
      <c r="G63" s="361">
        <f>SUM(G10+G13+G14+G15+G26+G27+G38+G42+G43+G54)</f>
        <v>0</v>
      </c>
      <c r="H63" s="361">
        <f>'Sources and Uses Budget'!T63</f>
        <v>0</v>
      </c>
      <c r="I63" s="361">
        <f>SUM(I11+I13+I14+I15+I26+I27+I38+I42+I43+I54)</f>
        <v>0</v>
      </c>
      <c r="J63" s="361">
        <f>SUM(J11+J13+J14+J15+J26+J27+J38+J42+J43+J54)</f>
        <v>0</v>
      </c>
      <c r="K63" s="359"/>
    </row>
    <row r="64" spans="1:11" s="360" customFormat="1" ht="24">
      <c r="A64" s="141" t="s">
        <v>1644</v>
      </c>
      <c r="B64" s="358"/>
      <c r="C64" s="358"/>
      <c r="D64" s="358"/>
      <c r="E64" s="358"/>
      <c r="F64" s="358"/>
      <c r="G64" s="358"/>
      <c r="H64" s="358"/>
      <c r="I64" s="358"/>
      <c r="J64" s="358"/>
      <c r="K64" s="359"/>
    </row>
    <row r="65" spans="1:11" s="360" customFormat="1">
      <c r="A65" s="145" t="s">
        <v>170</v>
      </c>
      <c r="B65" s="361">
        <f>'Sources and Uses Budget'!C65</f>
        <v>450000</v>
      </c>
      <c r="C65" s="362"/>
      <c r="D65" s="362"/>
      <c r="E65" s="361">
        <f>'Sources and Uses Budget'!S65</f>
        <v>400000</v>
      </c>
      <c r="F65" s="362"/>
      <c r="G65" s="362"/>
      <c r="H65" s="361">
        <f>'Sources and Uses Budget'!T65</f>
        <v>0</v>
      </c>
      <c r="I65" s="362"/>
      <c r="J65" s="362"/>
      <c r="K65" s="359"/>
    </row>
    <row r="66" spans="1:11" s="360" customFormat="1" ht="24">
      <c r="A66" s="283" t="s">
        <v>1641</v>
      </c>
      <c r="B66" s="361">
        <f>'Sources and Uses Budget'!C66</f>
        <v>300000</v>
      </c>
      <c r="C66" s="362"/>
      <c r="D66" s="362"/>
      <c r="E66" s="361">
        <f>'Sources and Uses Budget'!S66</f>
        <v>300000</v>
      </c>
      <c r="F66" s="362"/>
      <c r="G66" s="362"/>
      <c r="H66" s="361">
        <f>'Sources and Uses Budget'!T66</f>
        <v>0</v>
      </c>
      <c r="I66" s="362"/>
      <c r="J66" s="362"/>
      <c r="K66" s="359"/>
    </row>
    <row r="67" spans="1:11" s="360" customFormat="1" ht="24">
      <c r="A67" s="283" t="s">
        <v>1642</v>
      </c>
      <c r="B67" s="361">
        <f>'Sources and Uses Budget'!C67</f>
        <v>0</v>
      </c>
      <c r="C67" s="362"/>
      <c r="D67" s="362"/>
      <c r="E67" s="361">
        <f>'Sources and Uses Budget'!S67</f>
        <v>0</v>
      </c>
      <c r="F67" s="362"/>
      <c r="G67" s="362"/>
      <c r="H67" s="361">
        <f>'Sources and Uses Budget'!T67</f>
        <v>0</v>
      </c>
      <c r="I67" s="362"/>
      <c r="J67" s="362"/>
      <c r="K67" s="359"/>
    </row>
    <row r="68" spans="1:11" s="360" customFormat="1">
      <c r="A68" s="283" t="s">
        <v>1648</v>
      </c>
      <c r="B68" s="361">
        <f>'Sources and Uses Budget'!C68</f>
        <v>0</v>
      </c>
      <c r="C68" s="362"/>
      <c r="D68" s="362"/>
      <c r="E68" s="361">
        <f>'Sources and Uses Budget'!S68</f>
        <v>0</v>
      </c>
      <c r="F68" s="362"/>
      <c r="G68" s="362"/>
      <c r="H68" s="361">
        <f>'Sources and Uses Budget'!T68</f>
        <v>0</v>
      </c>
      <c r="I68" s="362"/>
      <c r="J68" s="362"/>
      <c r="K68" s="359"/>
    </row>
    <row r="69" spans="1:11" s="360" customFormat="1">
      <c r="A69" s="364" t="str">
        <f>'Sources and Uses Budget'!$A69</f>
        <v>Other: (Specify)</v>
      </c>
      <c r="B69" s="361">
        <f>'Sources and Uses Budget'!C69</f>
        <v>0</v>
      </c>
      <c r="C69" s="362"/>
      <c r="D69" s="362"/>
      <c r="E69" s="361">
        <f>'Sources and Uses Budget'!S69</f>
        <v>0</v>
      </c>
      <c r="F69" s="362"/>
      <c r="G69" s="362"/>
      <c r="H69" s="361">
        <f>'Sources and Uses Budget'!T69</f>
        <v>0</v>
      </c>
      <c r="I69" s="362"/>
      <c r="J69" s="362"/>
      <c r="K69" s="359"/>
    </row>
    <row r="70" spans="1:11" s="360" customFormat="1">
      <c r="A70" s="365" t="s">
        <v>601</v>
      </c>
      <c r="B70" s="361">
        <f>'Sources and Uses Budget'!C70</f>
        <v>750000</v>
      </c>
      <c r="C70" s="361">
        <f>SUM(C64:C69)</f>
        <v>0</v>
      </c>
      <c r="D70" s="361">
        <f>SUM(D64:D69)</f>
        <v>0</v>
      </c>
      <c r="E70" s="361">
        <f>'Sources and Uses Budget'!S70</f>
        <v>700000</v>
      </c>
      <c r="F70" s="367">
        <f>SUM(F65:F69)</f>
        <v>0</v>
      </c>
      <c r="G70" s="367">
        <f>SUM(G65:G69)</f>
        <v>0</v>
      </c>
      <c r="H70" s="361">
        <f>'Sources and Uses Budget'!T70</f>
        <v>0</v>
      </c>
      <c r="I70" s="367">
        <f>SUM(I65:I69)</f>
        <v>0</v>
      </c>
      <c r="J70" s="367">
        <f>SUM(J65:J69)</f>
        <v>0</v>
      </c>
      <c r="K70" s="359"/>
    </row>
    <row r="71" spans="1:11" s="360" customFormat="1">
      <c r="A71" s="357" t="s">
        <v>602</v>
      </c>
      <c r="B71" s="358"/>
      <c r="C71" s="358"/>
      <c r="D71" s="358"/>
      <c r="E71" s="358"/>
      <c r="F71" s="358"/>
      <c r="G71" s="358"/>
      <c r="H71" s="358"/>
      <c r="I71" s="358"/>
      <c r="J71" s="358"/>
      <c r="K71" s="359"/>
    </row>
    <row r="72" spans="1:11" s="360" customFormat="1">
      <c r="A72" s="364" t="s">
        <v>603</v>
      </c>
      <c r="B72" s="361">
        <f>'Sources and Uses Budget'!C72</f>
        <v>0</v>
      </c>
      <c r="C72" s="362"/>
      <c r="D72" s="362"/>
      <c r="E72" s="363"/>
      <c r="F72" s="363"/>
      <c r="G72" s="363"/>
      <c r="H72" s="363"/>
      <c r="I72" s="363"/>
      <c r="J72" s="363"/>
      <c r="K72" s="359"/>
    </row>
    <row r="73" spans="1:11" s="360" customFormat="1">
      <c r="A73" s="364" t="s">
        <v>604</v>
      </c>
      <c r="B73" s="361">
        <f>'Sources and Uses Budget'!C73</f>
        <v>0</v>
      </c>
      <c r="C73" s="362"/>
      <c r="D73" s="362"/>
      <c r="E73" s="363"/>
      <c r="F73" s="363"/>
      <c r="G73" s="363"/>
      <c r="H73" s="363"/>
      <c r="I73" s="363"/>
      <c r="J73" s="363"/>
      <c r="K73" s="359"/>
    </row>
    <row r="74" spans="1:11" s="360" customFormat="1">
      <c r="A74" s="366" t="s">
        <v>986</v>
      </c>
      <c r="B74" s="361">
        <f>'Sources and Uses Budget'!C74</f>
        <v>0</v>
      </c>
      <c r="C74" s="362"/>
      <c r="D74" s="362"/>
      <c r="E74" s="363"/>
      <c r="F74" s="363"/>
      <c r="G74" s="363"/>
      <c r="H74" s="363"/>
      <c r="I74" s="363"/>
      <c r="J74" s="363"/>
      <c r="K74" s="359"/>
    </row>
    <row r="75" spans="1:11" s="360" customFormat="1">
      <c r="A75" s="364" t="s">
        <v>605</v>
      </c>
      <c r="B75" s="361">
        <f>'Sources and Uses Budget'!C75</f>
        <v>692204</v>
      </c>
      <c r="C75" s="362"/>
      <c r="D75" s="362"/>
      <c r="E75" s="363"/>
      <c r="F75" s="363"/>
      <c r="G75" s="363"/>
      <c r="H75" s="363"/>
      <c r="I75" s="363"/>
      <c r="J75" s="363"/>
      <c r="K75" s="359"/>
    </row>
    <row r="76" spans="1:11" s="360" customFormat="1">
      <c r="A76" s="364" t="str">
        <f>'Sources and Uses Budget'!$A76</f>
        <v>Other: (Specify)</v>
      </c>
      <c r="B76" s="361">
        <f>'Sources and Uses Budget'!C76</f>
        <v>0</v>
      </c>
      <c r="C76" s="362"/>
      <c r="D76" s="362"/>
      <c r="E76" s="363"/>
      <c r="F76" s="363"/>
      <c r="G76" s="363"/>
      <c r="H76" s="363"/>
      <c r="I76" s="363"/>
      <c r="J76" s="363"/>
      <c r="K76" s="359"/>
    </row>
    <row r="77" spans="1:11" s="360" customFormat="1">
      <c r="A77" s="365" t="s">
        <v>606</v>
      </c>
      <c r="B77" s="361">
        <f>'Sources and Uses Budget'!C77</f>
        <v>692204</v>
      </c>
      <c r="C77" s="361">
        <f>SUM(C72:C76)</f>
        <v>0</v>
      </c>
      <c r="D77" s="361">
        <f>SUM(D72:D76)</f>
        <v>0</v>
      </c>
      <c r="E77" s="363"/>
      <c r="F77" s="363"/>
      <c r="G77" s="363"/>
      <c r="H77" s="363"/>
      <c r="I77" s="363"/>
      <c r="J77" s="363"/>
      <c r="K77" s="359"/>
    </row>
    <row r="78" spans="1:11" s="360" customFormat="1">
      <c r="A78" s="357" t="s">
        <v>1210</v>
      </c>
      <c r="B78" s="358"/>
      <c r="C78" s="358"/>
      <c r="D78" s="358"/>
      <c r="E78" s="358"/>
      <c r="F78" s="358"/>
      <c r="G78" s="358"/>
      <c r="H78" s="358"/>
      <c r="I78" s="358"/>
      <c r="J78" s="358"/>
      <c r="K78" s="359"/>
    </row>
    <row r="79" spans="1:11" s="360" customFormat="1">
      <c r="A79" s="364" t="s">
        <v>1212</v>
      </c>
      <c r="B79" s="361">
        <f>'Sources and Uses Budget'!C79</f>
        <v>1560000</v>
      </c>
      <c r="C79" s="362"/>
      <c r="D79" s="362"/>
      <c r="E79" s="361">
        <f>'Sources and Uses Budget'!S79</f>
        <v>1560000</v>
      </c>
      <c r="F79" s="362"/>
      <c r="G79" s="362"/>
      <c r="H79" s="361">
        <f>'Sources and Uses Budget'!T79</f>
        <v>0</v>
      </c>
      <c r="I79" s="362"/>
      <c r="J79" s="362"/>
      <c r="K79" s="359"/>
    </row>
    <row r="80" spans="1:11" s="360" customFormat="1">
      <c r="A80" s="364" t="s">
        <v>58</v>
      </c>
      <c r="B80" s="361">
        <f>'Sources and Uses Budget'!C80</f>
        <v>500000</v>
      </c>
      <c r="C80" s="362"/>
      <c r="D80" s="362"/>
      <c r="E80" s="361">
        <f>'Sources and Uses Budget'!S80</f>
        <v>250076</v>
      </c>
      <c r="F80" s="362"/>
      <c r="G80" s="362"/>
      <c r="H80" s="361">
        <f>'Sources and Uses Budget'!T80</f>
        <v>0</v>
      </c>
      <c r="I80" s="362"/>
      <c r="J80" s="362"/>
      <c r="K80" s="359"/>
    </row>
    <row r="81" spans="1:11" s="360" customFormat="1">
      <c r="A81" s="365" t="s">
        <v>1209</v>
      </c>
      <c r="B81" s="361">
        <f>'Sources and Uses Budget'!C81</f>
        <v>2060000</v>
      </c>
      <c r="C81" s="361">
        <f>SUM(C79:C80)</f>
        <v>0</v>
      </c>
      <c r="D81" s="361">
        <f>SUM(D79:D80)</f>
        <v>0</v>
      </c>
      <c r="E81" s="361">
        <f>'Sources and Uses Budget'!S81</f>
        <v>1810076</v>
      </c>
      <c r="F81" s="361">
        <f>SUM(F79:F80)</f>
        <v>0</v>
      </c>
      <c r="G81" s="361">
        <f>SUM(G79:G80)</f>
        <v>0</v>
      </c>
      <c r="H81" s="361">
        <f>'Sources and Uses Budget'!T81</f>
        <v>0</v>
      </c>
      <c r="I81" s="361">
        <f>SUM(I79:I80)</f>
        <v>0</v>
      </c>
      <c r="J81" s="361">
        <f>SUM(J79:J80)</f>
        <v>0</v>
      </c>
      <c r="K81" s="359"/>
    </row>
    <row r="82" spans="1:11" s="360" customFormat="1">
      <c r="A82" s="357" t="s">
        <v>765</v>
      </c>
      <c r="B82" s="358"/>
      <c r="C82" s="358"/>
      <c r="D82" s="358"/>
      <c r="E82" s="358"/>
      <c r="F82" s="358"/>
      <c r="G82" s="358"/>
      <c r="H82" s="358"/>
      <c r="I82" s="358"/>
      <c r="J82" s="358"/>
      <c r="K82" s="359"/>
    </row>
    <row r="83" spans="1:11" s="360" customFormat="1" ht="13.7" customHeight="1">
      <c r="A83" s="145" t="s">
        <v>2095</v>
      </c>
      <c r="B83" s="361">
        <f>'Sources and Uses Budget'!C83</f>
        <v>206771</v>
      </c>
      <c r="C83" s="362"/>
      <c r="D83" s="362"/>
      <c r="E83" s="363"/>
      <c r="F83" s="363"/>
      <c r="G83" s="363"/>
      <c r="H83" s="363"/>
      <c r="I83" s="363"/>
      <c r="J83" s="363"/>
      <c r="K83" s="359"/>
    </row>
    <row r="84" spans="1:11" s="360" customFormat="1">
      <c r="A84" s="145" t="s">
        <v>767</v>
      </c>
      <c r="B84" s="361">
        <f>'Sources and Uses Budget'!C84</f>
        <v>0</v>
      </c>
      <c r="C84" s="362"/>
      <c r="D84" s="362"/>
      <c r="E84" s="361">
        <f>'Sources and Uses Budget'!S84</f>
        <v>0</v>
      </c>
      <c r="F84" s="362"/>
      <c r="G84" s="362"/>
      <c r="H84" s="361">
        <f>'Sources and Uses Budget'!T84</f>
        <v>0</v>
      </c>
      <c r="I84" s="362"/>
      <c r="J84" s="362"/>
      <c r="K84" s="359"/>
    </row>
    <row r="85" spans="1:11" s="360" customFormat="1">
      <c r="A85" s="145" t="s">
        <v>768</v>
      </c>
      <c r="B85" s="361">
        <f>'Sources and Uses Budget'!C85</f>
        <v>2500000</v>
      </c>
      <c r="C85" s="362"/>
      <c r="D85" s="362"/>
      <c r="E85" s="361">
        <f>'Sources and Uses Budget'!S85</f>
        <v>2500000</v>
      </c>
      <c r="F85" s="362"/>
      <c r="G85" s="362"/>
      <c r="H85" s="361">
        <f>'Sources and Uses Budget'!T85</f>
        <v>0</v>
      </c>
      <c r="I85" s="362"/>
      <c r="J85" s="362"/>
      <c r="K85" s="359"/>
    </row>
    <row r="86" spans="1:11" s="360" customFormat="1">
      <c r="A86" s="145" t="s">
        <v>769</v>
      </c>
      <c r="B86" s="361">
        <f>'Sources and Uses Budget'!C86</f>
        <v>900000</v>
      </c>
      <c r="C86" s="362"/>
      <c r="D86" s="362"/>
      <c r="E86" s="361">
        <f>'Sources and Uses Budget'!S86</f>
        <v>900000</v>
      </c>
      <c r="F86" s="362"/>
      <c r="G86" s="362"/>
      <c r="H86" s="361">
        <f>'Sources and Uses Budget'!T86</f>
        <v>0</v>
      </c>
      <c r="I86" s="362"/>
      <c r="J86" s="362"/>
      <c r="K86" s="359"/>
    </row>
    <row r="87" spans="1:11" s="360" customFormat="1">
      <c r="A87" s="145" t="s">
        <v>770</v>
      </c>
      <c r="B87" s="361">
        <f>'Sources and Uses Budget'!C87</f>
        <v>0</v>
      </c>
      <c r="C87" s="362"/>
      <c r="D87" s="362"/>
      <c r="E87" s="361">
        <f>'Sources and Uses Budget'!S87</f>
        <v>0</v>
      </c>
      <c r="F87" s="362"/>
      <c r="G87" s="362"/>
      <c r="H87" s="361">
        <f>'Sources and Uses Budget'!T87</f>
        <v>0</v>
      </c>
      <c r="I87" s="362"/>
      <c r="J87" s="362"/>
      <c r="K87" s="359"/>
    </row>
    <row r="88" spans="1:11" s="360" customFormat="1">
      <c r="A88" s="145" t="s">
        <v>771</v>
      </c>
      <c r="B88" s="361">
        <f>'Sources and Uses Budget'!C88</f>
        <v>100000</v>
      </c>
      <c r="C88" s="362"/>
      <c r="D88" s="362"/>
      <c r="E88" s="363"/>
      <c r="F88" s="363"/>
      <c r="G88" s="363"/>
      <c r="H88" s="363"/>
      <c r="I88" s="363"/>
      <c r="J88" s="363"/>
      <c r="K88" s="359"/>
    </row>
    <row r="89" spans="1:11" s="360" customFormat="1">
      <c r="A89" s="145" t="s">
        <v>772</v>
      </c>
      <c r="B89" s="361">
        <f>'Sources and Uses Budget'!C89</f>
        <v>150000</v>
      </c>
      <c r="C89" s="362"/>
      <c r="D89" s="362"/>
      <c r="E89" s="361">
        <f>'Sources and Uses Budget'!S89</f>
        <v>150000</v>
      </c>
      <c r="F89" s="362"/>
      <c r="G89" s="362"/>
      <c r="H89" s="361">
        <f>'Sources and Uses Budget'!T89</f>
        <v>0</v>
      </c>
      <c r="I89" s="362"/>
      <c r="J89" s="362"/>
      <c r="K89" s="359"/>
    </row>
    <row r="90" spans="1:11" s="360" customFormat="1">
      <c r="A90" s="145" t="s">
        <v>773</v>
      </c>
      <c r="B90" s="361">
        <f>'Sources and Uses Budget'!C90</f>
        <v>15000</v>
      </c>
      <c r="C90" s="362"/>
      <c r="D90" s="362"/>
      <c r="E90" s="361">
        <f>'Sources and Uses Budget'!S90</f>
        <v>15000</v>
      </c>
      <c r="F90" s="362"/>
      <c r="G90" s="362"/>
      <c r="H90" s="361">
        <f>'Sources and Uses Budget'!T90</f>
        <v>0</v>
      </c>
      <c r="I90" s="362"/>
      <c r="J90" s="362"/>
      <c r="K90" s="359"/>
    </row>
    <row r="91" spans="1:11" s="360" customFormat="1">
      <c r="A91" s="155" t="s">
        <v>371</v>
      </c>
      <c r="B91" s="361">
        <f>'Sources and Uses Budget'!C91</f>
        <v>55000</v>
      </c>
      <c r="C91" s="362"/>
      <c r="D91" s="362"/>
      <c r="E91" s="361">
        <f>'Sources and Uses Budget'!S91</f>
        <v>35000</v>
      </c>
      <c r="F91" s="362"/>
      <c r="G91" s="362"/>
      <c r="H91" s="361">
        <f>'Sources and Uses Budget'!T91</f>
        <v>0</v>
      </c>
      <c r="I91" s="362"/>
      <c r="J91" s="362"/>
      <c r="K91" s="359"/>
    </row>
    <row r="92" spans="1:11" s="360" customFormat="1">
      <c r="A92" s="508" t="s">
        <v>1211</v>
      </c>
      <c r="B92" s="361">
        <f>'Sources and Uses Budget'!C92</f>
        <v>15000</v>
      </c>
      <c r="C92" s="362"/>
      <c r="D92" s="362"/>
      <c r="E92" s="361">
        <f>'Sources and Uses Budget'!S92</f>
        <v>0</v>
      </c>
      <c r="F92" s="362"/>
      <c r="G92" s="362"/>
      <c r="H92" s="361">
        <f>'Sources and Uses Budget'!T92</f>
        <v>0</v>
      </c>
      <c r="I92" s="362"/>
      <c r="J92" s="362"/>
      <c r="K92" s="359"/>
    </row>
    <row r="93" spans="1:11" s="360" customFormat="1">
      <c r="A93" s="364" t="str">
        <f>'Sources and Uses Budget'!$A93</f>
        <v>Other: (MIP Loan Fee)</v>
      </c>
      <c r="B93" s="361">
        <f>'Sources and Uses Budget'!C93</f>
        <v>40000</v>
      </c>
      <c r="C93" s="362"/>
      <c r="D93" s="362"/>
      <c r="E93" s="361">
        <f>'Sources and Uses Budget'!S93</f>
        <v>0</v>
      </c>
      <c r="F93" s="362"/>
      <c r="G93" s="362"/>
      <c r="H93" s="361">
        <f>'Sources and Uses Budget'!T93</f>
        <v>0</v>
      </c>
      <c r="I93" s="362"/>
      <c r="J93" s="362"/>
      <c r="K93" s="359"/>
    </row>
    <row r="94" spans="1:11" s="360" customFormat="1">
      <c r="A94" s="364" t="str">
        <f>'Sources and Uses Budget'!$A94</f>
        <v>Other: (Specify)</v>
      </c>
      <c r="B94" s="361">
        <f>'Sources and Uses Budget'!C94</f>
        <v>0</v>
      </c>
      <c r="C94" s="362"/>
      <c r="D94" s="362"/>
      <c r="E94" s="361">
        <f>'Sources and Uses Budget'!S94</f>
        <v>0</v>
      </c>
      <c r="F94" s="362"/>
      <c r="G94" s="362"/>
      <c r="H94" s="361">
        <f>'Sources and Uses Budget'!T94</f>
        <v>0</v>
      </c>
      <c r="I94" s="362"/>
      <c r="J94" s="362"/>
      <c r="K94" s="359"/>
    </row>
    <row r="95" spans="1:11" s="360" customFormat="1">
      <c r="A95" s="364" t="str">
        <f>'Sources and Uses Budget'!$A95</f>
        <v>Other: (Specify)</v>
      </c>
      <c r="B95" s="361">
        <f>'Sources and Uses Budget'!C95</f>
        <v>0</v>
      </c>
      <c r="C95" s="362"/>
      <c r="D95" s="362"/>
      <c r="E95" s="361">
        <f>'Sources and Uses Budget'!S95</f>
        <v>0</v>
      </c>
      <c r="F95" s="362"/>
      <c r="G95" s="362"/>
      <c r="H95" s="361">
        <f>'Sources and Uses Budget'!T95</f>
        <v>0</v>
      </c>
      <c r="I95" s="362"/>
      <c r="J95" s="362"/>
      <c r="K95" s="359"/>
    </row>
    <row r="96" spans="1:11" s="360" customFormat="1">
      <c r="A96" s="365" t="s">
        <v>774</v>
      </c>
      <c r="B96" s="361">
        <f>'Sources and Uses Budget'!C96</f>
        <v>3981771</v>
      </c>
      <c r="C96" s="361">
        <f>SUM(C83:C95)</f>
        <v>0</v>
      </c>
      <c r="D96" s="361">
        <f>SUM(D83:D95)</f>
        <v>0</v>
      </c>
      <c r="E96" s="361">
        <f>'Sources and Uses Budget'!S96</f>
        <v>3600000</v>
      </c>
      <c r="F96" s="367">
        <f>SUM(F84:F87,F89:F95)</f>
        <v>0</v>
      </c>
      <c r="G96" s="367">
        <f>SUM(G84:G87,G89:G95)</f>
        <v>0</v>
      </c>
      <c r="H96" s="361">
        <f>'Sources and Uses Budget'!T96</f>
        <v>0</v>
      </c>
      <c r="I96" s="361">
        <f>SUM(I84:I87,I89:I95)</f>
        <v>0</v>
      </c>
      <c r="J96" s="361">
        <f>SUM(J84:J87,J89:J95)</f>
        <v>0</v>
      </c>
      <c r="K96" s="359"/>
    </row>
    <row r="97" spans="1:11" s="360" customFormat="1">
      <c r="A97" s="365" t="s">
        <v>1029</v>
      </c>
      <c r="B97" s="361">
        <f>'Sources and Uses Budget'!C97</f>
        <v>44467360</v>
      </c>
      <c r="C97" s="361">
        <f>SUM(C63+C70+C77+C81+C96)</f>
        <v>0</v>
      </c>
      <c r="D97" s="361">
        <f>SUM(D63+D70+D77+D81+D96)</f>
        <v>0</v>
      </c>
      <c r="E97" s="361">
        <f>'Sources and Uses Budget'!S97</f>
        <v>40918339</v>
      </c>
      <c r="F97" s="367">
        <f>SUM(+F63+F70+F81+F96)</f>
        <v>0</v>
      </c>
      <c r="G97" s="367">
        <f>SUM(+G63+G70+G81+G96)</f>
        <v>0</v>
      </c>
      <c r="H97" s="361">
        <f>'Sources and Uses Budget'!T97</f>
        <v>0</v>
      </c>
      <c r="I97" s="367">
        <f>SUM(I63+I70+I81+I96)</f>
        <v>0</v>
      </c>
      <c r="J97" s="367">
        <f>SUM(J63+J70+J81+J96)</f>
        <v>0</v>
      </c>
      <c r="K97" s="359"/>
    </row>
    <row r="98" spans="1:11" s="360" customFormat="1">
      <c r="A98" s="357" t="s">
        <v>776</v>
      </c>
      <c r="B98" s="358"/>
      <c r="C98" s="358"/>
      <c r="D98" s="358"/>
      <c r="E98" s="358"/>
      <c r="F98" s="358"/>
      <c r="G98" s="358"/>
      <c r="H98" s="358"/>
      <c r="I98" s="358"/>
      <c r="J98" s="358"/>
      <c r="K98" s="359"/>
    </row>
    <row r="99" spans="1:11" s="360" customFormat="1">
      <c r="A99" s="145" t="s">
        <v>777</v>
      </c>
      <c r="B99" s="361">
        <f>'Sources and Uses Budget'!C99</f>
        <v>6137750</v>
      </c>
      <c r="C99" s="362"/>
      <c r="D99" s="362"/>
      <c r="E99" s="361">
        <f>'Sources and Uses Budget'!S99</f>
        <v>6137750</v>
      </c>
      <c r="F99" s="362"/>
      <c r="G99" s="362"/>
      <c r="H99" s="361">
        <f>'Sources and Uses Budget'!T99</f>
        <v>0</v>
      </c>
      <c r="I99" s="362"/>
      <c r="J99" s="362"/>
      <c r="K99" s="359"/>
    </row>
    <row r="100" spans="1:11" s="360" customFormat="1">
      <c r="A100" s="283" t="s">
        <v>1646</v>
      </c>
      <c r="B100" s="361">
        <f>'Sources and Uses Budget'!C100</f>
        <v>0</v>
      </c>
      <c r="C100" s="362"/>
      <c r="D100" s="362"/>
      <c r="E100" s="361">
        <f>'Sources and Uses Budget'!S100</f>
        <v>0</v>
      </c>
      <c r="F100" s="362"/>
      <c r="G100" s="362"/>
      <c r="H100" s="361">
        <f>'Sources and Uses Budget'!T100</f>
        <v>0</v>
      </c>
      <c r="I100" s="362"/>
      <c r="J100" s="362"/>
      <c r="K100" s="359"/>
    </row>
    <row r="101" spans="1:11" s="360" customFormat="1">
      <c r="A101" s="145" t="s">
        <v>778</v>
      </c>
      <c r="B101" s="361">
        <f>'Sources and Uses Budget'!C101</f>
        <v>0</v>
      </c>
      <c r="C101" s="362"/>
      <c r="D101" s="362"/>
      <c r="E101" s="361">
        <f>'Sources and Uses Budget'!S101</f>
        <v>0</v>
      </c>
      <c r="F101" s="362"/>
      <c r="G101" s="362"/>
      <c r="H101" s="361">
        <f>'Sources and Uses Budget'!T101</f>
        <v>0</v>
      </c>
      <c r="I101" s="362"/>
      <c r="J101" s="362"/>
      <c r="K101" s="359"/>
    </row>
    <row r="102" spans="1:11" s="360" customFormat="1" ht="12" customHeight="1">
      <c r="A102" s="283" t="s">
        <v>1647</v>
      </c>
      <c r="B102" s="361">
        <f>'Sources and Uses Budget'!C102</f>
        <v>0</v>
      </c>
      <c r="C102" s="362"/>
      <c r="D102" s="362"/>
      <c r="E102" s="361">
        <f>'Sources and Uses Budget'!S102</f>
        <v>0</v>
      </c>
      <c r="F102" s="362"/>
      <c r="G102" s="362"/>
      <c r="H102" s="361">
        <f>'Sources and Uses Budget'!T102</f>
        <v>0</v>
      </c>
      <c r="I102" s="362"/>
      <c r="J102" s="362"/>
      <c r="K102" s="359"/>
    </row>
    <row r="103" spans="1:11" s="360" customFormat="1">
      <c r="A103" s="364" t="str">
        <f>'Sources and Uses Budget'!$A103</f>
        <v>Other: (Specify)</v>
      </c>
      <c r="B103" s="361">
        <f>'Sources and Uses Budget'!C103</f>
        <v>0</v>
      </c>
      <c r="C103" s="362"/>
      <c r="D103" s="362"/>
      <c r="E103" s="361">
        <f>'Sources and Uses Budget'!S103</f>
        <v>0</v>
      </c>
      <c r="F103" s="362"/>
      <c r="G103" s="362"/>
      <c r="H103" s="361">
        <f>'Sources and Uses Budget'!T103</f>
        <v>0</v>
      </c>
      <c r="I103" s="362"/>
      <c r="J103" s="362"/>
      <c r="K103" s="359"/>
    </row>
    <row r="104" spans="1:11" s="360" customFormat="1">
      <c r="A104" s="365" t="s">
        <v>779</v>
      </c>
      <c r="B104" s="361">
        <f>'Sources and Uses Budget'!C104</f>
        <v>6137750</v>
      </c>
      <c r="C104" s="361">
        <f>SUM(C99:C103)</f>
        <v>0</v>
      </c>
      <c r="D104" s="361">
        <f>SUM(D99:D103)</f>
        <v>0</v>
      </c>
      <c r="E104" s="361">
        <f>'Sources and Uses Budget'!S104</f>
        <v>6137750</v>
      </c>
      <c r="F104" s="367">
        <f>SUM(F99:F103)</f>
        <v>0</v>
      </c>
      <c r="G104" s="367">
        <f>SUM(G99:G103)</f>
        <v>0</v>
      </c>
      <c r="H104" s="361">
        <f>'Sources and Uses Budget'!T104</f>
        <v>0</v>
      </c>
      <c r="I104" s="367">
        <f>SUM(I99:I103)</f>
        <v>0</v>
      </c>
      <c r="J104" s="367">
        <f>SUM(J99:J103)</f>
        <v>0</v>
      </c>
      <c r="K104" s="359"/>
    </row>
    <row r="105" spans="1:11" s="360" customFormat="1">
      <c r="A105" s="365" t="s">
        <v>1030</v>
      </c>
      <c r="B105" s="361">
        <f>'Sources and Uses Budget'!C105</f>
        <v>50605110</v>
      </c>
      <c r="C105" s="367">
        <f>SUM(C97+C104)</f>
        <v>0</v>
      </c>
      <c r="D105" s="367">
        <f>SUM(D97+D104)</f>
        <v>0</v>
      </c>
      <c r="E105" s="361">
        <f>'Sources and Uses Budget'!S105</f>
        <v>47056089</v>
      </c>
      <c r="F105" s="367">
        <f>F97+F104</f>
        <v>0</v>
      </c>
      <c r="G105" s="367">
        <f>G97+G104</f>
        <v>0</v>
      </c>
      <c r="H105" s="361">
        <f>'Sources and Uses Budget'!T105</f>
        <v>0</v>
      </c>
      <c r="I105" s="367">
        <f>I97+I104</f>
        <v>0</v>
      </c>
      <c r="J105" s="367">
        <f>J97+J104</f>
        <v>0</v>
      </c>
      <c r="K105" s="359"/>
    </row>
    <row r="106" spans="1:11" s="360" customFormat="1">
      <c r="A106" s="371"/>
      <c r="B106" s="372"/>
      <c r="C106" s="372"/>
      <c r="D106" s="372"/>
      <c r="E106" s="361">
        <f>'Sources and Uses Budget'!S106</f>
        <v>0</v>
      </c>
      <c r="F106" s="362"/>
      <c r="G106" s="362"/>
      <c r="H106" s="361">
        <f>'Sources and Uses Budget'!T106</f>
        <v>0</v>
      </c>
      <c r="I106" s="362"/>
      <c r="J106" s="362"/>
      <c r="K106" s="359"/>
    </row>
    <row r="107" spans="1:11" s="360" customFormat="1">
      <c r="A107" s="373"/>
      <c r="B107" s="374"/>
      <c r="C107" s="372"/>
      <c r="D107" s="454" t="s">
        <v>374</v>
      </c>
      <c r="E107" s="361">
        <f>'Sources and Uses Budget'!S107</f>
        <v>47056089</v>
      </c>
      <c r="F107" s="367">
        <f>F105+F106</f>
        <v>0</v>
      </c>
      <c r="G107" s="367">
        <f>G105+G106</f>
        <v>0</v>
      </c>
      <c r="H107" s="361">
        <f>'Sources and Uses Budget'!T107</f>
        <v>0</v>
      </c>
      <c r="I107" s="367">
        <f>I105+I106</f>
        <v>0</v>
      </c>
      <c r="J107" s="367">
        <f>J105+J106</f>
        <v>0</v>
      </c>
      <c r="K107" s="359"/>
    </row>
    <row r="108" spans="1:11" s="360" customFormat="1">
      <c r="A108" s="373"/>
      <c r="B108" s="375"/>
      <c r="C108" s="375"/>
      <c r="D108" s="375"/>
      <c r="J108" s="376"/>
      <c r="K108" s="359"/>
    </row>
    <row r="109" spans="1:11" s="360" customFormat="1">
      <c r="A109" s="373"/>
      <c r="B109" s="375"/>
      <c r="C109" s="375"/>
      <c r="D109" s="375"/>
      <c r="J109" s="376"/>
      <c r="K109" s="359"/>
    </row>
    <row r="110" spans="1:11" s="360" customFormat="1">
      <c r="A110" s="373"/>
      <c r="B110" s="375"/>
      <c r="C110" s="375"/>
      <c r="D110" s="375"/>
      <c r="J110" s="376"/>
      <c r="K110" s="359"/>
    </row>
    <row r="111" spans="1:11" s="360" customFormat="1" ht="12.75">
      <c r="A111" s="377"/>
      <c r="B111" s="375"/>
      <c r="C111" s="375"/>
      <c r="D111" s="375"/>
      <c r="J111" s="376"/>
      <c r="K111" s="359"/>
    </row>
    <row r="112" spans="1:11" s="360" customFormat="1" ht="12.75">
      <c r="A112" s="377"/>
      <c r="B112" s="375"/>
      <c r="C112" s="375"/>
      <c r="D112" s="375"/>
      <c r="J112" s="376"/>
      <c r="K112" s="359"/>
    </row>
    <row r="113" spans="1:11" s="360" customFormat="1" ht="14.25">
      <c r="A113" s="378"/>
      <c r="B113" s="375"/>
      <c r="C113" s="375"/>
      <c r="D113" s="375"/>
      <c r="J113" s="376"/>
      <c r="K113" s="359"/>
    </row>
    <row r="114" spans="1:11" s="360" customFormat="1" ht="12.75">
      <c r="A114" s="377"/>
      <c r="J114" s="376"/>
      <c r="K114" s="359"/>
    </row>
    <row r="115" spans="1:11" s="360" customFormat="1" ht="14.25">
      <c r="A115" s="378"/>
      <c r="J115" s="376"/>
      <c r="K115" s="359"/>
    </row>
    <row r="116" spans="1:11" s="360" customFormat="1" ht="14.25">
      <c r="A116" s="378"/>
      <c r="J116" s="376"/>
      <c r="K116" s="359"/>
    </row>
    <row r="117" spans="1:11" s="360" customFormat="1">
      <c r="B117" s="375"/>
      <c r="C117" s="375"/>
      <c r="D117" s="375"/>
      <c r="J117" s="376"/>
      <c r="K117" s="359"/>
    </row>
    <row r="118" spans="1:11" s="360" customFormat="1">
      <c r="J118" s="376"/>
      <c r="K118" s="359"/>
    </row>
    <row r="119" spans="1:11" s="360" customFormat="1">
      <c r="J119" s="376"/>
      <c r="K119" s="359"/>
    </row>
    <row r="120" spans="1:11" s="360" customFormat="1">
      <c r="J120" s="376"/>
      <c r="K120" s="359"/>
    </row>
    <row r="121" spans="1:11" s="360" customFormat="1" ht="14.25">
      <c r="A121" s="378"/>
      <c r="J121" s="376"/>
      <c r="K121" s="359"/>
    </row>
    <row r="122" spans="1:11" s="380" customFormat="1" ht="15.75">
      <c r="A122" s="379"/>
      <c r="J122" s="381"/>
      <c r="K122" s="382"/>
    </row>
    <row r="123" spans="1:11" s="360" customFormat="1">
      <c r="A123" s="383"/>
      <c r="J123" s="376"/>
      <c r="K123" s="359"/>
    </row>
    <row r="124" spans="1:11" s="360" customFormat="1">
      <c r="B124" s="384"/>
      <c r="D124" s="1872"/>
      <c r="E124" s="1314"/>
      <c r="F124" s="1314"/>
      <c r="G124" s="1314"/>
      <c r="H124" s="1314"/>
      <c r="I124" s="1314"/>
      <c r="J124" s="376"/>
      <c r="K124" s="359"/>
    </row>
    <row r="125" spans="1:11" s="360" customFormat="1" ht="12.75">
      <c r="A125" s="385"/>
      <c r="B125" s="384"/>
      <c r="C125" s="385"/>
      <c r="D125" s="1314"/>
      <c r="E125" s="1314"/>
      <c r="F125" s="1314"/>
      <c r="G125" s="1314"/>
      <c r="H125" s="1314"/>
      <c r="I125" s="1314"/>
      <c r="J125" s="376"/>
      <c r="K125" s="359"/>
    </row>
    <row r="126" spans="1:11" s="360" customFormat="1" ht="12.75">
      <c r="A126" s="385"/>
      <c r="B126" s="384"/>
      <c r="C126" s="385"/>
      <c r="D126" s="1314"/>
      <c r="E126" s="1314"/>
      <c r="F126" s="1314"/>
      <c r="G126" s="1314"/>
      <c r="H126" s="1314"/>
      <c r="I126" s="1314"/>
      <c r="J126" s="376"/>
      <c r="K126" s="359"/>
    </row>
    <row r="127" spans="1:11" s="360" customFormat="1" ht="12.75">
      <c r="A127" s="385"/>
      <c r="B127" s="384"/>
      <c r="C127" s="385"/>
      <c r="D127" s="386"/>
      <c r="E127" s="385"/>
      <c r="F127" s="385"/>
      <c r="G127" s="385"/>
      <c r="J127" s="376"/>
      <c r="K127" s="359"/>
    </row>
    <row r="128" spans="1:11" s="360" customFormat="1" ht="12.75">
      <c r="A128" s="385"/>
      <c r="B128" s="384"/>
      <c r="C128" s="385"/>
      <c r="D128" s="386"/>
      <c r="E128" s="385"/>
      <c r="F128" s="385"/>
      <c r="G128" s="385"/>
      <c r="J128" s="376"/>
      <c r="K128" s="359"/>
    </row>
    <row r="129" spans="1:11" s="360" customFormat="1" ht="12.75">
      <c r="A129" s="385"/>
      <c r="B129" s="384"/>
      <c r="C129" s="385"/>
      <c r="D129" s="385"/>
      <c r="E129" s="385"/>
      <c r="F129" s="385"/>
      <c r="G129" s="385"/>
      <c r="J129" s="376"/>
      <c r="K129" s="359"/>
    </row>
    <row r="130" spans="1:11" s="360" customFormat="1" ht="12.75">
      <c r="A130" s="385"/>
      <c r="B130" s="384"/>
      <c r="C130" s="385"/>
      <c r="D130" s="385"/>
      <c r="E130" s="385"/>
      <c r="F130" s="385"/>
      <c r="G130" s="385"/>
      <c r="J130" s="376"/>
      <c r="K130" s="359"/>
    </row>
    <row r="131" spans="1:11" s="360" customFormat="1" ht="12.75">
      <c r="A131" s="385"/>
      <c r="B131" s="387"/>
      <c r="C131" s="385"/>
      <c r="D131" s="385"/>
      <c r="E131" s="385"/>
      <c r="F131" s="385"/>
      <c r="G131" s="385"/>
      <c r="J131" s="376"/>
      <c r="K131" s="359"/>
    </row>
    <row r="132" spans="1:11" s="360" customFormat="1" ht="12.75">
      <c r="A132" s="388"/>
      <c r="B132" s="389"/>
      <c r="C132" s="385"/>
      <c r="D132" s="390"/>
      <c r="E132" s="385"/>
      <c r="F132" s="385"/>
      <c r="G132" s="385"/>
      <c r="J132" s="376"/>
      <c r="K132" s="359"/>
    </row>
    <row r="133" spans="1:11" s="360" customFormat="1" ht="12.75">
      <c r="A133" s="391"/>
      <c r="B133" s="385"/>
      <c r="C133" s="385"/>
      <c r="D133" s="385"/>
      <c r="E133" s="385"/>
      <c r="F133" s="385"/>
      <c r="G133" s="385"/>
      <c r="J133" s="376"/>
      <c r="K133" s="359"/>
    </row>
    <row r="134" spans="1:11" s="360" customFormat="1" ht="12.75">
      <c r="A134" s="391"/>
      <c r="B134" s="385"/>
      <c r="C134" s="385"/>
      <c r="D134" s="385"/>
      <c r="E134" s="385"/>
      <c r="F134" s="385"/>
      <c r="G134" s="385"/>
      <c r="J134" s="376"/>
      <c r="K134" s="359"/>
    </row>
    <row r="135" spans="1:11" s="360" customFormat="1" ht="12.75">
      <c r="A135" s="392"/>
      <c r="B135" s="385"/>
      <c r="C135" s="385"/>
      <c r="D135" s="385"/>
      <c r="E135" s="385"/>
      <c r="F135" s="385"/>
      <c r="G135" s="385"/>
      <c r="J135" s="376"/>
      <c r="K135" s="359"/>
    </row>
    <row r="136" spans="1:11" s="360" customFormat="1" ht="12.75">
      <c r="A136" s="377"/>
      <c r="B136" s="385"/>
      <c r="C136" s="385"/>
      <c r="D136" s="385"/>
      <c r="E136" s="385"/>
      <c r="F136" s="385"/>
      <c r="G136" s="385"/>
      <c r="J136" s="376"/>
      <c r="K136" s="359"/>
    </row>
    <row r="137" spans="1:11" ht="12.75">
      <c r="A137" s="391"/>
      <c r="B137" s="385"/>
      <c r="C137" s="385"/>
      <c r="D137" s="385"/>
      <c r="E137" s="385"/>
      <c r="F137" s="385"/>
      <c r="G137" s="385"/>
    </row>
    <row r="138" spans="1:11" ht="12" customHeight="1">
      <c r="A138" s="391"/>
      <c r="B138" s="385"/>
      <c r="C138" s="385"/>
      <c r="D138" s="385"/>
      <c r="E138" s="385"/>
      <c r="F138" s="385"/>
      <c r="G138" s="385"/>
    </row>
    <row r="139" spans="1:11" ht="12" customHeight="1">
      <c r="A139" s="1873"/>
      <c r="B139" s="1314"/>
      <c r="C139" s="1314"/>
      <c r="D139" s="356"/>
      <c r="E139" s="385"/>
      <c r="F139" s="385"/>
      <c r="G139" s="385"/>
    </row>
    <row r="140" spans="1:11" ht="12" customHeight="1">
      <c r="A140" s="1301"/>
      <c r="B140" s="1301"/>
      <c r="C140" s="1301"/>
      <c r="D140" s="356"/>
      <c r="E140" s="385"/>
      <c r="F140" s="385"/>
      <c r="G140" s="385"/>
    </row>
    <row r="141" spans="1:11" ht="12" customHeight="1">
      <c r="A141" s="391"/>
      <c r="B141" s="385"/>
      <c r="C141" s="385"/>
      <c r="D141" s="356"/>
      <c r="E141" s="385"/>
      <c r="F141" s="385"/>
      <c r="G141" s="385"/>
      <c r="H141" s="394"/>
      <c r="I141" s="394"/>
    </row>
    <row r="142" spans="1:11" ht="12" customHeight="1">
      <c r="A142" s="396"/>
      <c r="B142" s="356"/>
      <c r="C142" s="356"/>
      <c r="D142" s="356"/>
      <c r="E142" s="385"/>
      <c r="F142" s="385"/>
      <c r="G142" s="385"/>
      <c r="H142" s="394"/>
      <c r="I142" s="394"/>
    </row>
    <row r="143" spans="1:11"/>
    <row r="144" spans="1:11"/>
    <row r="145"/>
    <row r="146"/>
    <row r="147"/>
    <row r="148"/>
  </sheetData>
  <sheetProtection algorithmName="SHA-512" hashValue="xtngQJ5hM06QpMSFsPwOdQuNVq3KrhEh4zk9d/dCBgDY32r6+lNmf8NbCySi06dFWHpZavPfdFWIutsxEddypg==" saltValue="DNJsejYrhEx5v0kiqpqJdw==" spinCount="100000" sheet="1" objects="1" scenarios="1"/>
  <mergeCells count="4">
    <mergeCell ref="D124:I126"/>
    <mergeCell ref="A139:C139"/>
    <mergeCell ref="A140:C140"/>
    <mergeCell ref="A1:J1"/>
  </mergeCells>
  <conditionalFormatting sqref="B3:B105">
    <cfRule type="cellIs" dxfId="20" priority="5" stopIfTrue="1" operator="notEqual">
      <formula>$C3+$D3</formula>
    </cfRule>
  </conditionalFormatting>
  <conditionalFormatting sqref="E3:E107">
    <cfRule type="cellIs" dxfId="19" priority="2" stopIfTrue="1" operator="notEqual">
      <formula>$F3+$G3</formula>
    </cfRule>
  </conditionalFormatting>
  <conditionalFormatting sqref="H3:H107">
    <cfRule type="cellIs" dxfId="18"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05388-1B95-4C13-8CD9-603A742DE0FE}">
  <sheetPr>
    <pageSetUpPr fitToPage="1"/>
  </sheetPr>
  <dimension ref="A1:CP256"/>
  <sheetViews>
    <sheetView showGridLines="0" workbookViewId="0">
      <selection activeCell="AU12" sqref="AU12"/>
    </sheetView>
  </sheetViews>
  <sheetFormatPr defaultColWidth="2.7109375" defaultRowHeight="15.75" customHeight="1"/>
  <cols>
    <col min="1" max="8" width="2.7109375" style="1187"/>
    <col min="9" max="9" width="7.7109375" style="1187" customWidth="1"/>
    <col min="10" max="13" width="2.7109375" style="1187"/>
    <col min="14" max="14" width="4.7109375" style="1187" customWidth="1"/>
    <col min="15" max="19" width="2.7109375" style="1187"/>
    <col min="20" max="20" width="3.7109375" style="1187" customWidth="1"/>
    <col min="21" max="37" width="2.7109375" style="1187"/>
    <col min="38" max="38" width="3" style="1187" customWidth="1"/>
    <col min="39" max="45" width="2.7109375" style="1187"/>
    <col min="46" max="46" width="4.7109375" style="1187" customWidth="1"/>
    <col min="47" max="64" width="2.7109375" style="1187"/>
    <col min="65" max="65" width="10.42578125" style="1187" hidden="1" customWidth="1"/>
    <col min="66" max="66" width="5.5703125" style="1256" bestFit="1" customWidth="1"/>
    <col min="67" max="68" width="5.5703125" style="1256" customWidth="1"/>
    <col min="69" max="69" width="8" style="1256" customWidth="1"/>
    <col min="70" max="70" width="6" style="1256" customWidth="1"/>
    <col min="71" max="71" width="6.140625" style="1256" customWidth="1"/>
    <col min="72" max="76" width="5.5703125" style="1256" customWidth="1"/>
    <col min="77" max="77" width="6.140625" style="1256" bestFit="1" customWidth="1"/>
    <col min="78" max="78" width="5.5703125" style="1187" bestFit="1" customWidth="1"/>
    <col min="79" max="16384" width="2.7109375" style="1187"/>
  </cols>
  <sheetData>
    <row r="1" spans="1:65" ht="15.75" customHeight="1">
      <c r="A1" s="2324" t="s">
        <v>2454</v>
      </c>
      <c r="B1" s="2325"/>
      <c r="C1" s="2325"/>
      <c r="D1" s="2325"/>
      <c r="E1" s="2325"/>
      <c r="F1" s="2325"/>
      <c r="G1" s="2325"/>
      <c r="H1" s="2325"/>
      <c r="I1" s="2325"/>
      <c r="J1" s="2325"/>
      <c r="K1" s="2325"/>
      <c r="L1" s="2325"/>
      <c r="M1" s="2325"/>
      <c r="N1" s="2325"/>
      <c r="O1" s="2325"/>
      <c r="P1" s="2325"/>
      <c r="Q1" s="2325"/>
      <c r="R1" s="2325"/>
      <c r="S1" s="2325"/>
      <c r="T1" s="2325"/>
      <c r="U1" s="2325"/>
      <c r="V1" s="2325"/>
      <c r="W1" s="2325"/>
      <c r="X1" s="2325"/>
      <c r="Y1" s="2325"/>
      <c r="Z1" s="2325"/>
      <c r="AA1" s="2325"/>
      <c r="AB1" s="2325"/>
      <c r="AC1" s="2325"/>
      <c r="AD1" s="2325"/>
      <c r="AE1" s="2325"/>
      <c r="AF1" s="2325"/>
      <c r="AG1" s="2325"/>
      <c r="AH1" s="2325"/>
      <c r="AI1" s="2325"/>
      <c r="AJ1" s="2325"/>
      <c r="AK1" s="2325"/>
      <c r="AL1" s="2325"/>
      <c r="AM1" s="2325"/>
      <c r="AN1" s="2325"/>
      <c r="AO1" s="2325"/>
      <c r="AP1" s="2325"/>
      <c r="AQ1" s="2325"/>
      <c r="AR1" s="2325"/>
      <c r="AS1" s="2325"/>
      <c r="AT1" s="2325"/>
      <c r="AU1" s="2325"/>
      <c r="AV1" s="2325"/>
      <c r="AW1" s="2325"/>
      <c r="AX1" s="2325"/>
      <c r="AY1" s="2325"/>
      <c r="AZ1" s="2325"/>
      <c r="BA1" s="2325"/>
      <c r="BB1" s="2325"/>
      <c r="BC1" s="2325"/>
      <c r="BD1" s="2325"/>
      <c r="BE1" s="2326"/>
    </row>
    <row r="2" spans="1:65" ht="15.75" customHeight="1">
      <c r="A2" s="2327" t="s">
        <v>2453</v>
      </c>
      <c r="B2" s="2328"/>
      <c r="C2" s="2328"/>
      <c r="D2" s="2328"/>
      <c r="E2" s="2328"/>
      <c r="F2" s="2328"/>
      <c r="G2" s="2328"/>
      <c r="H2" s="2328"/>
      <c r="I2" s="2328"/>
      <c r="J2" s="2328"/>
      <c r="K2" s="2328"/>
      <c r="L2" s="2328"/>
      <c r="M2" s="2328"/>
      <c r="N2" s="2328"/>
      <c r="O2" s="2328"/>
      <c r="P2" s="2328"/>
      <c r="Q2" s="2328"/>
      <c r="R2" s="2328"/>
      <c r="S2" s="2328"/>
      <c r="T2" s="2328"/>
      <c r="U2" s="2328"/>
      <c r="V2" s="2328"/>
      <c r="W2" s="2328"/>
      <c r="X2" s="2328"/>
      <c r="Y2" s="2328"/>
      <c r="Z2" s="2328"/>
      <c r="AA2" s="2328"/>
      <c r="AB2" s="2328"/>
      <c r="AC2" s="2328"/>
      <c r="AD2" s="2328"/>
      <c r="AE2" s="2328"/>
      <c r="AF2" s="2328"/>
      <c r="AG2" s="2328"/>
      <c r="AH2" s="2328"/>
      <c r="AI2" s="2328"/>
      <c r="AJ2" s="2328"/>
      <c r="AK2" s="2328"/>
      <c r="AL2" s="2328"/>
      <c r="AM2" s="2328"/>
      <c r="AN2" s="2328"/>
      <c r="AO2" s="2328"/>
      <c r="AP2" s="2328"/>
      <c r="AQ2" s="2328"/>
      <c r="AR2" s="2328"/>
      <c r="AS2" s="2328"/>
      <c r="AT2" s="2328"/>
      <c r="AU2" s="2328"/>
      <c r="AV2" s="2328"/>
      <c r="AW2" s="2328"/>
      <c r="AX2" s="2328"/>
      <c r="AY2" s="2328"/>
      <c r="AZ2" s="2328"/>
      <c r="BA2" s="2328"/>
      <c r="BB2" s="2328"/>
      <c r="BC2" s="2328"/>
      <c r="BD2" s="2328"/>
      <c r="BE2" s="2329"/>
      <c r="BF2" s="1188"/>
    </row>
    <row r="3" spans="1:65" ht="15.75" customHeight="1" thickBot="1">
      <c r="A3" s="1189"/>
      <c r="B3" s="1190"/>
      <c r="C3" s="1190"/>
      <c r="D3" s="1190"/>
      <c r="E3" s="1190"/>
      <c r="F3" s="1190"/>
      <c r="G3" s="1190"/>
      <c r="H3" s="1190"/>
      <c r="I3" s="1190"/>
      <c r="J3" s="1190"/>
      <c r="K3" s="1190"/>
      <c r="L3" s="1190"/>
      <c r="M3" s="1190"/>
      <c r="N3" s="1190"/>
      <c r="O3" s="1190"/>
      <c r="P3" s="1190"/>
      <c r="Q3" s="1190"/>
      <c r="R3" s="1190"/>
      <c r="S3" s="1190"/>
      <c r="T3" s="1190"/>
      <c r="U3" s="1190"/>
      <c r="V3" s="1190"/>
      <c r="W3" s="1190"/>
      <c r="X3" s="1190"/>
      <c r="Y3" s="1190"/>
      <c r="Z3" s="1190"/>
      <c r="AA3" s="1190"/>
      <c r="AB3" s="1190"/>
      <c r="AC3" s="1190"/>
      <c r="AD3" s="1190"/>
      <c r="AE3" s="1190"/>
      <c r="AF3" s="1190"/>
      <c r="AG3" s="1190"/>
      <c r="AH3" s="1190"/>
      <c r="AI3" s="1190"/>
      <c r="AJ3" s="1190"/>
      <c r="AK3" s="1190"/>
      <c r="AL3" s="1190"/>
      <c r="AM3" s="1190"/>
      <c r="AN3" s="1190"/>
      <c r="AO3" s="1190"/>
      <c r="AP3" s="1190"/>
      <c r="AQ3" s="1190"/>
      <c r="AR3" s="1190"/>
      <c r="AS3" s="1190"/>
      <c r="AT3" s="1190"/>
      <c r="AU3" s="1190"/>
      <c r="AV3" s="1190"/>
      <c r="AW3" s="1190"/>
      <c r="AX3" s="1190"/>
      <c r="AY3" s="1190"/>
      <c r="AZ3" s="1190"/>
      <c r="BA3" s="1190"/>
      <c r="BB3" s="1190"/>
      <c r="BC3" s="1190"/>
      <c r="BD3" s="1190"/>
      <c r="BE3" s="1191"/>
    </row>
    <row r="4" spans="1:65" ht="15.75" customHeight="1" thickBot="1">
      <c r="A4" s="1189"/>
      <c r="B4" s="1192" t="s">
        <v>656</v>
      </c>
      <c r="C4" s="1192"/>
      <c r="D4" s="1192"/>
      <c r="E4" s="1192"/>
      <c r="F4" s="1192"/>
      <c r="G4" s="1190"/>
      <c r="H4" s="1190"/>
      <c r="I4" s="1190"/>
      <c r="J4" s="1190"/>
      <c r="K4" s="1190"/>
      <c r="L4" s="2316" t="str">
        <f>IF(Application!H18="","",Application!H18)</f>
        <v>Victoria Flats</v>
      </c>
      <c r="M4" s="2317"/>
      <c r="N4" s="2317"/>
      <c r="O4" s="2317"/>
      <c r="P4" s="2317"/>
      <c r="Q4" s="2317"/>
      <c r="R4" s="2317"/>
      <c r="S4" s="2317"/>
      <c r="T4" s="2317"/>
      <c r="U4" s="2317"/>
      <c r="V4" s="2317"/>
      <c r="W4" s="2317"/>
      <c r="X4" s="2317"/>
      <c r="Y4" s="2317"/>
      <c r="Z4" s="2317"/>
      <c r="AA4" s="2317"/>
      <c r="AB4" s="2317"/>
      <c r="AC4" s="2318"/>
      <c r="AD4" s="1190"/>
      <c r="AE4" s="1190"/>
      <c r="AF4" s="2312" t="s">
        <v>2452</v>
      </c>
      <c r="AG4" s="2312"/>
      <c r="AH4" s="2312"/>
      <c r="AI4" s="2312"/>
      <c r="AJ4" s="2312"/>
      <c r="AK4" s="2312"/>
      <c r="AL4" s="2312"/>
      <c r="AM4" s="2312"/>
      <c r="AN4" s="2312"/>
      <c r="AO4" s="2312"/>
      <c r="AP4" s="2313">
        <v>45931</v>
      </c>
      <c r="AQ4" s="2314"/>
      <c r="AR4" s="2314"/>
      <c r="AS4" s="2314"/>
      <c r="AT4" s="2314"/>
      <c r="AU4" s="2314"/>
      <c r="AV4" s="1190"/>
      <c r="AW4" s="1190"/>
      <c r="AX4" s="1190"/>
      <c r="AY4" s="1190"/>
      <c r="AZ4" s="1190"/>
      <c r="BA4" s="1190"/>
      <c r="BB4" s="1190"/>
      <c r="BC4" s="1190"/>
      <c r="BD4" s="1190"/>
      <c r="BE4" s="1191"/>
    </row>
    <row r="5" spans="1:65" ht="15.75" customHeight="1" thickBot="1">
      <c r="A5" s="1189"/>
      <c r="B5" s="1190"/>
      <c r="C5" s="1190"/>
      <c r="D5" s="1190"/>
      <c r="E5" s="1190"/>
      <c r="F5" s="1190"/>
      <c r="G5" s="1190"/>
      <c r="H5" s="1190"/>
      <c r="I5" s="1190"/>
      <c r="J5" s="1190"/>
      <c r="K5" s="1190"/>
      <c r="L5" s="1190"/>
      <c r="M5" s="1190"/>
      <c r="N5" s="1190"/>
      <c r="O5" s="1190"/>
      <c r="P5" s="1190"/>
      <c r="Q5" s="1190"/>
      <c r="R5" s="1190"/>
      <c r="S5" s="1190"/>
      <c r="T5" s="1190"/>
      <c r="U5" s="1190"/>
      <c r="V5" s="1190"/>
      <c r="W5" s="1190"/>
      <c r="X5" s="1190"/>
      <c r="Y5" s="1190"/>
      <c r="Z5" s="1190"/>
      <c r="AA5" s="1190"/>
      <c r="AB5" s="1190"/>
      <c r="AC5" s="1190"/>
      <c r="AD5" s="1190"/>
      <c r="AE5" s="1190"/>
      <c r="AF5" s="2312" t="s">
        <v>2451</v>
      </c>
      <c r="AG5" s="2312"/>
      <c r="AH5" s="2312"/>
      <c r="AI5" s="2312"/>
      <c r="AJ5" s="2312"/>
      <c r="AK5" s="2312"/>
      <c r="AL5" s="2312"/>
      <c r="AM5" s="2312"/>
      <c r="AN5" s="2312"/>
      <c r="AO5" s="2312"/>
      <c r="AP5" s="2313">
        <v>45646</v>
      </c>
      <c r="AQ5" s="2314"/>
      <c r="AR5" s="2314"/>
      <c r="AS5" s="2314"/>
      <c r="AT5" s="2314"/>
      <c r="AU5" s="2314"/>
      <c r="AV5" s="1190"/>
      <c r="AW5" s="1190"/>
      <c r="AX5" s="1190"/>
      <c r="AY5" s="1190"/>
      <c r="AZ5" s="1190"/>
      <c r="BA5" s="1190"/>
      <c r="BB5" s="1190"/>
      <c r="BC5" s="1190"/>
      <c r="BD5" s="1190"/>
      <c r="BE5" s="1191"/>
    </row>
    <row r="6" spans="1:65" ht="15.75" customHeight="1" thickBot="1">
      <c r="A6" s="1189"/>
      <c r="B6" s="1192" t="s">
        <v>2450</v>
      </c>
      <c r="C6" s="1190"/>
      <c r="D6" s="1190"/>
      <c r="E6" s="1190"/>
      <c r="F6" s="1190"/>
      <c r="G6" s="1190"/>
      <c r="H6" s="1190"/>
      <c r="I6" s="1190"/>
      <c r="J6" s="1190"/>
      <c r="K6" s="1190"/>
      <c r="L6" s="2316" t="str">
        <f>IF(Application!H16="","",Application!H16)</f>
        <v>Affordable Housing Access, Inc.</v>
      </c>
      <c r="M6" s="2317"/>
      <c r="N6" s="2317"/>
      <c r="O6" s="2317"/>
      <c r="P6" s="2317"/>
      <c r="Q6" s="2317"/>
      <c r="R6" s="2317"/>
      <c r="S6" s="2317"/>
      <c r="T6" s="2317"/>
      <c r="U6" s="2317"/>
      <c r="V6" s="2317"/>
      <c r="W6" s="2317"/>
      <c r="X6" s="2317"/>
      <c r="Y6" s="2317"/>
      <c r="Z6" s="2317"/>
      <c r="AA6" s="2317"/>
      <c r="AB6" s="2317"/>
      <c r="AC6" s="2318"/>
      <c r="AD6" s="1190"/>
      <c r="AE6" s="1190"/>
      <c r="AF6" s="2319" t="s">
        <v>2449</v>
      </c>
      <c r="AG6" s="2319"/>
      <c r="AH6" s="2319"/>
      <c r="AI6" s="2319"/>
      <c r="AJ6" s="2319"/>
      <c r="AK6" s="2319"/>
      <c r="AL6" s="2319"/>
      <c r="AM6" s="2319"/>
      <c r="AN6" s="2319"/>
      <c r="AO6" s="2319"/>
      <c r="AP6" s="2320">
        <v>4</v>
      </c>
      <c r="AQ6" s="2320"/>
      <c r="AR6" s="2320"/>
      <c r="AS6" s="2320"/>
      <c r="AT6" s="2320"/>
      <c r="AU6" s="2320"/>
      <c r="AV6" s="1190"/>
      <c r="AW6" s="1190"/>
      <c r="AX6" s="1190"/>
      <c r="AY6" s="1190"/>
      <c r="AZ6" s="1190"/>
      <c r="BA6" s="1190"/>
      <c r="BB6" s="1190"/>
      <c r="BC6" s="1190"/>
      <c r="BD6" s="1190"/>
      <c r="BE6" s="1191"/>
    </row>
    <row r="7" spans="1:65" thickBot="1">
      <c r="A7" s="1189"/>
      <c r="B7" s="1190"/>
      <c r="C7" s="1190"/>
      <c r="D7" s="1190"/>
      <c r="E7" s="1190"/>
      <c r="F7" s="1190"/>
      <c r="G7" s="1190"/>
      <c r="H7" s="1190"/>
      <c r="I7" s="1190"/>
      <c r="J7" s="1190"/>
      <c r="K7" s="1190"/>
      <c r="L7" s="1190"/>
      <c r="M7" s="1190"/>
      <c r="N7" s="1190"/>
      <c r="O7" s="1190"/>
      <c r="P7" s="1190"/>
      <c r="Q7" s="1190"/>
      <c r="R7" s="1190"/>
      <c r="S7" s="1190"/>
      <c r="T7" s="1190"/>
      <c r="U7" s="1190"/>
      <c r="V7" s="1190"/>
      <c r="W7" s="1190"/>
      <c r="X7" s="1190"/>
      <c r="Y7" s="1190"/>
      <c r="Z7" s="1190"/>
      <c r="AA7" s="1190"/>
      <c r="AB7" s="1190"/>
      <c r="AC7" s="1190"/>
      <c r="AD7" s="1190"/>
      <c r="AE7" s="1190"/>
      <c r="AF7" s="2319" t="s">
        <v>2448</v>
      </c>
      <c r="AG7" s="2319"/>
      <c r="AH7" s="2319"/>
      <c r="AI7" s="2319"/>
      <c r="AJ7" s="2319"/>
      <c r="AK7" s="2319"/>
      <c r="AL7" s="2319"/>
      <c r="AM7" s="2319"/>
      <c r="AN7" s="2319"/>
      <c r="AO7" s="2319"/>
      <c r="AP7" s="2320">
        <v>2</v>
      </c>
      <c r="AQ7" s="2320"/>
      <c r="AR7" s="2320"/>
      <c r="AS7" s="2320"/>
      <c r="AT7" s="2320"/>
      <c r="AU7" s="2320"/>
      <c r="AV7" s="1190"/>
      <c r="AW7" s="1190"/>
      <c r="AX7" s="1190"/>
      <c r="AY7" s="1190"/>
      <c r="AZ7" s="1190"/>
      <c r="BA7" s="1190"/>
      <c r="BB7" s="1190"/>
      <c r="BC7" s="1190"/>
      <c r="BD7" s="1190"/>
      <c r="BE7" s="1191"/>
    </row>
    <row r="8" spans="1:65" thickBot="1">
      <c r="A8" s="1189"/>
      <c r="B8" s="1192" t="s">
        <v>2447</v>
      </c>
      <c r="C8" s="1190"/>
      <c r="D8" s="1190"/>
      <c r="E8" s="1190"/>
      <c r="F8" s="1190"/>
      <c r="G8" s="1190"/>
      <c r="H8" s="1190"/>
      <c r="I8" s="1190"/>
      <c r="J8" s="1190"/>
      <c r="K8" s="1190"/>
      <c r="L8" s="1190"/>
      <c r="M8" s="1190"/>
      <c r="N8" s="1190"/>
      <c r="O8" s="1190"/>
      <c r="P8" s="1190"/>
      <c r="Q8" s="1190"/>
      <c r="R8" s="1190"/>
      <c r="S8" s="1190"/>
      <c r="T8" s="1190"/>
      <c r="U8" s="1190"/>
      <c r="V8" s="1190"/>
      <c r="W8" s="1190"/>
      <c r="X8" s="1190"/>
      <c r="Y8" s="1190"/>
      <c r="Z8" s="1190"/>
      <c r="AA8" s="1190"/>
      <c r="AB8" s="2321" t="str">
        <f>Application!T197</f>
        <v>No</v>
      </c>
      <c r="AC8" s="2322"/>
      <c r="AD8" s="2323"/>
      <c r="AE8" s="1190"/>
      <c r="AF8" s="2319" t="s">
        <v>2446</v>
      </c>
      <c r="AG8" s="2319"/>
      <c r="AH8" s="2319"/>
      <c r="AI8" s="2319"/>
      <c r="AJ8" s="2319"/>
      <c r="AK8" s="2319"/>
      <c r="AL8" s="2319"/>
      <c r="AM8" s="2319"/>
      <c r="AN8" s="2319"/>
      <c r="AO8" s="2319"/>
      <c r="AP8" s="2320" t="s">
        <v>2099</v>
      </c>
      <c r="AQ8" s="2320"/>
      <c r="AR8" s="2320"/>
      <c r="AS8" s="2320"/>
      <c r="AT8" s="2320"/>
      <c r="AU8" s="2320"/>
      <c r="AV8" s="1190"/>
      <c r="AW8" s="1190"/>
      <c r="AX8" s="1190"/>
      <c r="AY8" s="1190"/>
      <c r="AZ8" s="1190"/>
      <c r="BA8" s="1190"/>
      <c r="BB8" s="1190"/>
      <c r="BC8" s="1190"/>
      <c r="BD8" s="1190"/>
      <c r="BE8" s="1191"/>
      <c r="BM8" s="1187" t="s">
        <v>1984</v>
      </c>
    </row>
    <row r="9" spans="1:65" ht="15">
      <c r="A9" s="1190"/>
      <c r="B9" s="1190"/>
      <c r="C9" s="1190"/>
      <c r="D9" s="1190"/>
      <c r="E9" s="1190"/>
      <c r="F9" s="1190"/>
      <c r="G9" s="1190"/>
      <c r="H9" s="1190"/>
      <c r="I9" s="1190"/>
      <c r="J9" s="1190"/>
      <c r="K9" s="1190"/>
      <c r="L9" s="1190"/>
      <c r="M9" s="1190"/>
      <c r="N9" s="1190"/>
      <c r="O9" s="1190"/>
      <c r="P9" s="1190"/>
      <c r="Q9" s="1190"/>
      <c r="R9" s="1190"/>
      <c r="S9" s="1190"/>
      <c r="T9" s="1190"/>
      <c r="U9" s="1190"/>
      <c r="V9" s="1190"/>
      <c r="W9" s="1190"/>
      <c r="X9" s="1190"/>
      <c r="Y9" s="1190"/>
      <c r="Z9" s="1190"/>
      <c r="AA9" s="1190"/>
      <c r="AB9" s="1190"/>
      <c r="AC9" s="1190"/>
      <c r="AD9" s="1190"/>
      <c r="AE9" s="1190"/>
      <c r="AF9" s="2312" t="s">
        <v>2445</v>
      </c>
      <c r="AG9" s="2312"/>
      <c r="AH9" s="2312"/>
      <c r="AI9" s="2312"/>
      <c r="AJ9" s="2312"/>
      <c r="AK9" s="2312"/>
      <c r="AL9" s="2312"/>
      <c r="AM9" s="2312"/>
      <c r="AN9" s="2312"/>
      <c r="AO9" s="2312"/>
      <c r="AP9" s="2313">
        <v>46600</v>
      </c>
      <c r="AQ9" s="2314"/>
      <c r="AR9" s="2314"/>
      <c r="AS9" s="2314"/>
      <c r="AT9" s="2314"/>
      <c r="AU9" s="2314"/>
      <c r="AV9" s="1190"/>
      <c r="AW9" s="1190"/>
      <c r="AX9" s="1190"/>
      <c r="AY9" s="1190"/>
      <c r="AZ9" s="1190"/>
      <c r="BA9" s="1190"/>
      <c r="BB9" s="1190"/>
      <c r="BC9" s="1190"/>
      <c r="BD9" s="1190"/>
      <c r="BE9" s="1191"/>
      <c r="BM9" s="1187" t="s">
        <v>2444</v>
      </c>
    </row>
    <row r="10" spans="1:65" ht="15">
      <c r="A10" s="1189"/>
      <c r="B10" s="1192" t="s">
        <v>2443</v>
      </c>
      <c r="C10" s="1192"/>
      <c r="D10" s="1192"/>
      <c r="E10" s="1192"/>
      <c r="F10" s="1192"/>
      <c r="G10" s="1192"/>
      <c r="H10" s="1192"/>
      <c r="I10" s="1192"/>
      <c r="J10" s="1192"/>
      <c r="K10" s="1192"/>
      <c r="L10" s="1192"/>
      <c r="M10" s="1190"/>
      <c r="N10" s="2315">
        <f>Application!AO627</f>
        <v>17868964</v>
      </c>
      <c r="O10" s="2315"/>
      <c r="P10" s="2315"/>
      <c r="Q10" s="2315"/>
      <c r="R10" s="2315"/>
      <c r="S10" s="2315"/>
      <c r="T10" s="2315"/>
      <c r="U10" s="1190"/>
      <c r="V10" s="1190"/>
      <c r="W10" s="1190"/>
      <c r="X10" s="1193"/>
      <c r="Y10" s="1193"/>
      <c r="Z10" s="1193"/>
      <c r="AA10" s="1193"/>
      <c r="AB10" s="1193"/>
      <c r="AC10" s="1193"/>
      <c r="AD10" s="1193"/>
      <c r="AE10" s="1193"/>
      <c r="AF10" s="2312" t="s">
        <v>2442</v>
      </c>
      <c r="AG10" s="2312"/>
      <c r="AH10" s="2312"/>
      <c r="AI10" s="2312"/>
      <c r="AJ10" s="2312"/>
      <c r="AK10" s="2312"/>
      <c r="AL10" s="2312"/>
      <c r="AM10" s="2312"/>
      <c r="AN10" s="2312"/>
      <c r="AO10" s="2312"/>
      <c r="AP10" s="2313">
        <v>46631</v>
      </c>
      <c r="AQ10" s="2314"/>
      <c r="AR10" s="2314"/>
      <c r="AS10" s="2314"/>
      <c r="AT10" s="2314"/>
      <c r="AU10" s="2314"/>
      <c r="AV10" s="1193"/>
      <c r="AW10" s="1193"/>
      <c r="AX10" s="1190"/>
      <c r="AY10" s="1190"/>
      <c r="AZ10" s="1190"/>
      <c r="BA10" s="1190"/>
      <c r="BB10" s="1190"/>
      <c r="BC10" s="1190"/>
      <c r="BD10" s="1190"/>
      <c r="BE10" s="1191"/>
      <c r="BM10" s="1187" t="s">
        <v>2441</v>
      </c>
    </row>
    <row r="11" spans="1:65" ht="15">
      <c r="A11" s="1189"/>
      <c r="B11" s="1192" t="s">
        <v>2440</v>
      </c>
      <c r="C11" s="1192"/>
      <c r="D11" s="1192"/>
      <c r="E11" s="1192"/>
      <c r="F11" s="1192"/>
      <c r="G11" s="1192"/>
      <c r="H11" s="1192"/>
      <c r="I11" s="1192"/>
      <c r="J11" s="1192"/>
      <c r="K11" s="1192"/>
      <c r="L11" s="1192"/>
      <c r="M11" s="1190"/>
      <c r="N11" s="2315">
        <f>Application!AA934</f>
        <v>4000000</v>
      </c>
      <c r="O11" s="2315"/>
      <c r="P11" s="2315"/>
      <c r="Q11" s="2315"/>
      <c r="R11" s="2315"/>
      <c r="S11" s="2315"/>
      <c r="T11" s="2315"/>
      <c r="U11" s="1190"/>
      <c r="V11" s="1190"/>
      <c r="W11" s="1190"/>
      <c r="X11" s="1193"/>
      <c r="Y11" s="1193"/>
      <c r="Z11" s="1193"/>
      <c r="AA11" s="1193"/>
      <c r="AB11" s="1193"/>
      <c r="AC11" s="1193"/>
      <c r="AD11" s="1193"/>
      <c r="AE11" s="1193"/>
      <c r="AF11" s="2312" t="s">
        <v>2439</v>
      </c>
      <c r="AG11" s="2312"/>
      <c r="AH11" s="2312"/>
      <c r="AI11" s="2312"/>
      <c r="AJ11" s="2312"/>
      <c r="AK11" s="2312"/>
      <c r="AL11" s="2312"/>
      <c r="AM11" s="2312"/>
      <c r="AN11" s="2312"/>
      <c r="AO11" s="2312"/>
      <c r="AP11" s="2313">
        <v>46722</v>
      </c>
      <c r="AQ11" s="2314"/>
      <c r="AR11" s="2314"/>
      <c r="AS11" s="2314"/>
      <c r="AT11" s="2314"/>
      <c r="AU11" s="2314"/>
      <c r="AV11" s="1193"/>
      <c r="AW11" s="1193"/>
      <c r="AX11" s="1190"/>
      <c r="AY11" s="1190"/>
      <c r="AZ11" s="1190"/>
      <c r="BA11" s="1190"/>
      <c r="BB11" s="1190"/>
      <c r="BC11" s="1190"/>
      <c r="BD11" s="1190"/>
      <c r="BE11" s="1191"/>
      <c r="BM11" s="1187" t="s">
        <v>2099</v>
      </c>
    </row>
    <row r="12" spans="1:65" thickBot="1">
      <c r="A12" s="1190"/>
      <c r="B12" s="1190"/>
      <c r="C12" s="1190"/>
      <c r="D12" s="1190"/>
      <c r="E12" s="1190"/>
      <c r="F12" s="1190"/>
      <c r="G12" s="1190"/>
      <c r="H12" s="1190"/>
      <c r="I12" s="1190"/>
      <c r="J12" s="1190"/>
      <c r="K12" s="1190"/>
      <c r="L12" s="1190"/>
      <c r="M12" s="1190"/>
      <c r="N12" s="1190"/>
      <c r="O12" s="1190"/>
      <c r="P12" s="1190"/>
      <c r="Q12" s="1190"/>
      <c r="R12" s="1190"/>
      <c r="S12" s="1190"/>
      <c r="T12" s="1190"/>
      <c r="U12" s="1190"/>
      <c r="V12" s="1190"/>
      <c r="W12" s="1190"/>
      <c r="X12" s="1193"/>
      <c r="Y12" s="1193"/>
      <c r="Z12" s="1193"/>
      <c r="AA12" s="1193"/>
      <c r="AB12" s="1193"/>
      <c r="AC12" s="1193"/>
      <c r="AD12" s="1193"/>
      <c r="AE12" s="1193"/>
      <c r="AF12" s="1193"/>
      <c r="AG12" s="1193"/>
      <c r="AH12" s="1193"/>
      <c r="AI12" s="1193"/>
      <c r="AJ12" s="1193"/>
      <c r="AK12" s="1193"/>
      <c r="AL12" s="1193"/>
      <c r="AM12" s="1193"/>
      <c r="AN12" s="1193"/>
      <c r="AO12" s="1193"/>
      <c r="AP12" s="1193"/>
      <c r="AQ12" s="1193"/>
      <c r="AR12" s="1193"/>
      <c r="AS12" s="1193"/>
      <c r="AT12" s="1193"/>
      <c r="AU12" s="1193"/>
      <c r="AV12" s="1190"/>
      <c r="AW12" s="1190"/>
      <c r="AX12" s="1190"/>
      <c r="AY12" s="1190"/>
      <c r="AZ12" s="1190"/>
      <c r="BA12" s="1190"/>
      <c r="BB12" s="1190"/>
      <c r="BC12" s="1190"/>
      <c r="BD12" s="1190"/>
      <c r="BE12" s="1194"/>
      <c r="BM12" s="1187" t="s">
        <v>2438</v>
      </c>
    </row>
    <row r="13" spans="1:65" thickBot="1">
      <c r="A13" s="1190"/>
      <c r="B13" s="2303" t="s">
        <v>2437</v>
      </c>
      <c r="C13" s="2304"/>
      <c r="D13" s="2304"/>
      <c r="E13" s="2304"/>
      <c r="F13" s="2304"/>
      <c r="G13" s="2304"/>
      <c r="H13" s="2304"/>
      <c r="I13" s="2304"/>
      <c r="J13" s="2304"/>
      <c r="K13" s="2304"/>
      <c r="L13" s="2304"/>
      <c r="M13" s="2304"/>
      <c r="N13" s="2304"/>
      <c r="O13" s="2304"/>
      <c r="P13" s="2305"/>
      <c r="Q13" s="2306" t="s">
        <v>669</v>
      </c>
      <c r="R13" s="2307"/>
      <c r="S13" s="2307"/>
      <c r="T13" s="2308"/>
      <c r="U13" s="1193"/>
      <c r="V13" s="1190"/>
      <c r="W13" s="1190"/>
      <c r="X13" s="1190"/>
      <c r="Y13" s="1190"/>
      <c r="Z13" s="1190"/>
      <c r="AA13" s="2293" t="s">
        <v>2436</v>
      </c>
      <c r="AB13" s="2293"/>
      <c r="AC13" s="2293"/>
      <c r="AD13" s="2293"/>
      <c r="AE13" s="2293"/>
      <c r="AF13" s="2293"/>
      <c r="AG13" s="2293"/>
      <c r="AH13" s="2293"/>
      <c r="AI13" s="2293"/>
      <c r="AJ13" s="2293"/>
      <c r="AK13" s="2293"/>
      <c r="AL13" s="2293"/>
      <c r="AM13" s="2293"/>
      <c r="AN13" s="2293"/>
      <c r="AO13" s="2309">
        <f>Application!W473</f>
        <v>26</v>
      </c>
      <c r="AP13" s="2310"/>
      <c r="AQ13" s="2310"/>
      <c r="AR13" s="2310"/>
      <c r="AS13" s="2310"/>
      <c r="AT13" s="1193"/>
      <c r="AU13" s="1193"/>
      <c r="AV13" s="1193"/>
      <c r="AW13" s="1193"/>
      <c r="AX13" s="1193"/>
      <c r="AY13" s="1193"/>
      <c r="AZ13" s="1193"/>
      <c r="BA13" s="1193"/>
      <c r="BB13" s="1193"/>
      <c r="BC13" s="1193"/>
      <c r="BD13" s="1193"/>
      <c r="BE13" s="1194"/>
      <c r="BM13" s="1187" t="s">
        <v>2435</v>
      </c>
    </row>
    <row r="14" spans="1:65" thickBot="1">
      <c r="A14" s="1190"/>
      <c r="B14" s="1190"/>
      <c r="C14" s="1190"/>
      <c r="D14" s="1190"/>
      <c r="E14" s="1190"/>
      <c r="F14" s="1190"/>
      <c r="G14" s="1190"/>
      <c r="H14" s="1190"/>
      <c r="I14" s="1190"/>
      <c r="J14" s="1190"/>
      <c r="K14" s="1190"/>
      <c r="L14" s="1190"/>
      <c r="M14" s="1190"/>
      <c r="N14" s="1190"/>
      <c r="O14" s="1190"/>
      <c r="P14" s="1190"/>
      <c r="Q14" s="1190"/>
      <c r="R14" s="1190"/>
      <c r="S14" s="1190"/>
      <c r="T14" s="1190"/>
      <c r="U14" s="1190"/>
      <c r="V14" s="1190"/>
      <c r="W14" s="1190"/>
      <c r="X14" s="1190"/>
      <c r="Y14" s="1190"/>
      <c r="Z14" s="1190"/>
      <c r="AA14" s="2311" t="s">
        <v>2434</v>
      </c>
      <c r="AB14" s="2311"/>
      <c r="AC14" s="2311"/>
      <c r="AD14" s="2311"/>
      <c r="AE14" s="2311"/>
      <c r="AF14" s="2311"/>
      <c r="AG14" s="2311"/>
      <c r="AH14" s="2311"/>
      <c r="AI14" s="2311"/>
      <c r="AJ14" s="2311"/>
      <c r="AK14" s="2311"/>
      <c r="AL14" s="2311"/>
      <c r="AM14" s="2311"/>
      <c r="AN14" s="2311"/>
      <c r="AO14" s="2294">
        <v>45728</v>
      </c>
      <c r="AP14" s="2295"/>
      <c r="AQ14" s="2295"/>
      <c r="AR14" s="2295"/>
      <c r="AS14" s="2295"/>
      <c r="AT14" s="1193"/>
      <c r="AU14" s="1193"/>
      <c r="AV14" s="1193"/>
      <c r="AW14" s="1193"/>
      <c r="AX14" s="1193"/>
      <c r="AY14" s="1193"/>
      <c r="AZ14" s="1193"/>
      <c r="BA14" s="1193"/>
      <c r="BB14" s="1193"/>
      <c r="BC14" s="1193"/>
      <c r="BD14" s="1193"/>
      <c r="BE14" s="1194"/>
    </row>
    <row r="15" spans="1:65" thickBot="1">
      <c r="A15" s="1190"/>
      <c r="B15" s="2288" t="s">
        <v>2433</v>
      </c>
      <c r="C15" s="2289"/>
      <c r="D15" s="2289"/>
      <c r="E15" s="2289"/>
      <c r="F15" s="2289"/>
      <c r="G15" s="2289"/>
      <c r="H15" s="2289"/>
      <c r="I15" s="2289"/>
      <c r="J15" s="2289"/>
      <c r="K15" s="2289"/>
      <c r="L15" s="2289"/>
      <c r="M15" s="2289"/>
      <c r="N15" s="2289"/>
      <c r="O15" s="2289"/>
      <c r="P15" s="2289"/>
      <c r="Q15" s="2289"/>
      <c r="R15" s="2290"/>
      <c r="S15" s="2291" t="str">
        <f>IF(Application!AB214="","",Application!AB214)</f>
        <v/>
      </c>
      <c r="T15" s="2291"/>
      <c r="U15" s="2291"/>
      <c r="V15" s="2291"/>
      <c r="W15" s="2292"/>
      <c r="X15" s="1193"/>
      <c r="Y15" s="1190"/>
      <c r="Z15" s="1190"/>
      <c r="AA15" s="2293" t="s">
        <v>2432</v>
      </c>
      <c r="AB15" s="2293"/>
      <c r="AC15" s="2293"/>
      <c r="AD15" s="2293"/>
      <c r="AE15" s="2293"/>
      <c r="AF15" s="2293"/>
      <c r="AG15" s="2293"/>
      <c r="AH15" s="2293"/>
      <c r="AI15" s="2293"/>
      <c r="AJ15" s="2293"/>
      <c r="AK15" s="2293"/>
      <c r="AL15" s="2293"/>
      <c r="AM15" s="2293"/>
      <c r="AN15" s="2293"/>
      <c r="AO15" s="2294">
        <v>45797</v>
      </c>
      <c r="AP15" s="2295"/>
      <c r="AQ15" s="2295"/>
      <c r="AR15" s="2295"/>
      <c r="AS15" s="2295"/>
      <c r="AT15" s="1193"/>
      <c r="AU15" s="1193"/>
      <c r="AV15" s="1193"/>
      <c r="AW15" s="1193"/>
      <c r="AX15" s="1193"/>
      <c r="AY15" s="1193"/>
      <c r="AZ15" s="1193"/>
      <c r="BA15" s="1193"/>
      <c r="BB15" s="1193"/>
      <c r="BC15" s="1193"/>
      <c r="BD15" s="1193"/>
      <c r="BE15" s="1194"/>
    </row>
    <row r="16" spans="1:65" thickBot="1">
      <c r="A16" s="1189"/>
      <c r="B16" s="1190"/>
      <c r="C16" s="1190"/>
      <c r="D16" s="1190"/>
      <c r="E16" s="1190"/>
      <c r="F16" s="1190"/>
      <c r="G16" s="1190"/>
      <c r="H16" s="1190"/>
      <c r="I16" s="1190"/>
      <c r="J16" s="1190"/>
      <c r="K16" s="1190"/>
      <c r="L16" s="1190"/>
      <c r="M16" s="1190"/>
      <c r="N16" s="1190"/>
      <c r="O16" s="1190"/>
      <c r="P16" s="1190"/>
      <c r="Q16" s="1190"/>
      <c r="R16" s="1190"/>
      <c r="S16" s="1190"/>
      <c r="T16" s="1190"/>
      <c r="U16" s="1190"/>
      <c r="V16" s="1190"/>
      <c r="W16" s="1190"/>
      <c r="X16" s="1190"/>
      <c r="Y16" s="1190"/>
      <c r="Z16" s="1190"/>
      <c r="AA16" s="1190"/>
      <c r="AB16" s="1190"/>
      <c r="AC16" s="1190"/>
      <c r="AD16" s="1190"/>
      <c r="AE16" s="1190"/>
      <c r="AF16" s="1190"/>
      <c r="AG16" s="1190"/>
      <c r="AH16" s="1190"/>
      <c r="AI16" s="1190"/>
      <c r="AJ16" s="1190"/>
      <c r="AK16" s="1190"/>
      <c r="AL16" s="1190"/>
      <c r="AM16" s="1190"/>
      <c r="AN16" s="1190"/>
      <c r="AO16" s="1190"/>
      <c r="AP16" s="1190"/>
      <c r="AQ16" s="1190"/>
      <c r="AR16" s="1190"/>
      <c r="AS16" s="1190"/>
      <c r="AT16" s="1190"/>
      <c r="AU16" s="1190"/>
      <c r="AV16" s="1190"/>
      <c r="AW16" s="1190"/>
      <c r="AX16" s="1190"/>
      <c r="AY16" s="1190"/>
      <c r="AZ16" s="1190"/>
      <c r="BA16" s="1190"/>
      <c r="BB16" s="1190"/>
      <c r="BC16" s="1190"/>
      <c r="BD16" s="1190"/>
      <c r="BE16" s="1194"/>
    </row>
    <row r="17" spans="1:58" ht="15">
      <c r="A17" s="1190"/>
      <c r="B17" s="2100" t="s">
        <v>2431</v>
      </c>
      <c r="C17" s="2101"/>
      <c r="D17" s="2101"/>
      <c r="E17" s="2101"/>
      <c r="F17" s="2101"/>
      <c r="G17" s="2101"/>
      <c r="H17" s="2101"/>
      <c r="I17" s="2101"/>
      <c r="J17" s="2101"/>
      <c r="K17" s="2101"/>
      <c r="L17" s="2101"/>
      <c r="M17" s="2101"/>
      <c r="N17" s="2101"/>
      <c r="O17" s="2101"/>
      <c r="P17" s="2101"/>
      <c r="Q17" s="2101"/>
      <c r="R17" s="2101"/>
      <c r="S17" s="2101"/>
      <c r="T17" s="2101"/>
      <c r="U17" s="2101"/>
      <c r="V17" s="2101"/>
      <c r="W17" s="2101"/>
      <c r="X17" s="2101"/>
      <c r="Y17" s="2101"/>
      <c r="Z17" s="2101"/>
      <c r="AA17" s="2101"/>
      <c r="AB17" s="2101"/>
      <c r="AC17" s="2101"/>
      <c r="AD17" s="2101"/>
      <c r="AE17" s="2101"/>
      <c r="AF17" s="2101"/>
      <c r="AG17" s="2101"/>
      <c r="AH17" s="2101"/>
      <c r="AI17" s="2101"/>
      <c r="AJ17" s="2101"/>
      <c r="AK17" s="2101"/>
      <c r="AL17" s="2101"/>
      <c r="AM17" s="2101"/>
      <c r="AN17" s="2101"/>
      <c r="AO17" s="2101"/>
      <c r="AP17" s="2101"/>
      <c r="AQ17" s="2101"/>
      <c r="AR17" s="2101"/>
      <c r="AS17" s="2101"/>
      <c r="AT17" s="2101"/>
      <c r="AU17" s="2101"/>
      <c r="AV17" s="2101"/>
      <c r="AW17" s="2101"/>
      <c r="AX17" s="2101"/>
      <c r="AY17" s="2102"/>
      <c r="AZ17" s="1190"/>
      <c r="BA17" s="1190"/>
      <c r="BB17" s="1190"/>
      <c r="BC17" s="1190"/>
      <c r="BD17" s="1190"/>
      <c r="BE17" s="1194"/>
      <c r="BF17" s="1188"/>
    </row>
    <row r="18" spans="1:58" ht="15.75" customHeight="1">
      <c r="A18" s="1190"/>
      <c r="B18" s="2296" t="s">
        <v>2430</v>
      </c>
      <c r="C18" s="2297"/>
      <c r="D18" s="2297"/>
      <c r="E18" s="2297"/>
      <c r="F18" s="2297"/>
      <c r="G18" s="2297"/>
      <c r="H18" s="2297"/>
      <c r="I18" s="2298"/>
      <c r="J18" s="2299" t="s">
        <v>1586</v>
      </c>
      <c r="K18" s="2300"/>
      <c r="L18" s="2300"/>
      <c r="M18" s="2300"/>
      <c r="N18" s="2300"/>
      <c r="O18" s="2301"/>
      <c r="P18" s="2299" t="s">
        <v>323</v>
      </c>
      <c r="Q18" s="2300"/>
      <c r="R18" s="2300"/>
      <c r="S18" s="2300"/>
      <c r="T18" s="2300"/>
      <c r="U18" s="2301"/>
      <c r="V18" s="2299" t="s">
        <v>324</v>
      </c>
      <c r="W18" s="2300"/>
      <c r="X18" s="2300"/>
      <c r="Y18" s="2300"/>
      <c r="Z18" s="2300"/>
      <c r="AA18" s="2301"/>
      <c r="AB18" s="2299" t="s">
        <v>163</v>
      </c>
      <c r="AC18" s="2300"/>
      <c r="AD18" s="2300"/>
      <c r="AE18" s="2300"/>
      <c r="AF18" s="2300"/>
      <c r="AG18" s="2301"/>
      <c r="AH18" s="2299" t="s">
        <v>164</v>
      </c>
      <c r="AI18" s="2300"/>
      <c r="AJ18" s="2300"/>
      <c r="AK18" s="2300"/>
      <c r="AL18" s="2300"/>
      <c r="AM18" s="2301"/>
      <c r="AN18" s="2299" t="s">
        <v>165</v>
      </c>
      <c r="AO18" s="2300"/>
      <c r="AP18" s="2300"/>
      <c r="AQ18" s="2300"/>
      <c r="AR18" s="2300"/>
      <c r="AS18" s="2301"/>
      <c r="AT18" s="2299" t="s">
        <v>2429</v>
      </c>
      <c r="AU18" s="2300"/>
      <c r="AV18" s="2300"/>
      <c r="AW18" s="2300"/>
      <c r="AX18" s="2300"/>
      <c r="AY18" s="2302"/>
      <c r="AZ18" s="1190"/>
      <c r="BA18" s="1190"/>
      <c r="BB18" s="1190"/>
      <c r="BC18" s="1190"/>
      <c r="BD18" s="1190"/>
      <c r="BE18" s="1194"/>
    </row>
    <row r="19" spans="1:58" ht="15">
      <c r="A19" s="1190"/>
      <c r="B19" s="2282">
        <v>0.3</v>
      </c>
      <c r="C19" s="2283"/>
      <c r="D19" s="2283"/>
      <c r="E19" s="2283"/>
      <c r="F19" s="2283"/>
      <c r="G19" s="2283"/>
      <c r="H19" s="2283"/>
      <c r="I19" s="2284"/>
      <c r="J19" s="2285">
        <f t="shared" ref="J19:J24" si="0">SUM(P19:AS19)</f>
        <v>32</v>
      </c>
      <c r="K19" s="2286"/>
      <c r="L19" s="2286"/>
      <c r="M19" s="2286"/>
      <c r="N19" s="2286"/>
      <c r="O19" s="2287"/>
      <c r="P19" s="2285" cm="1">
        <f t="array" ref="P19">SUMPRODUCT((Application!$B$718:$B$752 = 'CalHFA Addendum'!P$18)*(Application!$AC$718:$AC$752 = 'CalHFA Addendum'!$B19),Application!$G$718:$G$752)</f>
        <v>0</v>
      </c>
      <c r="Q19" s="2286"/>
      <c r="R19" s="2286"/>
      <c r="S19" s="2286"/>
      <c r="T19" s="2286"/>
      <c r="U19" s="2287"/>
      <c r="V19" s="2285" cm="1">
        <f t="array" ref="V19">SUMPRODUCT((Application!$B$714:$B$738 = 'CalHFA Addendum'!V$18)*(Application!$AC$714:$AC$738 = 'CalHFA Addendum'!$B19),Application!$G$714:$G$738)</f>
        <v>10</v>
      </c>
      <c r="W19" s="2286"/>
      <c r="X19" s="2286"/>
      <c r="Y19" s="2286"/>
      <c r="Z19" s="2286"/>
      <c r="AA19" s="2287"/>
      <c r="AB19" s="2285" cm="1">
        <f t="array" ref="AB19">SUMPRODUCT((Application!$B$714:$B$738 = 'CalHFA Addendum'!AB$18)*(Application!$AC$714:$AC$738 = 'CalHFA Addendum'!$B19),Application!$G$714:$G$738)</f>
        <v>10</v>
      </c>
      <c r="AC19" s="2286"/>
      <c r="AD19" s="2286"/>
      <c r="AE19" s="2286"/>
      <c r="AF19" s="2286"/>
      <c r="AG19" s="2287"/>
      <c r="AH19" s="2285" cm="1">
        <f t="array" ref="AH19">SUMPRODUCT((Application!$B$714:$B$738 = 'CalHFA Addendum'!AH$18)*(Application!$AC$714:$AC$738 = 'CalHFA Addendum'!$B19),Application!$G$714:$G$738)</f>
        <v>10</v>
      </c>
      <c r="AI19" s="2286"/>
      <c r="AJ19" s="2286"/>
      <c r="AK19" s="2286"/>
      <c r="AL19" s="2286"/>
      <c r="AM19" s="2287"/>
      <c r="AN19" s="2285" cm="1">
        <f t="array" ref="AN19">SUMPRODUCT((Application!$B$714:$B$738 = 'CalHFA Addendum'!AN$18)*(Application!$AC$714:$AC$738 = 'CalHFA Addendum'!$B19),Application!$G$714:$G$738)</f>
        <v>2</v>
      </c>
      <c r="AO19" s="2286"/>
      <c r="AP19" s="2286"/>
      <c r="AQ19" s="2286"/>
      <c r="AR19" s="2286"/>
      <c r="AS19" s="2287"/>
      <c r="AT19" s="2270">
        <f t="shared" ref="AT19:AT29" si="1">J19/$J$29</f>
        <v>0.30769230769230771</v>
      </c>
      <c r="AU19" s="2271"/>
      <c r="AV19" s="2271"/>
      <c r="AW19" s="2271"/>
      <c r="AX19" s="2271"/>
      <c r="AY19" s="2272"/>
      <c r="AZ19" s="1195"/>
      <c r="BA19" s="1190"/>
      <c r="BB19" s="1190"/>
      <c r="BC19" s="1190"/>
      <c r="BD19" s="1190"/>
      <c r="BE19" s="1194"/>
    </row>
    <row r="20" spans="1:58" ht="15" customHeight="1">
      <c r="A20" s="1190"/>
      <c r="B20" s="2282">
        <v>0.4</v>
      </c>
      <c r="C20" s="2283"/>
      <c r="D20" s="2283"/>
      <c r="E20" s="2283"/>
      <c r="F20" s="2283"/>
      <c r="G20" s="2283"/>
      <c r="H20" s="2283"/>
      <c r="I20" s="2284"/>
      <c r="J20" s="2285">
        <f t="shared" si="0"/>
        <v>7</v>
      </c>
      <c r="K20" s="2286"/>
      <c r="L20" s="2286"/>
      <c r="M20" s="2286"/>
      <c r="N20" s="2286"/>
      <c r="O20" s="2287"/>
      <c r="P20" s="2285" cm="1">
        <f t="array" ref="P20">SUMPRODUCT((Application!$B$718:$B$752 = 'CalHFA Addendum'!P$18)*(Application!$AC$718:$AC$752 = 'CalHFA Addendum'!$B20),Application!$G$718:$G$752)</f>
        <v>0</v>
      </c>
      <c r="Q20" s="2286"/>
      <c r="R20" s="2286"/>
      <c r="S20" s="2286"/>
      <c r="T20" s="2286"/>
      <c r="U20" s="2287"/>
      <c r="V20" s="2285" cm="1">
        <f t="array" ref="V20">SUMPRODUCT((Application!$B$714:$B$738 = 'CalHFA Addendum'!V$18)*(Application!$AC$714:$AC$738 = 'CalHFA Addendum'!$B20),Application!$G$714:$G$738)</f>
        <v>2</v>
      </c>
      <c r="W20" s="2286"/>
      <c r="X20" s="2286"/>
      <c r="Y20" s="2286"/>
      <c r="Z20" s="2286"/>
      <c r="AA20" s="2287"/>
      <c r="AB20" s="2285" cm="1">
        <f t="array" ref="AB20">SUMPRODUCT((Application!$B$714:$B$738 = 'CalHFA Addendum'!AB$18)*(Application!$AC$714:$AC$738 = 'CalHFA Addendum'!$B20),Application!$G$714:$G$738)</f>
        <v>2</v>
      </c>
      <c r="AC20" s="2286"/>
      <c r="AD20" s="2286"/>
      <c r="AE20" s="2286"/>
      <c r="AF20" s="2286"/>
      <c r="AG20" s="2287"/>
      <c r="AH20" s="2285" cm="1">
        <f t="array" ref="AH20">SUMPRODUCT((Application!$B$714:$B$738 = 'CalHFA Addendum'!AH$18)*(Application!$AC$714:$AC$738 = 'CalHFA Addendum'!$B20),Application!$G$714:$G$738)</f>
        <v>2</v>
      </c>
      <c r="AI20" s="2286"/>
      <c r="AJ20" s="2286"/>
      <c r="AK20" s="2286"/>
      <c r="AL20" s="2286"/>
      <c r="AM20" s="2287"/>
      <c r="AN20" s="2285" cm="1">
        <f t="array" ref="AN20">SUMPRODUCT((Application!$B$714:$B$738 = 'CalHFA Addendum'!AN$18)*(Application!$AC$714:$AC$738 = 'CalHFA Addendum'!$B20),Application!$G$714:$G$738)</f>
        <v>1</v>
      </c>
      <c r="AO20" s="2286"/>
      <c r="AP20" s="2286"/>
      <c r="AQ20" s="2286"/>
      <c r="AR20" s="2286"/>
      <c r="AS20" s="2287"/>
      <c r="AT20" s="2270">
        <f t="shared" si="1"/>
        <v>6.7307692307692304E-2</v>
      </c>
      <c r="AU20" s="2271"/>
      <c r="AV20" s="2271"/>
      <c r="AW20" s="2271"/>
      <c r="AX20" s="2271"/>
      <c r="AY20" s="2272"/>
      <c r="AZ20" s="1190"/>
      <c r="BA20" s="1190"/>
      <c r="BB20" s="1190"/>
      <c r="BC20" s="1190"/>
      <c r="BD20" s="1190"/>
      <c r="BE20" s="1194"/>
    </row>
    <row r="21" spans="1:58" ht="15">
      <c r="A21" s="1190"/>
      <c r="B21" s="2282">
        <v>0.5</v>
      </c>
      <c r="C21" s="2283"/>
      <c r="D21" s="2283"/>
      <c r="E21" s="2283"/>
      <c r="F21" s="2283"/>
      <c r="G21" s="2283"/>
      <c r="H21" s="2283"/>
      <c r="I21" s="2284"/>
      <c r="J21" s="2285">
        <f t="shared" si="0"/>
        <v>7</v>
      </c>
      <c r="K21" s="2286"/>
      <c r="L21" s="2286"/>
      <c r="M21" s="2286"/>
      <c r="N21" s="2286"/>
      <c r="O21" s="2287"/>
      <c r="P21" s="2285" cm="1">
        <f t="array" ref="P21">SUMPRODUCT((Application!$B$714:$B$738 = 'CalHFA Addendum'!P$18)*(Application!$AC$714:$AC$738 = 'CalHFA Addendum'!$B21),Application!$G$714:$G$738)</f>
        <v>0</v>
      </c>
      <c r="Q21" s="2286"/>
      <c r="R21" s="2286"/>
      <c r="S21" s="2286"/>
      <c r="T21" s="2286"/>
      <c r="U21" s="2287"/>
      <c r="V21" s="2285" cm="1">
        <f t="array" ref="V21">SUMPRODUCT((Application!$B$714:$B$738 = 'CalHFA Addendum'!V$18)*(Application!$AC$714:$AC$738 = 'CalHFA Addendum'!$B21),Application!$G$714:$G$738)</f>
        <v>2</v>
      </c>
      <c r="W21" s="2286"/>
      <c r="X21" s="2286"/>
      <c r="Y21" s="2286"/>
      <c r="Z21" s="2286"/>
      <c r="AA21" s="2287"/>
      <c r="AB21" s="2285" cm="1">
        <f t="array" ref="AB21">SUMPRODUCT((Application!$B$714:$B$738 = 'CalHFA Addendum'!AB$18)*(Application!$AC$714:$AC$738 = 'CalHFA Addendum'!$B21),Application!$G$714:$G$738)</f>
        <v>2</v>
      </c>
      <c r="AC21" s="2286"/>
      <c r="AD21" s="2286"/>
      <c r="AE21" s="2286"/>
      <c r="AF21" s="2286"/>
      <c r="AG21" s="2287"/>
      <c r="AH21" s="2285" cm="1">
        <f t="array" ref="AH21">SUMPRODUCT((Application!$B$714:$B$738 = 'CalHFA Addendum'!AH$18)*(Application!$AC$714:$AC$738 = 'CalHFA Addendum'!$B21),Application!$G$714:$G$738)</f>
        <v>2</v>
      </c>
      <c r="AI21" s="2286"/>
      <c r="AJ21" s="2286"/>
      <c r="AK21" s="2286"/>
      <c r="AL21" s="2286"/>
      <c r="AM21" s="2287"/>
      <c r="AN21" s="2285" cm="1">
        <f t="array" ref="AN21">SUMPRODUCT((Application!$B$714:$B$738 = 'CalHFA Addendum'!AN$18)*(Application!$AC$714:$AC$738 = 'CalHFA Addendum'!$B21),Application!$G$714:$G$738)</f>
        <v>1</v>
      </c>
      <c r="AO21" s="2286"/>
      <c r="AP21" s="2286"/>
      <c r="AQ21" s="2286"/>
      <c r="AR21" s="2286"/>
      <c r="AS21" s="2287"/>
      <c r="AT21" s="2270">
        <f t="shared" si="1"/>
        <v>6.7307692307692304E-2</v>
      </c>
      <c r="AU21" s="2271"/>
      <c r="AV21" s="2271"/>
      <c r="AW21" s="2271"/>
      <c r="AX21" s="2271"/>
      <c r="AY21" s="2272"/>
      <c r="AZ21" s="1190"/>
      <c r="BA21" s="1190"/>
      <c r="BB21" s="1190"/>
      <c r="BC21" s="1190"/>
      <c r="BD21" s="1190"/>
      <c r="BE21" s="1194"/>
    </row>
    <row r="22" spans="1:58" ht="15">
      <c r="A22" s="1190"/>
      <c r="B22" s="2282">
        <v>0.6</v>
      </c>
      <c r="C22" s="2283"/>
      <c r="D22" s="2283"/>
      <c r="E22" s="2283"/>
      <c r="F22" s="2283"/>
      <c r="G22" s="2283"/>
      <c r="H22" s="2283"/>
      <c r="I22" s="2284"/>
      <c r="J22" s="2285">
        <f t="shared" si="0"/>
        <v>7</v>
      </c>
      <c r="K22" s="2286"/>
      <c r="L22" s="2286"/>
      <c r="M22" s="2286"/>
      <c r="N22" s="2286"/>
      <c r="O22" s="2287"/>
      <c r="P22" s="2285" cm="1">
        <f t="array" ref="P22">SUMPRODUCT((Application!$B$714:$B$738 = 'CalHFA Addendum'!P$18)*(Application!$AC$714:$AC$738 = 'CalHFA Addendum'!$B22),Application!$G$714:$G$738)</f>
        <v>0</v>
      </c>
      <c r="Q22" s="2286"/>
      <c r="R22" s="2286"/>
      <c r="S22" s="2286"/>
      <c r="T22" s="2286"/>
      <c r="U22" s="2287"/>
      <c r="V22" s="2285" cm="1">
        <f t="array" ref="V22">SUMPRODUCT((Application!$B$714:$B$738 = 'CalHFA Addendum'!V$18)*(Application!$AC$714:$AC$738 = 'CalHFA Addendum'!$B22),Application!$G$714:$G$738)</f>
        <v>2</v>
      </c>
      <c r="W22" s="2286"/>
      <c r="X22" s="2286"/>
      <c r="Y22" s="2286"/>
      <c r="Z22" s="2286"/>
      <c r="AA22" s="2287"/>
      <c r="AB22" s="2285" cm="1">
        <f t="array" ref="AB22">SUMPRODUCT((Application!$B$714:$B$738 = 'CalHFA Addendum'!AB$18)*(Application!$AC$714:$AC$738 = 'CalHFA Addendum'!$B22),Application!$G$714:$G$738)</f>
        <v>2</v>
      </c>
      <c r="AC22" s="2286"/>
      <c r="AD22" s="2286"/>
      <c r="AE22" s="2286"/>
      <c r="AF22" s="2286"/>
      <c r="AG22" s="2287"/>
      <c r="AH22" s="2285" cm="1">
        <f t="array" ref="AH22">SUMPRODUCT((Application!$B$714:$B$738 = 'CalHFA Addendum'!AH$18)*(Application!$AC$714:$AC$738 = 'CalHFA Addendum'!$B22),Application!$G$714:$G$738)</f>
        <v>2</v>
      </c>
      <c r="AI22" s="2286"/>
      <c r="AJ22" s="2286"/>
      <c r="AK22" s="2286"/>
      <c r="AL22" s="2286"/>
      <c r="AM22" s="2287"/>
      <c r="AN22" s="2285" cm="1">
        <f t="array" ref="AN22">SUMPRODUCT((Application!$B$714:$B$738 = 'CalHFA Addendum'!AN$18)*(Application!$AC$714:$AC$738 = 'CalHFA Addendum'!$B22),Application!$G$714:$G$738)</f>
        <v>1</v>
      </c>
      <c r="AO22" s="2286"/>
      <c r="AP22" s="2286"/>
      <c r="AQ22" s="2286"/>
      <c r="AR22" s="2286"/>
      <c r="AS22" s="2287"/>
      <c r="AT22" s="2270">
        <f t="shared" si="1"/>
        <v>6.7307692307692304E-2</v>
      </c>
      <c r="AU22" s="2271"/>
      <c r="AV22" s="2271"/>
      <c r="AW22" s="2271"/>
      <c r="AX22" s="2271"/>
      <c r="AY22" s="2272"/>
      <c r="AZ22" s="1190"/>
      <c r="BA22" s="1190"/>
      <c r="BB22" s="1190"/>
      <c r="BC22" s="1190"/>
      <c r="BD22" s="1190"/>
      <c r="BE22" s="1194"/>
    </row>
    <row r="23" spans="1:58" ht="15">
      <c r="A23" s="1190"/>
      <c r="B23" s="2282">
        <v>0.7</v>
      </c>
      <c r="C23" s="2283"/>
      <c r="D23" s="2283"/>
      <c r="E23" s="2283"/>
      <c r="F23" s="2283"/>
      <c r="G23" s="2283"/>
      <c r="H23" s="2283"/>
      <c r="I23" s="2284"/>
      <c r="J23" s="2285">
        <f t="shared" si="0"/>
        <v>0</v>
      </c>
      <c r="K23" s="2286"/>
      <c r="L23" s="2286"/>
      <c r="M23" s="2286"/>
      <c r="N23" s="2286"/>
      <c r="O23" s="2287"/>
      <c r="P23" s="2285" cm="1">
        <f t="array" ref="P23">SUMPRODUCT((Application!$B$714:$B$738 = 'CalHFA Addendum'!P$18)*(Application!$AC$714:$AC$738 = 'CalHFA Addendum'!$B23),Application!$G$714:$G$738)</f>
        <v>0</v>
      </c>
      <c r="Q23" s="2286"/>
      <c r="R23" s="2286"/>
      <c r="S23" s="2286"/>
      <c r="T23" s="2286"/>
      <c r="U23" s="2287"/>
      <c r="V23" s="2285" cm="1">
        <f t="array" ref="V23">SUMPRODUCT((Application!$B$714:$B$738 = 'CalHFA Addendum'!V$18)*(Application!$AC$714:$AC$738 = 'CalHFA Addendum'!$B23),Application!$G$714:$G$738)</f>
        <v>0</v>
      </c>
      <c r="W23" s="2286"/>
      <c r="X23" s="2286"/>
      <c r="Y23" s="2286"/>
      <c r="Z23" s="2286"/>
      <c r="AA23" s="2287"/>
      <c r="AB23" s="2285" cm="1">
        <f t="array" ref="AB23">SUMPRODUCT((Application!$B$714:$B$738 = 'CalHFA Addendum'!AB$18)*(Application!$AC$714:$AC$738 = 'CalHFA Addendum'!$B23),Application!$G$714:$G$738)</f>
        <v>0</v>
      </c>
      <c r="AC23" s="2286"/>
      <c r="AD23" s="2286"/>
      <c r="AE23" s="2286"/>
      <c r="AF23" s="2286"/>
      <c r="AG23" s="2287"/>
      <c r="AH23" s="2285" cm="1">
        <f t="array" ref="AH23">SUMPRODUCT((Application!$B$714:$B$738 = 'CalHFA Addendum'!AH$18)*(Application!$AC$714:$AC$738 = 'CalHFA Addendum'!$B23),Application!$G$714:$G$738)</f>
        <v>0</v>
      </c>
      <c r="AI23" s="2286"/>
      <c r="AJ23" s="2286"/>
      <c r="AK23" s="2286"/>
      <c r="AL23" s="2286"/>
      <c r="AM23" s="2287"/>
      <c r="AN23" s="2285" cm="1">
        <f t="array" ref="AN23">SUMPRODUCT((Application!$B$714:$B$738 = 'CalHFA Addendum'!AN$18)*(Application!$AC$714:$AC$738 = 'CalHFA Addendum'!$B23),Application!$G$714:$G$738)</f>
        <v>0</v>
      </c>
      <c r="AO23" s="2286"/>
      <c r="AP23" s="2286"/>
      <c r="AQ23" s="2286"/>
      <c r="AR23" s="2286"/>
      <c r="AS23" s="2287"/>
      <c r="AT23" s="2270">
        <f t="shared" si="1"/>
        <v>0</v>
      </c>
      <c r="AU23" s="2271"/>
      <c r="AV23" s="2271"/>
      <c r="AW23" s="2271"/>
      <c r="AX23" s="2271"/>
      <c r="AY23" s="2272"/>
      <c r="AZ23" s="1190"/>
      <c r="BA23" s="1190"/>
      <c r="BB23" s="1190"/>
      <c r="BC23" s="1190"/>
      <c r="BD23" s="1190"/>
      <c r="BE23" s="1194"/>
    </row>
    <row r="24" spans="1:58" ht="15">
      <c r="A24" s="1190"/>
      <c r="B24" s="2282">
        <v>0.8</v>
      </c>
      <c r="C24" s="2283"/>
      <c r="D24" s="2283"/>
      <c r="E24" s="2283"/>
      <c r="F24" s="2283"/>
      <c r="G24" s="2283"/>
      <c r="H24" s="2283"/>
      <c r="I24" s="2284"/>
      <c r="J24" s="2285">
        <f t="shared" si="0"/>
        <v>50</v>
      </c>
      <c r="K24" s="2286"/>
      <c r="L24" s="2286"/>
      <c r="M24" s="2286"/>
      <c r="N24" s="2286"/>
      <c r="O24" s="2287"/>
      <c r="P24" s="2285" cm="1">
        <f t="array" ref="P24">SUMPRODUCT((Application!$B$714:$B$738 = 'CalHFA Addendum'!P$18)*(Application!$AC$714:$AC$738 = 'CalHFA Addendum'!$B24),Application!$G$714:$G$738)</f>
        <v>0</v>
      </c>
      <c r="Q24" s="2286"/>
      <c r="R24" s="2286"/>
      <c r="S24" s="2286"/>
      <c r="T24" s="2286"/>
      <c r="U24" s="2287"/>
      <c r="V24" s="2285" cm="1">
        <f t="array" ref="V24">SUMPRODUCT((Application!$B$714:$B$738 = 'CalHFA Addendum'!V$18)*(Application!$AC$714:$AC$738 = 'CalHFA Addendum'!$B24),Application!$G$714:$G$738)</f>
        <v>10</v>
      </c>
      <c r="W24" s="2286"/>
      <c r="X24" s="2286"/>
      <c r="Y24" s="2286"/>
      <c r="Z24" s="2286"/>
      <c r="AA24" s="2287"/>
      <c r="AB24" s="2285" cm="1">
        <f t="array" ref="AB24">SUMPRODUCT((Application!$B$714:$B$738 = 'CalHFA Addendum'!AB$18)*(Application!$AC$714:$AC$738 = 'CalHFA Addendum'!$B24),Application!$G$714:$G$738)</f>
        <v>18</v>
      </c>
      <c r="AC24" s="2286"/>
      <c r="AD24" s="2286"/>
      <c r="AE24" s="2286"/>
      <c r="AF24" s="2286"/>
      <c r="AG24" s="2287"/>
      <c r="AH24" s="2285" cm="1">
        <f t="array" ref="AH24">SUMPRODUCT((Application!$B$714:$B$738 = 'CalHFA Addendum'!AH$18)*(Application!$AC$714:$AC$738 = 'CalHFA Addendum'!$B24),Application!$G$714:$G$738)</f>
        <v>16</v>
      </c>
      <c r="AI24" s="2286"/>
      <c r="AJ24" s="2286"/>
      <c r="AK24" s="2286"/>
      <c r="AL24" s="2286"/>
      <c r="AM24" s="2287"/>
      <c r="AN24" s="2285" cm="1">
        <f t="array" ref="AN24">SUMPRODUCT((Application!$B$714:$B$738 = 'CalHFA Addendum'!AN$18)*(Application!$AC$714:$AC$738 = 'CalHFA Addendum'!$B24),Application!$G$714:$G$738)</f>
        <v>6</v>
      </c>
      <c r="AO24" s="2286"/>
      <c r="AP24" s="2286"/>
      <c r="AQ24" s="2286"/>
      <c r="AR24" s="2286"/>
      <c r="AS24" s="2287"/>
      <c r="AT24" s="2270">
        <f t="shared" si="1"/>
        <v>0.48076923076923078</v>
      </c>
      <c r="AU24" s="2271"/>
      <c r="AV24" s="2271"/>
      <c r="AW24" s="2271"/>
      <c r="AX24" s="2271"/>
      <c r="AY24" s="2272"/>
      <c r="AZ24" s="1190"/>
      <c r="BA24" s="1190"/>
      <c r="BB24" s="1190"/>
      <c r="BC24" s="1190"/>
      <c r="BD24" s="1190"/>
      <c r="BE24" s="1194"/>
    </row>
    <row r="25" spans="1:58" ht="15">
      <c r="A25" s="1190"/>
      <c r="B25" s="2282">
        <v>0.9</v>
      </c>
      <c r="C25" s="2283"/>
      <c r="D25" s="2283"/>
      <c r="E25" s="2283"/>
      <c r="F25" s="2283"/>
      <c r="G25" s="2283"/>
      <c r="H25" s="2283"/>
      <c r="I25" s="2284"/>
      <c r="J25" s="2267"/>
      <c r="K25" s="2268"/>
      <c r="L25" s="2268"/>
      <c r="M25" s="2268"/>
      <c r="N25" s="2268"/>
      <c r="O25" s="2269"/>
      <c r="P25" s="2267"/>
      <c r="Q25" s="2268"/>
      <c r="R25" s="2268"/>
      <c r="S25" s="2268"/>
      <c r="T25" s="2268"/>
      <c r="U25" s="2269"/>
      <c r="V25" s="2267"/>
      <c r="W25" s="2268"/>
      <c r="X25" s="2268"/>
      <c r="Y25" s="2268"/>
      <c r="Z25" s="2268"/>
      <c r="AA25" s="2269"/>
      <c r="AB25" s="2267"/>
      <c r="AC25" s="2268"/>
      <c r="AD25" s="2268"/>
      <c r="AE25" s="2268"/>
      <c r="AF25" s="2268"/>
      <c r="AG25" s="2269"/>
      <c r="AH25" s="2267"/>
      <c r="AI25" s="2268"/>
      <c r="AJ25" s="2268"/>
      <c r="AK25" s="2268"/>
      <c r="AL25" s="2268"/>
      <c r="AM25" s="2269"/>
      <c r="AN25" s="2267"/>
      <c r="AO25" s="2268"/>
      <c r="AP25" s="2268"/>
      <c r="AQ25" s="2268"/>
      <c r="AR25" s="2268"/>
      <c r="AS25" s="2269"/>
      <c r="AT25" s="2270">
        <f t="shared" si="1"/>
        <v>0</v>
      </c>
      <c r="AU25" s="2271"/>
      <c r="AV25" s="2271"/>
      <c r="AW25" s="2271"/>
      <c r="AX25" s="2271"/>
      <c r="AY25" s="2272"/>
      <c r="AZ25" s="1190"/>
      <c r="BA25" s="1190"/>
      <c r="BB25" s="1190"/>
      <c r="BC25" s="1190"/>
      <c r="BD25" s="1190"/>
      <c r="BE25" s="1194"/>
    </row>
    <row r="26" spans="1:58" ht="15">
      <c r="A26" s="1190"/>
      <c r="B26" s="2282">
        <v>1</v>
      </c>
      <c r="C26" s="2283"/>
      <c r="D26" s="2283"/>
      <c r="E26" s="2283"/>
      <c r="F26" s="2283"/>
      <c r="G26" s="2283"/>
      <c r="H26" s="2283"/>
      <c r="I26" s="2284"/>
      <c r="J26" s="2267"/>
      <c r="K26" s="2268"/>
      <c r="L26" s="2268"/>
      <c r="M26" s="2268"/>
      <c r="N26" s="2268"/>
      <c r="O26" s="2269"/>
      <c r="P26" s="2267"/>
      <c r="Q26" s="2268"/>
      <c r="R26" s="2268"/>
      <c r="S26" s="2268"/>
      <c r="T26" s="2268"/>
      <c r="U26" s="2269"/>
      <c r="V26" s="2267"/>
      <c r="W26" s="2268"/>
      <c r="X26" s="2268"/>
      <c r="Y26" s="2268"/>
      <c r="Z26" s="2268"/>
      <c r="AA26" s="2269"/>
      <c r="AB26" s="2267"/>
      <c r="AC26" s="2268"/>
      <c r="AD26" s="2268"/>
      <c r="AE26" s="2268"/>
      <c r="AF26" s="2268"/>
      <c r="AG26" s="2269"/>
      <c r="AH26" s="2267"/>
      <c r="AI26" s="2268"/>
      <c r="AJ26" s="2268"/>
      <c r="AK26" s="2268"/>
      <c r="AL26" s="2268"/>
      <c r="AM26" s="2269"/>
      <c r="AN26" s="2267"/>
      <c r="AO26" s="2268"/>
      <c r="AP26" s="2268"/>
      <c r="AQ26" s="2268"/>
      <c r="AR26" s="2268"/>
      <c r="AS26" s="2269"/>
      <c r="AT26" s="2270">
        <f t="shared" si="1"/>
        <v>0</v>
      </c>
      <c r="AU26" s="2271"/>
      <c r="AV26" s="2271"/>
      <c r="AW26" s="2271"/>
      <c r="AX26" s="2271"/>
      <c r="AY26" s="2272"/>
      <c r="AZ26" s="1190"/>
      <c r="BA26" s="1190"/>
      <c r="BB26" s="1190"/>
      <c r="BC26" s="1190"/>
      <c r="BD26" s="1190"/>
      <c r="BE26" s="1194"/>
    </row>
    <row r="27" spans="1:58" ht="15">
      <c r="A27" s="1190"/>
      <c r="B27" s="2282">
        <v>1.2</v>
      </c>
      <c r="C27" s="2283"/>
      <c r="D27" s="2283"/>
      <c r="E27" s="2283"/>
      <c r="F27" s="2283"/>
      <c r="G27" s="2283"/>
      <c r="H27" s="2283"/>
      <c r="I27" s="2284"/>
      <c r="J27" s="2267"/>
      <c r="K27" s="2268"/>
      <c r="L27" s="2268"/>
      <c r="M27" s="2268"/>
      <c r="N27" s="2268"/>
      <c r="O27" s="2269"/>
      <c r="P27" s="2267"/>
      <c r="Q27" s="2268"/>
      <c r="R27" s="2268"/>
      <c r="S27" s="2268"/>
      <c r="T27" s="2268"/>
      <c r="U27" s="2269"/>
      <c r="V27" s="2267"/>
      <c r="W27" s="2268"/>
      <c r="X27" s="2268"/>
      <c r="Y27" s="2268"/>
      <c r="Z27" s="2268"/>
      <c r="AA27" s="2269"/>
      <c r="AB27" s="2267"/>
      <c r="AC27" s="2268"/>
      <c r="AD27" s="2268"/>
      <c r="AE27" s="2268"/>
      <c r="AF27" s="2268"/>
      <c r="AG27" s="2269"/>
      <c r="AH27" s="2267"/>
      <c r="AI27" s="2268"/>
      <c r="AJ27" s="2268"/>
      <c r="AK27" s="2268"/>
      <c r="AL27" s="2268"/>
      <c r="AM27" s="2269"/>
      <c r="AN27" s="2267"/>
      <c r="AO27" s="2268"/>
      <c r="AP27" s="2268"/>
      <c r="AQ27" s="2268"/>
      <c r="AR27" s="2268"/>
      <c r="AS27" s="2269"/>
      <c r="AT27" s="2270">
        <f t="shared" si="1"/>
        <v>0</v>
      </c>
      <c r="AU27" s="2271"/>
      <c r="AV27" s="2271"/>
      <c r="AW27" s="2271"/>
      <c r="AX27" s="2271"/>
      <c r="AY27" s="2272"/>
      <c r="AZ27" s="1190"/>
      <c r="BA27" s="1190"/>
      <c r="BB27" s="1190"/>
      <c r="BC27" s="1190"/>
      <c r="BD27" s="1190"/>
      <c r="BE27" s="1194"/>
    </row>
    <row r="28" spans="1:58" thickBot="1">
      <c r="A28" s="1190"/>
      <c r="B28" s="2273" t="s">
        <v>2428</v>
      </c>
      <c r="C28" s="2274"/>
      <c r="D28" s="2274"/>
      <c r="E28" s="2274"/>
      <c r="F28" s="2274"/>
      <c r="G28" s="2274"/>
      <c r="H28" s="2274"/>
      <c r="I28" s="2275"/>
      <c r="J28" s="2276">
        <f>SUM(P28:AS28)</f>
        <v>1</v>
      </c>
      <c r="K28" s="2277"/>
      <c r="L28" s="2277"/>
      <c r="M28" s="2277"/>
      <c r="N28" s="2277"/>
      <c r="O28" s="2278"/>
      <c r="P28" s="2276">
        <f>_xlfn.IFNA(VLOOKUP(P$18,Application!$J$773:$S$776,6,FALSE), 0)</f>
        <v>0</v>
      </c>
      <c r="Q28" s="2277"/>
      <c r="R28" s="2277"/>
      <c r="S28" s="2277"/>
      <c r="T28" s="2277"/>
      <c r="U28" s="2278"/>
      <c r="V28" s="2276">
        <f>_xlfn.IFNA(VLOOKUP(V$18,Application!$J$773:$S$776,6,FALSE), 0)</f>
        <v>0</v>
      </c>
      <c r="W28" s="2277"/>
      <c r="X28" s="2277"/>
      <c r="Y28" s="2277"/>
      <c r="Z28" s="2277"/>
      <c r="AA28" s="2278"/>
      <c r="AB28" s="2276">
        <f>_xlfn.IFNA(VLOOKUP(AB$18,Application!$J$773:$S$776,6,FALSE), 0)</f>
        <v>1</v>
      </c>
      <c r="AC28" s="2277"/>
      <c r="AD28" s="2277"/>
      <c r="AE28" s="2277"/>
      <c r="AF28" s="2277"/>
      <c r="AG28" s="2278"/>
      <c r="AH28" s="2276">
        <f>_xlfn.IFNA(VLOOKUP(AH$18,Application!$J$773:$S$776,6,FALSE), 0)</f>
        <v>0</v>
      </c>
      <c r="AI28" s="2277"/>
      <c r="AJ28" s="2277"/>
      <c r="AK28" s="2277"/>
      <c r="AL28" s="2277"/>
      <c r="AM28" s="2278"/>
      <c r="AN28" s="2276">
        <f>_xlfn.IFNA(VLOOKUP(AN$18,Application!$J$773:$S$776,6,FALSE), 0)</f>
        <v>0</v>
      </c>
      <c r="AO28" s="2277"/>
      <c r="AP28" s="2277"/>
      <c r="AQ28" s="2277"/>
      <c r="AR28" s="2277"/>
      <c r="AS28" s="2278"/>
      <c r="AT28" s="2279">
        <f t="shared" si="1"/>
        <v>9.6153846153846159E-3</v>
      </c>
      <c r="AU28" s="2280"/>
      <c r="AV28" s="2280"/>
      <c r="AW28" s="2280"/>
      <c r="AX28" s="2280"/>
      <c r="AY28" s="2281"/>
      <c r="AZ28" s="1190"/>
      <c r="BA28" s="1190"/>
      <c r="BB28" s="1190"/>
      <c r="BC28" s="1190"/>
      <c r="BD28" s="1190"/>
      <c r="BE28" s="1194"/>
    </row>
    <row r="29" spans="1:58" thickBot="1">
      <c r="A29" s="1190"/>
      <c r="B29" s="2256" t="s">
        <v>1586</v>
      </c>
      <c r="C29" s="2229"/>
      <c r="D29" s="2229"/>
      <c r="E29" s="2229"/>
      <c r="F29" s="2229"/>
      <c r="G29" s="2229"/>
      <c r="H29" s="2229"/>
      <c r="I29" s="2230"/>
      <c r="J29" s="2228">
        <f>SUM(J19:O28)</f>
        <v>104</v>
      </c>
      <c r="K29" s="2229"/>
      <c r="L29" s="2229"/>
      <c r="M29" s="2229"/>
      <c r="N29" s="2229"/>
      <c r="O29" s="2230"/>
      <c r="P29" s="2228">
        <f>SUM(P19:U28)</f>
        <v>0</v>
      </c>
      <c r="Q29" s="2229"/>
      <c r="R29" s="2229"/>
      <c r="S29" s="2229"/>
      <c r="T29" s="2229"/>
      <c r="U29" s="2230"/>
      <c r="V29" s="2228">
        <f>SUM(V19:AA28)</f>
        <v>26</v>
      </c>
      <c r="W29" s="2229"/>
      <c r="X29" s="2229"/>
      <c r="Y29" s="2229"/>
      <c r="Z29" s="2229"/>
      <c r="AA29" s="2230"/>
      <c r="AB29" s="2228">
        <f>SUM(AB19:AG28)</f>
        <v>35</v>
      </c>
      <c r="AC29" s="2229"/>
      <c r="AD29" s="2229"/>
      <c r="AE29" s="2229"/>
      <c r="AF29" s="2229"/>
      <c r="AG29" s="2230"/>
      <c r="AH29" s="2228">
        <f>SUM(AH19:AM28)</f>
        <v>32</v>
      </c>
      <c r="AI29" s="2229"/>
      <c r="AJ29" s="2229"/>
      <c r="AK29" s="2229"/>
      <c r="AL29" s="2229"/>
      <c r="AM29" s="2230"/>
      <c r="AN29" s="2228">
        <f>SUM(AN19:AS28)</f>
        <v>11</v>
      </c>
      <c r="AO29" s="2229"/>
      <c r="AP29" s="2229"/>
      <c r="AQ29" s="2229"/>
      <c r="AR29" s="2229"/>
      <c r="AS29" s="2230"/>
      <c r="AT29" s="2231">
        <f t="shared" si="1"/>
        <v>1</v>
      </c>
      <c r="AU29" s="2232"/>
      <c r="AV29" s="2232"/>
      <c r="AW29" s="2232"/>
      <c r="AX29" s="2232"/>
      <c r="AY29" s="2233"/>
      <c r="AZ29" s="1190"/>
      <c r="BA29" s="1190"/>
      <c r="BB29" s="1190"/>
      <c r="BC29" s="1190"/>
      <c r="BD29" s="1190"/>
      <c r="BE29" s="1194"/>
    </row>
    <row r="30" spans="1:58" thickBot="1">
      <c r="A30" s="1189"/>
      <c r="B30" s="1190"/>
      <c r="C30" s="1190"/>
      <c r="D30" s="1190"/>
      <c r="E30" s="1190"/>
      <c r="F30" s="1190"/>
      <c r="G30" s="1190"/>
      <c r="H30" s="1190"/>
      <c r="I30" s="1190"/>
      <c r="J30" s="1190"/>
      <c r="K30" s="1190"/>
      <c r="L30" s="1190"/>
      <c r="M30" s="1190"/>
      <c r="N30" s="1190"/>
      <c r="O30" s="1190"/>
      <c r="P30" s="1190"/>
      <c r="Q30" s="1190"/>
      <c r="R30" s="1190"/>
      <c r="S30" s="1190"/>
      <c r="T30" s="1190"/>
      <c r="U30" s="1190"/>
      <c r="V30" s="1190"/>
      <c r="W30" s="1190"/>
      <c r="X30" s="1190"/>
      <c r="Y30" s="1190"/>
      <c r="Z30" s="1190"/>
      <c r="AA30" s="1190"/>
      <c r="AB30" s="1190"/>
      <c r="AC30" s="1190"/>
      <c r="AD30" s="1190"/>
      <c r="AE30" s="1190"/>
      <c r="AF30" s="1190"/>
      <c r="AG30" s="1190"/>
      <c r="AH30" s="1190"/>
      <c r="AI30" s="1190"/>
      <c r="AJ30" s="1190"/>
      <c r="AK30" s="1190"/>
      <c r="AL30" s="1190"/>
      <c r="AM30" s="1190"/>
      <c r="AN30" s="1190"/>
      <c r="AO30" s="1190"/>
      <c r="AP30" s="1190"/>
      <c r="AQ30" s="1190"/>
      <c r="AR30" s="1190"/>
      <c r="AS30" s="1190"/>
      <c r="AT30" s="1190"/>
      <c r="AU30" s="1190"/>
      <c r="AV30" s="1190"/>
      <c r="AW30" s="1190"/>
      <c r="AX30" s="1190"/>
      <c r="AY30" s="1190"/>
      <c r="AZ30" s="1190"/>
      <c r="BA30" s="1190"/>
      <c r="BB30" s="1190"/>
      <c r="BC30" s="1190"/>
      <c r="BD30" s="1190"/>
      <c r="BE30" s="1194"/>
    </row>
    <row r="31" spans="1:58" thickBot="1">
      <c r="A31" s="1190"/>
      <c r="B31" s="2234" t="s">
        <v>2427</v>
      </c>
      <c r="C31" s="2235"/>
      <c r="D31" s="2235"/>
      <c r="E31" s="2235"/>
      <c r="F31" s="2235"/>
      <c r="G31" s="2235"/>
      <c r="H31" s="2235"/>
      <c r="I31" s="2235"/>
      <c r="J31" s="2235"/>
      <c r="K31" s="2235"/>
      <c r="L31" s="2235"/>
      <c r="M31" s="2235"/>
      <c r="N31" s="2235"/>
      <c r="O31" s="2235"/>
      <c r="P31" s="2235"/>
      <c r="Q31" s="2235"/>
      <c r="R31" s="2235"/>
      <c r="S31" s="2235"/>
      <c r="T31" s="2235"/>
      <c r="U31" s="2235"/>
      <c r="V31" s="2235"/>
      <c r="W31" s="2235"/>
      <c r="X31" s="2235"/>
      <c r="Y31" s="2235"/>
      <c r="Z31" s="2235"/>
      <c r="AA31" s="2235"/>
      <c r="AB31" s="2235"/>
      <c r="AC31" s="2235"/>
      <c r="AD31" s="2235"/>
      <c r="AE31" s="2235"/>
      <c r="AF31" s="2235"/>
      <c r="AG31" s="2235"/>
      <c r="AH31" s="2235"/>
      <c r="AI31" s="2235"/>
      <c r="AJ31" s="2235"/>
      <c r="AK31" s="2235"/>
      <c r="AL31" s="2235"/>
      <c r="AM31" s="2235"/>
      <c r="AN31" s="2235"/>
      <c r="AO31" s="2235"/>
      <c r="AP31" s="2235"/>
      <c r="AQ31" s="2235"/>
      <c r="AR31" s="2235"/>
      <c r="AS31" s="2235"/>
      <c r="AT31" s="2235"/>
      <c r="AU31" s="2235"/>
      <c r="AV31" s="2235"/>
      <c r="AW31" s="2235"/>
      <c r="AX31" s="2235"/>
      <c r="AY31" s="2235"/>
      <c r="AZ31" s="2235"/>
      <c r="BA31" s="2235"/>
      <c r="BB31" s="2235"/>
      <c r="BC31" s="2235"/>
      <c r="BD31" s="2236"/>
      <c r="BE31" s="1194"/>
    </row>
    <row r="32" spans="1:58" thickBot="1">
      <c r="A32" s="1190"/>
      <c r="B32" s="2237" t="s">
        <v>2426</v>
      </c>
      <c r="C32" s="2238"/>
      <c r="D32" s="2238"/>
      <c r="E32" s="2238"/>
      <c r="F32" s="2238"/>
      <c r="G32" s="2238"/>
      <c r="H32" s="2238"/>
      <c r="I32" s="2238"/>
      <c r="J32" s="2241" t="s">
        <v>2425</v>
      </c>
      <c r="K32" s="2242"/>
      <c r="L32" s="2242"/>
      <c r="M32" s="2242"/>
      <c r="N32" s="2241" t="s">
        <v>2424</v>
      </c>
      <c r="O32" s="2242"/>
      <c r="P32" s="2242"/>
      <c r="Q32" s="2244"/>
      <c r="R32" s="2246" t="s">
        <v>2423</v>
      </c>
      <c r="S32" s="2247"/>
      <c r="T32" s="2247"/>
      <c r="U32" s="2247"/>
      <c r="V32" s="2247"/>
      <c r="W32" s="2247"/>
      <c r="X32" s="2247"/>
      <c r="Y32" s="2247"/>
      <c r="Z32" s="2247"/>
      <c r="AA32" s="2247"/>
      <c r="AB32" s="2247"/>
      <c r="AC32" s="2247"/>
      <c r="AD32" s="2247"/>
      <c r="AE32" s="2247"/>
      <c r="AF32" s="2247"/>
      <c r="AG32" s="2247"/>
      <c r="AH32" s="2247"/>
      <c r="AI32" s="2247"/>
      <c r="AJ32" s="2247"/>
      <c r="AK32" s="2247"/>
      <c r="AL32" s="2247"/>
      <c r="AM32" s="2247"/>
      <c r="AN32" s="2247"/>
      <c r="AO32" s="2247"/>
      <c r="AP32" s="2247"/>
      <c r="AQ32" s="2247"/>
      <c r="AR32" s="2247"/>
      <c r="AS32" s="2247"/>
      <c r="AT32" s="2247"/>
      <c r="AU32" s="2247"/>
      <c r="AV32" s="2247"/>
      <c r="AW32" s="2247"/>
      <c r="AX32" s="2247"/>
      <c r="AY32" s="2247"/>
      <c r="AZ32" s="2247"/>
      <c r="BA32" s="2247"/>
      <c r="BB32" s="2247"/>
      <c r="BC32" s="2247"/>
      <c r="BD32" s="2248"/>
      <c r="BE32" s="1194"/>
    </row>
    <row r="33" spans="1:58" ht="15" customHeight="1">
      <c r="A33" s="1190"/>
      <c r="B33" s="2239"/>
      <c r="C33" s="2240"/>
      <c r="D33" s="2240"/>
      <c r="E33" s="2240"/>
      <c r="F33" s="2240"/>
      <c r="G33" s="2240"/>
      <c r="H33" s="2240"/>
      <c r="I33" s="2240"/>
      <c r="J33" s="2243"/>
      <c r="K33" s="2243"/>
      <c r="L33" s="2243"/>
      <c r="M33" s="2243"/>
      <c r="N33" s="2243"/>
      <c r="O33" s="2243"/>
      <c r="P33" s="2243"/>
      <c r="Q33" s="2245"/>
      <c r="R33" s="2249" t="s">
        <v>2422</v>
      </c>
      <c r="S33" s="2250"/>
      <c r="T33" s="2250"/>
      <c r="U33" s="2250"/>
      <c r="V33" s="2250"/>
      <c r="W33" s="2250"/>
      <c r="X33" s="2250"/>
      <c r="Y33" s="2250"/>
      <c r="Z33" s="2250"/>
      <c r="AA33" s="2250"/>
      <c r="AB33" s="2250"/>
      <c r="AC33" s="2250"/>
      <c r="AD33" s="2250"/>
      <c r="AE33" s="2250"/>
      <c r="AF33" s="2250"/>
      <c r="AG33" s="2250"/>
      <c r="AH33" s="2250"/>
      <c r="AI33" s="2250"/>
      <c r="AJ33" s="2250"/>
      <c r="AK33" s="2250"/>
      <c r="AL33" s="2250"/>
      <c r="AM33" s="2250"/>
      <c r="AN33" s="2250"/>
      <c r="AO33" s="2250"/>
      <c r="AP33" s="2250"/>
      <c r="AQ33" s="2250"/>
      <c r="AR33" s="2250"/>
      <c r="AS33" s="2250"/>
      <c r="AT33" s="2250"/>
      <c r="AU33" s="2250"/>
      <c r="AV33" s="2250"/>
      <c r="AW33" s="2250"/>
      <c r="AX33" s="2250"/>
      <c r="AY33" s="2250"/>
      <c r="AZ33" s="2250"/>
      <c r="BA33" s="2250"/>
      <c r="BB33" s="2250"/>
      <c r="BC33" s="2250"/>
      <c r="BD33" s="2251"/>
      <c r="BE33" s="1194"/>
    </row>
    <row r="34" spans="1:58" ht="15.75" customHeight="1" thickBot="1">
      <c r="A34" s="1190"/>
      <c r="B34" s="2239"/>
      <c r="C34" s="2240"/>
      <c r="D34" s="2240"/>
      <c r="E34" s="2240"/>
      <c r="F34" s="2240"/>
      <c r="G34" s="2240"/>
      <c r="H34" s="2240"/>
      <c r="I34" s="2240"/>
      <c r="J34" s="2243"/>
      <c r="K34" s="2243"/>
      <c r="L34" s="2243"/>
      <c r="M34" s="2243"/>
      <c r="N34" s="2243"/>
      <c r="O34" s="2243"/>
      <c r="P34" s="2243"/>
      <c r="Q34" s="2245"/>
      <c r="R34" s="2252"/>
      <c r="S34" s="2253"/>
      <c r="T34" s="2253"/>
      <c r="U34" s="2253"/>
      <c r="V34" s="2253"/>
      <c r="W34" s="2253"/>
      <c r="X34" s="2253"/>
      <c r="Y34" s="2253"/>
      <c r="Z34" s="2253"/>
      <c r="AA34" s="2253"/>
      <c r="AB34" s="2253"/>
      <c r="AC34" s="2253"/>
      <c r="AD34" s="2253"/>
      <c r="AE34" s="2253"/>
      <c r="AF34" s="2253"/>
      <c r="AG34" s="2253"/>
      <c r="AH34" s="2253"/>
      <c r="AI34" s="2253"/>
      <c r="AJ34" s="2253"/>
      <c r="AK34" s="2253"/>
      <c r="AL34" s="2253"/>
      <c r="AM34" s="2253"/>
      <c r="AN34" s="2253"/>
      <c r="AO34" s="2253"/>
      <c r="AP34" s="2253"/>
      <c r="AQ34" s="2253"/>
      <c r="AR34" s="2253"/>
      <c r="AS34" s="2253"/>
      <c r="AT34" s="2253"/>
      <c r="AU34" s="2253"/>
      <c r="AV34" s="2253"/>
      <c r="AW34" s="2253"/>
      <c r="AX34" s="2253"/>
      <c r="AY34" s="2253"/>
      <c r="AZ34" s="2253"/>
      <c r="BA34" s="2253"/>
      <c r="BB34" s="2253"/>
      <c r="BC34" s="2253"/>
      <c r="BD34" s="2254"/>
      <c r="BE34" s="1194"/>
    </row>
    <row r="35" spans="1:58" ht="15.75" customHeight="1">
      <c r="A35" s="1190"/>
      <c r="B35" s="2239"/>
      <c r="C35" s="2240"/>
      <c r="D35" s="2240"/>
      <c r="E35" s="2240"/>
      <c r="F35" s="2240"/>
      <c r="G35" s="2240"/>
      <c r="H35" s="2240"/>
      <c r="I35" s="2240"/>
      <c r="J35" s="2243"/>
      <c r="K35" s="2243"/>
      <c r="L35" s="2243"/>
      <c r="M35" s="2243"/>
      <c r="N35" s="2243"/>
      <c r="O35" s="2243"/>
      <c r="P35" s="2243"/>
      <c r="Q35" s="2243"/>
      <c r="R35" s="2255">
        <v>0.3</v>
      </c>
      <c r="S35" s="2255"/>
      <c r="T35" s="2255"/>
      <c r="U35" s="2255"/>
      <c r="V35" s="2255">
        <v>0.4</v>
      </c>
      <c r="W35" s="2255"/>
      <c r="X35" s="2255"/>
      <c r="Y35" s="2255"/>
      <c r="Z35" s="2255">
        <v>0.5</v>
      </c>
      <c r="AA35" s="2255"/>
      <c r="AB35" s="2255"/>
      <c r="AC35" s="2255"/>
      <c r="AD35" s="2255">
        <v>0.6</v>
      </c>
      <c r="AE35" s="2255"/>
      <c r="AF35" s="2255"/>
      <c r="AG35" s="2255"/>
      <c r="AH35" s="2255">
        <v>0.7</v>
      </c>
      <c r="AI35" s="2255"/>
      <c r="AJ35" s="2255"/>
      <c r="AK35" s="2255"/>
      <c r="AL35" s="2260">
        <v>0.8</v>
      </c>
      <c r="AM35" s="2261"/>
      <c r="AN35" s="2261"/>
      <c r="AO35" s="2262"/>
      <c r="AP35" s="2263">
        <v>1.2</v>
      </c>
      <c r="AQ35" s="2264"/>
      <c r="AR35" s="2265"/>
      <c r="AS35" s="2257" t="s">
        <v>2421</v>
      </c>
      <c r="AT35" s="2258"/>
      <c r="AU35" s="2258"/>
      <c r="AV35" s="2258"/>
      <c r="AW35" s="2258"/>
      <c r="AX35" s="2266"/>
      <c r="AY35" s="2257" t="s">
        <v>2420</v>
      </c>
      <c r="AZ35" s="2258"/>
      <c r="BA35" s="2258"/>
      <c r="BB35" s="2258"/>
      <c r="BC35" s="2258"/>
      <c r="BD35" s="2259"/>
      <c r="BE35" s="1194"/>
    </row>
    <row r="36" spans="1:58" ht="15.75" customHeight="1">
      <c r="A36" s="1190"/>
      <c r="B36" s="2160" t="s">
        <v>2419</v>
      </c>
      <c r="C36" s="2161"/>
      <c r="D36" s="2161"/>
      <c r="E36" s="2161"/>
      <c r="F36" s="2161"/>
      <c r="G36" s="2161"/>
      <c r="H36" s="2161"/>
      <c r="I36" s="2161"/>
      <c r="J36" s="2226" t="s">
        <v>2418</v>
      </c>
      <c r="K36" s="2226"/>
      <c r="L36" s="2226"/>
      <c r="M36" s="2226"/>
      <c r="N36" s="2226">
        <v>55</v>
      </c>
      <c r="O36" s="2226"/>
      <c r="P36" s="2226"/>
      <c r="Q36" s="2226"/>
      <c r="R36" s="2227"/>
      <c r="S36" s="2227"/>
      <c r="T36" s="2227"/>
      <c r="U36" s="2227"/>
      <c r="V36" s="2227"/>
      <c r="W36" s="2227"/>
      <c r="X36" s="2227"/>
      <c r="Y36" s="2227"/>
      <c r="Z36" s="2227">
        <v>11</v>
      </c>
      <c r="AA36" s="2227"/>
      <c r="AB36" s="2227"/>
      <c r="AC36" s="2227"/>
      <c r="AD36" s="2227">
        <v>32</v>
      </c>
      <c r="AE36" s="2227"/>
      <c r="AF36" s="2227"/>
      <c r="AG36" s="2227"/>
      <c r="AH36" s="2227"/>
      <c r="AI36" s="2227"/>
      <c r="AJ36" s="2227"/>
      <c r="AK36" s="2227"/>
      <c r="AL36" s="2211"/>
      <c r="AM36" s="2212"/>
      <c r="AN36" s="2212"/>
      <c r="AO36" s="2213"/>
      <c r="AP36" s="2211"/>
      <c r="AQ36" s="2212"/>
      <c r="AR36" s="2213"/>
      <c r="AS36" s="2214">
        <f t="shared" ref="AS36:AS47" si="2">SUM(R36:AR36)</f>
        <v>43</v>
      </c>
      <c r="AT36" s="2215"/>
      <c r="AU36" s="2215"/>
      <c r="AV36" s="2215"/>
      <c r="AW36" s="2215"/>
      <c r="AX36" s="2216"/>
      <c r="AY36" s="2217">
        <f t="shared" ref="AY36:AY47" si="3">AS36/$J$29</f>
        <v>0.41346153846153844</v>
      </c>
      <c r="AZ36" s="2218"/>
      <c r="BA36" s="2218"/>
      <c r="BB36" s="2218"/>
      <c r="BC36" s="2218"/>
      <c r="BD36" s="2219"/>
      <c r="BE36" s="1194"/>
    </row>
    <row r="37" spans="1:58" ht="15.75" customHeight="1">
      <c r="A37" s="1190"/>
      <c r="B37" s="2160" t="s">
        <v>2417</v>
      </c>
      <c r="C37" s="2161"/>
      <c r="D37" s="2161"/>
      <c r="E37" s="2161"/>
      <c r="F37" s="2161"/>
      <c r="G37" s="2161"/>
      <c r="H37" s="2161"/>
      <c r="I37" s="2161"/>
      <c r="J37" s="2226" t="s">
        <v>2416</v>
      </c>
      <c r="K37" s="2226"/>
      <c r="L37" s="2226"/>
      <c r="M37" s="2226"/>
      <c r="N37" s="2226">
        <v>55</v>
      </c>
      <c r="O37" s="2226"/>
      <c r="P37" s="2226"/>
      <c r="Q37" s="2226"/>
      <c r="R37" s="2227">
        <v>11</v>
      </c>
      <c r="S37" s="2227"/>
      <c r="T37" s="2227"/>
      <c r="U37" s="2227"/>
      <c r="V37" s="2227"/>
      <c r="W37" s="2227"/>
      <c r="X37" s="2227"/>
      <c r="Y37" s="2227"/>
      <c r="Z37" s="2227">
        <v>21</v>
      </c>
      <c r="AA37" s="2227"/>
      <c r="AB37" s="2227"/>
      <c r="AC37" s="2227"/>
      <c r="AD37" s="2227"/>
      <c r="AE37" s="2227"/>
      <c r="AF37" s="2227"/>
      <c r="AG37" s="2227"/>
      <c r="AH37" s="2227"/>
      <c r="AI37" s="2227"/>
      <c r="AJ37" s="2227"/>
      <c r="AK37" s="2227"/>
      <c r="AL37" s="2211">
        <v>11</v>
      </c>
      <c r="AM37" s="2212"/>
      <c r="AN37" s="2212"/>
      <c r="AO37" s="2213"/>
      <c r="AP37" s="2211">
        <v>60</v>
      </c>
      <c r="AQ37" s="2212"/>
      <c r="AR37" s="2213"/>
      <c r="AS37" s="2214">
        <f t="shared" si="2"/>
        <v>103</v>
      </c>
      <c r="AT37" s="2215"/>
      <c r="AU37" s="2215"/>
      <c r="AV37" s="2215"/>
      <c r="AW37" s="2215"/>
      <c r="AX37" s="2216"/>
      <c r="AY37" s="2217">
        <f t="shared" si="3"/>
        <v>0.99038461538461542</v>
      </c>
      <c r="AZ37" s="2218"/>
      <c r="BA37" s="2218"/>
      <c r="BB37" s="2218"/>
      <c r="BC37" s="2218"/>
      <c r="BD37" s="2219"/>
      <c r="BE37" s="1194"/>
    </row>
    <row r="38" spans="1:58" ht="15.75" customHeight="1">
      <c r="A38" s="1190"/>
      <c r="B38" s="2160" t="s">
        <v>2415</v>
      </c>
      <c r="C38" s="2161"/>
      <c r="D38" s="2161"/>
      <c r="E38" s="2161"/>
      <c r="F38" s="2161"/>
      <c r="G38" s="2161"/>
      <c r="H38" s="2161"/>
      <c r="I38" s="2161"/>
      <c r="J38" s="2226" t="s">
        <v>2414</v>
      </c>
      <c r="K38" s="2226"/>
      <c r="L38" s="2226"/>
      <c r="M38" s="2226"/>
      <c r="N38" s="2226">
        <v>55</v>
      </c>
      <c r="O38" s="2226"/>
      <c r="P38" s="2226"/>
      <c r="Q38" s="2226"/>
      <c r="R38" s="2227">
        <v>32</v>
      </c>
      <c r="S38" s="2227"/>
      <c r="T38" s="2227"/>
      <c r="U38" s="2227"/>
      <c r="V38" s="2227">
        <v>7</v>
      </c>
      <c r="W38" s="2227"/>
      <c r="X38" s="2227"/>
      <c r="Y38" s="2227"/>
      <c r="Z38" s="2227">
        <v>7</v>
      </c>
      <c r="AA38" s="2227"/>
      <c r="AB38" s="2227"/>
      <c r="AC38" s="2227"/>
      <c r="AD38" s="2227">
        <v>7</v>
      </c>
      <c r="AE38" s="2227"/>
      <c r="AF38" s="2227"/>
      <c r="AG38" s="2227"/>
      <c r="AH38" s="2227">
        <v>0</v>
      </c>
      <c r="AI38" s="2227"/>
      <c r="AJ38" s="2227"/>
      <c r="AK38" s="2227"/>
      <c r="AL38" s="2211">
        <v>50</v>
      </c>
      <c r="AM38" s="2212"/>
      <c r="AN38" s="2212"/>
      <c r="AO38" s="2213"/>
      <c r="AP38" s="2211"/>
      <c r="AQ38" s="2212"/>
      <c r="AR38" s="2213"/>
      <c r="AS38" s="2214">
        <f t="shared" si="2"/>
        <v>103</v>
      </c>
      <c r="AT38" s="2215"/>
      <c r="AU38" s="2215"/>
      <c r="AV38" s="2215"/>
      <c r="AW38" s="2215"/>
      <c r="AX38" s="2216"/>
      <c r="AY38" s="2217">
        <f t="shared" si="3"/>
        <v>0.99038461538461542</v>
      </c>
      <c r="AZ38" s="2218"/>
      <c r="BA38" s="2218"/>
      <c r="BB38" s="2218"/>
      <c r="BC38" s="2218"/>
      <c r="BD38" s="2219"/>
      <c r="BE38" s="1194"/>
    </row>
    <row r="39" spans="1:58" ht="15.75" customHeight="1">
      <c r="A39" s="1190"/>
      <c r="B39" s="2160" t="s">
        <v>2413</v>
      </c>
      <c r="C39" s="2161"/>
      <c r="D39" s="2161"/>
      <c r="E39" s="2161"/>
      <c r="F39" s="2161"/>
      <c r="G39" s="2161"/>
      <c r="H39" s="2161"/>
      <c r="I39" s="2161"/>
      <c r="J39" s="2226"/>
      <c r="K39" s="2226"/>
      <c r="L39" s="2226"/>
      <c r="M39" s="2226"/>
      <c r="N39" s="2226"/>
      <c r="O39" s="2226"/>
      <c r="P39" s="2226"/>
      <c r="Q39" s="2226"/>
      <c r="R39" s="2227"/>
      <c r="S39" s="2227"/>
      <c r="T39" s="2227"/>
      <c r="U39" s="2227"/>
      <c r="V39" s="2227"/>
      <c r="W39" s="2227"/>
      <c r="X39" s="2227"/>
      <c r="Y39" s="2227"/>
      <c r="Z39" s="2227"/>
      <c r="AA39" s="2227"/>
      <c r="AB39" s="2227"/>
      <c r="AC39" s="2227"/>
      <c r="AD39" s="2227"/>
      <c r="AE39" s="2227"/>
      <c r="AF39" s="2227"/>
      <c r="AG39" s="2227"/>
      <c r="AH39" s="2227"/>
      <c r="AI39" s="2227"/>
      <c r="AJ39" s="2227"/>
      <c r="AK39" s="2227"/>
      <c r="AL39" s="2211"/>
      <c r="AM39" s="2212"/>
      <c r="AN39" s="2212"/>
      <c r="AO39" s="2213"/>
      <c r="AP39" s="2211"/>
      <c r="AQ39" s="2212"/>
      <c r="AR39" s="2213"/>
      <c r="AS39" s="2214">
        <f t="shared" si="2"/>
        <v>0</v>
      </c>
      <c r="AT39" s="2215"/>
      <c r="AU39" s="2215"/>
      <c r="AV39" s="2215"/>
      <c r="AW39" s="2215"/>
      <c r="AX39" s="2216"/>
      <c r="AY39" s="2217">
        <f t="shared" si="3"/>
        <v>0</v>
      </c>
      <c r="AZ39" s="2218"/>
      <c r="BA39" s="2218"/>
      <c r="BB39" s="2218"/>
      <c r="BC39" s="2218"/>
      <c r="BD39" s="2219"/>
      <c r="BE39" s="1194"/>
    </row>
    <row r="40" spans="1:58" ht="15.75" customHeight="1">
      <c r="A40" s="1190"/>
      <c r="B40" s="2160" t="s">
        <v>2413</v>
      </c>
      <c r="C40" s="2161"/>
      <c r="D40" s="2161"/>
      <c r="E40" s="2161"/>
      <c r="F40" s="2161"/>
      <c r="G40" s="2161"/>
      <c r="H40" s="2161"/>
      <c r="I40" s="2161"/>
      <c r="J40" s="2226"/>
      <c r="K40" s="2226"/>
      <c r="L40" s="2226"/>
      <c r="M40" s="2226"/>
      <c r="N40" s="2226"/>
      <c r="O40" s="2226"/>
      <c r="P40" s="2226"/>
      <c r="Q40" s="2226"/>
      <c r="R40" s="2227"/>
      <c r="S40" s="2227"/>
      <c r="T40" s="2227"/>
      <c r="U40" s="2227"/>
      <c r="V40" s="2227"/>
      <c r="W40" s="2227"/>
      <c r="X40" s="2227"/>
      <c r="Y40" s="2227"/>
      <c r="Z40" s="2227"/>
      <c r="AA40" s="2227"/>
      <c r="AB40" s="2227"/>
      <c r="AC40" s="2227"/>
      <c r="AD40" s="2227"/>
      <c r="AE40" s="2227"/>
      <c r="AF40" s="2227"/>
      <c r="AG40" s="2227"/>
      <c r="AH40" s="2227"/>
      <c r="AI40" s="2227"/>
      <c r="AJ40" s="2227"/>
      <c r="AK40" s="2227"/>
      <c r="AL40" s="2211"/>
      <c r="AM40" s="2212"/>
      <c r="AN40" s="2212"/>
      <c r="AO40" s="2213"/>
      <c r="AP40" s="2211"/>
      <c r="AQ40" s="2212"/>
      <c r="AR40" s="2213"/>
      <c r="AS40" s="2214">
        <f t="shared" si="2"/>
        <v>0</v>
      </c>
      <c r="AT40" s="2215"/>
      <c r="AU40" s="2215"/>
      <c r="AV40" s="2215"/>
      <c r="AW40" s="2215"/>
      <c r="AX40" s="2216"/>
      <c r="AY40" s="2217">
        <f t="shared" si="3"/>
        <v>0</v>
      </c>
      <c r="AZ40" s="2218"/>
      <c r="BA40" s="2218"/>
      <c r="BB40" s="2218"/>
      <c r="BC40" s="2218"/>
      <c r="BD40" s="2219"/>
      <c r="BE40" s="1194"/>
    </row>
    <row r="41" spans="1:58" ht="15.75" customHeight="1">
      <c r="A41" s="1190"/>
      <c r="B41" s="2160" t="s">
        <v>2412</v>
      </c>
      <c r="C41" s="2161"/>
      <c r="D41" s="2161"/>
      <c r="E41" s="2161"/>
      <c r="F41" s="2161"/>
      <c r="G41" s="2161"/>
      <c r="H41" s="2161"/>
      <c r="I41" s="2161"/>
      <c r="J41" s="2226"/>
      <c r="K41" s="2226"/>
      <c r="L41" s="2226"/>
      <c r="M41" s="2226"/>
      <c r="N41" s="2226"/>
      <c r="O41" s="2226"/>
      <c r="P41" s="2226"/>
      <c r="Q41" s="2226"/>
      <c r="R41" s="2227"/>
      <c r="S41" s="2227"/>
      <c r="T41" s="2227"/>
      <c r="U41" s="2227"/>
      <c r="V41" s="2227"/>
      <c r="W41" s="2227"/>
      <c r="X41" s="2227"/>
      <c r="Y41" s="2227"/>
      <c r="Z41" s="2227"/>
      <c r="AA41" s="2227"/>
      <c r="AB41" s="2227"/>
      <c r="AC41" s="2227"/>
      <c r="AD41" s="2227"/>
      <c r="AE41" s="2227"/>
      <c r="AF41" s="2227"/>
      <c r="AG41" s="2227"/>
      <c r="AH41" s="2227"/>
      <c r="AI41" s="2227"/>
      <c r="AJ41" s="2227"/>
      <c r="AK41" s="2227"/>
      <c r="AL41" s="2211"/>
      <c r="AM41" s="2212"/>
      <c r="AN41" s="2212"/>
      <c r="AO41" s="2213"/>
      <c r="AP41" s="2211"/>
      <c r="AQ41" s="2212"/>
      <c r="AR41" s="2213"/>
      <c r="AS41" s="2214">
        <f t="shared" si="2"/>
        <v>0</v>
      </c>
      <c r="AT41" s="2215"/>
      <c r="AU41" s="2215"/>
      <c r="AV41" s="2215"/>
      <c r="AW41" s="2215"/>
      <c r="AX41" s="2216"/>
      <c r="AY41" s="2217">
        <f t="shared" si="3"/>
        <v>0</v>
      </c>
      <c r="AZ41" s="2218"/>
      <c r="BA41" s="2218"/>
      <c r="BB41" s="2218"/>
      <c r="BC41" s="2218"/>
      <c r="BD41" s="2219"/>
      <c r="BE41" s="1194"/>
    </row>
    <row r="42" spans="1:58" ht="15.75" customHeight="1">
      <c r="A42" s="1190"/>
      <c r="B42" s="2160" t="s">
        <v>2412</v>
      </c>
      <c r="C42" s="2161"/>
      <c r="D42" s="2161"/>
      <c r="E42" s="2161"/>
      <c r="F42" s="2161"/>
      <c r="G42" s="2161"/>
      <c r="H42" s="2161"/>
      <c r="I42" s="2161"/>
      <c r="J42" s="2226"/>
      <c r="K42" s="2226"/>
      <c r="L42" s="2226"/>
      <c r="M42" s="2226"/>
      <c r="N42" s="2226"/>
      <c r="O42" s="2226"/>
      <c r="P42" s="2226"/>
      <c r="Q42" s="2226"/>
      <c r="R42" s="2227"/>
      <c r="S42" s="2227"/>
      <c r="T42" s="2227"/>
      <c r="U42" s="2227"/>
      <c r="V42" s="2227"/>
      <c r="W42" s="2227"/>
      <c r="X42" s="2227"/>
      <c r="Y42" s="2227"/>
      <c r="Z42" s="2227"/>
      <c r="AA42" s="2227"/>
      <c r="AB42" s="2227"/>
      <c r="AC42" s="2227"/>
      <c r="AD42" s="2227"/>
      <c r="AE42" s="2227"/>
      <c r="AF42" s="2227"/>
      <c r="AG42" s="2227"/>
      <c r="AH42" s="2227"/>
      <c r="AI42" s="2227"/>
      <c r="AJ42" s="2227"/>
      <c r="AK42" s="2227"/>
      <c r="AL42" s="2211"/>
      <c r="AM42" s="2212"/>
      <c r="AN42" s="2212"/>
      <c r="AO42" s="2213"/>
      <c r="AP42" s="2211"/>
      <c r="AQ42" s="2212"/>
      <c r="AR42" s="2213"/>
      <c r="AS42" s="2214">
        <f t="shared" si="2"/>
        <v>0</v>
      </c>
      <c r="AT42" s="2215"/>
      <c r="AU42" s="2215"/>
      <c r="AV42" s="2215"/>
      <c r="AW42" s="2215"/>
      <c r="AX42" s="2216"/>
      <c r="AY42" s="2217">
        <f t="shared" si="3"/>
        <v>0</v>
      </c>
      <c r="AZ42" s="2218"/>
      <c r="BA42" s="2218"/>
      <c r="BB42" s="2218"/>
      <c r="BC42" s="2218"/>
      <c r="BD42" s="2219"/>
      <c r="BE42" s="1194"/>
    </row>
    <row r="43" spans="1:58" ht="15.75" customHeight="1">
      <c r="A43" s="1190"/>
      <c r="B43" s="2165" t="s">
        <v>2411</v>
      </c>
      <c r="C43" s="2166"/>
      <c r="D43" s="2166"/>
      <c r="E43" s="2166"/>
      <c r="F43" s="2166"/>
      <c r="G43" s="2166"/>
      <c r="H43" s="2166"/>
      <c r="I43" s="2166"/>
      <c r="J43" s="2226"/>
      <c r="K43" s="2226"/>
      <c r="L43" s="2226"/>
      <c r="M43" s="2226"/>
      <c r="N43" s="2226"/>
      <c r="O43" s="2226"/>
      <c r="P43" s="2226"/>
      <c r="Q43" s="2226"/>
      <c r="R43" s="2227"/>
      <c r="S43" s="2227"/>
      <c r="T43" s="2227"/>
      <c r="U43" s="2227"/>
      <c r="V43" s="2227"/>
      <c r="W43" s="2227"/>
      <c r="X43" s="2227"/>
      <c r="Y43" s="2227"/>
      <c r="Z43" s="2227"/>
      <c r="AA43" s="2227"/>
      <c r="AB43" s="2227"/>
      <c r="AC43" s="2227"/>
      <c r="AD43" s="2227"/>
      <c r="AE43" s="2227"/>
      <c r="AF43" s="2227"/>
      <c r="AG43" s="2227"/>
      <c r="AH43" s="2227"/>
      <c r="AI43" s="2227"/>
      <c r="AJ43" s="2227"/>
      <c r="AK43" s="2227"/>
      <c r="AL43" s="2211"/>
      <c r="AM43" s="2212"/>
      <c r="AN43" s="2212"/>
      <c r="AO43" s="2213"/>
      <c r="AP43" s="2211"/>
      <c r="AQ43" s="2212"/>
      <c r="AR43" s="2213"/>
      <c r="AS43" s="2214">
        <f t="shared" si="2"/>
        <v>0</v>
      </c>
      <c r="AT43" s="2215"/>
      <c r="AU43" s="2215"/>
      <c r="AV43" s="2215"/>
      <c r="AW43" s="2215"/>
      <c r="AX43" s="2216"/>
      <c r="AY43" s="2217">
        <f t="shared" si="3"/>
        <v>0</v>
      </c>
      <c r="AZ43" s="2218"/>
      <c r="BA43" s="2218"/>
      <c r="BB43" s="2218"/>
      <c r="BC43" s="2218"/>
      <c r="BD43" s="2219"/>
      <c r="BE43" s="1194"/>
    </row>
    <row r="44" spans="1:58" ht="15.75" customHeight="1">
      <c r="A44" s="1190"/>
      <c r="B44" s="2165" t="s">
        <v>2410</v>
      </c>
      <c r="C44" s="2166"/>
      <c r="D44" s="2166"/>
      <c r="E44" s="2166"/>
      <c r="F44" s="2166"/>
      <c r="G44" s="2166"/>
      <c r="H44" s="2166"/>
      <c r="I44" s="2166"/>
      <c r="J44" s="2226"/>
      <c r="K44" s="2226"/>
      <c r="L44" s="2226"/>
      <c r="M44" s="2226"/>
      <c r="N44" s="2226"/>
      <c r="O44" s="2226"/>
      <c r="P44" s="2226"/>
      <c r="Q44" s="2226"/>
      <c r="R44" s="2227"/>
      <c r="S44" s="2227"/>
      <c r="T44" s="2227"/>
      <c r="U44" s="2227"/>
      <c r="V44" s="2227"/>
      <c r="W44" s="2227"/>
      <c r="X44" s="2227"/>
      <c r="Y44" s="2227"/>
      <c r="Z44" s="2227"/>
      <c r="AA44" s="2227"/>
      <c r="AB44" s="2227"/>
      <c r="AC44" s="2227"/>
      <c r="AD44" s="2227"/>
      <c r="AE44" s="2227"/>
      <c r="AF44" s="2227"/>
      <c r="AG44" s="2227"/>
      <c r="AH44" s="2227"/>
      <c r="AI44" s="2227"/>
      <c r="AJ44" s="2227"/>
      <c r="AK44" s="2227"/>
      <c r="AL44" s="2211"/>
      <c r="AM44" s="2212"/>
      <c r="AN44" s="2212"/>
      <c r="AO44" s="2213"/>
      <c r="AP44" s="2211"/>
      <c r="AQ44" s="2212"/>
      <c r="AR44" s="2213"/>
      <c r="AS44" s="2214">
        <f t="shared" si="2"/>
        <v>0</v>
      </c>
      <c r="AT44" s="2215"/>
      <c r="AU44" s="2215"/>
      <c r="AV44" s="2215"/>
      <c r="AW44" s="2215"/>
      <c r="AX44" s="2216"/>
      <c r="AY44" s="2217">
        <f t="shared" si="3"/>
        <v>0</v>
      </c>
      <c r="AZ44" s="2218"/>
      <c r="BA44" s="2218"/>
      <c r="BB44" s="2218"/>
      <c r="BC44" s="2218"/>
      <c r="BD44" s="2219"/>
      <c r="BE44" s="1194"/>
    </row>
    <row r="45" spans="1:58" ht="15.75" customHeight="1">
      <c r="A45" s="1190"/>
      <c r="B45" s="2165" t="s">
        <v>2409</v>
      </c>
      <c r="C45" s="2166"/>
      <c r="D45" s="2166"/>
      <c r="E45" s="2166"/>
      <c r="F45" s="2166"/>
      <c r="G45" s="2166"/>
      <c r="H45" s="2166"/>
      <c r="I45" s="2166"/>
      <c r="J45" s="2226"/>
      <c r="K45" s="2226"/>
      <c r="L45" s="2226"/>
      <c r="M45" s="2226"/>
      <c r="N45" s="2226"/>
      <c r="O45" s="2226"/>
      <c r="P45" s="2226"/>
      <c r="Q45" s="2226"/>
      <c r="R45" s="2227"/>
      <c r="S45" s="2227"/>
      <c r="T45" s="2227"/>
      <c r="U45" s="2227"/>
      <c r="V45" s="2227"/>
      <c r="W45" s="2227"/>
      <c r="X45" s="2227"/>
      <c r="Y45" s="2227"/>
      <c r="Z45" s="2227"/>
      <c r="AA45" s="2227"/>
      <c r="AB45" s="2227"/>
      <c r="AC45" s="2227"/>
      <c r="AD45" s="2227"/>
      <c r="AE45" s="2227"/>
      <c r="AF45" s="2227"/>
      <c r="AG45" s="2227"/>
      <c r="AH45" s="2227"/>
      <c r="AI45" s="2227"/>
      <c r="AJ45" s="2227"/>
      <c r="AK45" s="2227"/>
      <c r="AL45" s="2211"/>
      <c r="AM45" s="2212"/>
      <c r="AN45" s="2212"/>
      <c r="AO45" s="2213"/>
      <c r="AP45" s="2211"/>
      <c r="AQ45" s="2212"/>
      <c r="AR45" s="2213"/>
      <c r="AS45" s="2214">
        <f t="shared" si="2"/>
        <v>0</v>
      </c>
      <c r="AT45" s="2215"/>
      <c r="AU45" s="2215"/>
      <c r="AV45" s="2215"/>
      <c r="AW45" s="2215"/>
      <c r="AX45" s="2216"/>
      <c r="AY45" s="2217">
        <f t="shared" si="3"/>
        <v>0</v>
      </c>
      <c r="AZ45" s="2218"/>
      <c r="BA45" s="2218"/>
      <c r="BB45" s="2218"/>
      <c r="BC45" s="2218"/>
      <c r="BD45" s="2219"/>
      <c r="BE45" s="1194"/>
    </row>
    <row r="46" spans="1:58" ht="15.75" customHeight="1">
      <c r="A46" s="1190"/>
      <c r="B46" s="2165" t="s">
        <v>2336</v>
      </c>
      <c r="C46" s="2166"/>
      <c r="D46" s="2166"/>
      <c r="E46" s="2166"/>
      <c r="F46" s="2166"/>
      <c r="G46" s="2166"/>
      <c r="H46" s="2166"/>
      <c r="I46" s="2166"/>
      <c r="J46" s="2226"/>
      <c r="K46" s="2226"/>
      <c r="L46" s="2226"/>
      <c r="M46" s="2226"/>
      <c r="N46" s="2226">
        <v>99</v>
      </c>
      <c r="O46" s="2226"/>
      <c r="P46" s="2226"/>
      <c r="Q46" s="2226"/>
      <c r="R46" s="2227"/>
      <c r="S46" s="2227"/>
      <c r="T46" s="2227"/>
      <c r="U46" s="2227"/>
      <c r="V46" s="2227"/>
      <c r="W46" s="2227"/>
      <c r="X46" s="2227"/>
      <c r="Y46" s="2227"/>
      <c r="Z46" s="2227"/>
      <c r="AA46" s="2227"/>
      <c r="AB46" s="2227"/>
      <c r="AC46" s="2227"/>
      <c r="AD46" s="2227"/>
      <c r="AE46" s="2227"/>
      <c r="AF46" s="2227"/>
      <c r="AG46" s="2227"/>
      <c r="AH46" s="2227"/>
      <c r="AI46" s="2227"/>
      <c r="AJ46" s="2227"/>
      <c r="AK46" s="2227"/>
      <c r="AL46" s="2211"/>
      <c r="AM46" s="2212"/>
      <c r="AN46" s="2212"/>
      <c r="AO46" s="2213"/>
      <c r="AP46" s="2211"/>
      <c r="AQ46" s="2212"/>
      <c r="AR46" s="2213"/>
      <c r="AS46" s="2214">
        <f t="shared" si="2"/>
        <v>0</v>
      </c>
      <c r="AT46" s="2215"/>
      <c r="AU46" s="2215"/>
      <c r="AV46" s="2215"/>
      <c r="AW46" s="2215"/>
      <c r="AX46" s="2216"/>
      <c r="AY46" s="2217">
        <f t="shared" si="3"/>
        <v>0</v>
      </c>
      <c r="AZ46" s="2218"/>
      <c r="BA46" s="2218"/>
      <c r="BB46" s="2218"/>
      <c r="BC46" s="2218"/>
      <c r="BD46" s="2219"/>
      <c r="BE46" s="1194"/>
    </row>
    <row r="47" spans="1:58" ht="15.75" customHeight="1" thickBot="1">
      <c r="A47" s="1190"/>
      <c r="B47" s="2220" t="s">
        <v>299</v>
      </c>
      <c r="C47" s="2221"/>
      <c r="D47" s="2221"/>
      <c r="E47" s="2221"/>
      <c r="F47" s="2221"/>
      <c r="G47" s="2221"/>
      <c r="H47" s="2221"/>
      <c r="I47" s="2221"/>
      <c r="J47" s="2222"/>
      <c r="K47" s="2222"/>
      <c r="L47" s="2222"/>
      <c r="M47" s="2222"/>
      <c r="N47" s="2222"/>
      <c r="O47" s="2222"/>
      <c r="P47" s="2222"/>
      <c r="Q47" s="2222"/>
      <c r="R47" s="2207"/>
      <c r="S47" s="2207"/>
      <c r="T47" s="2207"/>
      <c r="U47" s="2207"/>
      <c r="V47" s="2207"/>
      <c r="W47" s="2207"/>
      <c r="X47" s="2207"/>
      <c r="Y47" s="2207"/>
      <c r="Z47" s="2207"/>
      <c r="AA47" s="2207"/>
      <c r="AB47" s="2207"/>
      <c r="AC47" s="2207"/>
      <c r="AD47" s="2207"/>
      <c r="AE47" s="2207"/>
      <c r="AF47" s="2207"/>
      <c r="AG47" s="2207"/>
      <c r="AH47" s="2207"/>
      <c r="AI47" s="2207"/>
      <c r="AJ47" s="2207"/>
      <c r="AK47" s="2207"/>
      <c r="AL47" s="2208"/>
      <c r="AM47" s="2209"/>
      <c r="AN47" s="2209"/>
      <c r="AO47" s="2210"/>
      <c r="AP47" s="2208"/>
      <c r="AQ47" s="2209"/>
      <c r="AR47" s="2210"/>
      <c r="AS47" s="2214">
        <f t="shared" si="2"/>
        <v>0</v>
      </c>
      <c r="AT47" s="2215"/>
      <c r="AU47" s="2215"/>
      <c r="AV47" s="2215"/>
      <c r="AW47" s="2215"/>
      <c r="AX47" s="2216"/>
      <c r="AY47" s="2223">
        <f t="shared" si="3"/>
        <v>0</v>
      </c>
      <c r="AZ47" s="2224"/>
      <c r="BA47" s="2224"/>
      <c r="BB47" s="2224"/>
      <c r="BC47" s="2224"/>
      <c r="BD47" s="2225"/>
      <c r="BE47" s="1194"/>
    </row>
    <row r="48" spans="1:58" ht="15.75" customHeight="1">
      <c r="A48" s="1190"/>
      <c r="B48" s="1196" t="s">
        <v>2408</v>
      </c>
      <c r="C48" s="1190"/>
      <c r="D48" s="1190"/>
      <c r="E48" s="1190"/>
      <c r="F48" s="1190"/>
      <c r="G48" s="1190"/>
      <c r="H48" s="1190"/>
      <c r="I48" s="1190"/>
      <c r="J48" s="1190"/>
      <c r="K48" s="1190"/>
      <c r="L48" s="1190"/>
      <c r="M48" s="1190"/>
      <c r="N48" s="1190"/>
      <c r="O48" s="1190"/>
      <c r="P48" s="1190"/>
      <c r="Q48" s="1190"/>
      <c r="R48" s="1190"/>
      <c r="S48" s="1190"/>
      <c r="T48" s="1190"/>
      <c r="U48" s="1190"/>
      <c r="V48" s="1190"/>
      <c r="W48" s="1190"/>
      <c r="X48" s="1190"/>
      <c r="Y48" s="1190"/>
      <c r="Z48" s="1190"/>
      <c r="AA48" s="1190"/>
      <c r="AB48" s="1190"/>
      <c r="AC48" s="1190"/>
      <c r="AD48" s="1190"/>
      <c r="AE48" s="1190"/>
      <c r="AF48" s="1190"/>
      <c r="AG48" s="1190"/>
      <c r="AH48" s="1190"/>
      <c r="AI48" s="1190"/>
      <c r="AJ48" s="1190"/>
      <c r="AK48" s="1190"/>
      <c r="AL48" s="1190"/>
      <c r="AM48" s="1190"/>
      <c r="AN48" s="1190"/>
      <c r="AO48" s="1190"/>
      <c r="AP48" s="1190"/>
      <c r="AQ48" s="1190"/>
      <c r="AR48" s="1190"/>
      <c r="AS48" s="1190"/>
      <c r="AT48" s="1190"/>
      <c r="AU48" s="1190"/>
      <c r="AV48" s="1190"/>
      <c r="AW48" s="1190"/>
      <c r="AX48" s="1190"/>
      <c r="AY48" s="1190"/>
      <c r="AZ48" s="1190"/>
      <c r="BA48" s="1190"/>
      <c r="BB48" s="1190"/>
      <c r="BC48" s="1190"/>
      <c r="BD48" s="1190"/>
      <c r="BE48" s="1194"/>
      <c r="BF48" s="1188"/>
    </row>
    <row r="49" spans="1:77" ht="15.75" customHeight="1" thickBot="1">
      <c r="A49" s="1190"/>
      <c r="B49" s="1196" t="s">
        <v>2407</v>
      </c>
      <c r="C49" s="1190"/>
      <c r="D49" s="1190"/>
      <c r="E49" s="1190"/>
      <c r="F49" s="1190"/>
      <c r="G49" s="1190"/>
      <c r="H49" s="1190"/>
      <c r="I49" s="1190"/>
      <c r="J49" s="1190"/>
      <c r="K49" s="1190"/>
      <c r="L49" s="1190"/>
      <c r="M49" s="1190"/>
      <c r="N49" s="1190"/>
      <c r="O49" s="1190"/>
      <c r="P49" s="1190"/>
      <c r="Q49" s="1190"/>
      <c r="R49" s="1190"/>
      <c r="S49" s="1190"/>
      <c r="T49" s="1190"/>
      <c r="U49" s="1190"/>
      <c r="V49" s="1190"/>
      <c r="W49" s="1190"/>
      <c r="X49" s="1190"/>
      <c r="Y49" s="1190"/>
      <c r="Z49" s="1190"/>
      <c r="AA49" s="1190"/>
      <c r="AB49" s="1190"/>
      <c r="AC49" s="1190"/>
      <c r="AD49" s="1190"/>
      <c r="AE49" s="1190"/>
      <c r="AF49" s="1190"/>
      <c r="AG49" s="1190"/>
      <c r="AH49" s="1190"/>
      <c r="AI49" s="1190"/>
      <c r="AJ49" s="1190"/>
      <c r="AK49" s="1190"/>
      <c r="AL49" s="1190"/>
      <c r="AM49" s="1190"/>
      <c r="AN49" s="1190"/>
      <c r="AO49" s="1190"/>
      <c r="AP49" s="1192"/>
      <c r="AQ49" s="1192"/>
      <c r="AR49" s="1192"/>
      <c r="AS49" s="1192"/>
      <c r="AT49" s="1192"/>
      <c r="AU49" s="1192"/>
      <c r="AV49" s="1192"/>
      <c r="AW49" s="1192"/>
      <c r="AX49" s="1190"/>
      <c r="AY49" s="1190"/>
      <c r="AZ49" s="1190"/>
      <c r="BA49" s="1190"/>
      <c r="BB49" s="1190"/>
      <c r="BC49" s="1190"/>
      <c r="BD49" s="1190"/>
      <c r="BE49" s="1194"/>
      <c r="BF49" s="1188"/>
    </row>
    <row r="50" spans="1:77" ht="15.75" customHeight="1">
      <c r="A50" s="1190"/>
      <c r="B50" s="2071" t="s">
        <v>2406</v>
      </c>
      <c r="C50" s="2027"/>
      <c r="D50" s="2027"/>
      <c r="E50" s="2027"/>
      <c r="F50" s="2027"/>
      <c r="G50" s="2027"/>
      <c r="H50" s="2027"/>
      <c r="I50" s="2027"/>
      <c r="J50" s="2027"/>
      <c r="K50" s="2027"/>
      <c r="L50" s="2027"/>
      <c r="M50" s="2027"/>
      <c r="N50" s="2027"/>
      <c r="O50" s="2027"/>
      <c r="P50" s="2027"/>
      <c r="Q50" s="2027"/>
      <c r="R50" s="2027"/>
      <c r="S50" s="2027"/>
      <c r="T50" s="2027"/>
      <c r="U50" s="2027"/>
      <c r="V50" s="2027"/>
      <c r="W50" s="2027"/>
      <c r="X50" s="2027"/>
      <c r="Y50" s="2027"/>
      <c r="Z50" s="2027"/>
      <c r="AA50" s="2027"/>
      <c r="AB50" s="2027"/>
      <c r="AC50" s="2027"/>
      <c r="AD50" s="2027"/>
      <c r="AE50" s="2027"/>
      <c r="AF50" s="2027"/>
      <c r="AG50" s="2027"/>
      <c r="AH50" s="2027"/>
      <c r="AI50" s="2027"/>
      <c r="AJ50" s="2027"/>
      <c r="AK50" s="2027"/>
      <c r="AL50" s="2027"/>
      <c r="AM50" s="2027"/>
      <c r="AN50" s="2027"/>
      <c r="AO50" s="2028"/>
      <c r="AP50" s="1192"/>
      <c r="AQ50" s="1192"/>
      <c r="AR50" s="1192"/>
      <c r="AS50" s="1192"/>
      <c r="AT50" s="1192"/>
      <c r="AU50" s="1192"/>
      <c r="AV50" s="1192"/>
      <c r="AW50" s="1192"/>
      <c r="AX50" s="1190"/>
      <c r="AY50" s="1190"/>
      <c r="AZ50" s="1190"/>
      <c r="BA50" s="1190"/>
      <c r="BB50" s="1190"/>
      <c r="BC50" s="1190"/>
      <c r="BD50" s="1190"/>
      <c r="BE50" s="1194"/>
    </row>
    <row r="51" spans="1:77" ht="33.75" customHeight="1">
      <c r="A51" s="1190"/>
      <c r="B51" s="2135" t="s">
        <v>2401</v>
      </c>
      <c r="C51" s="2103"/>
      <c r="D51" s="2103"/>
      <c r="E51" s="2103"/>
      <c r="F51" s="2103"/>
      <c r="G51" s="2103"/>
      <c r="H51" s="2103"/>
      <c r="I51" s="2103"/>
      <c r="J51" s="2103" t="s">
        <v>2405</v>
      </c>
      <c r="K51" s="2103"/>
      <c r="L51" s="2103"/>
      <c r="M51" s="2103"/>
      <c r="N51" s="2103"/>
      <c r="O51" s="2103"/>
      <c r="P51" s="2103"/>
      <c r="Q51" s="2103"/>
      <c r="R51" s="2205" t="s">
        <v>2404</v>
      </c>
      <c r="S51" s="2205"/>
      <c r="T51" s="2205"/>
      <c r="U51" s="2205"/>
      <c r="V51" s="2205"/>
      <c r="W51" s="2205"/>
      <c r="X51" s="2205"/>
      <c r="Y51" s="2205"/>
      <c r="Z51" s="2205" t="s">
        <v>2403</v>
      </c>
      <c r="AA51" s="2205"/>
      <c r="AB51" s="2205"/>
      <c r="AC51" s="2205"/>
      <c r="AD51" s="2205"/>
      <c r="AE51" s="2205"/>
      <c r="AF51" s="2205"/>
      <c r="AG51" s="2205"/>
      <c r="AH51" s="2205" t="s">
        <v>2402</v>
      </c>
      <c r="AI51" s="2205"/>
      <c r="AJ51" s="2205"/>
      <c r="AK51" s="2205"/>
      <c r="AL51" s="2205"/>
      <c r="AM51" s="2205"/>
      <c r="AN51" s="2205"/>
      <c r="AO51" s="2206"/>
      <c r="AP51" s="1192"/>
      <c r="AQ51" s="1192"/>
      <c r="AR51" s="1192"/>
      <c r="AS51" s="1192"/>
      <c r="AT51" s="1192"/>
      <c r="AU51" s="1192"/>
      <c r="AV51" s="1192"/>
      <c r="AW51" s="1192"/>
      <c r="AX51" s="1195"/>
      <c r="AY51" s="1190"/>
      <c r="AZ51" s="1190"/>
      <c r="BA51" s="1190"/>
      <c r="BB51" s="1190"/>
      <c r="BC51" s="1190"/>
      <c r="BD51" s="1190"/>
      <c r="BE51" s="1194"/>
    </row>
    <row r="52" spans="1:77" ht="15.75" customHeight="1">
      <c r="A52" s="1190"/>
      <c r="B52" s="2165" t="s">
        <v>2732</v>
      </c>
      <c r="C52" s="2166"/>
      <c r="D52" s="2166"/>
      <c r="E52" s="2166"/>
      <c r="F52" s="2166"/>
      <c r="G52" s="2166"/>
      <c r="H52" s="2166"/>
      <c r="I52" s="2166"/>
      <c r="J52" s="1988">
        <v>15</v>
      </c>
      <c r="K52" s="1988"/>
      <c r="L52" s="1988"/>
      <c r="M52" s="1988"/>
      <c r="N52" s="1988"/>
      <c r="O52" s="1988"/>
      <c r="P52" s="1988"/>
      <c r="Q52" s="1988"/>
      <c r="R52" s="2197">
        <v>8512</v>
      </c>
      <c r="S52" s="2197"/>
      <c r="T52" s="2197"/>
      <c r="U52" s="2197"/>
      <c r="V52" s="2197"/>
      <c r="W52" s="2197"/>
      <c r="X52" s="2197"/>
      <c r="Y52" s="2197"/>
      <c r="Z52" s="2198">
        <v>1.6</v>
      </c>
      <c r="AA52" s="2198"/>
      <c r="AB52" s="2198"/>
      <c r="AC52" s="2198"/>
      <c r="AD52" s="2198"/>
      <c r="AE52" s="2198"/>
      <c r="AF52" s="2198"/>
      <c r="AG52" s="2198"/>
      <c r="AH52" s="2199"/>
      <c r="AI52" s="2199"/>
      <c r="AJ52" s="2199"/>
      <c r="AK52" s="2199"/>
      <c r="AL52" s="2199"/>
      <c r="AM52" s="2199"/>
      <c r="AN52" s="2199"/>
      <c r="AO52" s="2200"/>
      <c r="AP52" s="1192"/>
      <c r="AQ52" s="1192"/>
      <c r="AR52" s="1192"/>
      <c r="AS52" s="1192"/>
      <c r="AT52" s="1192"/>
      <c r="AU52" s="1192"/>
      <c r="AV52" s="1192"/>
      <c r="AW52" s="1192"/>
      <c r="AX52" s="1195"/>
      <c r="AY52" s="1190"/>
      <c r="AZ52" s="1190"/>
      <c r="BA52" s="1190"/>
      <c r="BB52" s="1190"/>
      <c r="BC52" s="1190"/>
      <c r="BD52" s="1190"/>
      <c r="BE52" s="1194"/>
    </row>
    <row r="53" spans="1:77" ht="15.75" customHeight="1">
      <c r="A53" s="1190"/>
      <c r="B53" s="2165" t="s">
        <v>2732</v>
      </c>
      <c r="C53" s="2166"/>
      <c r="D53" s="2166"/>
      <c r="E53" s="2166"/>
      <c r="F53" s="2166"/>
      <c r="G53" s="2166"/>
      <c r="H53" s="2166"/>
      <c r="I53" s="2166"/>
      <c r="J53" s="1988">
        <v>15</v>
      </c>
      <c r="K53" s="1988"/>
      <c r="L53" s="1988"/>
      <c r="M53" s="1988"/>
      <c r="N53" s="1988"/>
      <c r="O53" s="1988"/>
      <c r="P53" s="1988"/>
      <c r="Q53" s="1988"/>
      <c r="R53" s="2197">
        <v>14288</v>
      </c>
      <c r="S53" s="2197"/>
      <c r="T53" s="2197"/>
      <c r="U53" s="2197"/>
      <c r="V53" s="2197"/>
      <c r="W53" s="2197"/>
      <c r="X53" s="2197"/>
      <c r="Y53" s="2197"/>
      <c r="Z53" s="2198">
        <v>2.7</v>
      </c>
      <c r="AA53" s="2198"/>
      <c r="AB53" s="2198"/>
      <c r="AC53" s="2198"/>
      <c r="AD53" s="2198"/>
      <c r="AE53" s="2198"/>
      <c r="AF53" s="2198"/>
      <c r="AG53" s="2198"/>
      <c r="AH53" s="2199"/>
      <c r="AI53" s="2199"/>
      <c r="AJ53" s="2199"/>
      <c r="AK53" s="2199"/>
      <c r="AL53" s="2199"/>
      <c r="AM53" s="2199"/>
      <c r="AN53" s="2199"/>
      <c r="AO53" s="2200"/>
      <c r="AP53" s="1192"/>
      <c r="AQ53" s="1192"/>
      <c r="AR53" s="1192"/>
      <c r="AS53" s="1192"/>
      <c r="AT53" s="1192"/>
      <c r="AU53" s="1192"/>
      <c r="AV53" s="1192"/>
      <c r="AW53" s="1192"/>
      <c r="AX53" s="1190"/>
      <c r="AY53" s="1190"/>
      <c r="AZ53" s="1190"/>
      <c r="BA53" s="1190"/>
      <c r="BB53" s="1190"/>
      <c r="BC53" s="1190"/>
      <c r="BD53" s="1190"/>
      <c r="BE53" s="1194"/>
    </row>
    <row r="54" spans="1:77" ht="15.75" customHeight="1">
      <c r="A54" s="1190"/>
      <c r="B54" s="2165" t="s">
        <v>2732</v>
      </c>
      <c r="C54" s="2166"/>
      <c r="D54" s="2166"/>
      <c r="E54" s="2166"/>
      <c r="F54" s="2166"/>
      <c r="G54" s="2166"/>
      <c r="H54" s="2166"/>
      <c r="I54" s="2166"/>
      <c r="J54" s="1988">
        <v>15</v>
      </c>
      <c r="K54" s="1988"/>
      <c r="L54" s="1988"/>
      <c r="M54" s="1988"/>
      <c r="N54" s="1988"/>
      <c r="O54" s="1988"/>
      <c r="P54" s="1988"/>
      <c r="Q54" s="1988"/>
      <c r="R54" s="2197">
        <v>1800</v>
      </c>
      <c r="S54" s="2197"/>
      <c r="T54" s="2197"/>
      <c r="U54" s="2197"/>
      <c r="V54" s="2197"/>
      <c r="W54" s="2197"/>
      <c r="X54" s="2197"/>
      <c r="Y54" s="2197"/>
      <c r="Z54" s="2198">
        <v>0</v>
      </c>
      <c r="AA54" s="2198"/>
      <c r="AB54" s="2198"/>
      <c r="AC54" s="2198"/>
      <c r="AD54" s="2198"/>
      <c r="AE54" s="2198"/>
      <c r="AF54" s="2198"/>
      <c r="AG54" s="2198"/>
      <c r="AH54" s="2199"/>
      <c r="AI54" s="2199"/>
      <c r="AJ54" s="2199"/>
      <c r="AK54" s="2199"/>
      <c r="AL54" s="2199"/>
      <c r="AM54" s="2199"/>
      <c r="AN54" s="2199"/>
      <c r="AO54" s="2200"/>
      <c r="AP54" s="1192"/>
      <c r="AQ54" s="1192"/>
      <c r="AR54" s="1192"/>
      <c r="AS54" s="1192"/>
      <c r="AT54" s="1192"/>
      <c r="AU54" s="1192"/>
      <c r="AV54" s="1192"/>
      <c r="AW54" s="1192"/>
      <c r="AX54" s="1190"/>
      <c r="AY54" s="1190"/>
      <c r="AZ54" s="1190"/>
      <c r="BA54" s="1190"/>
      <c r="BB54" s="1190"/>
      <c r="BC54" s="1190"/>
      <c r="BD54" s="1190"/>
      <c r="BE54" s="1194"/>
    </row>
    <row r="55" spans="1:77" ht="15.75" customHeight="1">
      <c r="A55" s="1190"/>
      <c r="B55" s="2165"/>
      <c r="C55" s="2166"/>
      <c r="D55" s="2166"/>
      <c r="E55" s="2166"/>
      <c r="F55" s="2166"/>
      <c r="G55" s="2166"/>
      <c r="H55" s="2166"/>
      <c r="I55" s="2166"/>
      <c r="J55" s="1988"/>
      <c r="K55" s="1988"/>
      <c r="L55" s="1988"/>
      <c r="M55" s="1988"/>
      <c r="N55" s="1988"/>
      <c r="O55" s="1988"/>
      <c r="P55" s="1988"/>
      <c r="Q55" s="1988"/>
      <c r="R55" s="2197"/>
      <c r="S55" s="2197"/>
      <c r="T55" s="2197"/>
      <c r="U55" s="2197"/>
      <c r="V55" s="2197"/>
      <c r="W55" s="2197"/>
      <c r="X55" s="2197"/>
      <c r="Y55" s="2197"/>
      <c r="Z55" s="2198"/>
      <c r="AA55" s="2198"/>
      <c r="AB55" s="2198"/>
      <c r="AC55" s="2198"/>
      <c r="AD55" s="2198"/>
      <c r="AE55" s="2198"/>
      <c r="AF55" s="2198"/>
      <c r="AG55" s="2198"/>
      <c r="AH55" s="2199"/>
      <c r="AI55" s="2199"/>
      <c r="AJ55" s="2199"/>
      <c r="AK55" s="2199"/>
      <c r="AL55" s="2199"/>
      <c r="AM55" s="2199"/>
      <c r="AN55" s="2199"/>
      <c r="AO55" s="2200"/>
      <c r="AP55" s="1192"/>
      <c r="AQ55" s="1192"/>
      <c r="AR55" s="1192"/>
      <c r="AS55" s="1192"/>
      <c r="AT55" s="1192" t="s">
        <v>249</v>
      </c>
      <c r="AU55" s="1192"/>
      <c r="AV55" s="1192"/>
      <c r="AW55" s="1192"/>
      <c r="AX55" s="1190"/>
      <c r="AY55" s="1190"/>
      <c r="AZ55" s="1190"/>
      <c r="BA55" s="1190"/>
      <c r="BB55" s="1190"/>
      <c r="BC55" s="1190"/>
      <c r="BD55" s="1190"/>
      <c r="BE55" s="1194"/>
    </row>
    <row r="56" spans="1:77" ht="15.75" customHeight="1">
      <c r="A56" s="1190"/>
      <c r="B56" s="2165"/>
      <c r="C56" s="2166"/>
      <c r="D56" s="2166"/>
      <c r="E56" s="2166"/>
      <c r="F56" s="2166"/>
      <c r="G56" s="2166"/>
      <c r="H56" s="2166"/>
      <c r="I56" s="2166"/>
      <c r="J56" s="1988"/>
      <c r="K56" s="1988"/>
      <c r="L56" s="1988"/>
      <c r="M56" s="1988"/>
      <c r="N56" s="1988"/>
      <c r="O56" s="1988"/>
      <c r="P56" s="1988"/>
      <c r="Q56" s="1988"/>
      <c r="R56" s="2197"/>
      <c r="S56" s="2197"/>
      <c r="T56" s="2197"/>
      <c r="U56" s="2197"/>
      <c r="V56" s="2197"/>
      <c r="W56" s="2197"/>
      <c r="X56" s="2197"/>
      <c r="Y56" s="2197"/>
      <c r="Z56" s="2198"/>
      <c r="AA56" s="2198"/>
      <c r="AB56" s="2198"/>
      <c r="AC56" s="2198"/>
      <c r="AD56" s="2198"/>
      <c r="AE56" s="2198"/>
      <c r="AF56" s="2198"/>
      <c r="AG56" s="2198"/>
      <c r="AH56" s="2199"/>
      <c r="AI56" s="2199"/>
      <c r="AJ56" s="2199"/>
      <c r="AK56" s="2199"/>
      <c r="AL56" s="2199"/>
      <c r="AM56" s="2199"/>
      <c r="AN56" s="2199"/>
      <c r="AO56" s="2200"/>
      <c r="AP56" s="1192"/>
      <c r="AQ56" s="1192"/>
      <c r="AR56" s="1192"/>
      <c r="AS56" s="1192"/>
      <c r="AT56" s="1192"/>
      <c r="AU56" s="1192"/>
      <c r="AV56" s="1192"/>
      <c r="AW56" s="1192"/>
      <c r="AX56" s="1190"/>
      <c r="AY56" s="1190"/>
      <c r="AZ56" s="1190"/>
      <c r="BA56" s="1190"/>
      <c r="BB56" s="1190"/>
      <c r="BC56" s="1190"/>
      <c r="BD56" s="1190"/>
      <c r="BE56" s="1194"/>
    </row>
    <row r="57" spans="1:77" s="1198" customFormat="1" ht="15.75" customHeight="1" thickBot="1">
      <c r="A57" s="1192"/>
      <c r="B57" s="2133" t="s">
        <v>1586</v>
      </c>
      <c r="C57" s="2134"/>
      <c r="D57" s="2134"/>
      <c r="E57" s="2134"/>
      <c r="F57" s="2134"/>
      <c r="G57" s="2134"/>
      <c r="H57" s="2134"/>
      <c r="I57" s="2134"/>
      <c r="J57" s="2134"/>
      <c r="K57" s="2134"/>
      <c r="L57" s="2134"/>
      <c r="M57" s="2134"/>
      <c r="N57" s="2134"/>
      <c r="O57" s="2134"/>
      <c r="P57" s="2134"/>
      <c r="Q57" s="2134"/>
      <c r="R57" s="2201">
        <f>SUM(R52:Y56)</f>
        <v>24600</v>
      </c>
      <c r="S57" s="2201"/>
      <c r="T57" s="2201"/>
      <c r="U57" s="2201"/>
      <c r="V57" s="2201"/>
      <c r="W57" s="2201"/>
      <c r="X57" s="2201"/>
      <c r="Y57" s="2201"/>
      <c r="Z57" s="2202">
        <f>SUM(Z52:AG56)</f>
        <v>4.3000000000000007</v>
      </c>
      <c r="AA57" s="2202"/>
      <c r="AB57" s="2202"/>
      <c r="AC57" s="2202"/>
      <c r="AD57" s="2202"/>
      <c r="AE57" s="2202"/>
      <c r="AF57" s="2202"/>
      <c r="AG57" s="2202"/>
      <c r="AH57" s="2203"/>
      <c r="AI57" s="2203"/>
      <c r="AJ57" s="2203"/>
      <c r="AK57" s="2203"/>
      <c r="AL57" s="2203"/>
      <c r="AM57" s="2203"/>
      <c r="AN57" s="2203"/>
      <c r="AO57" s="2204"/>
      <c r="AP57" s="1192"/>
      <c r="AQ57" s="1192"/>
      <c r="AR57" s="1192"/>
      <c r="AS57" s="1192"/>
      <c r="AT57" s="1192"/>
      <c r="AU57" s="1192"/>
      <c r="AV57" s="1192"/>
      <c r="AW57" s="1192"/>
      <c r="AX57" s="1192"/>
      <c r="AY57" s="1192"/>
      <c r="AZ57" s="1192"/>
      <c r="BA57" s="1192"/>
      <c r="BB57" s="1192"/>
      <c r="BC57" s="1192"/>
      <c r="BD57" s="1192"/>
      <c r="BE57" s="1197"/>
      <c r="BN57" s="1257"/>
      <c r="BO57" s="1257"/>
      <c r="BP57" s="1257"/>
      <c r="BQ57" s="1257"/>
      <c r="BR57" s="1257"/>
      <c r="BS57" s="1257"/>
      <c r="BT57" s="1257"/>
      <c r="BU57" s="1257"/>
      <c r="BV57" s="1257"/>
      <c r="BW57" s="1257"/>
      <c r="BX57" s="1257"/>
      <c r="BY57" s="1257"/>
    </row>
    <row r="58" spans="1:77" ht="15.75" customHeight="1" thickBot="1">
      <c r="A58" s="1190"/>
      <c r="B58" s="1190"/>
      <c r="C58" s="1190"/>
      <c r="D58" s="1190"/>
      <c r="E58" s="1190"/>
      <c r="F58" s="1190"/>
      <c r="G58" s="1190"/>
      <c r="H58" s="1190"/>
      <c r="I58" s="1190"/>
      <c r="J58" s="1190"/>
      <c r="K58" s="1190"/>
      <c r="L58" s="1190"/>
      <c r="M58" s="1190"/>
      <c r="N58" s="1190"/>
      <c r="O58" s="1190"/>
      <c r="P58" s="1190"/>
      <c r="Q58" s="1190"/>
      <c r="R58" s="1190"/>
      <c r="S58" s="1190"/>
      <c r="T58" s="1190"/>
      <c r="U58" s="1190"/>
      <c r="V58" s="1190"/>
      <c r="W58" s="1190"/>
      <c r="X58" s="1190"/>
      <c r="Y58" s="1190"/>
      <c r="Z58" s="1190"/>
      <c r="AA58" s="1190"/>
      <c r="AB58" s="1190"/>
      <c r="AC58" s="1190"/>
      <c r="AD58" s="1190"/>
      <c r="AE58" s="1190"/>
      <c r="AF58" s="1190"/>
      <c r="AG58" s="1190"/>
      <c r="AH58" s="1190"/>
      <c r="AI58" s="1190"/>
      <c r="AJ58" s="1190"/>
      <c r="AK58" s="1190"/>
      <c r="AL58" s="1190"/>
      <c r="AM58" s="1190"/>
      <c r="AN58" s="1190"/>
      <c r="AO58" s="1190"/>
      <c r="AP58" s="1190"/>
      <c r="AQ58" s="1190"/>
      <c r="AR58" s="1190"/>
      <c r="AS58" s="1190"/>
      <c r="AT58" s="1190"/>
      <c r="AU58" s="1190"/>
      <c r="AV58" s="1190"/>
      <c r="AW58" s="1190"/>
      <c r="AX58" s="1190"/>
      <c r="AY58" s="1190"/>
      <c r="AZ58" s="1190"/>
      <c r="BA58" s="1190"/>
      <c r="BB58" s="1190"/>
      <c r="BC58" s="1190"/>
      <c r="BD58" s="1190"/>
      <c r="BE58" s="1194"/>
    </row>
    <row r="59" spans="1:77" ht="15.75" customHeight="1">
      <c r="A59" s="1190"/>
      <c r="B59" s="2193" t="s">
        <v>2401</v>
      </c>
      <c r="C59" s="2194"/>
      <c r="D59" s="2194"/>
      <c r="E59" s="2194"/>
      <c r="F59" s="2194"/>
      <c r="G59" s="2194"/>
      <c r="H59" s="2194"/>
      <c r="I59" s="2195"/>
      <c r="J59" s="2101" t="s">
        <v>2400</v>
      </c>
      <c r="K59" s="2101"/>
      <c r="L59" s="2101"/>
      <c r="M59" s="2101"/>
      <c r="N59" s="2101"/>
      <c r="O59" s="2101"/>
      <c r="P59" s="2101"/>
      <c r="Q59" s="2101"/>
      <c r="R59" s="2101"/>
      <c r="S59" s="2101"/>
      <c r="T59" s="2101"/>
      <c r="U59" s="2101"/>
      <c r="V59" s="2101"/>
      <c r="W59" s="2101"/>
      <c r="X59" s="2101"/>
      <c r="Y59" s="2101"/>
      <c r="Z59" s="2101"/>
      <c r="AA59" s="2101"/>
      <c r="AB59" s="2101"/>
      <c r="AC59" s="2101"/>
      <c r="AD59" s="2101"/>
      <c r="AE59" s="2101"/>
      <c r="AF59" s="2101"/>
      <c r="AG59" s="2101"/>
      <c r="AH59" s="2101"/>
      <c r="AI59" s="2101"/>
      <c r="AJ59" s="2101"/>
      <c r="AK59" s="2101"/>
      <c r="AL59" s="2101"/>
      <c r="AM59" s="2101"/>
      <c r="AN59" s="2101"/>
      <c r="AO59" s="2101"/>
      <c r="AP59" s="2101"/>
      <c r="AQ59" s="2101"/>
      <c r="AR59" s="2101"/>
      <c r="AS59" s="2101"/>
      <c r="AT59" s="2101"/>
      <c r="AU59" s="2101"/>
      <c r="AV59" s="2101"/>
      <c r="AW59" s="2102"/>
      <c r="AX59" s="1190"/>
      <c r="AY59" s="1190"/>
      <c r="AZ59" s="1190"/>
      <c r="BA59" s="1190"/>
      <c r="BB59" s="1190"/>
      <c r="BC59" s="1190"/>
      <c r="BD59" s="1190"/>
      <c r="BE59" s="1194"/>
    </row>
    <row r="60" spans="1:77" ht="15.75" customHeight="1">
      <c r="A60" s="1190"/>
      <c r="B60" s="2185" t="str">
        <f>IF(B52="", "", B52)</f>
        <v>LifeSTEPS</v>
      </c>
      <c r="C60" s="2186"/>
      <c r="D60" s="2186"/>
      <c r="E60" s="2186"/>
      <c r="F60" s="2186"/>
      <c r="G60" s="2186"/>
      <c r="H60" s="2186"/>
      <c r="I60" s="2187"/>
      <c r="J60" s="2196" t="s">
        <v>2750</v>
      </c>
      <c r="K60" s="1991"/>
      <c r="L60" s="1991"/>
      <c r="M60" s="1991"/>
      <c r="N60" s="1991"/>
      <c r="O60" s="1991"/>
      <c r="P60" s="1991"/>
      <c r="Q60" s="1991"/>
      <c r="R60" s="1991"/>
      <c r="S60" s="1991"/>
      <c r="T60" s="1991"/>
      <c r="U60" s="1991"/>
      <c r="V60" s="1991"/>
      <c r="W60" s="1991"/>
      <c r="X60" s="1991"/>
      <c r="Y60" s="1991"/>
      <c r="Z60" s="1991"/>
      <c r="AA60" s="1991"/>
      <c r="AB60" s="1991"/>
      <c r="AC60" s="1991"/>
      <c r="AD60" s="1991"/>
      <c r="AE60" s="1991"/>
      <c r="AF60" s="1991"/>
      <c r="AG60" s="1991"/>
      <c r="AH60" s="1991"/>
      <c r="AI60" s="1991"/>
      <c r="AJ60" s="1991"/>
      <c r="AK60" s="1991"/>
      <c r="AL60" s="1991"/>
      <c r="AM60" s="1991"/>
      <c r="AN60" s="1991"/>
      <c r="AO60" s="1991"/>
      <c r="AP60" s="1991"/>
      <c r="AQ60" s="1991"/>
      <c r="AR60" s="1991"/>
      <c r="AS60" s="1991"/>
      <c r="AT60" s="1991"/>
      <c r="AU60" s="1991"/>
      <c r="AV60" s="1991"/>
      <c r="AW60" s="1992"/>
      <c r="AX60" s="1190"/>
      <c r="AY60" s="1190"/>
      <c r="AZ60" s="1190"/>
      <c r="BA60" s="1190"/>
      <c r="BB60" s="1190"/>
      <c r="BC60" s="1190"/>
      <c r="BD60" s="1190"/>
      <c r="BE60" s="1194"/>
    </row>
    <row r="61" spans="1:77" ht="15.75" customHeight="1">
      <c r="A61" s="1190"/>
      <c r="B61" s="2185" t="str">
        <f>IF(B53="", "", B53)</f>
        <v>LifeSTEPS</v>
      </c>
      <c r="C61" s="2186"/>
      <c r="D61" s="2186"/>
      <c r="E61" s="2186"/>
      <c r="F61" s="2186"/>
      <c r="G61" s="2186"/>
      <c r="H61" s="2186"/>
      <c r="I61" s="2187"/>
      <c r="J61" s="2196" t="s">
        <v>2749</v>
      </c>
      <c r="K61" s="1991"/>
      <c r="L61" s="1991"/>
      <c r="M61" s="1991"/>
      <c r="N61" s="1991"/>
      <c r="O61" s="1991"/>
      <c r="P61" s="1991"/>
      <c r="Q61" s="1991"/>
      <c r="R61" s="1991"/>
      <c r="S61" s="1991"/>
      <c r="T61" s="1991"/>
      <c r="U61" s="1991"/>
      <c r="V61" s="1991"/>
      <c r="W61" s="1991"/>
      <c r="X61" s="1991"/>
      <c r="Y61" s="1991"/>
      <c r="Z61" s="1991"/>
      <c r="AA61" s="1991"/>
      <c r="AB61" s="1991"/>
      <c r="AC61" s="1991"/>
      <c r="AD61" s="1991"/>
      <c r="AE61" s="1991"/>
      <c r="AF61" s="1991"/>
      <c r="AG61" s="1991"/>
      <c r="AH61" s="1991"/>
      <c r="AI61" s="1991"/>
      <c r="AJ61" s="1991"/>
      <c r="AK61" s="1991"/>
      <c r="AL61" s="1991"/>
      <c r="AM61" s="1991"/>
      <c r="AN61" s="1991"/>
      <c r="AO61" s="1991"/>
      <c r="AP61" s="1991"/>
      <c r="AQ61" s="1991"/>
      <c r="AR61" s="1991"/>
      <c r="AS61" s="1991"/>
      <c r="AT61" s="1991"/>
      <c r="AU61" s="1991"/>
      <c r="AV61" s="1991"/>
      <c r="AW61" s="1992"/>
      <c r="AX61" s="1190"/>
      <c r="AY61" s="1190"/>
      <c r="AZ61" s="1190"/>
      <c r="BA61" s="1190"/>
      <c r="BB61" s="1190"/>
      <c r="BC61" s="1190"/>
      <c r="BD61" s="1190"/>
      <c r="BE61" s="1194"/>
    </row>
    <row r="62" spans="1:77" ht="15.75" customHeight="1">
      <c r="A62" s="1190"/>
      <c r="B62" s="2185" t="str">
        <f>IF(B54="", "", B54)</f>
        <v>LifeSTEPS</v>
      </c>
      <c r="C62" s="2186"/>
      <c r="D62" s="2186"/>
      <c r="E62" s="2186"/>
      <c r="F62" s="2186"/>
      <c r="G62" s="2186"/>
      <c r="H62" s="2186"/>
      <c r="I62" s="2187"/>
      <c r="J62" s="2188" t="s">
        <v>2735</v>
      </c>
      <c r="K62" s="1991"/>
      <c r="L62" s="1991"/>
      <c r="M62" s="1991"/>
      <c r="N62" s="1991"/>
      <c r="O62" s="1991"/>
      <c r="P62" s="1991"/>
      <c r="Q62" s="1991"/>
      <c r="R62" s="1991"/>
      <c r="S62" s="1991"/>
      <c r="T62" s="1991"/>
      <c r="U62" s="1991"/>
      <c r="V62" s="1991"/>
      <c r="W62" s="1991"/>
      <c r="X62" s="1991"/>
      <c r="Y62" s="1991"/>
      <c r="Z62" s="1991"/>
      <c r="AA62" s="1991"/>
      <c r="AB62" s="1991"/>
      <c r="AC62" s="1991"/>
      <c r="AD62" s="1991"/>
      <c r="AE62" s="1991"/>
      <c r="AF62" s="1991"/>
      <c r="AG62" s="1991"/>
      <c r="AH62" s="1991"/>
      <c r="AI62" s="1991"/>
      <c r="AJ62" s="1991"/>
      <c r="AK62" s="1991"/>
      <c r="AL62" s="1991"/>
      <c r="AM62" s="1991"/>
      <c r="AN62" s="1991"/>
      <c r="AO62" s="1991"/>
      <c r="AP62" s="1991"/>
      <c r="AQ62" s="1991"/>
      <c r="AR62" s="1991"/>
      <c r="AS62" s="1991"/>
      <c r="AT62" s="1991"/>
      <c r="AU62" s="1991"/>
      <c r="AV62" s="1991"/>
      <c r="AW62" s="1992"/>
      <c r="AX62" s="1190"/>
      <c r="AY62" s="1190"/>
      <c r="AZ62" s="1190"/>
      <c r="BA62" s="1190"/>
      <c r="BB62" s="1190"/>
      <c r="BC62" s="1190"/>
      <c r="BD62" s="1190"/>
      <c r="BE62" s="1194"/>
    </row>
    <row r="63" spans="1:77" ht="15.75" customHeight="1">
      <c r="A63" s="1190"/>
      <c r="B63" s="2185" t="str">
        <f>IF(B55="", "", B55)</f>
        <v/>
      </c>
      <c r="C63" s="2186"/>
      <c r="D63" s="2186"/>
      <c r="E63" s="2186"/>
      <c r="F63" s="2186"/>
      <c r="G63" s="2186"/>
      <c r="H63" s="2186"/>
      <c r="I63" s="2187"/>
      <c r="J63" s="2188"/>
      <c r="K63" s="1991"/>
      <c r="L63" s="1991"/>
      <c r="M63" s="1991"/>
      <c r="N63" s="1991"/>
      <c r="O63" s="1991"/>
      <c r="P63" s="1991"/>
      <c r="Q63" s="1991"/>
      <c r="R63" s="1991"/>
      <c r="S63" s="1991"/>
      <c r="T63" s="1991"/>
      <c r="U63" s="1991"/>
      <c r="V63" s="1991"/>
      <c r="W63" s="1991"/>
      <c r="X63" s="1991"/>
      <c r="Y63" s="1991"/>
      <c r="Z63" s="1991"/>
      <c r="AA63" s="1991"/>
      <c r="AB63" s="1991"/>
      <c r="AC63" s="1991"/>
      <c r="AD63" s="1991"/>
      <c r="AE63" s="1991"/>
      <c r="AF63" s="1991"/>
      <c r="AG63" s="1991"/>
      <c r="AH63" s="1991"/>
      <c r="AI63" s="1991"/>
      <c r="AJ63" s="1991"/>
      <c r="AK63" s="1991"/>
      <c r="AL63" s="1991"/>
      <c r="AM63" s="1991"/>
      <c r="AN63" s="1991"/>
      <c r="AO63" s="1991"/>
      <c r="AP63" s="1991"/>
      <c r="AQ63" s="1991"/>
      <c r="AR63" s="1991"/>
      <c r="AS63" s="1991"/>
      <c r="AT63" s="1991"/>
      <c r="AU63" s="1991"/>
      <c r="AV63" s="1991"/>
      <c r="AW63" s="1992"/>
      <c r="AX63" s="1190"/>
      <c r="AY63" s="1190"/>
      <c r="AZ63" s="1190"/>
      <c r="BA63" s="1190"/>
      <c r="BB63" s="1190"/>
      <c r="BC63" s="1190"/>
      <c r="BD63" s="1190"/>
      <c r="BE63" s="1194"/>
    </row>
    <row r="64" spans="1:77" ht="15.75" customHeight="1" thickBot="1">
      <c r="A64" s="1190"/>
      <c r="B64" s="2189" t="str">
        <f>IF(B56="", "", B56)</f>
        <v/>
      </c>
      <c r="C64" s="2190"/>
      <c r="D64" s="2190"/>
      <c r="E64" s="2190"/>
      <c r="F64" s="2190"/>
      <c r="G64" s="2190"/>
      <c r="H64" s="2190"/>
      <c r="I64" s="2191"/>
      <c r="J64" s="2192"/>
      <c r="K64" s="2175"/>
      <c r="L64" s="2175"/>
      <c r="M64" s="2175"/>
      <c r="N64" s="2175"/>
      <c r="O64" s="2175"/>
      <c r="P64" s="2175"/>
      <c r="Q64" s="2175"/>
      <c r="R64" s="2175"/>
      <c r="S64" s="2175"/>
      <c r="T64" s="2175"/>
      <c r="U64" s="2175"/>
      <c r="V64" s="2175"/>
      <c r="W64" s="2175"/>
      <c r="X64" s="2175"/>
      <c r="Y64" s="2175"/>
      <c r="Z64" s="2175"/>
      <c r="AA64" s="2175"/>
      <c r="AB64" s="2175"/>
      <c r="AC64" s="2175"/>
      <c r="AD64" s="2175"/>
      <c r="AE64" s="2175"/>
      <c r="AF64" s="2175"/>
      <c r="AG64" s="2175"/>
      <c r="AH64" s="2175"/>
      <c r="AI64" s="2175"/>
      <c r="AJ64" s="2175"/>
      <c r="AK64" s="2175"/>
      <c r="AL64" s="2175"/>
      <c r="AM64" s="2175"/>
      <c r="AN64" s="2175"/>
      <c r="AO64" s="2175"/>
      <c r="AP64" s="2175"/>
      <c r="AQ64" s="2175"/>
      <c r="AR64" s="2175"/>
      <c r="AS64" s="2175"/>
      <c r="AT64" s="2175"/>
      <c r="AU64" s="2175"/>
      <c r="AV64" s="2175"/>
      <c r="AW64" s="2176"/>
      <c r="AX64" s="1190"/>
      <c r="AY64" s="1190"/>
      <c r="AZ64" s="1190"/>
      <c r="BA64" s="1190"/>
      <c r="BB64" s="1190"/>
      <c r="BC64" s="1190"/>
      <c r="BD64" s="1190"/>
      <c r="BE64" s="1194"/>
    </row>
    <row r="65" spans="1:94" ht="15.75" customHeight="1">
      <c r="A65" s="1190"/>
      <c r="B65" s="1190"/>
      <c r="C65" s="1190"/>
      <c r="D65" s="1190"/>
      <c r="E65" s="1190"/>
      <c r="F65" s="1190"/>
      <c r="G65" s="1190"/>
      <c r="H65" s="1190"/>
      <c r="I65" s="1190"/>
      <c r="J65" s="1190"/>
      <c r="K65" s="1190"/>
      <c r="L65" s="1190"/>
      <c r="M65" s="1190"/>
      <c r="N65" s="1190"/>
      <c r="O65" s="1190"/>
      <c r="P65" s="1190"/>
      <c r="Q65" s="1190"/>
      <c r="R65" s="1190"/>
      <c r="S65" s="1190"/>
      <c r="T65" s="1190"/>
      <c r="U65" s="1190"/>
      <c r="V65" s="1190"/>
      <c r="W65" s="1190"/>
      <c r="X65" s="1190"/>
      <c r="Y65" s="1190"/>
      <c r="Z65" s="1190"/>
      <c r="AA65" s="1190"/>
      <c r="AB65" s="1190"/>
      <c r="AC65" s="1190"/>
      <c r="AD65" s="1190"/>
      <c r="AE65" s="1190"/>
      <c r="AF65" s="1190"/>
      <c r="AG65" s="1190"/>
      <c r="AH65" s="1190"/>
      <c r="AI65" s="1190"/>
      <c r="AJ65" s="1190"/>
      <c r="AK65" s="1190"/>
      <c r="AL65" s="1190"/>
      <c r="AM65" s="1190"/>
      <c r="AN65" s="1190"/>
      <c r="AO65" s="1190"/>
      <c r="AP65" s="1190"/>
      <c r="AQ65" s="1190"/>
      <c r="AR65" s="1190"/>
      <c r="AS65" s="1190"/>
      <c r="AT65" s="1190"/>
      <c r="AU65" s="1190"/>
      <c r="AV65" s="1190"/>
      <c r="AW65" s="1190"/>
      <c r="AX65" s="1190"/>
      <c r="AY65" s="1190"/>
      <c r="AZ65" s="1190"/>
      <c r="BA65" s="1190"/>
      <c r="BB65" s="1190"/>
      <c r="BC65" s="1190"/>
      <c r="BD65" s="1190"/>
      <c r="BE65" s="1194"/>
    </row>
    <row r="66" spans="1:94" ht="15.75" customHeight="1">
      <c r="A66" s="1190"/>
      <c r="B66" s="1198" t="s">
        <v>2399</v>
      </c>
      <c r="C66" s="1198"/>
      <c r="D66" s="1198"/>
      <c r="E66" s="1198"/>
      <c r="F66" s="1198"/>
      <c r="G66" s="1198"/>
      <c r="H66" s="1198"/>
      <c r="I66" s="1198"/>
      <c r="J66" s="1198"/>
      <c r="K66" s="1198"/>
      <c r="L66" s="1190"/>
      <c r="M66" s="1190"/>
      <c r="N66" s="1190"/>
      <c r="O66" s="1190"/>
      <c r="P66" s="1190"/>
      <c r="Q66" s="1190"/>
      <c r="R66" s="1190"/>
      <c r="S66" s="1190"/>
      <c r="T66" s="1190"/>
      <c r="U66" s="1190"/>
      <c r="V66" s="1190"/>
      <c r="W66" s="1190"/>
      <c r="X66" s="1190"/>
      <c r="Y66" s="1190"/>
      <c r="Z66" s="1190"/>
      <c r="AA66" s="1190"/>
      <c r="AB66" s="1190"/>
      <c r="AC66" s="1190"/>
      <c r="AD66" s="1190"/>
      <c r="AE66" s="1190"/>
      <c r="AF66" s="1190"/>
      <c r="AG66" s="1190"/>
      <c r="AH66" s="1190"/>
      <c r="AI66" s="1190"/>
      <c r="AJ66" s="1190"/>
      <c r="AK66" s="1190"/>
      <c r="AL66" s="1190"/>
      <c r="AM66" s="1190"/>
      <c r="AN66" s="1190"/>
      <c r="AO66" s="1190"/>
      <c r="AP66" s="1190"/>
      <c r="AQ66" s="1190"/>
      <c r="AR66" s="1190"/>
      <c r="AS66" s="1190"/>
      <c r="AT66" s="1190"/>
      <c r="AU66" s="1190"/>
      <c r="AV66" s="1190"/>
      <c r="AW66" s="1190"/>
      <c r="AX66" s="1190"/>
      <c r="AY66" s="1190"/>
      <c r="AZ66" s="1190"/>
      <c r="BA66" s="1190"/>
      <c r="BB66" s="1190"/>
      <c r="BC66" s="1190"/>
      <c r="BD66" s="1190"/>
      <c r="BE66" s="1194"/>
    </row>
    <row r="67" spans="1:94" ht="15.75" customHeight="1" thickBot="1">
      <c r="A67" s="1190"/>
      <c r="B67" s="1190"/>
      <c r="C67" s="1190"/>
      <c r="D67" s="1190"/>
      <c r="E67" s="1190"/>
      <c r="F67" s="1190"/>
      <c r="G67" s="1190"/>
      <c r="H67" s="1190"/>
      <c r="I67" s="1190"/>
      <c r="J67" s="1190"/>
      <c r="K67" s="1190"/>
      <c r="L67" s="1190"/>
      <c r="M67" s="1190"/>
      <c r="N67" s="1190"/>
      <c r="O67" s="1190"/>
      <c r="P67" s="1190"/>
      <c r="Q67" s="1190"/>
      <c r="R67" s="1190"/>
      <c r="S67" s="1190"/>
      <c r="T67" s="1190"/>
      <c r="U67" s="1190"/>
      <c r="V67" s="1190"/>
      <c r="W67" s="1190"/>
      <c r="X67" s="1190"/>
      <c r="Y67" s="1190"/>
      <c r="Z67" s="1190"/>
      <c r="AA67" s="1190"/>
      <c r="AB67" s="1190"/>
      <c r="AC67" s="1190"/>
      <c r="AD67" s="1190"/>
      <c r="AE67" s="1190"/>
      <c r="AF67" s="1190"/>
      <c r="AG67" s="1190"/>
      <c r="AH67" s="1190"/>
      <c r="AI67" s="1190"/>
      <c r="AJ67" s="1190"/>
      <c r="AK67" s="1190"/>
      <c r="AL67" s="1190"/>
      <c r="AM67" s="1190"/>
      <c r="AN67" s="1190"/>
      <c r="AO67" s="1190"/>
      <c r="AP67" s="1190"/>
      <c r="AQ67" s="1190"/>
      <c r="AR67" s="1190"/>
      <c r="AS67" s="1190"/>
      <c r="AT67" s="1190"/>
      <c r="AU67" s="1190"/>
      <c r="AV67" s="1190"/>
      <c r="AW67" s="1190"/>
      <c r="AX67" s="1190"/>
      <c r="AY67" s="1190"/>
      <c r="AZ67" s="1190"/>
      <c r="BA67" s="1190"/>
      <c r="BB67" s="1190"/>
      <c r="BC67" s="1190"/>
      <c r="BD67" s="1190"/>
      <c r="BE67" s="1194"/>
    </row>
    <row r="68" spans="1:94" ht="15.75" customHeight="1" thickBot="1">
      <c r="A68" s="1190"/>
      <c r="B68" s="2100" t="s">
        <v>2398</v>
      </c>
      <c r="C68" s="2101"/>
      <c r="D68" s="2101"/>
      <c r="E68" s="2101"/>
      <c r="F68" s="2101"/>
      <c r="G68" s="2101"/>
      <c r="H68" s="2101"/>
      <c r="I68" s="2101"/>
      <c r="J68" s="2101"/>
      <c r="K68" s="2101"/>
      <c r="L68" s="2101"/>
      <c r="M68" s="2101"/>
      <c r="N68" s="2101"/>
      <c r="O68" s="2101"/>
      <c r="P68" s="2101"/>
      <c r="Q68" s="2101"/>
      <c r="R68" s="2101"/>
      <c r="S68" s="2101"/>
      <c r="T68" s="2101"/>
      <c r="U68" s="2101"/>
      <c r="V68" s="2101"/>
      <c r="W68" s="2101"/>
      <c r="X68" s="2101"/>
      <c r="Y68" s="2101"/>
      <c r="Z68" s="2101"/>
      <c r="AA68" s="2102"/>
      <c r="AB68" s="1190"/>
      <c r="AC68" s="2025" t="s">
        <v>2397</v>
      </c>
      <c r="AD68" s="2026"/>
      <c r="AE68" s="2026"/>
      <c r="AF68" s="2026"/>
      <c r="AG68" s="2026"/>
      <c r="AH68" s="2026"/>
      <c r="AI68" s="2026"/>
      <c r="AJ68" s="2026"/>
      <c r="AK68" s="2026"/>
      <c r="AL68" s="2026"/>
      <c r="AM68" s="2026"/>
      <c r="AN68" s="2026"/>
      <c r="AO68" s="2026"/>
      <c r="AP68" s="2026"/>
      <c r="AQ68" s="2026"/>
      <c r="AR68" s="2026"/>
      <c r="AS68" s="2026"/>
      <c r="AT68" s="2026"/>
      <c r="AU68" s="2026"/>
      <c r="AV68" s="2177" t="s">
        <v>669</v>
      </c>
      <c r="AW68" s="2082"/>
      <c r="AX68" s="2082"/>
      <c r="AY68" s="2082"/>
      <c r="AZ68" s="2082"/>
      <c r="BA68" s="2082"/>
      <c r="BB68" s="2082"/>
      <c r="BC68" s="2083"/>
      <c r="BD68" s="1190"/>
      <c r="BE68" s="1194"/>
      <c r="BM68" s="1199" t="s">
        <v>2396</v>
      </c>
    </row>
    <row r="69" spans="1:94" ht="15.75" customHeight="1" thickTop="1" thickBot="1">
      <c r="A69" s="1190"/>
      <c r="B69" s="2178" t="s">
        <v>2395</v>
      </c>
      <c r="C69" s="2179"/>
      <c r="D69" s="2179"/>
      <c r="E69" s="2179"/>
      <c r="F69" s="2179"/>
      <c r="G69" s="2179"/>
      <c r="H69" s="2179"/>
      <c r="I69" s="2179"/>
      <c r="J69" s="2179"/>
      <c r="K69" s="2179"/>
      <c r="L69" s="2179"/>
      <c r="M69" s="2179"/>
      <c r="N69" s="2179"/>
      <c r="O69" s="2180" t="s">
        <v>2394</v>
      </c>
      <c r="P69" s="2181"/>
      <c r="Q69" s="2181"/>
      <c r="R69" s="2181"/>
      <c r="S69" s="2181"/>
      <c r="T69" s="2181"/>
      <c r="U69" s="2181"/>
      <c r="V69" s="2181"/>
      <c r="W69" s="2181"/>
      <c r="X69" s="2181"/>
      <c r="Y69" s="2181"/>
      <c r="Z69" s="2181"/>
      <c r="AA69" s="2182"/>
      <c r="AB69" s="1190"/>
      <c r="AC69" s="2183" t="s">
        <v>2393</v>
      </c>
      <c r="AD69" s="2184"/>
      <c r="AE69" s="2184"/>
      <c r="AF69" s="2184"/>
      <c r="AG69" s="2184"/>
      <c r="AH69" s="2184"/>
      <c r="AI69" s="2184"/>
      <c r="AJ69" s="2184"/>
      <c r="AK69" s="2184"/>
      <c r="AL69" s="2184"/>
      <c r="AM69" s="2184"/>
      <c r="AN69" s="2184"/>
      <c r="AO69" s="2184"/>
      <c r="AP69" s="2184"/>
      <c r="AQ69" s="2184"/>
      <c r="AR69" s="2184"/>
      <c r="AS69" s="2184"/>
      <c r="AT69" s="2184"/>
      <c r="AU69" s="2184"/>
      <c r="AV69" s="2177" t="s">
        <v>669</v>
      </c>
      <c r="AW69" s="2082"/>
      <c r="AX69" s="2082"/>
      <c r="AY69" s="2082"/>
      <c r="AZ69" s="2082"/>
      <c r="BA69" s="2082"/>
      <c r="BB69" s="2082"/>
      <c r="BC69" s="2083"/>
      <c r="BD69" s="1190"/>
      <c r="BE69" s="1194"/>
      <c r="BM69" s="1200" t="s">
        <v>545</v>
      </c>
    </row>
    <row r="70" spans="1:94" ht="15.75" customHeight="1">
      <c r="A70" s="1190"/>
      <c r="B70" s="2160" t="s">
        <v>2392</v>
      </c>
      <c r="C70" s="2161"/>
      <c r="D70" s="2161"/>
      <c r="E70" s="2161"/>
      <c r="F70" s="2161"/>
      <c r="G70" s="2161"/>
      <c r="H70" s="2161"/>
      <c r="I70" s="2161"/>
      <c r="J70" s="2161"/>
      <c r="K70" s="2161"/>
      <c r="L70" s="2161"/>
      <c r="M70" s="2161"/>
      <c r="N70" s="2161"/>
      <c r="O70" s="2033">
        <v>0</v>
      </c>
      <c r="P70" s="2033"/>
      <c r="Q70" s="2033"/>
      <c r="R70" s="2033"/>
      <c r="S70" s="2033"/>
      <c r="T70" s="2033"/>
      <c r="U70" s="2033"/>
      <c r="V70" s="2033"/>
      <c r="W70" s="2033"/>
      <c r="X70" s="2033"/>
      <c r="Y70" s="2033"/>
      <c r="Z70" s="2033"/>
      <c r="AA70" s="2162"/>
      <c r="AB70" s="1190"/>
      <c r="AC70" s="2071" t="s">
        <v>2391</v>
      </c>
      <c r="AD70" s="2027"/>
      <c r="AE70" s="2027"/>
      <c r="AF70" s="2171"/>
      <c r="AG70" s="2171"/>
      <c r="AH70" s="2171"/>
      <c r="AI70" s="2171"/>
      <c r="AJ70" s="2171"/>
      <c r="AK70" s="2171"/>
      <c r="AL70" s="2171"/>
      <c r="AM70" s="2171"/>
      <c r="AN70" s="2171"/>
      <c r="AO70" s="2171"/>
      <c r="AP70" s="2171"/>
      <c r="AQ70" s="2171"/>
      <c r="AR70" s="2171"/>
      <c r="AS70" s="2171"/>
      <c r="AT70" s="2171"/>
      <c r="AU70" s="2172"/>
      <c r="AV70" s="1190"/>
      <c r="AW70" s="1190"/>
      <c r="AX70" s="1190"/>
      <c r="AY70" s="1190"/>
      <c r="AZ70" s="1190"/>
      <c r="BA70" s="1190"/>
      <c r="BB70" s="1190"/>
      <c r="BC70" s="1190"/>
      <c r="BD70" s="1190"/>
      <c r="BE70" s="1194"/>
      <c r="BM70" s="1201" t="s">
        <v>669</v>
      </c>
    </row>
    <row r="71" spans="1:94" ht="15.75" customHeight="1" thickBot="1">
      <c r="A71" s="1190"/>
      <c r="B71" s="2160" t="s">
        <v>2390</v>
      </c>
      <c r="C71" s="2161"/>
      <c r="D71" s="2161"/>
      <c r="E71" s="2161"/>
      <c r="F71" s="2161"/>
      <c r="G71" s="2161"/>
      <c r="H71" s="2161"/>
      <c r="I71" s="2161"/>
      <c r="J71" s="2161"/>
      <c r="K71" s="2161"/>
      <c r="L71" s="2161"/>
      <c r="M71" s="2161"/>
      <c r="N71" s="2161"/>
      <c r="O71" s="2033">
        <v>20000</v>
      </c>
      <c r="P71" s="2033"/>
      <c r="Q71" s="2033"/>
      <c r="R71" s="2033"/>
      <c r="S71" s="2033"/>
      <c r="T71" s="2033"/>
      <c r="U71" s="2033"/>
      <c r="V71" s="2033"/>
      <c r="W71" s="2033"/>
      <c r="X71" s="2033"/>
      <c r="Y71" s="2033"/>
      <c r="Z71" s="2033"/>
      <c r="AA71" s="2162"/>
      <c r="AB71" s="1190"/>
      <c r="AC71" s="2173" t="s">
        <v>2389</v>
      </c>
      <c r="AD71" s="2174"/>
      <c r="AE71" s="2174"/>
      <c r="AF71" s="2175"/>
      <c r="AG71" s="2175"/>
      <c r="AH71" s="2175"/>
      <c r="AI71" s="2175"/>
      <c r="AJ71" s="2175"/>
      <c r="AK71" s="2175"/>
      <c r="AL71" s="2175"/>
      <c r="AM71" s="2175"/>
      <c r="AN71" s="2175"/>
      <c r="AO71" s="2175"/>
      <c r="AP71" s="2175"/>
      <c r="AQ71" s="2175"/>
      <c r="AR71" s="2175"/>
      <c r="AS71" s="2175"/>
      <c r="AT71" s="2175"/>
      <c r="AU71" s="2176"/>
      <c r="AV71" s="1190"/>
      <c r="AW71" s="1190"/>
      <c r="AX71" s="1190"/>
      <c r="AY71" s="1190"/>
      <c r="AZ71" s="1190"/>
      <c r="BA71" s="1190"/>
      <c r="BB71" s="1190"/>
      <c r="BC71" s="1190"/>
      <c r="BD71" s="1190"/>
      <c r="BE71" s="1194"/>
      <c r="BM71" s="1187" t="s">
        <v>2388</v>
      </c>
    </row>
    <row r="72" spans="1:94" ht="15.75" customHeight="1">
      <c r="A72" s="1190"/>
      <c r="B72" s="2160" t="s">
        <v>2387</v>
      </c>
      <c r="C72" s="2161"/>
      <c r="D72" s="2161"/>
      <c r="E72" s="2161"/>
      <c r="F72" s="2161"/>
      <c r="G72" s="2161"/>
      <c r="H72" s="2161"/>
      <c r="I72" s="2161"/>
      <c r="J72" s="2161"/>
      <c r="K72" s="2161"/>
      <c r="L72" s="2161"/>
      <c r="M72" s="2161"/>
      <c r="N72" s="2161"/>
      <c r="O72" s="2033">
        <v>0</v>
      </c>
      <c r="P72" s="2033"/>
      <c r="Q72" s="2033"/>
      <c r="R72" s="2033"/>
      <c r="S72" s="2033"/>
      <c r="T72" s="2033"/>
      <c r="U72" s="2033"/>
      <c r="V72" s="2033"/>
      <c r="W72" s="2033"/>
      <c r="X72" s="2033"/>
      <c r="Y72" s="2033"/>
      <c r="Z72" s="2033"/>
      <c r="AA72" s="2162"/>
      <c r="AB72" s="1190"/>
      <c r="AC72" s="2163" t="s">
        <v>2386</v>
      </c>
      <c r="AD72" s="2164"/>
      <c r="AE72" s="2164"/>
      <c r="AF72" s="2164"/>
      <c r="AG72" s="2164"/>
      <c r="AH72" s="2164"/>
      <c r="AI72" s="2164"/>
      <c r="AJ72" s="2164"/>
      <c r="AK72" s="2164"/>
      <c r="AL72" s="2164"/>
      <c r="AM72" s="2164"/>
      <c r="AN72" s="2164"/>
      <c r="AO72" s="2164"/>
      <c r="AP72" s="2164"/>
      <c r="AQ72" s="2164"/>
      <c r="AR72" s="2164"/>
      <c r="AS72" s="2164"/>
      <c r="AT72" s="2164"/>
      <c r="AU72" s="2164"/>
      <c r="AV72" s="2027"/>
      <c r="AW72" s="2027"/>
      <c r="AX72" s="2027"/>
      <c r="AY72" s="2027"/>
      <c r="AZ72" s="2027"/>
      <c r="BA72" s="2027"/>
      <c r="BB72" s="2027"/>
      <c r="BC72" s="2028"/>
      <c r="BD72" s="1190"/>
      <c r="BE72" s="1194"/>
    </row>
    <row r="73" spans="1:94" ht="15.75" customHeight="1">
      <c r="A73" s="1190"/>
      <c r="B73" s="2165" t="s">
        <v>2385</v>
      </c>
      <c r="C73" s="2166"/>
      <c r="D73" s="2166"/>
      <c r="E73" s="2166"/>
      <c r="F73" s="2166"/>
      <c r="G73" s="2166"/>
      <c r="H73" s="2166"/>
      <c r="I73" s="2166"/>
      <c r="J73" s="2166"/>
      <c r="K73" s="2166"/>
      <c r="L73" s="2166"/>
      <c r="M73" s="2166"/>
      <c r="N73" s="2166"/>
      <c r="O73" s="2033">
        <v>0</v>
      </c>
      <c r="P73" s="2033"/>
      <c r="Q73" s="2033"/>
      <c r="R73" s="2033"/>
      <c r="S73" s="2033"/>
      <c r="T73" s="2033"/>
      <c r="U73" s="2033"/>
      <c r="V73" s="2033"/>
      <c r="W73" s="2033"/>
      <c r="X73" s="2033"/>
      <c r="Y73" s="2033"/>
      <c r="Z73" s="2033"/>
      <c r="AA73" s="2162"/>
      <c r="AB73" s="1190"/>
      <c r="AC73" s="2042" t="s">
        <v>2331</v>
      </c>
      <c r="AD73" s="2043"/>
      <c r="AE73" s="2043"/>
      <c r="AF73" s="2043"/>
      <c r="AG73" s="2043"/>
      <c r="AH73" s="2043"/>
      <c r="AI73" s="2043"/>
      <c r="AJ73" s="2043"/>
      <c r="AK73" s="2043"/>
      <c r="AL73" s="2043"/>
      <c r="AM73" s="2043"/>
      <c r="AN73" s="2043"/>
      <c r="AO73" s="2043"/>
      <c r="AP73" s="2043"/>
      <c r="AQ73" s="2043"/>
      <c r="AR73" s="2043"/>
      <c r="AS73" s="2043"/>
      <c r="AT73" s="2043"/>
      <c r="AU73" s="2043"/>
      <c r="AV73" s="2043"/>
      <c r="AW73" s="2043"/>
      <c r="AX73" s="2043"/>
      <c r="AY73" s="2043"/>
      <c r="AZ73" s="2043"/>
      <c r="BA73" s="2043"/>
      <c r="BB73" s="2043"/>
      <c r="BC73" s="2044"/>
      <c r="BD73" s="1190"/>
      <c r="BE73" s="1194"/>
      <c r="CK73" s="1188"/>
      <c r="CL73" s="1188"/>
      <c r="CM73" s="1188"/>
      <c r="CN73" s="1188"/>
      <c r="CO73" s="1188"/>
      <c r="CP73" s="1188"/>
    </row>
    <row r="74" spans="1:94" ht="15.75" customHeight="1">
      <c r="A74" s="1190"/>
      <c r="B74" s="1987"/>
      <c r="C74" s="1988"/>
      <c r="D74" s="1988"/>
      <c r="E74" s="1988"/>
      <c r="F74" s="1988"/>
      <c r="G74" s="1988"/>
      <c r="H74" s="1988"/>
      <c r="I74" s="1988"/>
      <c r="J74" s="1988"/>
      <c r="K74" s="1988"/>
      <c r="L74" s="1988"/>
      <c r="M74" s="1988"/>
      <c r="N74" s="1988"/>
      <c r="O74" s="2033"/>
      <c r="P74" s="2033"/>
      <c r="Q74" s="2033"/>
      <c r="R74" s="2033"/>
      <c r="S74" s="2033"/>
      <c r="T74" s="2033"/>
      <c r="U74" s="2033"/>
      <c r="V74" s="2033"/>
      <c r="W74" s="2033"/>
      <c r="X74" s="2033"/>
      <c r="Y74" s="2033"/>
      <c r="Z74" s="2033"/>
      <c r="AA74" s="2162"/>
      <c r="AB74" s="1190"/>
      <c r="AC74" s="2042"/>
      <c r="AD74" s="2043"/>
      <c r="AE74" s="2043"/>
      <c r="AF74" s="2043"/>
      <c r="AG74" s="2043"/>
      <c r="AH74" s="2043"/>
      <c r="AI74" s="2043"/>
      <c r="AJ74" s="2043"/>
      <c r="AK74" s="2043"/>
      <c r="AL74" s="2043"/>
      <c r="AM74" s="2043"/>
      <c r="AN74" s="2043"/>
      <c r="AO74" s="2043"/>
      <c r="AP74" s="2043"/>
      <c r="AQ74" s="2043"/>
      <c r="AR74" s="2043"/>
      <c r="AS74" s="2043"/>
      <c r="AT74" s="2043"/>
      <c r="AU74" s="2043"/>
      <c r="AV74" s="2043"/>
      <c r="AW74" s="2043"/>
      <c r="AX74" s="2043"/>
      <c r="AY74" s="2043"/>
      <c r="AZ74" s="2043"/>
      <c r="BA74" s="2043"/>
      <c r="BB74" s="2043"/>
      <c r="BC74" s="2044"/>
      <c r="BD74" s="1190"/>
      <c r="BE74" s="1194"/>
      <c r="CK74" s="1188"/>
      <c r="CL74" s="1188"/>
      <c r="CM74" s="1188"/>
      <c r="CN74" s="1188"/>
      <c r="CO74" s="1188"/>
      <c r="CP74" s="1188"/>
    </row>
    <row r="75" spans="1:94" ht="15.75" customHeight="1" thickBot="1">
      <c r="A75" s="1190"/>
      <c r="B75" s="2167" t="s">
        <v>124</v>
      </c>
      <c r="C75" s="2168"/>
      <c r="D75" s="2168"/>
      <c r="E75" s="2168"/>
      <c r="F75" s="2168"/>
      <c r="G75" s="2168"/>
      <c r="H75" s="2168"/>
      <c r="I75" s="2168"/>
      <c r="J75" s="2168"/>
      <c r="K75" s="2168"/>
      <c r="L75" s="2168"/>
      <c r="M75" s="2168"/>
      <c r="N75" s="2168"/>
      <c r="O75" s="2169">
        <f>SUM(O70:AA74)</f>
        <v>20000</v>
      </c>
      <c r="P75" s="2169"/>
      <c r="Q75" s="2169"/>
      <c r="R75" s="2169"/>
      <c r="S75" s="2169"/>
      <c r="T75" s="2169"/>
      <c r="U75" s="2169"/>
      <c r="V75" s="2169"/>
      <c r="W75" s="2169"/>
      <c r="X75" s="2169"/>
      <c r="Y75" s="2169"/>
      <c r="Z75" s="2169"/>
      <c r="AA75" s="2170"/>
      <c r="AB75" s="1190"/>
      <c r="AC75" s="2042"/>
      <c r="AD75" s="2043"/>
      <c r="AE75" s="2043"/>
      <c r="AF75" s="2043"/>
      <c r="AG75" s="2043"/>
      <c r="AH75" s="2043"/>
      <c r="AI75" s="2043"/>
      <c r="AJ75" s="2043"/>
      <c r="AK75" s="2043"/>
      <c r="AL75" s="2043"/>
      <c r="AM75" s="2043"/>
      <c r="AN75" s="2043"/>
      <c r="AO75" s="2043"/>
      <c r="AP75" s="2043"/>
      <c r="AQ75" s="2043"/>
      <c r="AR75" s="2043"/>
      <c r="AS75" s="2043"/>
      <c r="AT75" s="2043"/>
      <c r="AU75" s="2043"/>
      <c r="AV75" s="2043"/>
      <c r="AW75" s="2043"/>
      <c r="AX75" s="2043"/>
      <c r="AY75" s="2043"/>
      <c r="AZ75" s="2043"/>
      <c r="BA75" s="2043"/>
      <c r="BB75" s="2043"/>
      <c r="BC75" s="2044"/>
      <c r="BD75" s="1190"/>
      <c r="BE75" s="1194"/>
      <c r="CK75" s="1188"/>
      <c r="CL75" s="1188"/>
      <c r="CM75" s="1188"/>
      <c r="CN75" s="1188"/>
      <c r="CO75" s="1188"/>
      <c r="CP75" s="1188"/>
    </row>
    <row r="76" spans="1:94" ht="15.75" customHeight="1">
      <c r="A76" s="1190"/>
      <c r="B76" s="1190"/>
      <c r="C76" s="1190"/>
      <c r="D76" s="1190"/>
      <c r="E76" s="1190"/>
      <c r="F76" s="1190"/>
      <c r="G76" s="1190"/>
      <c r="H76" s="1190"/>
      <c r="I76" s="1190"/>
      <c r="J76" s="1190"/>
      <c r="K76" s="1190"/>
      <c r="L76" s="1190"/>
      <c r="M76" s="1190"/>
      <c r="N76" s="1190"/>
      <c r="O76" s="1190"/>
      <c r="P76" s="1190"/>
      <c r="Q76" s="1190"/>
      <c r="R76" s="1190"/>
      <c r="S76" s="1190"/>
      <c r="T76" s="1190"/>
      <c r="U76" s="1190"/>
      <c r="V76" s="1190"/>
      <c r="W76" s="1190"/>
      <c r="X76" s="1190"/>
      <c r="Y76" s="1190"/>
      <c r="Z76" s="1190"/>
      <c r="AA76" s="1190"/>
      <c r="AB76" s="1190"/>
      <c r="AC76" s="2042"/>
      <c r="AD76" s="2043"/>
      <c r="AE76" s="2043"/>
      <c r="AF76" s="2043"/>
      <c r="AG76" s="2043"/>
      <c r="AH76" s="2043"/>
      <c r="AI76" s="2043"/>
      <c r="AJ76" s="2043"/>
      <c r="AK76" s="2043"/>
      <c r="AL76" s="2043"/>
      <c r="AM76" s="2043"/>
      <c r="AN76" s="2043"/>
      <c r="AO76" s="2043"/>
      <c r="AP76" s="2043"/>
      <c r="AQ76" s="2043"/>
      <c r="AR76" s="2043"/>
      <c r="AS76" s="2043"/>
      <c r="AT76" s="2043"/>
      <c r="AU76" s="2043"/>
      <c r="AV76" s="2043"/>
      <c r="AW76" s="2043"/>
      <c r="AX76" s="2043"/>
      <c r="AY76" s="2043"/>
      <c r="AZ76" s="2043"/>
      <c r="BA76" s="2043"/>
      <c r="BB76" s="2043"/>
      <c r="BC76" s="2044"/>
      <c r="BD76" s="1190"/>
      <c r="BE76" s="1194"/>
      <c r="CK76" s="1188"/>
      <c r="CL76" s="1188"/>
      <c r="CM76" s="1188"/>
      <c r="CN76" s="1188"/>
      <c r="CO76" s="1188"/>
      <c r="CP76" s="1188"/>
    </row>
    <row r="77" spans="1:94" ht="15.75" customHeight="1" thickBot="1">
      <c r="A77" s="1190"/>
      <c r="B77" s="1190"/>
      <c r="C77" s="1190"/>
      <c r="D77" s="1190"/>
      <c r="E77" s="1190"/>
      <c r="F77" s="1190"/>
      <c r="G77" s="1190"/>
      <c r="H77" s="1190"/>
      <c r="I77" s="1190"/>
      <c r="J77" s="1190"/>
      <c r="K77" s="1190"/>
      <c r="L77" s="1190"/>
      <c r="M77" s="1190"/>
      <c r="N77" s="1190"/>
      <c r="O77" s="1190"/>
      <c r="P77" s="1190"/>
      <c r="Q77" s="1190"/>
      <c r="R77" s="1190"/>
      <c r="S77" s="1190"/>
      <c r="T77" s="1190"/>
      <c r="U77" s="1190"/>
      <c r="V77" s="1190"/>
      <c r="W77" s="1190"/>
      <c r="X77" s="1190"/>
      <c r="Y77" s="1190"/>
      <c r="Z77" s="1190"/>
      <c r="AA77" s="1190"/>
      <c r="AB77" s="1190"/>
      <c r="AC77" s="2045"/>
      <c r="AD77" s="2046"/>
      <c r="AE77" s="2046"/>
      <c r="AF77" s="2046"/>
      <c r="AG77" s="2046"/>
      <c r="AH77" s="2046"/>
      <c r="AI77" s="2046"/>
      <c r="AJ77" s="2046"/>
      <c r="AK77" s="2046"/>
      <c r="AL77" s="2046"/>
      <c r="AM77" s="2046"/>
      <c r="AN77" s="2046"/>
      <c r="AO77" s="2046"/>
      <c r="AP77" s="2046"/>
      <c r="AQ77" s="2046"/>
      <c r="AR77" s="2046"/>
      <c r="AS77" s="2046"/>
      <c r="AT77" s="2046"/>
      <c r="AU77" s="2046"/>
      <c r="AV77" s="2046"/>
      <c r="AW77" s="2046"/>
      <c r="AX77" s="2046"/>
      <c r="AY77" s="2046"/>
      <c r="AZ77" s="2046"/>
      <c r="BA77" s="2046"/>
      <c r="BB77" s="2046"/>
      <c r="BC77" s="2047"/>
      <c r="BD77" s="1190"/>
      <c r="BE77" s="1194"/>
      <c r="CK77" s="1188"/>
      <c r="CL77" s="1188"/>
      <c r="CM77" s="1188"/>
      <c r="CN77" s="1188"/>
      <c r="CO77" s="1188"/>
      <c r="CP77" s="1188"/>
    </row>
    <row r="78" spans="1:94" ht="15.75" customHeight="1" thickBot="1">
      <c r="A78" s="1190"/>
      <c r="B78" s="1202" t="s">
        <v>2384</v>
      </c>
      <c r="C78" s="1203"/>
      <c r="D78" s="1204"/>
      <c r="E78" s="1204"/>
      <c r="F78" s="1204"/>
      <c r="G78" s="1204"/>
      <c r="H78" s="1204"/>
      <c r="I78" s="1204"/>
      <c r="J78" s="1204"/>
      <c r="K78" s="1204"/>
      <c r="L78" s="1204"/>
      <c r="M78" s="1204"/>
      <c r="N78" s="1204"/>
      <c r="O78" s="1204"/>
      <c r="P78" s="1204"/>
      <c r="Q78" s="1204"/>
      <c r="R78" s="1204"/>
      <c r="S78" s="1204"/>
      <c r="T78" s="1205"/>
      <c r="U78" s="1190"/>
      <c r="V78" s="1190"/>
      <c r="W78" s="1190"/>
      <c r="X78" s="1190"/>
      <c r="Y78" s="1190"/>
      <c r="Z78" s="1190"/>
      <c r="AA78" s="1190"/>
      <c r="AB78" s="1190"/>
      <c r="AC78" s="1190"/>
      <c r="AD78" s="1190"/>
      <c r="AE78" s="1190"/>
      <c r="AF78" s="1190"/>
      <c r="AG78" s="1190"/>
      <c r="AH78" s="1190"/>
      <c r="AI78" s="1190"/>
      <c r="AJ78" s="1190"/>
      <c r="AK78" s="1190"/>
      <c r="AL78" s="1190"/>
      <c r="AM78" s="1190"/>
      <c r="AN78" s="1190"/>
      <c r="AO78" s="1190"/>
      <c r="AP78" s="1190"/>
      <c r="AQ78" s="1190"/>
      <c r="AR78" s="1190"/>
      <c r="AS78" s="1190"/>
      <c r="AT78" s="1190"/>
      <c r="AU78" s="1190"/>
      <c r="AV78" s="1190"/>
      <c r="AW78" s="1190"/>
      <c r="AX78" s="1190"/>
      <c r="AY78" s="1190"/>
      <c r="AZ78" s="1190"/>
      <c r="BA78" s="1190"/>
      <c r="BB78" s="1190"/>
      <c r="BC78" s="1190"/>
      <c r="BD78" s="1190"/>
      <c r="BE78" s="1194"/>
      <c r="CK78" s="1188"/>
      <c r="CL78" s="1188"/>
      <c r="CM78" s="1188"/>
      <c r="CN78" s="1188"/>
      <c r="CO78" s="1188"/>
      <c r="CP78" s="1188"/>
    </row>
    <row r="79" spans="1:94" ht="15.75" customHeight="1">
      <c r="A79" s="1190"/>
      <c r="B79" s="1202" t="s">
        <v>2285</v>
      </c>
      <c r="C79" s="1206"/>
      <c r="D79" s="1206"/>
      <c r="E79" s="1207"/>
      <c r="F79" s="2145" t="s">
        <v>2733</v>
      </c>
      <c r="G79" s="2146"/>
      <c r="H79" s="2146"/>
      <c r="I79" s="2146"/>
      <c r="J79" s="2146"/>
      <c r="K79" s="2146"/>
      <c r="L79" s="2146"/>
      <c r="M79" s="2146"/>
      <c r="N79" s="2146"/>
      <c r="O79" s="2146"/>
      <c r="P79" s="2146"/>
      <c r="Q79" s="2146"/>
      <c r="R79" s="2146"/>
      <c r="S79" s="2146"/>
      <c r="T79" s="2147"/>
      <c r="U79" s="1190"/>
      <c r="V79" s="1190"/>
      <c r="W79" s="1190"/>
      <c r="X79" s="1190"/>
      <c r="Y79" s="1190"/>
      <c r="Z79" s="1190"/>
      <c r="AA79" s="1190"/>
      <c r="AB79" s="1190"/>
      <c r="AC79" s="1190"/>
      <c r="AD79" s="1190"/>
      <c r="AE79" s="1190"/>
      <c r="AF79" s="1190"/>
      <c r="AG79" s="1190"/>
      <c r="AH79" s="1190"/>
      <c r="AI79" s="1190"/>
      <c r="AJ79" s="1190"/>
      <c r="AK79" s="1190"/>
      <c r="AL79" s="1190"/>
      <c r="AM79" s="1190"/>
      <c r="AN79" s="1190"/>
      <c r="AO79" s="1190"/>
      <c r="AP79" s="1190"/>
      <c r="AQ79" s="1190"/>
      <c r="AR79" s="1190"/>
      <c r="AS79" s="1190"/>
      <c r="AT79" s="1190"/>
      <c r="AU79" s="1190"/>
      <c r="AV79" s="1190"/>
      <c r="AW79" s="1190"/>
      <c r="AX79" s="1190"/>
      <c r="AY79" s="1190"/>
      <c r="AZ79" s="1190"/>
      <c r="BA79" s="1190"/>
      <c r="BB79" s="1190"/>
      <c r="BC79" s="1190"/>
      <c r="BD79" s="1190"/>
      <c r="BE79" s="1194"/>
      <c r="CK79" s="1188"/>
      <c r="CL79" s="1188"/>
      <c r="CM79" s="1188"/>
      <c r="CN79" s="1188"/>
      <c r="CO79" s="1188"/>
      <c r="CP79" s="1188"/>
    </row>
    <row r="80" spans="1:94" ht="15.75" customHeight="1" thickBot="1">
      <c r="A80" s="1190"/>
      <c r="B80" s="2148" t="s">
        <v>2383</v>
      </c>
      <c r="C80" s="2149"/>
      <c r="D80" s="2149"/>
      <c r="E80" s="2149"/>
      <c r="F80" s="2149"/>
      <c r="G80" s="2149"/>
      <c r="H80" s="2149"/>
      <c r="I80" s="2149"/>
      <c r="J80" s="2149"/>
      <c r="K80" s="2149"/>
      <c r="L80" s="2149"/>
      <c r="M80" s="2149"/>
      <c r="N80" s="2149"/>
      <c r="O80" s="2149"/>
      <c r="P80" s="2149"/>
      <c r="Q80" s="2149"/>
      <c r="R80" s="2151">
        <f>IFERROR(INDEX(BR96:BR98,MATCH(F79,$BQ$96:$BQ$98,0))/SUM($BR$96:$BR$98),"")</f>
        <v>0.9</v>
      </c>
      <c r="S80" s="2152"/>
      <c r="T80" s="2153"/>
      <c r="U80" s="1190"/>
      <c r="V80" s="1190"/>
      <c r="W80" s="1190"/>
      <c r="X80" s="1190"/>
      <c r="Y80" s="1190"/>
      <c r="Z80" s="1190"/>
      <c r="AA80" s="1190"/>
      <c r="AB80" s="1190"/>
      <c r="AC80" s="1190"/>
      <c r="AD80" s="1190"/>
      <c r="AE80" s="1190"/>
      <c r="AF80" s="1190"/>
      <c r="AG80" s="1190"/>
      <c r="AH80" s="1190"/>
      <c r="AI80" s="1190"/>
      <c r="AJ80" s="1190"/>
      <c r="AK80" s="1190"/>
      <c r="AL80" s="1190"/>
      <c r="AM80" s="1190"/>
      <c r="AN80" s="1190"/>
      <c r="AO80" s="1190"/>
      <c r="AP80" s="1190"/>
      <c r="AQ80" s="1190"/>
      <c r="AR80" s="1190"/>
      <c r="AS80" s="1190"/>
      <c r="AT80" s="1190"/>
      <c r="AU80" s="1190"/>
      <c r="AV80" s="1190"/>
      <c r="AW80" s="1190"/>
      <c r="AX80" s="1190"/>
      <c r="AY80" s="1190"/>
      <c r="AZ80" s="1190"/>
      <c r="BA80" s="1190"/>
      <c r="BB80" s="1190"/>
      <c r="BC80" s="1190"/>
      <c r="BD80" s="1190"/>
      <c r="BE80" s="1194"/>
      <c r="CK80" s="1188"/>
      <c r="CL80" s="1188"/>
      <c r="CM80" s="1188"/>
      <c r="CN80" s="1188"/>
      <c r="CO80" s="1188"/>
      <c r="CP80" s="1188"/>
    </row>
    <row r="81" spans="1:94" ht="15.75" customHeight="1" thickBot="1">
      <c r="A81" s="1190"/>
      <c r="B81" s="2154" t="s">
        <v>2382</v>
      </c>
      <c r="C81" s="2155"/>
      <c r="D81" s="2155"/>
      <c r="E81" s="2155"/>
      <c r="F81" s="2155"/>
      <c r="G81" s="2155"/>
      <c r="H81" s="2155"/>
      <c r="I81" s="2155"/>
      <c r="J81" s="2155"/>
      <c r="K81" s="2155"/>
      <c r="L81" s="2155"/>
      <c r="M81" s="2155"/>
      <c r="N81" s="2155"/>
      <c r="O81" s="2155"/>
      <c r="P81" s="2155"/>
      <c r="Q81" s="2155"/>
      <c r="R81" s="2136" t="s">
        <v>2189</v>
      </c>
      <c r="S81" s="2137"/>
      <c r="T81" s="2138"/>
      <c r="U81" s="1190"/>
      <c r="V81" s="1190"/>
      <c r="W81" s="1190"/>
      <c r="X81" s="1190"/>
      <c r="Y81" s="1190"/>
      <c r="Z81" s="1190"/>
      <c r="AA81" s="1190"/>
      <c r="AB81" s="1190"/>
      <c r="AC81" s="1190"/>
      <c r="AD81" s="1190"/>
      <c r="AE81" s="1190"/>
      <c r="AF81" s="1190"/>
      <c r="AG81" s="1190"/>
      <c r="AH81" s="1190"/>
      <c r="AI81" s="1190"/>
      <c r="AJ81" s="1190"/>
      <c r="AK81" s="1190"/>
      <c r="AL81" s="1190"/>
      <c r="AM81" s="1190"/>
      <c r="AN81" s="1190"/>
      <c r="AO81" s="1190"/>
      <c r="AP81" s="1190"/>
      <c r="AQ81" s="1190"/>
      <c r="AR81" s="1190"/>
      <c r="AS81" s="1190"/>
      <c r="AT81" s="1190"/>
      <c r="AU81" s="1190"/>
      <c r="AV81" s="1190"/>
      <c r="AW81" s="1190"/>
      <c r="AX81" s="1190"/>
      <c r="AY81" s="1190"/>
      <c r="AZ81" s="1190"/>
      <c r="BA81" s="1190"/>
      <c r="BB81" s="1190"/>
      <c r="BC81" s="1190"/>
      <c r="BD81" s="1190"/>
      <c r="BE81" s="1194"/>
      <c r="CK81" s="1188"/>
      <c r="CL81" s="1188"/>
      <c r="CM81" s="1188"/>
      <c r="CN81" s="1188"/>
      <c r="CO81" s="1188"/>
      <c r="CP81" s="1188"/>
    </row>
    <row r="82" spans="1:94" ht="15.75" customHeight="1" thickBot="1">
      <c r="A82" s="1190"/>
      <c r="B82" s="1190"/>
      <c r="C82" s="1190"/>
      <c r="D82" s="1190"/>
      <c r="E82" s="1190"/>
      <c r="F82" s="1190"/>
      <c r="G82" s="1190"/>
      <c r="H82" s="1190"/>
      <c r="I82" s="1190"/>
      <c r="J82" s="1190"/>
      <c r="K82" s="1190"/>
      <c r="L82" s="1190"/>
      <c r="M82" s="1190"/>
      <c r="N82" s="1190"/>
      <c r="O82" s="1190"/>
      <c r="P82" s="1190"/>
      <c r="Q82" s="1190"/>
      <c r="R82" s="1190"/>
      <c r="S82" s="1190"/>
      <c r="T82" s="1190"/>
      <c r="U82" s="1190"/>
      <c r="V82" s="1190"/>
      <c r="W82" s="1190"/>
      <c r="X82" s="1190"/>
      <c r="Y82" s="1190"/>
      <c r="Z82" s="1190"/>
      <c r="AA82" s="1190"/>
      <c r="AB82" s="1190"/>
      <c r="AC82" s="1190"/>
      <c r="AD82" s="1190"/>
      <c r="AE82" s="1190"/>
      <c r="AF82" s="1190"/>
      <c r="AG82" s="1190"/>
      <c r="AH82" s="1190"/>
      <c r="AI82" s="1190"/>
      <c r="AJ82" s="1190"/>
      <c r="AK82" s="1190"/>
      <c r="AL82" s="1190"/>
      <c r="AM82" s="1190"/>
      <c r="AN82" s="1190"/>
      <c r="AO82" s="1190"/>
      <c r="AP82" s="1190"/>
      <c r="AQ82" s="1190"/>
      <c r="AR82" s="1190"/>
      <c r="AS82" s="1190"/>
      <c r="AT82" s="1190"/>
      <c r="AU82" s="1190"/>
      <c r="AV82" s="1190"/>
      <c r="AW82" s="1190"/>
      <c r="AX82" s="1190"/>
      <c r="AY82" s="1190"/>
      <c r="AZ82" s="1190"/>
      <c r="BA82" s="1190"/>
      <c r="BB82" s="1190"/>
      <c r="BC82" s="1190"/>
      <c r="BD82" s="1190"/>
      <c r="BE82" s="1194"/>
      <c r="CK82" s="1188"/>
      <c r="CL82" s="1188"/>
      <c r="CM82" s="1188"/>
      <c r="CN82" s="1188"/>
      <c r="CO82" s="1188"/>
      <c r="CP82" s="1188"/>
    </row>
    <row r="83" spans="1:94" ht="15.75" customHeight="1">
      <c r="A83" s="1190"/>
      <c r="B83" s="2157" t="s">
        <v>2381</v>
      </c>
      <c r="C83" s="2158"/>
      <c r="D83" s="2158"/>
      <c r="E83" s="2158"/>
      <c r="F83" s="2158"/>
      <c r="G83" s="2158"/>
      <c r="H83" s="2158"/>
      <c r="I83" s="2158"/>
      <c r="J83" s="2158"/>
      <c r="K83" s="2158"/>
      <c r="L83" s="2158"/>
      <c r="M83" s="2158"/>
      <c r="N83" s="2158"/>
      <c r="O83" s="2158"/>
      <c r="P83" s="2158"/>
      <c r="Q83" s="2158"/>
      <c r="R83" s="2158"/>
      <c r="S83" s="2158"/>
      <c r="T83" s="2158"/>
      <c r="U83" s="2158"/>
      <c r="V83" s="2158"/>
      <c r="W83" s="2158"/>
      <c r="X83" s="2158"/>
      <c r="Y83" s="2158"/>
      <c r="Z83" s="2158"/>
      <c r="AA83" s="2158"/>
      <c r="AB83" s="2158"/>
      <c r="AC83" s="2158"/>
      <c r="AD83" s="2158"/>
      <c r="AE83" s="2158"/>
      <c r="AF83" s="2158"/>
      <c r="AG83" s="2158"/>
      <c r="AH83" s="2159"/>
      <c r="AI83" s="1190"/>
      <c r="AJ83" s="2124" t="s">
        <v>2380</v>
      </c>
      <c r="AK83" s="2125"/>
      <c r="AL83" s="2125"/>
      <c r="AM83" s="2125"/>
      <c r="AN83" s="2125"/>
      <c r="AO83" s="2125"/>
      <c r="AP83" s="2125"/>
      <c r="AQ83" s="2125"/>
      <c r="AR83" s="2125"/>
      <c r="AS83" s="2125"/>
      <c r="AT83" s="2125"/>
      <c r="AU83" s="2125"/>
      <c r="AV83" s="2125"/>
      <c r="AW83" s="2125"/>
      <c r="AX83" s="2125"/>
      <c r="AY83" s="2141" t="s">
        <v>669</v>
      </c>
      <c r="AZ83" s="2141"/>
      <c r="BA83" s="2141"/>
      <c r="BB83" s="2142"/>
      <c r="BC83" s="1190"/>
      <c r="BD83" s="1190"/>
      <c r="BE83" s="1194"/>
      <c r="CK83" s="1188"/>
      <c r="CL83" s="1188"/>
      <c r="CM83" s="1188"/>
      <c r="CN83" s="1188"/>
      <c r="CO83" s="1188"/>
      <c r="CP83" s="1188"/>
    </row>
    <row r="84" spans="1:94" ht="15.75" customHeight="1">
      <c r="A84" s="1190"/>
      <c r="B84" s="2135"/>
      <c r="C84" s="2103"/>
      <c r="D84" s="2103"/>
      <c r="E84" s="2103"/>
      <c r="F84" s="2103"/>
      <c r="G84" s="2103"/>
      <c r="H84" s="2103"/>
      <c r="I84" s="2103" t="s">
        <v>2370</v>
      </c>
      <c r="J84" s="2103"/>
      <c r="K84" s="2103"/>
      <c r="L84" s="2103"/>
      <c r="M84" s="2103"/>
      <c r="N84" s="2103"/>
      <c r="O84" s="2103" t="s">
        <v>2347</v>
      </c>
      <c r="P84" s="2103"/>
      <c r="Q84" s="2103"/>
      <c r="R84" s="2103"/>
      <c r="S84" s="2103"/>
      <c r="T84" s="2103"/>
      <c r="U84" s="2103"/>
      <c r="V84" s="2139" t="s">
        <v>2346</v>
      </c>
      <c r="W84" s="2139"/>
      <c r="X84" s="2139"/>
      <c r="Y84" s="2139"/>
      <c r="Z84" s="2139"/>
      <c r="AA84" s="2139"/>
      <c r="AB84" s="2072" t="s">
        <v>2369</v>
      </c>
      <c r="AC84" s="2072"/>
      <c r="AD84" s="2072"/>
      <c r="AE84" s="2072"/>
      <c r="AF84" s="2072"/>
      <c r="AG84" s="2072"/>
      <c r="AH84" s="2140"/>
      <c r="AI84" s="1190"/>
      <c r="AJ84" s="2127"/>
      <c r="AK84" s="2128"/>
      <c r="AL84" s="2128"/>
      <c r="AM84" s="2128"/>
      <c r="AN84" s="2128"/>
      <c r="AO84" s="2128"/>
      <c r="AP84" s="2128"/>
      <c r="AQ84" s="2128"/>
      <c r="AR84" s="2128"/>
      <c r="AS84" s="2128"/>
      <c r="AT84" s="2128"/>
      <c r="AU84" s="2128"/>
      <c r="AV84" s="2128"/>
      <c r="AW84" s="2128"/>
      <c r="AX84" s="2128"/>
      <c r="AY84" s="2143"/>
      <c r="AZ84" s="2143"/>
      <c r="BA84" s="2143"/>
      <c r="BB84" s="2144"/>
      <c r="BC84" s="1190"/>
      <c r="BD84" s="1190"/>
      <c r="BE84" s="1194"/>
      <c r="CK84" s="1188"/>
      <c r="CL84" s="1188"/>
      <c r="CM84" s="1188"/>
      <c r="CN84" s="1188"/>
      <c r="CO84" s="1188"/>
      <c r="CP84" s="1188"/>
    </row>
    <row r="85" spans="1:94" ht="15.75" customHeight="1">
      <c r="A85" s="1190"/>
      <c r="B85" s="2135"/>
      <c r="C85" s="2103"/>
      <c r="D85" s="2103"/>
      <c r="E85" s="2103"/>
      <c r="F85" s="2103"/>
      <c r="G85" s="2103"/>
      <c r="H85" s="2103"/>
      <c r="I85" s="2103"/>
      <c r="J85" s="2103"/>
      <c r="K85" s="2103"/>
      <c r="L85" s="2103"/>
      <c r="M85" s="2103"/>
      <c r="N85" s="2103"/>
      <c r="O85" s="2103"/>
      <c r="P85" s="2103"/>
      <c r="Q85" s="2103"/>
      <c r="R85" s="2103"/>
      <c r="S85" s="2103"/>
      <c r="T85" s="2103"/>
      <c r="U85" s="2103"/>
      <c r="V85" s="2139"/>
      <c r="W85" s="2139"/>
      <c r="X85" s="2139"/>
      <c r="Y85" s="2139"/>
      <c r="Z85" s="2139"/>
      <c r="AA85" s="2139"/>
      <c r="AB85" s="2072"/>
      <c r="AC85" s="2072"/>
      <c r="AD85" s="2072"/>
      <c r="AE85" s="2072"/>
      <c r="AF85" s="2072"/>
      <c r="AG85" s="2072"/>
      <c r="AH85" s="2140"/>
      <c r="AI85" s="1190"/>
      <c r="AJ85" s="2127"/>
      <c r="AK85" s="2128"/>
      <c r="AL85" s="2128"/>
      <c r="AM85" s="2128"/>
      <c r="AN85" s="2128"/>
      <c r="AO85" s="2128"/>
      <c r="AP85" s="2128"/>
      <c r="AQ85" s="2128"/>
      <c r="AR85" s="2128"/>
      <c r="AS85" s="2128"/>
      <c r="AT85" s="2128"/>
      <c r="AU85" s="2128"/>
      <c r="AV85" s="2128"/>
      <c r="AW85" s="2128"/>
      <c r="AX85" s="2128"/>
      <c r="AY85" s="2143"/>
      <c r="AZ85" s="2143"/>
      <c r="BA85" s="2143"/>
      <c r="BB85" s="2144"/>
      <c r="BC85" s="1190"/>
      <c r="BD85" s="1190"/>
      <c r="BE85" s="1194"/>
      <c r="CK85" s="1188"/>
      <c r="CL85" s="1188"/>
      <c r="CM85" s="1188"/>
      <c r="CN85" s="1188"/>
      <c r="CO85" s="1188"/>
      <c r="CP85" s="1188"/>
    </row>
    <row r="86" spans="1:94" ht="15.75" customHeight="1">
      <c r="A86" s="1190"/>
      <c r="B86" s="2135" t="s">
        <v>2368</v>
      </c>
      <c r="C86" s="2103"/>
      <c r="D86" s="2103"/>
      <c r="E86" s="2103"/>
      <c r="F86" s="2103"/>
      <c r="G86" s="2103"/>
      <c r="H86" s="2103"/>
      <c r="I86" s="2075">
        <v>0</v>
      </c>
      <c r="J86" s="2075"/>
      <c r="K86" s="2075"/>
      <c r="L86" s="2075"/>
      <c r="M86" s="2075"/>
      <c r="N86" s="2075"/>
      <c r="O86" s="2075">
        <v>0</v>
      </c>
      <c r="P86" s="2075"/>
      <c r="Q86" s="2075"/>
      <c r="R86" s="2075"/>
      <c r="S86" s="2075"/>
      <c r="T86" s="2075"/>
      <c r="U86" s="2075"/>
      <c r="V86" s="2075">
        <v>0</v>
      </c>
      <c r="W86" s="2075"/>
      <c r="X86" s="2075"/>
      <c r="Y86" s="2075"/>
      <c r="Z86" s="2075"/>
      <c r="AA86" s="2075"/>
      <c r="AB86" s="2075">
        <v>0</v>
      </c>
      <c r="AC86" s="2075"/>
      <c r="AD86" s="2075"/>
      <c r="AE86" s="2075"/>
      <c r="AF86" s="2075"/>
      <c r="AG86" s="2075"/>
      <c r="AH86" s="2076"/>
      <c r="AI86" s="1190"/>
      <c r="AJ86" s="2127"/>
      <c r="AK86" s="2128"/>
      <c r="AL86" s="2128"/>
      <c r="AM86" s="2128"/>
      <c r="AN86" s="2128"/>
      <c r="AO86" s="2128"/>
      <c r="AP86" s="2128"/>
      <c r="AQ86" s="2128"/>
      <c r="AR86" s="2128"/>
      <c r="AS86" s="2128"/>
      <c r="AT86" s="2128"/>
      <c r="AU86" s="2128"/>
      <c r="AV86" s="2128"/>
      <c r="AW86" s="2128"/>
      <c r="AX86" s="2128"/>
      <c r="AY86" s="2143"/>
      <c r="AZ86" s="2143"/>
      <c r="BA86" s="2143"/>
      <c r="BB86" s="2144"/>
      <c r="BC86" s="1190"/>
      <c r="BD86" s="1190"/>
      <c r="BE86" s="1194"/>
      <c r="CK86" s="1188"/>
      <c r="CL86" s="1188"/>
      <c r="CM86" s="1188"/>
      <c r="CN86" s="1188"/>
      <c r="CO86" s="1188"/>
      <c r="CP86" s="1188"/>
    </row>
    <row r="87" spans="1:94" ht="15.75" customHeight="1">
      <c r="A87" s="1190"/>
      <c r="B87" s="2135" t="s">
        <v>2367</v>
      </c>
      <c r="C87" s="2103"/>
      <c r="D87" s="2103"/>
      <c r="E87" s="2103"/>
      <c r="F87" s="2103"/>
      <c r="G87" s="2103"/>
      <c r="H87" s="2103"/>
      <c r="I87" s="2075">
        <v>0</v>
      </c>
      <c r="J87" s="2075"/>
      <c r="K87" s="2075"/>
      <c r="L87" s="2075"/>
      <c r="M87" s="2075"/>
      <c r="N87" s="2075"/>
      <c r="O87" s="2075">
        <v>0</v>
      </c>
      <c r="P87" s="2075"/>
      <c r="Q87" s="2075"/>
      <c r="R87" s="2075"/>
      <c r="S87" s="2075"/>
      <c r="T87" s="2075"/>
      <c r="U87" s="2075"/>
      <c r="V87" s="2075">
        <v>0</v>
      </c>
      <c r="W87" s="2075"/>
      <c r="X87" s="2075"/>
      <c r="Y87" s="2075"/>
      <c r="Z87" s="2075"/>
      <c r="AA87" s="2075"/>
      <c r="AB87" s="2075">
        <v>0</v>
      </c>
      <c r="AC87" s="2075"/>
      <c r="AD87" s="2075"/>
      <c r="AE87" s="2075"/>
      <c r="AF87" s="2075"/>
      <c r="AG87" s="2075"/>
      <c r="AH87" s="2076"/>
      <c r="AI87" s="1190"/>
      <c r="AJ87" s="2116" t="s">
        <v>2736</v>
      </c>
      <c r="AK87" s="2043"/>
      <c r="AL87" s="2043"/>
      <c r="AM87" s="2043"/>
      <c r="AN87" s="2043"/>
      <c r="AO87" s="2043"/>
      <c r="AP87" s="2043"/>
      <c r="AQ87" s="2043"/>
      <c r="AR87" s="2043"/>
      <c r="AS87" s="2043"/>
      <c r="AT87" s="2043"/>
      <c r="AU87" s="2043"/>
      <c r="AV87" s="2043"/>
      <c r="AW87" s="2043"/>
      <c r="AX87" s="2043"/>
      <c r="AY87" s="2043"/>
      <c r="AZ87" s="2043"/>
      <c r="BA87" s="2043"/>
      <c r="BB87" s="2044"/>
      <c r="BC87" s="1190"/>
      <c r="BD87" s="1190"/>
      <c r="BE87" s="1194"/>
      <c r="CK87" s="1188"/>
      <c r="CL87" s="1188"/>
      <c r="CM87" s="1188"/>
      <c r="CN87" s="1188"/>
      <c r="CO87" s="1188"/>
      <c r="CP87" s="1188"/>
    </row>
    <row r="88" spans="1:94" ht="15.75" customHeight="1" thickBot="1">
      <c r="A88" s="1190"/>
      <c r="B88" s="2133" t="s">
        <v>2366</v>
      </c>
      <c r="C88" s="2134"/>
      <c r="D88" s="2134"/>
      <c r="E88" s="2134"/>
      <c r="F88" s="2134"/>
      <c r="G88" s="2134"/>
      <c r="H88" s="2134"/>
      <c r="I88" s="2069">
        <v>0</v>
      </c>
      <c r="J88" s="2069"/>
      <c r="K88" s="2069"/>
      <c r="L88" s="2069"/>
      <c r="M88" s="2069"/>
      <c r="N88" s="2069"/>
      <c r="O88" s="2069">
        <v>0</v>
      </c>
      <c r="P88" s="2069"/>
      <c r="Q88" s="2069"/>
      <c r="R88" s="2069"/>
      <c r="S88" s="2069"/>
      <c r="T88" s="2069"/>
      <c r="U88" s="2069"/>
      <c r="V88" s="2069">
        <v>0</v>
      </c>
      <c r="W88" s="2069"/>
      <c r="X88" s="2069"/>
      <c r="Y88" s="2069"/>
      <c r="Z88" s="2069"/>
      <c r="AA88" s="2069"/>
      <c r="AB88" s="2069">
        <v>0</v>
      </c>
      <c r="AC88" s="2069"/>
      <c r="AD88" s="2069"/>
      <c r="AE88" s="2069"/>
      <c r="AF88" s="2069"/>
      <c r="AG88" s="2069"/>
      <c r="AH88" s="2070"/>
      <c r="AI88" s="1190"/>
      <c r="AJ88" s="2045"/>
      <c r="AK88" s="2046"/>
      <c r="AL88" s="2046"/>
      <c r="AM88" s="2046"/>
      <c r="AN88" s="2046"/>
      <c r="AO88" s="2046"/>
      <c r="AP88" s="2046"/>
      <c r="AQ88" s="2046"/>
      <c r="AR88" s="2046"/>
      <c r="AS88" s="2046"/>
      <c r="AT88" s="2046"/>
      <c r="AU88" s="2046"/>
      <c r="AV88" s="2046"/>
      <c r="AW88" s="2046"/>
      <c r="AX88" s="2046"/>
      <c r="AY88" s="2046"/>
      <c r="AZ88" s="2046"/>
      <c r="BA88" s="2046"/>
      <c r="BB88" s="2047"/>
      <c r="BC88" s="1190"/>
      <c r="BD88" s="1190"/>
      <c r="BE88" s="1194"/>
      <c r="CK88" s="1188"/>
      <c r="CL88" s="1188"/>
      <c r="CM88" s="1188"/>
      <c r="CN88" s="1188"/>
      <c r="CO88" s="1188"/>
      <c r="CP88" s="1188"/>
    </row>
    <row r="89" spans="1:94" ht="15.75" customHeight="1">
      <c r="A89" s="1190"/>
      <c r="B89" s="1190"/>
      <c r="C89" s="1190"/>
      <c r="D89" s="1190"/>
      <c r="E89" s="1190"/>
      <c r="F89" s="1190"/>
      <c r="G89" s="1190"/>
      <c r="H89" s="1190"/>
      <c r="I89" s="1190"/>
      <c r="J89" s="1190"/>
      <c r="K89" s="1190"/>
      <c r="L89" s="1190"/>
      <c r="M89" s="1190"/>
      <c r="N89" s="1190"/>
      <c r="O89" s="1190"/>
      <c r="P89" s="1190"/>
      <c r="Q89" s="1190"/>
      <c r="R89" s="1190"/>
      <c r="S89" s="1190"/>
      <c r="T89" s="1190"/>
      <c r="U89" s="1190"/>
      <c r="V89" s="1190"/>
      <c r="W89" s="1190"/>
      <c r="X89" s="1190"/>
      <c r="Y89" s="1190"/>
      <c r="Z89" s="1190"/>
      <c r="AA89" s="1190"/>
      <c r="AB89" s="1190"/>
      <c r="AC89" s="1190"/>
      <c r="AD89" s="1190"/>
      <c r="AE89" s="1190"/>
      <c r="AF89" s="1190"/>
      <c r="AG89" s="1190"/>
      <c r="AH89" s="1190"/>
      <c r="AI89" s="1190"/>
      <c r="AJ89" s="1190"/>
      <c r="AK89" s="1190"/>
      <c r="AL89" s="1190"/>
      <c r="AM89" s="1190"/>
      <c r="AN89" s="1190"/>
      <c r="AO89" s="1190"/>
      <c r="AP89" s="1190"/>
      <c r="AQ89" s="1190"/>
      <c r="AR89" s="1190"/>
      <c r="AS89" s="1190"/>
      <c r="AT89" s="1190"/>
      <c r="AU89" s="1190"/>
      <c r="AV89" s="1190"/>
      <c r="AW89" s="1190"/>
      <c r="AX89" s="1190"/>
      <c r="AY89" s="1190"/>
      <c r="AZ89" s="1190"/>
      <c r="BA89" s="1190"/>
      <c r="BB89" s="1190"/>
      <c r="BC89" s="1190"/>
      <c r="BD89" s="1190"/>
      <c r="BE89" s="1194"/>
      <c r="CM89" s="1188"/>
      <c r="CN89" s="1188"/>
      <c r="CO89" s="1188"/>
      <c r="CP89" s="1188"/>
    </row>
    <row r="90" spans="1:94" ht="15.75" customHeight="1" thickBot="1">
      <c r="A90" s="1190"/>
      <c r="B90" s="1190"/>
      <c r="C90" s="1190"/>
      <c r="D90" s="1190"/>
      <c r="E90" s="1190"/>
      <c r="F90" s="1190"/>
      <c r="G90" s="1190"/>
      <c r="H90" s="1190"/>
      <c r="I90" s="1190"/>
      <c r="J90" s="1190"/>
      <c r="K90" s="1190"/>
      <c r="L90" s="1190"/>
      <c r="M90" s="1190"/>
      <c r="N90" s="1190"/>
      <c r="O90" s="1190"/>
      <c r="P90" s="1190"/>
      <c r="Q90" s="1190"/>
      <c r="R90" s="1190"/>
      <c r="S90" s="1190"/>
      <c r="T90" s="1190"/>
      <c r="U90" s="1190"/>
      <c r="V90" s="1190"/>
      <c r="W90" s="1190"/>
      <c r="X90" s="1190"/>
      <c r="Y90" s="1190"/>
      <c r="Z90" s="1190"/>
      <c r="AA90" s="1190"/>
      <c r="AB90" s="1190"/>
      <c r="AC90" s="1190"/>
      <c r="AD90" s="1190"/>
      <c r="AE90" s="1190"/>
      <c r="AF90" s="1190"/>
      <c r="AG90" s="1190"/>
      <c r="AH90" s="1190"/>
      <c r="AI90" s="1190"/>
      <c r="AJ90" s="1190"/>
      <c r="AK90" s="1190"/>
      <c r="AL90" s="1190"/>
      <c r="AM90" s="1190"/>
      <c r="AN90" s="1190"/>
      <c r="AO90" s="1190"/>
      <c r="AP90" s="1190"/>
      <c r="AQ90" s="1190"/>
      <c r="AR90" s="1190"/>
      <c r="AS90" s="1190"/>
      <c r="AT90" s="1190"/>
      <c r="AU90" s="1190"/>
      <c r="AV90" s="1190"/>
      <c r="AW90" s="1190"/>
      <c r="AX90" s="1190"/>
      <c r="AY90" s="1190"/>
      <c r="AZ90" s="1190"/>
      <c r="BA90" s="1190"/>
      <c r="BB90" s="1190"/>
      <c r="BC90" s="1190"/>
      <c r="BD90" s="1190"/>
      <c r="BE90" s="1194"/>
      <c r="CM90" s="1188"/>
      <c r="CN90" s="1188"/>
      <c r="CO90" s="1188"/>
      <c r="CP90" s="1188"/>
    </row>
    <row r="91" spans="1:94" ht="15.75" customHeight="1" thickBot="1">
      <c r="A91" s="1190"/>
      <c r="B91" s="1202" t="s">
        <v>2379</v>
      </c>
      <c r="C91" s="1208"/>
      <c r="D91" s="1209"/>
      <c r="E91" s="1210"/>
      <c r="F91" s="1210"/>
      <c r="G91" s="1210"/>
      <c r="H91" s="1210"/>
      <c r="I91" s="1210"/>
      <c r="J91" s="1210"/>
      <c r="K91" s="1210"/>
      <c r="L91" s="1210"/>
      <c r="M91" s="1210"/>
      <c r="N91" s="1210"/>
      <c r="O91" s="1210"/>
      <c r="P91" s="1210"/>
      <c r="Q91" s="1210"/>
      <c r="R91" s="1210"/>
      <c r="S91" s="1210"/>
      <c r="T91" s="1211"/>
      <c r="U91" s="1190"/>
      <c r="V91" s="1190"/>
      <c r="W91" s="1190"/>
      <c r="X91" s="1190"/>
      <c r="Y91" s="1190"/>
      <c r="Z91" s="1190"/>
      <c r="AA91" s="1190"/>
      <c r="AB91" s="1190"/>
      <c r="AC91" s="1190"/>
      <c r="AD91" s="1190"/>
      <c r="AE91" s="1190"/>
      <c r="AF91" s="1190"/>
      <c r="AG91" s="1190"/>
      <c r="AH91" s="1190"/>
      <c r="AI91" s="1190"/>
      <c r="AJ91" s="1190"/>
      <c r="AK91" s="1190"/>
      <c r="AL91" s="1190"/>
      <c r="AM91" s="1190"/>
      <c r="AN91" s="1190"/>
      <c r="AO91" s="1190"/>
      <c r="AP91" s="1190"/>
      <c r="AQ91" s="1190"/>
      <c r="AR91" s="1190"/>
      <c r="AS91" s="1190"/>
      <c r="AT91" s="1190"/>
      <c r="AU91" s="1190"/>
      <c r="AV91" s="1190"/>
      <c r="AW91" s="1190"/>
      <c r="AX91" s="1190"/>
      <c r="AY91" s="1190"/>
      <c r="AZ91" s="1190"/>
      <c r="BA91" s="1190"/>
      <c r="BB91" s="1190"/>
      <c r="BC91" s="1190"/>
      <c r="BD91" s="1190"/>
      <c r="BE91" s="1194"/>
      <c r="BQ91" s="1258"/>
      <c r="CM91" s="1188"/>
      <c r="CN91" s="1188"/>
      <c r="CO91" s="1188"/>
      <c r="CP91" s="1188"/>
    </row>
    <row r="92" spans="1:94" ht="15.75" customHeight="1">
      <c r="A92" s="1190"/>
      <c r="B92" s="1212" t="s">
        <v>2285</v>
      </c>
      <c r="C92" s="1212"/>
      <c r="D92" s="1213"/>
      <c r="E92" s="1214"/>
      <c r="F92" s="2145" t="s">
        <v>2734</v>
      </c>
      <c r="G92" s="2146"/>
      <c r="H92" s="2146"/>
      <c r="I92" s="2146"/>
      <c r="J92" s="2146"/>
      <c r="K92" s="2146"/>
      <c r="L92" s="2146"/>
      <c r="M92" s="2146"/>
      <c r="N92" s="2146"/>
      <c r="O92" s="2146"/>
      <c r="P92" s="2146"/>
      <c r="Q92" s="2146"/>
      <c r="R92" s="2146"/>
      <c r="S92" s="2146"/>
      <c r="T92" s="2147"/>
      <c r="U92" s="1190"/>
      <c r="V92" s="1190"/>
      <c r="W92" s="1190"/>
      <c r="X92" s="1190"/>
      <c r="Y92" s="1190"/>
      <c r="Z92" s="1190"/>
      <c r="AA92" s="1190"/>
      <c r="AB92" s="1190"/>
      <c r="AC92" s="1190"/>
      <c r="AD92" s="1190"/>
      <c r="AE92" s="1190"/>
      <c r="AF92" s="1190"/>
      <c r="AG92" s="1190"/>
      <c r="AH92" s="1190"/>
      <c r="AI92" s="1190"/>
      <c r="AJ92" s="1190"/>
      <c r="AK92" s="1190"/>
      <c r="AL92" s="1190"/>
      <c r="AM92" s="1190"/>
      <c r="AN92" s="1190"/>
      <c r="AO92" s="1190"/>
      <c r="AP92" s="1190"/>
      <c r="AQ92" s="1190"/>
      <c r="AR92" s="1190"/>
      <c r="AS92" s="1190"/>
      <c r="AT92" s="1190"/>
      <c r="AU92" s="1190"/>
      <c r="AV92" s="1190"/>
      <c r="AW92" s="1190"/>
      <c r="AX92" s="1190"/>
      <c r="AY92" s="1190"/>
      <c r="AZ92" s="1190"/>
      <c r="BA92" s="1190"/>
      <c r="BB92" s="1190"/>
      <c r="BC92" s="1190"/>
      <c r="BD92" s="1190"/>
      <c r="BE92" s="1194"/>
      <c r="CM92" s="1188"/>
      <c r="CN92" s="1188"/>
      <c r="CO92" s="1188"/>
      <c r="CP92" s="1188"/>
    </row>
    <row r="93" spans="1:94" ht="15.75" customHeight="1" thickBot="1">
      <c r="A93" s="1190"/>
      <c r="B93" s="2148" t="s">
        <v>2378</v>
      </c>
      <c r="C93" s="2149"/>
      <c r="D93" s="2149"/>
      <c r="E93" s="2149"/>
      <c r="F93" s="2149"/>
      <c r="G93" s="2149"/>
      <c r="H93" s="2149"/>
      <c r="I93" s="2149"/>
      <c r="J93" s="2149"/>
      <c r="K93" s="2149"/>
      <c r="L93" s="2149"/>
      <c r="M93" s="2149"/>
      <c r="N93" s="2149"/>
      <c r="O93" s="2149"/>
      <c r="P93" s="2149"/>
      <c r="Q93" s="2150"/>
      <c r="R93" s="2151">
        <f>IFERROR(INDEX(BR96:BR98,MATCH(F92,$BQ$96:$BQ$98,0))/SUM($BR$96:$BR$98),"")</f>
        <v>0.10000000000000002</v>
      </c>
      <c r="S93" s="2152"/>
      <c r="T93" s="2153"/>
      <c r="U93" s="1190"/>
      <c r="V93" s="1190"/>
      <c r="W93" s="1190"/>
      <c r="X93" s="1190"/>
      <c r="Y93" s="1190"/>
      <c r="Z93" s="1190"/>
      <c r="AA93" s="1190"/>
      <c r="AB93" s="1190"/>
      <c r="AC93" s="1190"/>
      <c r="AD93" s="1190"/>
      <c r="AE93" s="1190"/>
      <c r="AF93" s="1190"/>
      <c r="AG93" s="1190"/>
      <c r="AH93" s="1190"/>
      <c r="AI93" s="1190"/>
      <c r="AJ93" s="1190"/>
      <c r="AK93" s="1190"/>
      <c r="AL93" s="1190"/>
      <c r="AM93" s="1190"/>
      <c r="AN93" s="1190"/>
      <c r="AO93" s="1190"/>
      <c r="AP93" s="1190"/>
      <c r="AQ93" s="1190"/>
      <c r="AR93" s="1190"/>
      <c r="AS93" s="1190"/>
      <c r="AT93" s="1190"/>
      <c r="AU93" s="1190"/>
      <c r="AV93" s="1190"/>
      <c r="AW93" s="1190"/>
      <c r="AX93" s="1190"/>
      <c r="AY93" s="1190"/>
      <c r="AZ93" s="1190"/>
      <c r="BA93" s="1190"/>
      <c r="BB93" s="1190"/>
      <c r="BC93" s="1190"/>
      <c r="BD93" s="1190"/>
      <c r="BE93" s="1194"/>
      <c r="CM93" s="1188"/>
      <c r="CN93" s="1188"/>
      <c r="CO93" s="1188"/>
      <c r="CP93" s="1188"/>
    </row>
    <row r="94" spans="1:94" ht="15.75" customHeight="1" thickBot="1">
      <c r="A94" s="1190"/>
      <c r="B94" s="2154" t="s">
        <v>2377</v>
      </c>
      <c r="C94" s="2155"/>
      <c r="D94" s="2155"/>
      <c r="E94" s="2155"/>
      <c r="F94" s="2155"/>
      <c r="G94" s="2155"/>
      <c r="H94" s="2155"/>
      <c r="I94" s="2155"/>
      <c r="J94" s="2155"/>
      <c r="K94" s="2155"/>
      <c r="L94" s="2155"/>
      <c r="M94" s="2155"/>
      <c r="N94" s="2155"/>
      <c r="O94" s="2155"/>
      <c r="P94" s="2155"/>
      <c r="Q94" s="2156"/>
      <c r="R94" s="2136" t="s">
        <v>2189</v>
      </c>
      <c r="S94" s="2137"/>
      <c r="T94" s="2138"/>
      <c r="U94" s="1190"/>
      <c r="V94" s="1190"/>
      <c r="W94" s="1190"/>
      <c r="X94" s="1190"/>
      <c r="Y94" s="1190"/>
      <c r="Z94" s="1190"/>
      <c r="AA94" s="1190"/>
      <c r="AB94" s="1190"/>
      <c r="AC94" s="1190"/>
      <c r="AD94" s="1190"/>
      <c r="AE94" s="1190"/>
      <c r="AF94" s="1190"/>
      <c r="AG94" s="1190"/>
      <c r="AH94" s="1190"/>
      <c r="AI94" s="1190"/>
      <c r="AJ94" s="1190"/>
      <c r="AK94" s="1190"/>
      <c r="AL94" s="1190"/>
      <c r="AM94" s="1190"/>
      <c r="AN94" s="1190"/>
      <c r="AO94" s="1190"/>
      <c r="AP94" s="1190"/>
      <c r="AQ94" s="1190"/>
      <c r="AR94" s="1190"/>
      <c r="AS94" s="1190"/>
      <c r="AT94" s="1190"/>
      <c r="AU94" s="1190"/>
      <c r="AV94" s="1190"/>
      <c r="AW94" s="1190"/>
      <c r="AX94" s="1190"/>
      <c r="AY94" s="1190"/>
      <c r="AZ94" s="1190"/>
      <c r="BA94" s="1190"/>
      <c r="BB94" s="1190"/>
      <c r="BC94" s="1190"/>
      <c r="BD94" s="1190"/>
      <c r="BE94" s="1194"/>
      <c r="CM94" s="1188"/>
      <c r="CN94" s="1188"/>
      <c r="CO94" s="1188"/>
      <c r="CP94" s="1188"/>
    </row>
    <row r="95" spans="1:94" ht="15.75" customHeight="1" thickBot="1">
      <c r="A95" s="1190"/>
      <c r="B95" s="1190"/>
      <c r="C95" s="1190"/>
      <c r="D95" s="1190"/>
      <c r="E95" s="1190"/>
      <c r="F95" s="1190"/>
      <c r="G95" s="1190"/>
      <c r="H95" s="1190"/>
      <c r="I95" s="1190"/>
      <c r="J95" s="1190"/>
      <c r="K95" s="1190"/>
      <c r="L95" s="1190"/>
      <c r="M95" s="1190"/>
      <c r="N95" s="1190"/>
      <c r="O95" s="1190"/>
      <c r="P95" s="1190"/>
      <c r="Q95" s="1190"/>
      <c r="R95" s="1190"/>
      <c r="S95" s="1190"/>
      <c r="T95" s="1190"/>
      <c r="U95" s="1190"/>
      <c r="V95" s="1190"/>
      <c r="W95" s="1190"/>
      <c r="X95" s="1190"/>
      <c r="Y95" s="1190"/>
      <c r="Z95" s="1190"/>
      <c r="AA95" s="1190"/>
      <c r="AB95" s="1190"/>
      <c r="AC95" s="1190"/>
      <c r="AD95" s="1190"/>
      <c r="AE95" s="1190"/>
      <c r="AF95" s="1190"/>
      <c r="AG95" s="1190"/>
      <c r="AH95" s="1190"/>
      <c r="AI95" s="1190"/>
      <c r="AJ95" s="1190"/>
      <c r="AK95" s="1190"/>
      <c r="AL95" s="1190"/>
      <c r="AM95" s="1190"/>
      <c r="AN95" s="1190"/>
      <c r="AO95" s="1190"/>
      <c r="AP95" s="1190"/>
      <c r="AQ95" s="1190"/>
      <c r="AR95" s="1190"/>
      <c r="AS95" s="1190"/>
      <c r="AT95" s="1190"/>
      <c r="AU95" s="1190"/>
      <c r="AV95" s="1190"/>
      <c r="AW95" s="1190"/>
      <c r="AX95" s="1190"/>
      <c r="AY95" s="1190"/>
      <c r="AZ95" s="1190"/>
      <c r="BA95" s="1190"/>
      <c r="BB95" s="1190"/>
      <c r="BC95" s="1190"/>
      <c r="BD95" s="1190"/>
      <c r="BE95" s="1194"/>
      <c r="CM95" s="1188"/>
      <c r="CN95" s="1188"/>
      <c r="CO95" s="1188"/>
      <c r="CP95" s="1188"/>
    </row>
    <row r="96" spans="1:94" ht="15.75" customHeight="1">
      <c r="A96" s="1190"/>
      <c r="B96" s="2157" t="s">
        <v>2376</v>
      </c>
      <c r="C96" s="2158"/>
      <c r="D96" s="2158"/>
      <c r="E96" s="2158"/>
      <c r="F96" s="2158"/>
      <c r="G96" s="2158"/>
      <c r="H96" s="2158"/>
      <c r="I96" s="2158"/>
      <c r="J96" s="2158"/>
      <c r="K96" s="2158"/>
      <c r="L96" s="2158"/>
      <c r="M96" s="2158"/>
      <c r="N96" s="2158"/>
      <c r="O96" s="2158"/>
      <c r="P96" s="2158"/>
      <c r="Q96" s="2158"/>
      <c r="R96" s="2158"/>
      <c r="S96" s="2158"/>
      <c r="T96" s="2158"/>
      <c r="U96" s="2158"/>
      <c r="V96" s="2158"/>
      <c r="W96" s="2158"/>
      <c r="X96" s="2158"/>
      <c r="Y96" s="2158"/>
      <c r="Z96" s="2158"/>
      <c r="AA96" s="2158"/>
      <c r="AB96" s="2158"/>
      <c r="AC96" s="2158"/>
      <c r="AD96" s="2158"/>
      <c r="AE96" s="2158"/>
      <c r="AF96" s="2158"/>
      <c r="AG96" s="2158"/>
      <c r="AH96" s="2159"/>
      <c r="AI96" s="1190"/>
      <c r="AJ96" s="2124" t="s">
        <v>2375</v>
      </c>
      <c r="AK96" s="2125"/>
      <c r="AL96" s="2125"/>
      <c r="AM96" s="2125"/>
      <c r="AN96" s="2125"/>
      <c r="AO96" s="2125"/>
      <c r="AP96" s="2125"/>
      <c r="AQ96" s="2125"/>
      <c r="AR96" s="2125"/>
      <c r="AS96" s="2125"/>
      <c r="AT96" s="2125"/>
      <c r="AU96" s="2125"/>
      <c r="AV96" s="2125"/>
      <c r="AW96" s="2125"/>
      <c r="AX96" s="2125"/>
      <c r="AY96" s="2141" t="s">
        <v>545</v>
      </c>
      <c r="AZ96" s="2141"/>
      <c r="BA96" s="2141"/>
      <c r="BB96" s="2142"/>
      <c r="BC96" s="1190"/>
      <c r="BD96" s="1190"/>
      <c r="BE96" s="1194"/>
      <c r="BQ96" s="1256" t="str">
        <f>Application!M243&amp;IF(TRIM(Application!AA249)&lt;&gt;""," ("&amp;Application!AA249&amp;")","")</f>
        <v>AHA Ventura II MGP, LLC (Affordable Housing Access, Inc.)</v>
      </c>
      <c r="BR96" s="1259">
        <f>Application!AH246</f>
        <v>1E-3</v>
      </c>
      <c r="CM96" s="1188"/>
      <c r="CN96" s="1188"/>
      <c r="CO96" s="1188"/>
      <c r="CP96" s="1188"/>
    </row>
    <row r="97" spans="1:94" ht="15.75" customHeight="1">
      <c r="A97" s="1190"/>
      <c r="B97" s="2135"/>
      <c r="C97" s="2103"/>
      <c r="D97" s="2103"/>
      <c r="E97" s="2103"/>
      <c r="F97" s="2103"/>
      <c r="G97" s="2103"/>
      <c r="H97" s="2103"/>
      <c r="I97" s="2103" t="s">
        <v>2370</v>
      </c>
      <c r="J97" s="2103"/>
      <c r="K97" s="2103"/>
      <c r="L97" s="2103"/>
      <c r="M97" s="2103"/>
      <c r="N97" s="2103"/>
      <c r="O97" s="2103" t="s">
        <v>2347</v>
      </c>
      <c r="P97" s="2103"/>
      <c r="Q97" s="2103"/>
      <c r="R97" s="2103"/>
      <c r="S97" s="2103"/>
      <c r="T97" s="2103"/>
      <c r="U97" s="2103"/>
      <c r="V97" s="2139" t="s">
        <v>2346</v>
      </c>
      <c r="W97" s="2139"/>
      <c r="X97" s="2139"/>
      <c r="Y97" s="2139"/>
      <c r="Z97" s="2139"/>
      <c r="AA97" s="2139"/>
      <c r="AB97" s="2072" t="s">
        <v>2369</v>
      </c>
      <c r="AC97" s="2072"/>
      <c r="AD97" s="2072"/>
      <c r="AE97" s="2072"/>
      <c r="AF97" s="2072"/>
      <c r="AG97" s="2072"/>
      <c r="AH97" s="2140"/>
      <c r="AI97" s="1190"/>
      <c r="AJ97" s="2127"/>
      <c r="AK97" s="2128"/>
      <c r="AL97" s="2128"/>
      <c r="AM97" s="2128"/>
      <c r="AN97" s="2128"/>
      <c r="AO97" s="2128"/>
      <c r="AP97" s="2128"/>
      <c r="AQ97" s="2128"/>
      <c r="AR97" s="2128"/>
      <c r="AS97" s="2128"/>
      <c r="AT97" s="2128"/>
      <c r="AU97" s="2128"/>
      <c r="AV97" s="2128"/>
      <c r="AW97" s="2128"/>
      <c r="AX97" s="2128"/>
      <c r="AY97" s="2143"/>
      <c r="AZ97" s="2143"/>
      <c r="BA97" s="2143"/>
      <c r="BB97" s="2144"/>
      <c r="BC97" s="1190"/>
      <c r="BD97" s="1190"/>
      <c r="BE97" s="1194"/>
      <c r="BQ97" s="1256" t="str">
        <f>Application!M251&amp;IF(TRIM(Application!AA257)&lt;&gt;""," ("&amp;Application!AA257&amp;")","")</f>
        <v>Olivas Partners AGP, LLC (FLT Equity,LLC)</v>
      </c>
      <c r="BR97" s="1259">
        <f>Application!AH254</f>
        <v>8.9999999999999993E-3</v>
      </c>
      <c r="CM97" s="1188"/>
      <c r="CN97" s="1188"/>
      <c r="CO97" s="1188"/>
      <c r="CP97" s="1188"/>
    </row>
    <row r="98" spans="1:94" ht="15.75" customHeight="1">
      <c r="A98" s="1190"/>
      <c r="B98" s="2135"/>
      <c r="C98" s="2103"/>
      <c r="D98" s="2103"/>
      <c r="E98" s="2103"/>
      <c r="F98" s="2103"/>
      <c r="G98" s="2103"/>
      <c r="H98" s="2103"/>
      <c r="I98" s="2103"/>
      <c r="J98" s="2103"/>
      <c r="K98" s="2103"/>
      <c r="L98" s="2103"/>
      <c r="M98" s="2103"/>
      <c r="N98" s="2103"/>
      <c r="O98" s="2103"/>
      <c r="P98" s="2103"/>
      <c r="Q98" s="2103"/>
      <c r="R98" s="2103"/>
      <c r="S98" s="2103"/>
      <c r="T98" s="2103"/>
      <c r="U98" s="2103"/>
      <c r="V98" s="2139"/>
      <c r="W98" s="2139"/>
      <c r="X98" s="2139"/>
      <c r="Y98" s="2139"/>
      <c r="Z98" s="2139"/>
      <c r="AA98" s="2139"/>
      <c r="AB98" s="2072"/>
      <c r="AC98" s="2072"/>
      <c r="AD98" s="2072"/>
      <c r="AE98" s="2072"/>
      <c r="AF98" s="2072"/>
      <c r="AG98" s="2072"/>
      <c r="AH98" s="2140"/>
      <c r="AI98" s="1190"/>
      <c r="AJ98" s="2127"/>
      <c r="AK98" s="2128"/>
      <c r="AL98" s="2128"/>
      <c r="AM98" s="2128"/>
      <c r="AN98" s="2128"/>
      <c r="AO98" s="2128"/>
      <c r="AP98" s="2128"/>
      <c r="AQ98" s="2128"/>
      <c r="AR98" s="2128"/>
      <c r="AS98" s="2128"/>
      <c r="AT98" s="2128"/>
      <c r="AU98" s="2128"/>
      <c r="AV98" s="2128"/>
      <c r="AW98" s="2128"/>
      <c r="AX98" s="2128"/>
      <c r="AY98" s="2143"/>
      <c r="AZ98" s="2143"/>
      <c r="BA98" s="2143"/>
      <c r="BB98" s="2144"/>
      <c r="BC98" s="1190"/>
      <c r="BD98" s="1190"/>
      <c r="BE98" s="1194"/>
      <c r="BQ98" s="1256" t="str">
        <f>Application!M259&amp;IF(TRIM(Application!AA265)&lt;&gt;""," ("&amp;Application!AA265&amp;")","")</f>
        <v>N/A</v>
      </c>
      <c r="BR98" s="1259">
        <f>Application!AH262</f>
        <v>0</v>
      </c>
      <c r="CM98" s="1188"/>
      <c r="CN98" s="1188"/>
      <c r="CO98" s="1188"/>
      <c r="CP98" s="1188"/>
    </row>
    <row r="99" spans="1:94" ht="15.75" customHeight="1">
      <c r="A99" s="1190"/>
      <c r="B99" s="2135" t="s">
        <v>2368</v>
      </c>
      <c r="C99" s="2103"/>
      <c r="D99" s="2103"/>
      <c r="E99" s="2103"/>
      <c r="F99" s="2103"/>
      <c r="G99" s="2103"/>
      <c r="H99" s="2103"/>
      <c r="I99" s="2075">
        <v>1304</v>
      </c>
      <c r="J99" s="2075"/>
      <c r="K99" s="2075"/>
      <c r="L99" s="2075"/>
      <c r="M99" s="2075"/>
      <c r="N99" s="2075"/>
      <c r="O99" s="2075">
        <v>591</v>
      </c>
      <c r="P99" s="2075"/>
      <c r="Q99" s="2075"/>
      <c r="R99" s="2075"/>
      <c r="S99" s="2075"/>
      <c r="T99" s="2075"/>
      <c r="U99" s="2075"/>
      <c r="V99" s="2075">
        <v>853</v>
      </c>
      <c r="W99" s="2075"/>
      <c r="X99" s="2075"/>
      <c r="Y99" s="2075"/>
      <c r="Z99" s="2075"/>
      <c r="AA99" s="2075"/>
      <c r="AB99" s="2075">
        <v>768</v>
      </c>
      <c r="AC99" s="2075"/>
      <c r="AD99" s="2075"/>
      <c r="AE99" s="2075"/>
      <c r="AF99" s="2075"/>
      <c r="AG99" s="2075"/>
      <c r="AH99" s="2076"/>
      <c r="AI99" s="1190"/>
      <c r="AJ99" s="2127"/>
      <c r="AK99" s="2128"/>
      <c r="AL99" s="2128"/>
      <c r="AM99" s="2128"/>
      <c r="AN99" s="2128"/>
      <c r="AO99" s="2128"/>
      <c r="AP99" s="2128"/>
      <c r="AQ99" s="2128"/>
      <c r="AR99" s="2128"/>
      <c r="AS99" s="2128"/>
      <c r="AT99" s="2128"/>
      <c r="AU99" s="2128"/>
      <c r="AV99" s="2128"/>
      <c r="AW99" s="2128"/>
      <c r="AX99" s="2128"/>
      <c r="AY99" s="2143"/>
      <c r="AZ99" s="2143"/>
      <c r="BA99" s="2143"/>
      <c r="BB99" s="2144"/>
      <c r="BC99" s="1190"/>
      <c r="BD99" s="1190"/>
      <c r="BE99" s="1194"/>
      <c r="CM99" s="1188"/>
      <c r="CN99" s="1188"/>
      <c r="CO99" s="1188"/>
      <c r="CP99" s="1188"/>
    </row>
    <row r="100" spans="1:94" ht="15.75" customHeight="1">
      <c r="A100" s="1190"/>
      <c r="B100" s="2135" t="s">
        <v>2367</v>
      </c>
      <c r="C100" s="2103"/>
      <c r="D100" s="2103"/>
      <c r="E100" s="2103"/>
      <c r="F100" s="2103"/>
      <c r="G100" s="2103"/>
      <c r="H100" s="2103"/>
      <c r="I100" s="2075">
        <v>0</v>
      </c>
      <c r="J100" s="2075"/>
      <c r="K100" s="2075"/>
      <c r="L100" s="2075"/>
      <c r="M100" s="2075"/>
      <c r="N100" s="2075"/>
      <c r="O100" s="2075">
        <v>0</v>
      </c>
      <c r="P100" s="2075"/>
      <c r="Q100" s="2075"/>
      <c r="R100" s="2075"/>
      <c r="S100" s="2075"/>
      <c r="T100" s="2075"/>
      <c r="U100" s="2075"/>
      <c r="V100" s="2075">
        <v>0</v>
      </c>
      <c r="W100" s="2075"/>
      <c r="X100" s="2075"/>
      <c r="Y100" s="2075"/>
      <c r="Z100" s="2075"/>
      <c r="AA100" s="2075"/>
      <c r="AB100" s="2075">
        <v>0</v>
      </c>
      <c r="AC100" s="2075"/>
      <c r="AD100" s="2075"/>
      <c r="AE100" s="2075"/>
      <c r="AF100" s="2075"/>
      <c r="AG100" s="2075"/>
      <c r="AH100" s="2076"/>
      <c r="AI100" s="1190"/>
      <c r="AJ100" s="2042" t="s">
        <v>2374</v>
      </c>
      <c r="AK100" s="2043"/>
      <c r="AL100" s="2043"/>
      <c r="AM100" s="2043"/>
      <c r="AN100" s="2043"/>
      <c r="AO100" s="2043"/>
      <c r="AP100" s="2043"/>
      <c r="AQ100" s="2043"/>
      <c r="AR100" s="2043"/>
      <c r="AS100" s="2043"/>
      <c r="AT100" s="2043"/>
      <c r="AU100" s="2043"/>
      <c r="AV100" s="2043"/>
      <c r="AW100" s="2043"/>
      <c r="AX100" s="2043"/>
      <c r="AY100" s="2043"/>
      <c r="AZ100" s="2043"/>
      <c r="BA100" s="2043"/>
      <c r="BB100" s="2044"/>
      <c r="BC100" s="1190"/>
      <c r="BD100" s="1190"/>
      <c r="BE100" s="1194"/>
      <c r="CM100" s="1188"/>
      <c r="CN100" s="1188"/>
      <c r="CO100" s="1188"/>
      <c r="CP100" s="1188"/>
    </row>
    <row r="101" spans="1:94" ht="15.75" customHeight="1" thickBot="1">
      <c r="A101" s="1190"/>
      <c r="B101" s="2133" t="s">
        <v>2366</v>
      </c>
      <c r="C101" s="2134"/>
      <c r="D101" s="2134"/>
      <c r="E101" s="2134"/>
      <c r="F101" s="2134"/>
      <c r="G101" s="2134"/>
      <c r="H101" s="2134"/>
      <c r="I101" s="2069">
        <f>I99+I100</f>
        <v>1304</v>
      </c>
      <c r="J101" s="2069"/>
      <c r="K101" s="2069"/>
      <c r="L101" s="2069"/>
      <c r="M101" s="2069"/>
      <c r="N101" s="2069"/>
      <c r="O101" s="2069">
        <f>O99+O100</f>
        <v>591</v>
      </c>
      <c r="P101" s="2069"/>
      <c r="Q101" s="2069"/>
      <c r="R101" s="2069"/>
      <c r="S101" s="2069"/>
      <c r="T101" s="2069"/>
      <c r="U101" s="2069"/>
      <c r="V101" s="2069">
        <f>V99+V100</f>
        <v>853</v>
      </c>
      <c r="W101" s="2069"/>
      <c r="X101" s="2069"/>
      <c r="Y101" s="2069"/>
      <c r="Z101" s="2069"/>
      <c r="AA101" s="2069"/>
      <c r="AB101" s="2069">
        <f>AB99+AB100</f>
        <v>768</v>
      </c>
      <c r="AC101" s="2069"/>
      <c r="AD101" s="2069"/>
      <c r="AE101" s="2069"/>
      <c r="AF101" s="2069"/>
      <c r="AG101" s="2069"/>
      <c r="AH101" s="2070"/>
      <c r="AI101" s="1190"/>
      <c r="AJ101" s="2045"/>
      <c r="AK101" s="2046"/>
      <c r="AL101" s="2046"/>
      <c r="AM101" s="2046"/>
      <c r="AN101" s="2046"/>
      <c r="AO101" s="2046"/>
      <c r="AP101" s="2046"/>
      <c r="AQ101" s="2046"/>
      <c r="AR101" s="2046"/>
      <c r="AS101" s="2046"/>
      <c r="AT101" s="2046"/>
      <c r="AU101" s="2046"/>
      <c r="AV101" s="2046"/>
      <c r="AW101" s="2046"/>
      <c r="AX101" s="2046"/>
      <c r="AY101" s="2046"/>
      <c r="AZ101" s="2046"/>
      <c r="BA101" s="2046"/>
      <c r="BB101" s="2047"/>
      <c r="BC101" s="1190"/>
      <c r="BD101" s="1190"/>
      <c r="BE101" s="1194"/>
      <c r="BQ101" s="1256" t="str">
        <f>Application!AA335</f>
        <v>VPM Management</v>
      </c>
      <c r="CM101" s="1188"/>
      <c r="CN101" s="1188"/>
      <c r="CO101" s="1188"/>
      <c r="CP101" s="1188"/>
    </row>
    <row r="102" spans="1:94" ht="15.75" customHeight="1" thickBot="1">
      <c r="A102" s="1190"/>
      <c r="B102" s="1190"/>
      <c r="C102" s="1190"/>
      <c r="D102" s="1190"/>
      <c r="E102" s="1190"/>
      <c r="F102" s="1190"/>
      <c r="G102" s="1190"/>
      <c r="H102" s="1190"/>
      <c r="I102" s="1190"/>
      <c r="J102" s="1190"/>
      <c r="K102" s="1190"/>
      <c r="L102" s="1190"/>
      <c r="M102" s="1190"/>
      <c r="N102" s="1190"/>
      <c r="O102" s="1190"/>
      <c r="P102" s="1190"/>
      <c r="Q102" s="1190"/>
      <c r="R102" s="1190"/>
      <c r="S102" s="1190"/>
      <c r="T102" s="1190"/>
      <c r="U102" s="1190"/>
      <c r="V102" s="1190"/>
      <c r="W102" s="1190"/>
      <c r="X102" s="1190"/>
      <c r="Y102" s="1190"/>
      <c r="Z102" s="1190"/>
      <c r="AA102" s="1190"/>
      <c r="AB102" s="1190"/>
      <c r="AC102" s="1190"/>
      <c r="AD102" s="1190"/>
      <c r="AE102" s="1190"/>
      <c r="AF102" s="1190"/>
      <c r="AG102" s="1190"/>
      <c r="AH102" s="1190"/>
      <c r="AI102" s="1190"/>
      <c r="AJ102" s="1190"/>
      <c r="AK102" s="1190"/>
      <c r="AL102" s="1190"/>
      <c r="AM102" s="1190"/>
      <c r="AN102" s="1190"/>
      <c r="AO102" s="1190"/>
      <c r="AP102" s="1190"/>
      <c r="AQ102" s="1190"/>
      <c r="AR102" s="1190"/>
      <c r="AS102" s="1190"/>
      <c r="AT102" s="1190"/>
      <c r="AU102" s="1190"/>
      <c r="AV102" s="1190"/>
      <c r="AW102" s="1190"/>
      <c r="AX102" s="1190"/>
      <c r="AY102" s="1190"/>
      <c r="AZ102" s="1190"/>
      <c r="BA102" s="1190"/>
      <c r="BB102" s="1190"/>
      <c r="BC102" s="1190"/>
      <c r="BD102" s="1190"/>
      <c r="BE102" s="1194"/>
      <c r="BQ102" s="1256" t="str">
        <f>Application!P343</f>
        <v>N/A</v>
      </c>
      <c r="CM102" s="1188"/>
      <c r="CN102" s="1188"/>
      <c r="CO102" s="1188"/>
      <c r="CP102" s="1188"/>
    </row>
    <row r="103" spans="1:94" ht="15.75" customHeight="1" thickBot="1">
      <c r="A103" s="1190"/>
      <c r="B103" s="1209" t="s">
        <v>2373</v>
      </c>
      <c r="C103" s="1203"/>
      <c r="D103" s="1204"/>
      <c r="E103" s="1204"/>
      <c r="F103" s="1215"/>
      <c r="G103" s="1215"/>
      <c r="H103" s="1215"/>
      <c r="I103" s="1215"/>
      <c r="J103" s="1215"/>
      <c r="K103" s="1215"/>
      <c r="L103" s="1215"/>
      <c r="M103" s="1215"/>
      <c r="N103" s="1215"/>
      <c r="O103" s="1216"/>
      <c r="P103" s="1215"/>
      <c r="Q103" s="1215"/>
      <c r="R103" s="1216"/>
      <c r="S103" s="1190" t="s">
        <v>249</v>
      </c>
      <c r="T103" s="1190"/>
      <c r="U103" s="1190"/>
      <c r="V103" s="1190"/>
      <c r="W103" s="1190"/>
      <c r="X103" s="1190"/>
      <c r="Y103" s="1190"/>
      <c r="Z103" s="1190"/>
      <c r="AA103" s="1190"/>
      <c r="AB103" s="1190"/>
      <c r="AC103" s="1190"/>
      <c r="AD103" s="1190"/>
      <c r="AE103" s="1190"/>
      <c r="AF103" s="1190"/>
      <c r="AG103" s="1190"/>
      <c r="AH103" s="1190"/>
      <c r="AI103" s="1190"/>
      <c r="AJ103" s="1190"/>
      <c r="AK103" s="1190"/>
      <c r="AL103" s="1190"/>
      <c r="AM103" s="1190"/>
      <c r="AN103" s="1190"/>
      <c r="AO103" s="1190"/>
      <c r="AP103" s="1190"/>
      <c r="AQ103" s="1190"/>
      <c r="AR103" s="1190"/>
      <c r="AS103" s="1190"/>
      <c r="AT103" s="1190"/>
      <c r="AU103" s="1190"/>
      <c r="AV103" s="1190"/>
      <c r="AW103" s="1190"/>
      <c r="AX103" s="1190"/>
      <c r="AY103" s="1190"/>
      <c r="AZ103" s="1190"/>
      <c r="BA103" s="1190"/>
      <c r="BB103" s="1190"/>
      <c r="BC103" s="1190"/>
      <c r="BD103" s="1190"/>
      <c r="BE103" s="1194"/>
      <c r="CM103" s="1188"/>
      <c r="CN103" s="1188"/>
      <c r="CO103" s="1188"/>
      <c r="CP103" s="1188"/>
    </row>
    <row r="104" spans="1:94" ht="15.75" customHeight="1">
      <c r="A104" s="1190"/>
      <c r="B104" s="1212" t="s">
        <v>2285</v>
      </c>
      <c r="C104" s="1212"/>
      <c r="D104" s="1217"/>
      <c r="E104" s="1218"/>
      <c r="F104" s="2097"/>
      <c r="G104" s="2098"/>
      <c r="H104" s="2098"/>
      <c r="I104" s="2098"/>
      <c r="J104" s="2098"/>
      <c r="K104" s="2098"/>
      <c r="L104" s="2098"/>
      <c r="M104" s="2098"/>
      <c r="N104" s="2098"/>
      <c r="O104" s="2098"/>
      <c r="P104" s="2098"/>
      <c r="Q104" s="2098"/>
      <c r="R104" s="2099"/>
      <c r="S104" s="1190"/>
      <c r="T104" s="1190"/>
      <c r="U104" s="1190"/>
      <c r="V104" s="1190"/>
      <c r="W104" s="1190"/>
      <c r="X104" s="1190"/>
      <c r="Y104" s="1190"/>
      <c r="Z104" s="1190"/>
      <c r="AA104" s="1190"/>
      <c r="AB104" s="1190"/>
      <c r="AC104" s="1190"/>
      <c r="AD104" s="1190"/>
      <c r="AE104" s="1190"/>
      <c r="AF104" s="1190"/>
      <c r="AG104" s="1190"/>
      <c r="AH104" s="1190"/>
      <c r="AI104" s="1190"/>
      <c r="AJ104" s="1190"/>
      <c r="AK104" s="1190"/>
      <c r="AL104" s="1190"/>
      <c r="AM104" s="1190"/>
      <c r="AN104" s="1190"/>
      <c r="AO104" s="1190"/>
      <c r="AP104" s="1190"/>
      <c r="AQ104" s="1190"/>
      <c r="AR104" s="1190"/>
      <c r="AS104" s="1190"/>
      <c r="AT104" s="1190"/>
      <c r="AU104" s="1190"/>
      <c r="AV104" s="1190"/>
      <c r="AW104" s="1190"/>
      <c r="AX104" s="1190"/>
      <c r="AY104" s="1190"/>
      <c r="AZ104" s="1190"/>
      <c r="BA104" s="1190"/>
      <c r="BB104" s="1190"/>
      <c r="BC104" s="1190"/>
      <c r="BD104" s="1190"/>
      <c r="BE104" s="1194"/>
      <c r="CM104" s="1188"/>
      <c r="CN104" s="1188"/>
      <c r="CO104" s="1188"/>
      <c r="CP104" s="1188"/>
    </row>
    <row r="105" spans="1:94" ht="15.75" customHeight="1" thickBot="1">
      <c r="A105" s="1190"/>
      <c r="B105" s="1219" t="s">
        <v>2372</v>
      </c>
      <c r="C105" s="1220"/>
      <c r="D105" s="1221"/>
      <c r="E105" s="1221"/>
      <c r="F105" s="1221"/>
      <c r="G105" s="1221"/>
      <c r="H105" s="1221"/>
      <c r="I105" s="1221"/>
      <c r="J105" s="1221"/>
      <c r="K105" s="1221"/>
      <c r="L105" s="1222"/>
      <c r="M105" s="1221"/>
      <c r="N105" s="1222"/>
      <c r="O105" s="2136" t="str">
        <f>IFERROR(INDEX(BR96:BR98,MATCH(F104,$BQ$96:$BQ$98,0))/SUM($BR$96:$BR$98),"")</f>
        <v/>
      </c>
      <c r="P105" s="2137"/>
      <c r="Q105" s="2137"/>
      <c r="R105" s="2138"/>
      <c r="S105" s="1190"/>
      <c r="T105" s="1190"/>
      <c r="U105" s="1190"/>
      <c r="V105" s="1190"/>
      <c r="W105" s="1190"/>
      <c r="X105" s="1190"/>
      <c r="Y105" s="1190"/>
      <c r="Z105" s="1190"/>
      <c r="AA105" s="1190"/>
      <c r="AB105" s="1190"/>
      <c r="AC105" s="1190"/>
      <c r="AD105" s="1190"/>
      <c r="AE105" s="1190"/>
      <c r="AF105" s="1190"/>
      <c r="AG105" s="1190"/>
      <c r="AH105" s="1190"/>
      <c r="AI105" s="1190"/>
      <c r="AJ105" s="1190"/>
      <c r="AK105" s="1190"/>
      <c r="AL105" s="1190"/>
      <c r="AM105" s="1190"/>
      <c r="AN105" s="1190"/>
      <c r="AO105" s="1190"/>
      <c r="AP105" s="1190"/>
      <c r="AQ105" s="1190"/>
      <c r="AR105" s="1190"/>
      <c r="AS105" s="1190"/>
      <c r="AT105" s="1190"/>
      <c r="AU105" s="1190"/>
      <c r="AV105" s="1190"/>
      <c r="AW105" s="1190"/>
      <c r="AX105" s="1190"/>
      <c r="AY105" s="1190"/>
      <c r="AZ105" s="1190"/>
      <c r="BA105" s="1190"/>
      <c r="BB105" s="1190"/>
      <c r="BC105" s="1190"/>
      <c r="BD105" s="1190"/>
      <c r="BE105" s="1194"/>
      <c r="CM105" s="1188"/>
      <c r="CN105" s="1188"/>
      <c r="CO105" s="1188"/>
      <c r="CP105" s="1188"/>
    </row>
    <row r="106" spans="1:94" ht="15.75" customHeight="1" thickBot="1">
      <c r="A106" s="1190"/>
      <c r="B106" s="1190"/>
      <c r="C106" s="1190"/>
      <c r="D106" s="1190"/>
      <c r="E106" s="1190"/>
      <c r="F106" s="1190"/>
      <c r="G106" s="1190"/>
      <c r="H106" s="1190"/>
      <c r="I106" s="1190"/>
      <c r="J106" s="1190"/>
      <c r="K106" s="1190"/>
      <c r="L106" s="1190"/>
      <c r="M106" s="1190"/>
      <c r="N106" s="1190"/>
      <c r="O106" s="1190"/>
      <c r="P106" s="1223"/>
      <c r="Q106" s="1190"/>
      <c r="R106" s="1190"/>
      <c r="S106" s="1190"/>
      <c r="T106" s="1190"/>
      <c r="U106" s="1190"/>
      <c r="V106" s="1190"/>
      <c r="W106" s="1190"/>
      <c r="X106" s="1190"/>
      <c r="Y106" s="1190"/>
      <c r="Z106" s="1190"/>
      <c r="AA106" s="1190"/>
      <c r="AB106" s="1190"/>
      <c r="AC106" s="1190"/>
      <c r="AD106" s="1190"/>
      <c r="AE106" s="1190"/>
      <c r="AF106" s="1190"/>
      <c r="AG106" s="1190"/>
      <c r="AH106" s="1190"/>
      <c r="AI106" s="1190"/>
      <c r="AJ106" s="1190"/>
      <c r="AK106" s="1190"/>
      <c r="AL106" s="1190"/>
      <c r="AM106" s="1190"/>
      <c r="AN106" s="1190"/>
      <c r="AO106" s="1190"/>
      <c r="AP106" s="1190"/>
      <c r="AQ106" s="1190"/>
      <c r="AR106" s="1190"/>
      <c r="AS106" s="1190"/>
      <c r="AT106" s="1190"/>
      <c r="AU106" s="1190"/>
      <c r="AV106" s="1190"/>
      <c r="AW106" s="1190"/>
      <c r="AX106" s="1190"/>
      <c r="AY106" s="1190"/>
      <c r="AZ106" s="1190"/>
      <c r="BA106" s="1190"/>
      <c r="BB106" s="1190"/>
      <c r="BC106" s="1190"/>
      <c r="BD106" s="1190"/>
      <c r="BE106" s="1194"/>
      <c r="CM106" s="1188"/>
      <c r="CN106" s="1188"/>
      <c r="CO106" s="1188"/>
      <c r="CP106" s="1188"/>
    </row>
    <row r="107" spans="1:94" ht="15.75" customHeight="1">
      <c r="A107" s="1190"/>
      <c r="B107" s="2025" t="s">
        <v>2371</v>
      </c>
      <c r="C107" s="2026"/>
      <c r="D107" s="2026"/>
      <c r="E107" s="2026"/>
      <c r="F107" s="2026"/>
      <c r="G107" s="2026"/>
      <c r="H107" s="2026"/>
      <c r="I107" s="2026"/>
      <c r="J107" s="2026"/>
      <c r="K107" s="2026"/>
      <c r="L107" s="2026"/>
      <c r="M107" s="2026"/>
      <c r="N107" s="2026"/>
      <c r="O107" s="2026"/>
      <c r="P107" s="2026"/>
      <c r="Q107" s="2026"/>
      <c r="R107" s="2026"/>
      <c r="S107" s="2026"/>
      <c r="T107" s="2026"/>
      <c r="U107" s="2026"/>
      <c r="V107" s="2026"/>
      <c r="W107" s="2026"/>
      <c r="X107" s="2026"/>
      <c r="Y107" s="2026"/>
      <c r="Z107" s="2026"/>
      <c r="AA107" s="2026"/>
      <c r="AB107" s="2026"/>
      <c r="AC107" s="2026"/>
      <c r="AD107" s="2026"/>
      <c r="AE107" s="2026"/>
      <c r="AF107" s="2026"/>
      <c r="AG107" s="2026"/>
      <c r="AH107" s="2035"/>
      <c r="AI107" s="1190"/>
      <c r="AJ107" s="1190"/>
      <c r="AK107" s="1190"/>
      <c r="AL107" s="1190"/>
      <c r="AM107" s="1190"/>
      <c r="AN107" s="1190"/>
      <c r="AO107" s="1190"/>
      <c r="AP107" s="1190"/>
      <c r="AQ107" s="1190"/>
      <c r="AR107" s="1190"/>
      <c r="AS107" s="1190"/>
      <c r="AT107" s="1190"/>
      <c r="AU107" s="1190"/>
      <c r="AV107" s="1190"/>
      <c r="AW107" s="1190"/>
      <c r="AX107" s="1190"/>
      <c r="AY107" s="1190"/>
      <c r="AZ107" s="1190"/>
      <c r="BA107" s="1190"/>
      <c r="BB107" s="1190"/>
      <c r="BC107" s="1190"/>
      <c r="BD107" s="1190"/>
      <c r="BE107" s="1194"/>
      <c r="CM107" s="1188"/>
      <c r="CN107" s="1188"/>
      <c r="CO107" s="1188"/>
      <c r="CP107" s="1188"/>
    </row>
    <row r="108" spans="1:94" ht="16.5" customHeight="1">
      <c r="A108" s="1190"/>
      <c r="B108" s="2135"/>
      <c r="C108" s="2103"/>
      <c r="D108" s="2103"/>
      <c r="E108" s="2103"/>
      <c r="F108" s="2103"/>
      <c r="G108" s="2103"/>
      <c r="H108" s="2103"/>
      <c r="I108" s="2103" t="s">
        <v>2370</v>
      </c>
      <c r="J108" s="2103"/>
      <c r="K108" s="2103"/>
      <c r="L108" s="2103"/>
      <c r="M108" s="2103"/>
      <c r="N108" s="2103"/>
      <c r="O108" s="2103" t="s">
        <v>2347</v>
      </c>
      <c r="P108" s="2103"/>
      <c r="Q108" s="2103"/>
      <c r="R108" s="2103"/>
      <c r="S108" s="2103"/>
      <c r="T108" s="2103"/>
      <c r="U108" s="2103"/>
      <c r="V108" s="2139" t="s">
        <v>2346</v>
      </c>
      <c r="W108" s="2139"/>
      <c r="X108" s="2139"/>
      <c r="Y108" s="2139"/>
      <c r="Z108" s="2139"/>
      <c r="AA108" s="2139"/>
      <c r="AB108" s="2072" t="s">
        <v>2369</v>
      </c>
      <c r="AC108" s="2072"/>
      <c r="AD108" s="2072"/>
      <c r="AE108" s="2072"/>
      <c r="AF108" s="2072"/>
      <c r="AG108" s="2072"/>
      <c r="AH108" s="2140"/>
      <c r="AI108" s="1190"/>
      <c r="AJ108" s="1190"/>
      <c r="AK108" s="1190"/>
      <c r="AL108" s="1190"/>
      <c r="AM108" s="1190"/>
      <c r="AN108" s="1190"/>
      <c r="AO108" s="1190"/>
      <c r="AP108" s="1190"/>
      <c r="AQ108" s="1190"/>
      <c r="AR108" s="1190"/>
      <c r="AS108" s="1190"/>
      <c r="AT108" s="1190"/>
      <c r="AU108" s="1190"/>
      <c r="AV108" s="1190"/>
      <c r="AW108" s="1190"/>
      <c r="AX108" s="1190"/>
      <c r="AY108" s="1190"/>
      <c r="AZ108" s="1190"/>
      <c r="BA108" s="1190"/>
      <c r="BB108" s="1190"/>
      <c r="BC108" s="1190"/>
      <c r="BD108" s="1190"/>
      <c r="BE108" s="1194"/>
      <c r="CM108" s="1188"/>
      <c r="CN108" s="1188"/>
      <c r="CO108" s="1188"/>
      <c r="CP108" s="1188"/>
    </row>
    <row r="109" spans="1:94" ht="16.5" customHeight="1">
      <c r="A109" s="1190"/>
      <c r="B109" s="2135"/>
      <c r="C109" s="2103"/>
      <c r="D109" s="2103"/>
      <c r="E109" s="2103"/>
      <c r="F109" s="2103"/>
      <c r="G109" s="2103"/>
      <c r="H109" s="2103"/>
      <c r="I109" s="2103"/>
      <c r="J109" s="2103"/>
      <c r="K109" s="2103"/>
      <c r="L109" s="2103"/>
      <c r="M109" s="2103"/>
      <c r="N109" s="2103"/>
      <c r="O109" s="2103"/>
      <c r="P109" s="2103"/>
      <c r="Q109" s="2103"/>
      <c r="R109" s="2103"/>
      <c r="S109" s="2103"/>
      <c r="T109" s="2103"/>
      <c r="U109" s="2103"/>
      <c r="V109" s="2139"/>
      <c r="W109" s="2139"/>
      <c r="X109" s="2139"/>
      <c r="Y109" s="2139"/>
      <c r="Z109" s="2139"/>
      <c r="AA109" s="2139"/>
      <c r="AB109" s="2072"/>
      <c r="AC109" s="2072"/>
      <c r="AD109" s="2072"/>
      <c r="AE109" s="2072"/>
      <c r="AF109" s="2072"/>
      <c r="AG109" s="2072"/>
      <c r="AH109" s="2140"/>
      <c r="AI109" s="1190"/>
      <c r="AJ109" s="1190"/>
      <c r="AK109" s="1190"/>
      <c r="AL109" s="1190"/>
      <c r="AM109" s="1190"/>
      <c r="AN109" s="1190"/>
      <c r="AO109" s="1190"/>
      <c r="AP109" s="1190"/>
      <c r="AQ109" s="1190"/>
      <c r="AR109" s="1190"/>
      <c r="AS109" s="1190"/>
      <c r="AT109" s="1190"/>
      <c r="AU109" s="1190"/>
      <c r="AV109" s="1190"/>
      <c r="AW109" s="1190"/>
      <c r="AX109" s="1190"/>
      <c r="AY109" s="1190"/>
      <c r="AZ109" s="1190"/>
      <c r="BA109" s="1190"/>
      <c r="BB109" s="1190"/>
      <c r="BC109" s="1190"/>
      <c r="BD109" s="1190"/>
      <c r="BE109" s="1194"/>
      <c r="CM109" s="1188"/>
      <c r="CN109" s="1188"/>
      <c r="CO109" s="1188"/>
      <c r="CP109" s="1188"/>
    </row>
    <row r="110" spans="1:94" ht="15.75" customHeight="1">
      <c r="A110" s="1190"/>
      <c r="B110" s="2135" t="s">
        <v>2368</v>
      </c>
      <c r="C110" s="2103"/>
      <c r="D110" s="2103"/>
      <c r="E110" s="2103"/>
      <c r="F110" s="2103"/>
      <c r="G110" s="2103"/>
      <c r="H110" s="2103"/>
      <c r="I110" s="2075">
        <v>0</v>
      </c>
      <c r="J110" s="2075"/>
      <c r="K110" s="2075"/>
      <c r="L110" s="2075"/>
      <c r="M110" s="2075"/>
      <c r="N110" s="2075"/>
      <c r="O110" s="2075">
        <v>0</v>
      </c>
      <c r="P110" s="2075"/>
      <c r="Q110" s="2075"/>
      <c r="R110" s="2075"/>
      <c r="S110" s="2075"/>
      <c r="T110" s="2075"/>
      <c r="U110" s="2075"/>
      <c r="V110" s="2075">
        <v>0</v>
      </c>
      <c r="W110" s="2075"/>
      <c r="X110" s="2075"/>
      <c r="Y110" s="2075"/>
      <c r="Z110" s="2075"/>
      <c r="AA110" s="2075"/>
      <c r="AB110" s="2075">
        <v>0</v>
      </c>
      <c r="AC110" s="2075"/>
      <c r="AD110" s="2075"/>
      <c r="AE110" s="2075"/>
      <c r="AF110" s="2075"/>
      <c r="AG110" s="2075"/>
      <c r="AH110" s="2076"/>
      <c r="AI110" s="1190"/>
      <c r="AJ110" s="1190"/>
      <c r="AK110" s="1190"/>
      <c r="AL110" s="1190"/>
      <c r="AM110" s="1190"/>
      <c r="AN110" s="1190"/>
      <c r="AO110" s="1190"/>
      <c r="AP110" s="1190"/>
      <c r="AQ110" s="1190"/>
      <c r="AR110" s="1190"/>
      <c r="AS110" s="1190"/>
      <c r="AT110" s="1190"/>
      <c r="AU110" s="1190"/>
      <c r="AV110" s="1190"/>
      <c r="AW110" s="1190"/>
      <c r="AX110" s="1190"/>
      <c r="AY110" s="1190"/>
      <c r="AZ110" s="1190"/>
      <c r="BA110" s="1190"/>
      <c r="BB110" s="1190"/>
      <c r="BC110" s="1190"/>
      <c r="BD110" s="1190"/>
      <c r="BE110" s="1194"/>
      <c r="CM110" s="1188"/>
      <c r="CN110" s="1188"/>
      <c r="CO110" s="1188"/>
      <c r="CP110" s="1188"/>
    </row>
    <row r="111" spans="1:94" ht="15.75" customHeight="1">
      <c r="A111" s="1190"/>
      <c r="B111" s="2135" t="s">
        <v>2367</v>
      </c>
      <c r="C111" s="2103"/>
      <c r="D111" s="2103"/>
      <c r="E111" s="2103"/>
      <c r="F111" s="2103"/>
      <c r="G111" s="2103"/>
      <c r="H111" s="2103"/>
      <c r="I111" s="2075">
        <v>0</v>
      </c>
      <c r="J111" s="2075"/>
      <c r="K111" s="2075"/>
      <c r="L111" s="2075"/>
      <c r="M111" s="2075"/>
      <c r="N111" s="2075"/>
      <c r="O111" s="2075">
        <v>0</v>
      </c>
      <c r="P111" s="2075"/>
      <c r="Q111" s="2075"/>
      <c r="R111" s="2075"/>
      <c r="S111" s="2075"/>
      <c r="T111" s="2075"/>
      <c r="U111" s="2075"/>
      <c r="V111" s="2075">
        <v>0</v>
      </c>
      <c r="W111" s="2075"/>
      <c r="X111" s="2075"/>
      <c r="Y111" s="2075"/>
      <c r="Z111" s="2075"/>
      <c r="AA111" s="2075"/>
      <c r="AB111" s="2075">
        <v>0</v>
      </c>
      <c r="AC111" s="2075"/>
      <c r="AD111" s="2075"/>
      <c r="AE111" s="2075"/>
      <c r="AF111" s="2075"/>
      <c r="AG111" s="2075"/>
      <c r="AH111" s="2076"/>
      <c r="AI111" s="1190"/>
      <c r="AJ111" s="1190"/>
      <c r="AK111" s="1190"/>
      <c r="AL111" s="1190"/>
      <c r="AM111" s="1190"/>
      <c r="AN111" s="1190"/>
      <c r="AO111" s="1190"/>
      <c r="AP111" s="1190"/>
      <c r="AQ111" s="1190"/>
      <c r="AR111" s="1190"/>
      <c r="AS111" s="1190"/>
      <c r="AT111" s="1190"/>
      <c r="AU111" s="1190"/>
      <c r="AV111" s="1190"/>
      <c r="AW111" s="1190"/>
      <c r="AX111" s="1190"/>
      <c r="AY111" s="1190"/>
      <c r="AZ111" s="1190"/>
      <c r="BA111" s="1190"/>
      <c r="BB111" s="1190"/>
      <c r="BC111" s="1190"/>
      <c r="BD111" s="1190"/>
      <c r="BE111" s="1194"/>
      <c r="CM111" s="1188"/>
      <c r="CN111" s="1188"/>
      <c r="CO111" s="1188"/>
      <c r="CP111" s="1188"/>
    </row>
    <row r="112" spans="1:94" ht="15.75" customHeight="1" thickBot="1">
      <c r="A112" s="1190"/>
      <c r="B112" s="2133" t="s">
        <v>2366</v>
      </c>
      <c r="C112" s="2134"/>
      <c r="D112" s="2134"/>
      <c r="E112" s="2134"/>
      <c r="F112" s="2134"/>
      <c r="G112" s="2134"/>
      <c r="H112" s="2134"/>
      <c r="I112" s="2069">
        <v>0</v>
      </c>
      <c r="J112" s="2069"/>
      <c r="K112" s="2069"/>
      <c r="L112" s="2069"/>
      <c r="M112" s="2069"/>
      <c r="N112" s="2069"/>
      <c r="O112" s="2069">
        <v>0</v>
      </c>
      <c r="P112" s="2069"/>
      <c r="Q112" s="2069"/>
      <c r="R112" s="2069"/>
      <c r="S112" s="2069"/>
      <c r="T112" s="2069"/>
      <c r="U112" s="2069"/>
      <c r="V112" s="2069">
        <v>0</v>
      </c>
      <c r="W112" s="2069"/>
      <c r="X112" s="2069"/>
      <c r="Y112" s="2069"/>
      <c r="Z112" s="2069"/>
      <c r="AA112" s="2069"/>
      <c r="AB112" s="2069">
        <v>0</v>
      </c>
      <c r="AC112" s="2069"/>
      <c r="AD112" s="2069"/>
      <c r="AE112" s="2069"/>
      <c r="AF112" s="2069"/>
      <c r="AG112" s="2069"/>
      <c r="AH112" s="2070"/>
      <c r="AI112" s="1190"/>
      <c r="AJ112" s="1190"/>
      <c r="AK112" s="1190"/>
      <c r="AL112" s="1190"/>
      <c r="AM112" s="1190"/>
      <c r="AN112" s="1190"/>
      <c r="AO112" s="1190"/>
      <c r="AP112" s="1190"/>
      <c r="AQ112" s="1190"/>
      <c r="AR112" s="1190"/>
      <c r="AS112" s="1190"/>
      <c r="AT112" s="1190"/>
      <c r="AU112" s="1190"/>
      <c r="AV112" s="1190"/>
      <c r="AW112" s="1190"/>
      <c r="AX112" s="1190"/>
      <c r="AY112" s="1190"/>
      <c r="AZ112" s="1190"/>
      <c r="BA112" s="1190"/>
      <c r="BB112" s="1190"/>
      <c r="BC112" s="1190"/>
      <c r="BD112" s="1190"/>
      <c r="BE112" s="1194"/>
      <c r="CM112" s="1188"/>
      <c r="CN112" s="1188"/>
      <c r="CO112" s="1188"/>
      <c r="CP112" s="1188"/>
    </row>
    <row r="113" spans="1:57" ht="15.75" customHeight="1" thickBot="1">
      <c r="A113" s="1190"/>
      <c r="B113" s="1190"/>
      <c r="C113" s="1190"/>
      <c r="D113" s="1190"/>
      <c r="E113" s="1190"/>
      <c r="F113" s="1190"/>
      <c r="G113" s="1190"/>
      <c r="H113" s="1190"/>
      <c r="I113" s="1190"/>
      <c r="J113" s="1190"/>
      <c r="K113" s="1190"/>
      <c r="L113" s="1190"/>
      <c r="M113" s="1190"/>
      <c r="N113" s="1190"/>
      <c r="O113" s="1190"/>
      <c r="P113" s="1190"/>
      <c r="Q113" s="1190"/>
      <c r="R113" s="1190"/>
      <c r="S113" s="1190"/>
      <c r="T113" s="1190"/>
      <c r="U113" s="1190" t="s">
        <v>249</v>
      </c>
      <c r="V113" s="1190"/>
      <c r="W113" s="1190"/>
      <c r="X113" s="1190"/>
      <c r="Y113" s="1190"/>
      <c r="Z113" s="1190"/>
      <c r="AA113" s="1190"/>
      <c r="AB113" s="1190"/>
      <c r="AC113" s="1190"/>
      <c r="AD113" s="1190"/>
      <c r="AE113" s="1190"/>
      <c r="AF113" s="1190"/>
      <c r="AG113" s="1190"/>
      <c r="AH113" s="1190"/>
      <c r="AI113" s="1190"/>
      <c r="AJ113" s="1190"/>
      <c r="AK113" s="1190"/>
      <c r="AL113" s="1190"/>
      <c r="AM113" s="1190"/>
      <c r="AN113" s="1190"/>
      <c r="AO113" s="1190"/>
      <c r="AP113" s="1190"/>
      <c r="AQ113" s="1190"/>
      <c r="AR113" s="1190"/>
      <c r="AS113" s="1190"/>
      <c r="AT113" s="1190"/>
      <c r="AU113" s="1190"/>
      <c r="AV113" s="1190"/>
      <c r="AW113" s="1190"/>
      <c r="AX113" s="1190"/>
      <c r="AY113" s="1190"/>
      <c r="AZ113" s="1190"/>
      <c r="BA113" s="1190"/>
      <c r="BB113" s="1190"/>
      <c r="BC113" s="1190"/>
      <c r="BD113" s="1190"/>
      <c r="BE113" s="1194"/>
    </row>
    <row r="114" spans="1:57" ht="15.75" customHeight="1" thickBot="1">
      <c r="A114" s="1190"/>
      <c r="B114" s="1202" t="s">
        <v>2365</v>
      </c>
      <c r="C114" s="1208"/>
      <c r="D114" s="1208"/>
      <c r="E114" s="1208"/>
      <c r="F114" s="1208"/>
      <c r="G114" s="1208"/>
      <c r="H114" s="1208"/>
      <c r="I114" s="1208"/>
      <c r="J114" s="1208"/>
      <c r="K114" s="1208"/>
      <c r="L114" s="1208"/>
      <c r="M114" s="1208"/>
      <c r="N114" s="1208"/>
      <c r="O114" s="1208"/>
      <c r="P114" s="1208"/>
      <c r="Q114" s="1208"/>
      <c r="R114" s="1224"/>
      <c r="S114" s="1190"/>
      <c r="T114" s="1190"/>
      <c r="U114" s="1190"/>
      <c r="V114" s="1190"/>
      <c r="W114" s="1190"/>
      <c r="X114" s="1190"/>
      <c r="Y114" s="1190"/>
      <c r="Z114" s="1190"/>
      <c r="AA114" s="1190"/>
      <c r="AB114" s="1190"/>
      <c r="AC114" s="1190"/>
      <c r="AD114" s="1190"/>
      <c r="AE114" s="1190"/>
      <c r="AF114" s="1190"/>
      <c r="AG114" s="1190"/>
      <c r="AH114" s="1190"/>
      <c r="AI114" s="1190"/>
      <c r="AJ114" s="1190"/>
      <c r="AK114" s="1190"/>
      <c r="AL114" s="1190"/>
      <c r="AM114" s="1190"/>
      <c r="AN114" s="1190"/>
      <c r="AO114" s="1190"/>
      <c r="AP114" s="1190"/>
      <c r="AQ114" s="1190"/>
      <c r="AR114" s="1190"/>
      <c r="AS114" s="1190"/>
      <c r="AT114" s="1190"/>
      <c r="AU114" s="1190"/>
      <c r="AV114" s="1190"/>
      <c r="AW114" s="1190"/>
      <c r="AX114" s="1190"/>
      <c r="AY114" s="1190"/>
      <c r="AZ114" s="1190"/>
      <c r="BA114" s="1190"/>
      <c r="BB114" s="1190"/>
      <c r="BC114" s="1190"/>
      <c r="BD114" s="1190"/>
      <c r="BE114" s="1194"/>
    </row>
    <row r="115" spans="1:57" ht="15.75" customHeight="1">
      <c r="A115" s="1190"/>
      <c r="B115" s="1212" t="s">
        <v>2285</v>
      </c>
      <c r="C115" s="1212"/>
      <c r="D115" s="1217"/>
      <c r="E115" s="1218"/>
      <c r="F115" s="2097" t="s">
        <v>2692</v>
      </c>
      <c r="G115" s="2098"/>
      <c r="H115" s="2098"/>
      <c r="I115" s="2098"/>
      <c r="J115" s="2098"/>
      <c r="K115" s="2098"/>
      <c r="L115" s="2098"/>
      <c r="M115" s="2098"/>
      <c r="N115" s="2098"/>
      <c r="O115" s="2098"/>
      <c r="P115" s="2098"/>
      <c r="Q115" s="2098"/>
      <c r="R115" s="2099"/>
      <c r="S115" s="1190"/>
      <c r="T115" s="1190"/>
      <c r="U115" s="1190"/>
      <c r="V115" s="1190"/>
      <c r="W115" s="1190"/>
      <c r="X115" s="1190"/>
      <c r="Y115" s="1190"/>
      <c r="Z115" s="1190"/>
      <c r="AA115" s="1190"/>
      <c r="AB115" s="1190"/>
      <c r="AC115" s="1190"/>
      <c r="AD115" s="1190"/>
      <c r="AE115" s="1190"/>
      <c r="AF115" s="1190"/>
      <c r="AG115" s="1190"/>
      <c r="AH115" s="1190"/>
      <c r="AI115" s="1190"/>
      <c r="AJ115" s="1190"/>
      <c r="AK115" s="1190"/>
      <c r="AL115" s="1190"/>
      <c r="AM115" s="1190"/>
      <c r="AN115" s="1190"/>
      <c r="AO115" s="1190"/>
      <c r="AP115" s="1190"/>
      <c r="AQ115" s="1190"/>
      <c r="AR115" s="1190"/>
      <c r="AS115" s="1190"/>
      <c r="AT115" s="1190"/>
      <c r="AU115" s="1190"/>
      <c r="AV115" s="1190"/>
      <c r="AW115" s="1190"/>
      <c r="AX115" s="1190"/>
      <c r="AY115" s="1190"/>
      <c r="AZ115" s="1190"/>
      <c r="BA115" s="1190"/>
      <c r="BB115" s="1190"/>
      <c r="BC115" s="1190"/>
      <c r="BD115" s="1190"/>
      <c r="BE115" s="1194"/>
    </row>
    <row r="116" spans="1:57" ht="15.75" customHeight="1" thickBot="1">
      <c r="A116" s="1190"/>
      <c r="B116" s="1190"/>
      <c r="C116" s="1190"/>
      <c r="D116" s="1190"/>
      <c r="E116" s="1190"/>
      <c r="F116" s="1190"/>
      <c r="G116" s="1190"/>
      <c r="H116" s="1190"/>
      <c r="I116" s="1190"/>
      <c r="J116" s="1190"/>
      <c r="K116" s="1190"/>
      <c r="L116" s="1190"/>
      <c r="M116" s="1190"/>
      <c r="N116" s="1190"/>
      <c r="O116" s="1190"/>
      <c r="P116" s="1190"/>
      <c r="Q116" s="1190"/>
      <c r="R116" s="1190"/>
      <c r="S116" s="1190"/>
      <c r="T116" s="1190"/>
      <c r="U116" s="1190"/>
      <c r="V116" s="1190"/>
      <c r="W116" s="1190"/>
      <c r="X116" s="1190"/>
      <c r="Y116" s="1190"/>
      <c r="Z116" s="1190"/>
      <c r="AA116" s="1190"/>
      <c r="AB116" s="1190"/>
      <c r="AC116" s="1190"/>
      <c r="AD116" s="1190"/>
      <c r="AE116" s="1190"/>
      <c r="AF116" s="1190"/>
      <c r="AG116" s="1190"/>
      <c r="AH116" s="1190"/>
      <c r="AI116" s="1190"/>
      <c r="AJ116" s="1190"/>
      <c r="AK116" s="1190"/>
      <c r="AL116" s="1190"/>
      <c r="AM116" s="1190"/>
      <c r="AN116" s="1190"/>
      <c r="AO116" s="1190"/>
      <c r="AP116" s="1190"/>
      <c r="AQ116" s="1190"/>
      <c r="AR116" s="1190"/>
      <c r="AS116" s="1190"/>
      <c r="AT116" s="1190"/>
      <c r="AU116" s="1190"/>
      <c r="AV116" s="1190"/>
      <c r="AW116" s="1190"/>
      <c r="AX116" s="1190"/>
      <c r="AY116" s="1190"/>
      <c r="AZ116" s="1190"/>
      <c r="BA116" s="1190"/>
      <c r="BB116" s="1190"/>
      <c r="BC116" s="1190"/>
      <c r="BD116" s="1190"/>
      <c r="BE116" s="1194"/>
    </row>
    <row r="117" spans="1:57" ht="15.75" customHeight="1">
      <c r="A117" s="1190"/>
      <c r="B117" s="2108" t="s">
        <v>2364</v>
      </c>
      <c r="C117" s="2109"/>
      <c r="D117" s="2109"/>
      <c r="E117" s="2109"/>
      <c r="F117" s="2109"/>
      <c r="G117" s="2109"/>
      <c r="H117" s="2109"/>
      <c r="I117" s="2109"/>
      <c r="J117" s="2109"/>
      <c r="K117" s="2109"/>
      <c r="L117" s="2109"/>
      <c r="M117" s="2109"/>
      <c r="N117" s="2109"/>
      <c r="O117" s="2109"/>
      <c r="P117" s="2109"/>
      <c r="Q117" s="2109"/>
      <c r="R117" s="2109"/>
      <c r="S117" s="2109"/>
      <c r="T117" s="2109"/>
      <c r="U117" s="2112" t="s">
        <v>545</v>
      </c>
      <c r="V117" s="2112"/>
      <c r="W117" s="2112"/>
      <c r="X117" s="2113"/>
      <c r="Y117" s="1190"/>
      <c r="Z117" s="1190"/>
      <c r="AA117" s="1190"/>
      <c r="AB117" s="1190"/>
      <c r="AC117" s="1190"/>
      <c r="AD117" s="1190"/>
      <c r="AE117" s="1190"/>
      <c r="AF117" s="1190"/>
      <c r="AG117" s="1190"/>
      <c r="AH117" s="1190"/>
      <c r="AI117" s="1190"/>
      <c r="AJ117" s="1190"/>
      <c r="AK117" s="1190"/>
      <c r="AL117" s="1190"/>
      <c r="AM117" s="1190"/>
      <c r="AN117" s="1190"/>
      <c r="AO117" s="1190"/>
      <c r="AP117" s="1190"/>
      <c r="AQ117" s="1190"/>
      <c r="AR117" s="1190"/>
      <c r="AS117" s="1190"/>
      <c r="AT117" s="1190"/>
      <c r="AU117" s="1190"/>
      <c r="AV117" s="1190"/>
      <c r="AW117" s="1190"/>
      <c r="AX117" s="1190"/>
      <c r="AY117" s="1190"/>
      <c r="AZ117" s="1190"/>
      <c r="BA117" s="1190"/>
      <c r="BB117" s="1190"/>
      <c r="BC117" s="1190"/>
      <c r="BD117" s="1190"/>
      <c r="BE117" s="1194"/>
    </row>
    <row r="118" spans="1:57" ht="15.75" customHeight="1">
      <c r="A118" s="1190"/>
      <c r="B118" s="2110"/>
      <c r="C118" s="2111"/>
      <c r="D118" s="2111"/>
      <c r="E118" s="2111"/>
      <c r="F118" s="2111"/>
      <c r="G118" s="2111"/>
      <c r="H118" s="2111"/>
      <c r="I118" s="2111"/>
      <c r="J118" s="2111"/>
      <c r="K118" s="2111"/>
      <c r="L118" s="2111"/>
      <c r="M118" s="2111"/>
      <c r="N118" s="2111"/>
      <c r="O118" s="2111"/>
      <c r="P118" s="2111"/>
      <c r="Q118" s="2111"/>
      <c r="R118" s="2111"/>
      <c r="S118" s="2111"/>
      <c r="T118" s="2111"/>
      <c r="U118" s="2114"/>
      <c r="V118" s="2114"/>
      <c r="W118" s="2114"/>
      <c r="X118" s="2115"/>
      <c r="Y118" s="1190"/>
      <c r="Z118" s="1190"/>
      <c r="AA118" s="1190"/>
      <c r="AB118" s="1190"/>
      <c r="AC118" s="1190"/>
      <c r="AD118" s="1190"/>
      <c r="AE118" s="1190"/>
      <c r="AF118" s="1190"/>
      <c r="AG118" s="1190"/>
      <c r="AH118" s="1190"/>
      <c r="AI118" s="1190"/>
      <c r="AJ118" s="1190"/>
      <c r="AK118" s="1190"/>
      <c r="AL118" s="1190"/>
      <c r="AM118" s="1190"/>
      <c r="AN118" s="1190"/>
      <c r="AO118" s="1190"/>
      <c r="AP118" s="1190"/>
      <c r="AQ118" s="1190"/>
      <c r="AR118" s="1190"/>
      <c r="AS118" s="1190"/>
      <c r="AT118" s="1190"/>
      <c r="AU118" s="1190"/>
      <c r="AV118" s="1190"/>
      <c r="AW118" s="1190"/>
      <c r="AX118" s="1190"/>
      <c r="AY118" s="1190"/>
      <c r="AZ118" s="1190"/>
      <c r="BA118" s="1190"/>
      <c r="BB118" s="1190"/>
      <c r="BC118" s="1190"/>
      <c r="BD118" s="1190"/>
      <c r="BE118" s="1194"/>
    </row>
    <row r="119" spans="1:57" ht="15.75" customHeight="1">
      <c r="A119" s="1190"/>
      <c r="B119" s="2110"/>
      <c r="C119" s="2111"/>
      <c r="D119" s="2111"/>
      <c r="E119" s="2111"/>
      <c r="F119" s="2111"/>
      <c r="G119" s="2111"/>
      <c r="H119" s="2111"/>
      <c r="I119" s="2111"/>
      <c r="J119" s="2111"/>
      <c r="K119" s="2111"/>
      <c r="L119" s="2111"/>
      <c r="M119" s="2111"/>
      <c r="N119" s="2111"/>
      <c r="O119" s="2111"/>
      <c r="P119" s="2111"/>
      <c r="Q119" s="2111"/>
      <c r="R119" s="2111"/>
      <c r="S119" s="2111"/>
      <c r="T119" s="2111"/>
      <c r="U119" s="2114"/>
      <c r="V119" s="2114"/>
      <c r="W119" s="2114"/>
      <c r="X119" s="2115"/>
      <c r="Y119" s="1190"/>
      <c r="Z119" s="1190"/>
      <c r="AA119" s="1190"/>
      <c r="AB119" s="1190"/>
      <c r="AC119" s="1190"/>
      <c r="AD119" s="1190"/>
      <c r="AE119" s="1190"/>
      <c r="AF119" s="1190"/>
      <c r="AG119" s="1190"/>
      <c r="AH119" s="1190"/>
      <c r="AI119" s="1190"/>
      <c r="AJ119" s="1190"/>
      <c r="AK119" s="1190"/>
      <c r="AL119" s="1190"/>
      <c r="AM119" s="1190"/>
      <c r="AN119" s="1190"/>
      <c r="AO119" s="1190"/>
      <c r="AP119" s="1190"/>
      <c r="AQ119" s="1190"/>
      <c r="AR119" s="1190"/>
      <c r="AS119" s="1190"/>
      <c r="AT119" s="1190"/>
      <c r="AU119" s="1190"/>
      <c r="AV119" s="1190"/>
      <c r="AW119" s="1190"/>
      <c r="AX119" s="1190"/>
      <c r="AY119" s="1190"/>
      <c r="AZ119" s="1190"/>
      <c r="BA119" s="1190"/>
      <c r="BB119" s="1190"/>
      <c r="BC119" s="1190"/>
      <c r="BD119" s="1190"/>
      <c r="BE119" s="1194"/>
    </row>
    <row r="120" spans="1:57" ht="15.75" customHeight="1">
      <c r="A120" s="1190"/>
      <c r="B120" s="2110"/>
      <c r="C120" s="2111"/>
      <c r="D120" s="2111"/>
      <c r="E120" s="2111"/>
      <c r="F120" s="2111"/>
      <c r="G120" s="2111"/>
      <c r="H120" s="2111"/>
      <c r="I120" s="2111"/>
      <c r="J120" s="2111"/>
      <c r="K120" s="2111"/>
      <c r="L120" s="2111"/>
      <c r="M120" s="2111"/>
      <c r="N120" s="2111"/>
      <c r="O120" s="2111"/>
      <c r="P120" s="2111"/>
      <c r="Q120" s="2111"/>
      <c r="R120" s="2111"/>
      <c r="S120" s="2111"/>
      <c r="T120" s="2111"/>
      <c r="U120" s="2114"/>
      <c r="V120" s="2114"/>
      <c r="W120" s="2114"/>
      <c r="X120" s="2115"/>
      <c r="Y120" s="1190"/>
      <c r="Z120" s="1190"/>
      <c r="AA120" s="1190"/>
      <c r="AB120" s="1190"/>
      <c r="AC120" s="1190"/>
      <c r="AD120" s="1190"/>
      <c r="AE120" s="1190"/>
      <c r="AF120" s="1190"/>
      <c r="AG120" s="1190"/>
      <c r="AH120" s="1190"/>
      <c r="AI120" s="1190"/>
      <c r="AJ120" s="1190"/>
      <c r="AK120" s="1190"/>
      <c r="AL120" s="1190"/>
      <c r="AM120" s="1190"/>
      <c r="AN120" s="1190"/>
      <c r="AO120" s="1190"/>
      <c r="AP120" s="1190"/>
      <c r="AQ120" s="1190"/>
      <c r="AR120" s="1190"/>
      <c r="AS120" s="1190"/>
      <c r="AT120" s="1190"/>
      <c r="AU120" s="1190"/>
      <c r="AV120" s="1190"/>
      <c r="AW120" s="1190"/>
      <c r="AX120" s="1190"/>
      <c r="AY120" s="1190"/>
      <c r="AZ120" s="1190"/>
      <c r="BA120" s="1190"/>
      <c r="BB120" s="1190"/>
      <c r="BC120" s="1190"/>
      <c r="BD120" s="1190"/>
      <c r="BE120" s="1194"/>
    </row>
    <row r="121" spans="1:57" ht="15.75" customHeight="1">
      <c r="A121" s="1190"/>
      <c r="B121" s="2116" t="s">
        <v>2364</v>
      </c>
      <c r="C121" s="2117"/>
      <c r="D121" s="2117"/>
      <c r="E121" s="2117"/>
      <c r="F121" s="2117"/>
      <c r="G121" s="2117"/>
      <c r="H121" s="2117"/>
      <c r="I121" s="2117"/>
      <c r="J121" s="2117"/>
      <c r="K121" s="2117"/>
      <c r="L121" s="2117"/>
      <c r="M121" s="2117"/>
      <c r="N121" s="2117"/>
      <c r="O121" s="2117"/>
      <c r="P121" s="2117"/>
      <c r="Q121" s="2117"/>
      <c r="R121" s="2117"/>
      <c r="S121" s="2117"/>
      <c r="T121" s="2117"/>
      <c r="U121" s="2120" t="s">
        <v>545</v>
      </c>
      <c r="V121" s="2120"/>
      <c r="W121" s="2120"/>
      <c r="X121" s="2121"/>
      <c r="Y121" s="1190"/>
      <c r="Z121" s="1190"/>
      <c r="AA121" s="1190"/>
      <c r="AB121" s="1190"/>
      <c r="AC121" s="1190"/>
      <c r="AD121" s="1190"/>
      <c r="AE121" s="1190"/>
      <c r="AF121" s="1190"/>
      <c r="AG121" s="1190"/>
      <c r="AH121" s="1190"/>
      <c r="AI121" s="1190"/>
      <c r="AJ121" s="1190"/>
      <c r="AK121" s="1190"/>
      <c r="AL121" s="1190"/>
      <c r="AM121" s="1190"/>
      <c r="AN121" s="1190"/>
      <c r="AO121" s="1190"/>
      <c r="AP121" s="1190"/>
      <c r="AQ121" s="1190"/>
      <c r="AR121" s="1190"/>
      <c r="AS121" s="1190"/>
      <c r="AT121" s="1190"/>
      <c r="AU121" s="1190"/>
      <c r="AV121" s="1190"/>
      <c r="AW121" s="1190"/>
      <c r="AX121" s="1190"/>
      <c r="AY121" s="1190"/>
      <c r="AZ121" s="1190"/>
      <c r="BA121" s="1190"/>
      <c r="BB121" s="1190"/>
      <c r="BC121" s="1190"/>
      <c r="BD121" s="1190"/>
      <c r="BE121" s="1194"/>
    </row>
    <row r="122" spans="1:57" ht="15.75" customHeight="1" thickBot="1">
      <c r="A122" s="1190"/>
      <c r="B122" s="2118"/>
      <c r="C122" s="2119"/>
      <c r="D122" s="2119"/>
      <c r="E122" s="2119"/>
      <c r="F122" s="2119"/>
      <c r="G122" s="2119"/>
      <c r="H122" s="2119"/>
      <c r="I122" s="2119"/>
      <c r="J122" s="2119"/>
      <c r="K122" s="2119"/>
      <c r="L122" s="2119"/>
      <c r="M122" s="2119"/>
      <c r="N122" s="2119"/>
      <c r="O122" s="2119"/>
      <c r="P122" s="2119"/>
      <c r="Q122" s="2119"/>
      <c r="R122" s="2119"/>
      <c r="S122" s="2119"/>
      <c r="T122" s="2119"/>
      <c r="U122" s="2122"/>
      <c r="V122" s="2122"/>
      <c r="W122" s="2122"/>
      <c r="X122" s="2123"/>
      <c r="Y122" s="1190"/>
      <c r="Z122" s="1190"/>
      <c r="AA122" s="1190"/>
      <c r="AB122" s="1190"/>
      <c r="AC122" s="1190"/>
      <c r="AD122" s="1190"/>
      <c r="AE122" s="1190"/>
      <c r="AF122" s="1190"/>
      <c r="AG122" s="1190"/>
      <c r="AH122" s="1190"/>
      <c r="AI122" s="1190"/>
      <c r="AJ122" s="1190"/>
      <c r="AK122" s="1190"/>
      <c r="AL122" s="1190"/>
      <c r="AM122" s="1190"/>
      <c r="AN122" s="1190"/>
      <c r="AO122" s="1190"/>
      <c r="AP122" s="1190"/>
      <c r="AQ122" s="1190"/>
      <c r="AR122" s="1190"/>
      <c r="AS122" s="1190"/>
      <c r="AT122" s="1190"/>
      <c r="AU122" s="1190"/>
      <c r="AV122" s="1190"/>
      <c r="AW122" s="1190"/>
      <c r="AX122" s="1190"/>
      <c r="AY122" s="1190"/>
      <c r="AZ122" s="1190"/>
      <c r="BA122" s="1190"/>
      <c r="BB122" s="1190"/>
      <c r="BC122" s="1190"/>
      <c r="BD122" s="1190"/>
      <c r="BE122" s="1194"/>
    </row>
    <row r="123" spans="1:57" ht="15.75" customHeight="1" thickBot="1">
      <c r="A123" s="1190"/>
      <c r="B123" s="1190"/>
      <c r="C123" s="1190"/>
      <c r="D123" s="1190"/>
      <c r="E123" s="1190"/>
      <c r="F123" s="1190"/>
      <c r="G123" s="1190"/>
      <c r="H123" s="1190"/>
      <c r="I123" s="1190"/>
      <c r="J123" s="1190"/>
      <c r="K123" s="1190"/>
      <c r="L123" s="1190"/>
      <c r="M123" s="1190"/>
      <c r="N123" s="1190"/>
      <c r="O123" s="1190"/>
      <c r="P123" s="1190"/>
      <c r="Q123" s="1190"/>
      <c r="R123" s="1190"/>
      <c r="S123" s="1190"/>
      <c r="T123" s="1190"/>
      <c r="U123" s="1190"/>
      <c r="V123" s="1190"/>
      <c r="W123" s="1190"/>
      <c r="X123" s="1190"/>
      <c r="Y123" s="1190"/>
      <c r="Z123" s="1190"/>
      <c r="AA123" s="1190"/>
      <c r="AB123" s="1190"/>
      <c r="AC123" s="1190"/>
      <c r="AD123" s="1190"/>
      <c r="AE123" s="1190"/>
      <c r="AF123" s="1190"/>
      <c r="AG123" s="1190"/>
      <c r="AH123" s="1190"/>
      <c r="AI123" s="1190"/>
      <c r="AJ123" s="1190"/>
      <c r="AK123" s="1190"/>
      <c r="AL123" s="1190"/>
      <c r="AM123" s="1190"/>
      <c r="AN123" s="1190"/>
      <c r="AO123" s="1190"/>
      <c r="AP123" s="1190"/>
      <c r="AQ123" s="1190"/>
      <c r="AR123" s="1190"/>
      <c r="AS123" s="1190"/>
      <c r="AT123" s="1190"/>
      <c r="AU123" s="1190"/>
      <c r="AV123" s="1190"/>
      <c r="AW123" s="1190"/>
      <c r="AX123" s="1190"/>
      <c r="AY123" s="1190"/>
      <c r="AZ123" s="1190"/>
      <c r="BA123" s="1190"/>
      <c r="BB123" s="1190"/>
      <c r="BC123" s="1190"/>
      <c r="BD123" s="1190"/>
      <c r="BE123" s="1194"/>
    </row>
    <row r="124" spans="1:57" ht="15.75" customHeight="1" thickBot="1">
      <c r="A124" s="1190"/>
      <c r="B124" s="1209" t="s">
        <v>2363</v>
      </c>
      <c r="C124" s="1204"/>
      <c r="D124" s="1204"/>
      <c r="E124" s="1204"/>
      <c r="F124" s="1204"/>
      <c r="G124" s="1204"/>
      <c r="H124" s="1204"/>
      <c r="I124" s="1204"/>
      <c r="J124" s="1204"/>
      <c r="K124" s="1204"/>
      <c r="L124" s="1204"/>
      <c r="M124" s="1204"/>
      <c r="N124" s="1204"/>
      <c r="O124" s="1204"/>
      <c r="P124" s="1204"/>
      <c r="Q124" s="1204"/>
      <c r="R124" s="1205"/>
      <c r="S124" s="1190"/>
      <c r="T124" s="1190"/>
      <c r="U124" s="1190"/>
      <c r="V124" s="1190"/>
      <c r="W124" s="1190"/>
      <c r="X124" s="1190"/>
      <c r="Y124" s="1190"/>
      <c r="Z124" s="1190"/>
      <c r="AA124" s="1190"/>
      <c r="AB124" s="1190"/>
      <c r="AC124" s="1190"/>
      <c r="AD124" s="1190"/>
      <c r="AE124" s="1190"/>
      <c r="AF124" s="1190"/>
      <c r="AG124" s="1190"/>
      <c r="AH124" s="1190"/>
      <c r="AI124" s="1190"/>
      <c r="AJ124" s="1190"/>
      <c r="AK124" s="1190"/>
      <c r="AL124" s="1190"/>
      <c r="AM124" s="1190"/>
      <c r="AN124" s="1190"/>
      <c r="AO124" s="1190"/>
      <c r="AP124" s="1190"/>
      <c r="AQ124" s="1190"/>
      <c r="AR124" s="1190"/>
      <c r="AS124" s="1190"/>
      <c r="AT124" s="1190"/>
      <c r="AU124" s="1190"/>
      <c r="AV124" s="1190"/>
      <c r="AW124" s="1190"/>
      <c r="AX124" s="1190"/>
      <c r="AY124" s="1190"/>
      <c r="AZ124" s="1190"/>
      <c r="BA124" s="1190"/>
      <c r="BB124" s="1190"/>
      <c r="BC124" s="1190"/>
      <c r="BD124" s="1190"/>
      <c r="BE124" s="1194"/>
    </row>
    <row r="125" spans="1:57" ht="15.75" customHeight="1" thickBot="1">
      <c r="A125" s="1190"/>
      <c r="B125" s="1190"/>
      <c r="C125" s="1190"/>
      <c r="D125" s="1190"/>
      <c r="E125" s="1190"/>
      <c r="F125" s="1190"/>
      <c r="G125" s="1190"/>
      <c r="H125" s="1190"/>
      <c r="I125" s="1190"/>
      <c r="J125" s="1190"/>
      <c r="K125" s="1190"/>
      <c r="L125" s="1190"/>
      <c r="M125" s="1190"/>
      <c r="N125" s="1190"/>
      <c r="O125" s="1190"/>
      <c r="P125" s="1223"/>
      <c r="Q125" s="1190"/>
      <c r="R125" s="1190"/>
      <c r="S125" s="1190"/>
      <c r="T125" s="1190"/>
      <c r="U125" s="1190"/>
      <c r="V125" s="1190"/>
      <c r="W125" s="1190"/>
      <c r="X125" s="2124" t="s">
        <v>2362</v>
      </c>
      <c r="Y125" s="2125"/>
      <c r="Z125" s="2125"/>
      <c r="AA125" s="2125"/>
      <c r="AB125" s="2125"/>
      <c r="AC125" s="2125"/>
      <c r="AD125" s="2125"/>
      <c r="AE125" s="2125"/>
      <c r="AF125" s="2125"/>
      <c r="AG125" s="2125"/>
      <c r="AH125" s="2125"/>
      <c r="AI125" s="2125"/>
      <c r="AJ125" s="2125"/>
      <c r="AK125" s="2125"/>
      <c r="AL125" s="2125"/>
      <c r="AM125" s="2125"/>
      <c r="AN125" s="2125"/>
      <c r="AO125" s="2125"/>
      <c r="AP125" s="2125"/>
      <c r="AQ125" s="2125"/>
      <c r="AR125" s="2125"/>
      <c r="AS125" s="2125"/>
      <c r="AT125" s="2125"/>
      <c r="AU125" s="2125"/>
      <c r="AV125" s="2125"/>
      <c r="AW125" s="2125"/>
      <c r="AX125" s="2125"/>
      <c r="AY125" s="2125"/>
      <c r="AZ125" s="2125"/>
      <c r="BA125" s="2125"/>
      <c r="BB125" s="2125"/>
      <c r="BC125" s="2125"/>
      <c r="BD125" s="2126"/>
      <c r="BE125" s="1194"/>
    </row>
    <row r="126" spans="1:57" ht="15.75" customHeight="1">
      <c r="A126" s="1190"/>
      <c r="B126" s="2130" t="s">
        <v>1576</v>
      </c>
      <c r="C126" s="2131"/>
      <c r="D126" s="2131"/>
      <c r="E126" s="2131"/>
      <c r="F126" s="2131"/>
      <c r="G126" s="2131"/>
      <c r="H126" s="2131"/>
      <c r="I126" s="2131"/>
      <c r="J126" s="2131"/>
      <c r="K126" s="2131"/>
      <c r="L126" s="2131"/>
      <c r="M126" s="2131"/>
      <c r="N126" s="2131"/>
      <c r="O126" s="2131"/>
      <c r="P126" s="2131"/>
      <c r="Q126" s="2131"/>
      <c r="R126" s="2131"/>
      <c r="S126" s="2131"/>
      <c r="T126" s="2131"/>
      <c r="U126" s="2132"/>
      <c r="V126" s="1190"/>
      <c r="W126" s="1190"/>
      <c r="X126" s="2127"/>
      <c r="Y126" s="2128"/>
      <c r="Z126" s="2128"/>
      <c r="AA126" s="2128"/>
      <c r="AB126" s="2128"/>
      <c r="AC126" s="2128"/>
      <c r="AD126" s="2128"/>
      <c r="AE126" s="2128"/>
      <c r="AF126" s="2128"/>
      <c r="AG126" s="2128"/>
      <c r="AH126" s="2128"/>
      <c r="AI126" s="2128"/>
      <c r="AJ126" s="2128"/>
      <c r="AK126" s="2128"/>
      <c r="AL126" s="2128"/>
      <c r="AM126" s="2128"/>
      <c r="AN126" s="2128"/>
      <c r="AO126" s="2128"/>
      <c r="AP126" s="2128"/>
      <c r="AQ126" s="2128"/>
      <c r="AR126" s="2128"/>
      <c r="AS126" s="2128"/>
      <c r="AT126" s="2128"/>
      <c r="AU126" s="2128"/>
      <c r="AV126" s="2128"/>
      <c r="AW126" s="2128"/>
      <c r="AX126" s="2128"/>
      <c r="AY126" s="2128"/>
      <c r="AZ126" s="2128"/>
      <c r="BA126" s="2128"/>
      <c r="BB126" s="2128"/>
      <c r="BC126" s="2128"/>
      <c r="BD126" s="2129"/>
      <c r="BE126" s="1194"/>
    </row>
    <row r="127" spans="1:57" ht="15.75" customHeight="1">
      <c r="A127" s="1190"/>
      <c r="B127" s="2039"/>
      <c r="C127" s="2040"/>
      <c r="D127" s="2040"/>
      <c r="E127" s="2040"/>
      <c r="F127" s="2040"/>
      <c r="G127" s="2040"/>
      <c r="H127" s="2040"/>
      <c r="I127" s="2103" t="s">
        <v>2361</v>
      </c>
      <c r="J127" s="2103"/>
      <c r="K127" s="2103"/>
      <c r="L127" s="2103"/>
      <c r="M127" s="2103"/>
      <c r="N127" s="2103"/>
      <c r="O127" s="2104" t="s">
        <v>2360</v>
      </c>
      <c r="P127" s="2104"/>
      <c r="Q127" s="2104"/>
      <c r="R127" s="2104"/>
      <c r="S127" s="2104"/>
      <c r="T127" s="2104"/>
      <c r="U127" s="2105"/>
      <c r="V127" s="1190"/>
      <c r="W127" s="1190"/>
      <c r="X127" s="2042" t="s">
        <v>2737</v>
      </c>
      <c r="Y127" s="2043"/>
      <c r="Z127" s="2043"/>
      <c r="AA127" s="2043"/>
      <c r="AB127" s="2043"/>
      <c r="AC127" s="2043"/>
      <c r="AD127" s="2043"/>
      <c r="AE127" s="2043"/>
      <c r="AF127" s="2043"/>
      <c r="AG127" s="2043"/>
      <c r="AH127" s="2043"/>
      <c r="AI127" s="2043"/>
      <c r="AJ127" s="2043"/>
      <c r="AK127" s="2043"/>
      <c r="AL127" s="2043"/>
      <c r="AM127" s="2043"/>
      <c r="AN127" s="2043"/>
      <c r="AO127" s="2043"/>
      <c r="AP127" s="2043"/>
      <c r="AQ127" s="2043"/>
      <c r="AR127" s="2043"/>
      <c r="AS127" s="2043"/>
      <c r="AT127" s="2043"/>
      <c r="AU127" s="2043"/>
      <c r="AV127" s="2043"/>
      <c r="AW127" s="2043"/>
      <c r="AX127" s="2043"/>
      <c r="AY127" s="2043"/>
      <c r="AZ127" s="2043"/>
      <c r="BA127" s="2043"/>
      <c r="BB127" s="2043"/>
      <c r="BC127" s="2043"/>
      <c r="BD127" s="2044"/>
      <c r="BE127" s="1194"/>
    </row>
    <row r="128" spans="1:57" ht="15.75" customHeight="1">
      <c r="A128" s="1190"/>
      <c r="B128" s="2073" t="s">
        <v>2345</v>
      </c>
      <c r="C128" s="2074"/>
      <c r="D128" s="2074"/>
      <c r="E128" s="2074"/>
      <c r="F128" s="2074"/>
      <c r="G128" s="2074"/>
      <c r="H128" s="2074"/>
      <c r="I128" s="2075">
        <v>69</v>
      </c>
      <c r="J128" s="2075"/>
      <c r="K128" s="2075"/>
      <c r="L128" s="2075"/>
      <c r="M128" s="2075"/>
      <c r="N128" s="2075"/>
      <c r="O128" s="2075">
        <v>3</v>
      </c>
      <c r="P128" s="2075"/>
      <c r="Q128" s="2075"/>
      <c r="R128" s="2075"/>
      <c r="S128" s="2075"/>
      <c r="T128" s="2075"/>
      <c r="U128" s="2076"/>
      <c r="V128" s="1190"/>
      <c r="W128" s="1190"/>
      <c r="X128" s="2042"/>
      <c r="Y128" s="2043"/>
      <c r="Z128" s="2043"/>
      <c r="AA128" s="2043"/>
      <c r="AB128" s="2043"/>
      <c r="AC128" s="2043"/>
      <c r="AD128" s="2043"/>
      <c r="AE128" s="2043"/>
      <c r="AF128" s="2043"/>
      <c r="AG128" s="2043"/>
      <c r="AH128" s="2043"/>
      <c r="AI128" s="2043"/>
      <c r="AJ128" s="2043"/>
      <c r="AK128" s="2043"/>
      <c r="AL128" s="2043"/>
      <c r="AM128" s="2043"/>
      <c r="AN128" s="2043"/>
      <c r="AO128" s="2043"/>
      <c r="AP128" s="2043"/>
      <c r="AQ128" s="2043"/>
      <c r="AR128" s="2043"/>
      <c r="AS128" s="2043"/>
      <c r="AT128" s="2043"/>
      <c r="AU128" s="2043"/>
      <c r="AV128" s="2043"/>
      <c r="AW128" s="2043"/>
      <c r="AX128" s="2043"/>
      <c r="AY128" s="2043"/>
      <c r="AZ128" s="2043"/>
      <c r="BA128" s="2043"/>
      <c r="BB128" s="2043"/>
      <c r="BC128" s="2043"/>
      <c r="BD128" s="2044"/>
      <c r="BE128" s="1194"/>
    </row>
    <row r="129" spans="1:57" ht="15.75" customHeight="1" thickBot="1">
      <c r="A129" s="1190"/>
      <c r="B129" s="2067" t="s">
        <v>2344</v>
      </c>
      <c r="C129" s="2068"/>
      <c r="D129" s="2068"/>
      <c r="E129" s="2068"/>
      <c r="F129" s="2068"/>
      <c r="G129" s="2068"/>
      <c r="H129" s="2068"/>
      <c r="I129" s="2069">
        <v>13</v>
      </c>
      <c r="J129" s="2069"/>
      <c r="K129" s="2069"/>
      <c r="L129" s="2069"/>
      <c r="M129" s="2069"/>
      <c r="N129" s="2069"/>
      <c r="O129" s="2106"/>
      <c r="P129" s="2106"/>
      <c r="Q129" s="2106"/>
      <c r="R129" s="2106"/>
      <c r="S129" s="2106"/>
      <c r="T129" s="2106"/>
      <c r="U129" s="2107"/>
      <c r="V129" s="1190"/>
      <c r="W129" s="1190"/>
      <c r="X129" s="2042"/>
      <c r="Y129" s="2043"/>
      <c r="Z129" s="2043"/>
      <c r="AA129" s="2043"/>
      <c r="AB129" s="2043"/>
      <c r="AC129" s="2043"/>
      <c r="AD129" s="2043"/>
      <c r="AE129" s="2043"/>
      <c r="AF129" s="2043"/>
      <c r="AG129" s="2043"/>
      <c r="AH129" s="2043"/>
      <c r="AI129" s="2043"/>
      <c r="AJ129" s="2043"/>
      <c r="AK129" s="2043"/>
      <c r="AL129" s="2043"/>
      <c r="AM129" s="2043"/>
      <c r="AN129" s="2043"/>
      <c r="AO129" s="2043"/>
      <c r="AP129" s="2043"/>
      <c r="AQ129" s="2043"/>
      <c r="AR129" s="2043"/>
      <c r="AS129" s="2043"/>
      <c r="AT129" s="2043"/>
      <c r="AU129" s="2043"/>
      <c r="AV129" s="2043"/>
      <c r="AW129" s="2043"/>
      <c r="AX129" s="2043"/>
      <c r="AY129" s="2043"/>
      <c r="AZ129" s="2043"/>
      <c r="BA129" s="2043"/>
      <c r="BB129" s="2043"/>
      <c r="BC129" s="2043"/>
      <c r="BD129" s="2044"/>
      <c r="BE129" s="1194"/>
    </row>
    <row r="130" spans="1:57" ht="15.75" customHeight="1" thickBot="1">
      <c r="A130" s="1190"/>
      <c r="B130" s="1190"/>
      <c r="C130" s="1190"/>
      <c r="D130" s="1190"/>
      <c r="E130" s="1190"/>
      <c r="F130" s="1190"/>
      <c r="G130" s="1190"/>
      <c r="H130" s="1190"/>
      <c r="I130" s="1190"/>
      <c r="J130" s="1190"/>
      <c r="K130" s="1190"/>
      <c r="L130" s="1190"/>
      <c r="M130" s="1190"/>
      <c r="N130" s="1190"/>
      <c r="O130" s="1190"/>
      <c r="P130" s="1190"/>
      <c r="Q130" s="1190"/>
      <c r="R130" s="1190"/>
      <c r="S130" s="1190"/>
      <c r="T130" s="1190"/>
      <c r="U130" s="1190"/>
      <c r="V130" s="1190"/>
      <c r="W130" s="1190"/>
      <c r="X130" s="2042"/>
      <c r="Y130" s="2043"/>
      <c r="Z130" s="2043"/>
      <c r="AA130" s="2043"/>
      <c r="AB130" s="2043"/>
      <c r="AC130" s="2043"/>
      <c r="AD130" s="2043"/>
      <c r="AE130" s="2043"/>
      <c r="AF130" s="2043"/>
      <c r="AG130" s="2043"/>
      <c r="AH130" s="2043"/>
      <c r="AI130" s="2043"/>
      <c r="AJ130" s="2043"/>
      <c r="AK130" s="2043"/>
      <c r="AL130" s="2043"/>
      <c r="AM130" s="2043"/>
      <c r="AN130" s="2043"/>
      <c r="AO130" s="2043"/>
      <c r="AP130" s="2043"/>
      <c r="AQ130" s="2043"/>
      <c r="AR130" s="2043"/>
      <c r="AS130" s="2043"/>
      <c r="AT130" s="2043"/>
      <c r="AU130" s="2043"/>
      <c r="AV130" s="2043"/>
      <c r="AW130" s="2043"/>
      <c r="AX130" s="2043"/>
      <c r="AY130" s="2043"/>
      <c r="AZ130" s="2043"/>
      <c r="BA130" s="2043"/>
      <c r="BB130" s="2043"/>
      <c r="BC130" s="2043"/>
      <c r="BD130" s="2044"/>
      <c r="BE130" s="1194"/>
    </row>
    <row r="131" spans="1:57" ht="15.75" customHeight="1" thickBot="1">
      <c r="A131" s="1190"/>
      <c r="B131" s="1209" t="s">
        <v>2359</v>
      </c>
      <c r="C131" s="1210"/>
      <c r="D131" s="1210"/>
      <c r="E131" s="1210"/>
      <c r="F131" s="1210"/>
      <c r="G131" s="1210"/>
      <c r="H131" s="1210"/>
      <c r="I131" s="1210"/>
      <c r="J131" s="1210"/>
      <c r="K131" s="1210"/>
      <c r="L131" s="1210"/>
      <c r="M131" s="1210"/>
      <c r="N131" s="1210"/>
      <c r="O131" s="1210"/>
      <c r="P131" s="1211"/>
      <c r="Q131" s="1195" t="s">
        <v>249</v>
      </c>
      <c r="R131" s="1195" t="s">
        <v>249</v>
      </c>
      <c r="S131" s="1190"/>
      <c r="T131" s="1190"/>
      <c r="U131" s="1190"/>
      <c r="V131" s="1190" t="s">
        <v>249</v>
      </c>
      <c r="W131" s="1190"/>
      <c r="X131" s="2042"/>
      <c r="Y131" s="2043"/>
      <c r="Z131" s="2043"/>
      <c r="AA131" s="2043"/>
      <c r="AB131" s="2043"/>
      <c r="AC131" s="2043"/>
      <c r="AD131" s="2043"/>
      <c r="AE131" s="2043"/>
      <c r="AF131" s="2043"/>
      <c r="AG131" s="2043"/>
      <c r="AH131" s="2043"/>
      <c r="AI131" s="2043"/>
      <c r="AJ131" s="2043"/>
      <c r="AK131" s="2043"/>
      <c r="AL131" s="2043"/>
      <c r="AM131" s="2043"/>
      <c r="AN131" s="2043"/>
      <c r="AO131" s="2043"/>
      <c r="AP131" s="2043"/>
      <c r="AQ131" s="2043"/>
      <c r="AR131" s="2043"/>
      <c r="AS131" s="2043"/>
      <c r="AT131" s="2043"/>
      <c r="AU131" s="2043"/>
      <c r="AV131" s="2043"/>
      <c r="AW131" s="2043"/>
      <c r="AX131" s="2043"/>
      <c r="AY131" s="2043"/>
      <c r="AZ131" s="2043"/>
      <c r="BA131" s="2043"/>
      <c r="BB131" s="2043"/>
      <c r="BC131" s="2043"/>
      <c r="BD131" s="2044"/>
      <c r="BE131" s="1194"/>
    </row>
    <row r="132" spans="1:57" ht="15.75" customHeight="1" thickBot="1">
      <c r="A132" s="1190"/>
      <c r="B132" s="1190"/>
      <c r="C132" s="1190"/>
      <c r="D132" s="1190"/>
      <c r="E132" s="1190"/>
      <c r="F132" s="1190"/>
      <c r="G132" s="1190"/>
      <c r="H132" s="1190"/>
      <c r="I132" s="1190"/>
      <c r="J132" s="1190"/>
      <c r="K132" s="1190"/>
      <c r="L132" s="1190"/>
      <c r="M132" s="1190"/>
      <c r="N132" s="1190"/>
      <c r="O132" s="1190"/>
      <c r="P132" s="1190"/>
      <c r="Q132" s="1190"/>
      <c r="R132" s="1190"/>
      <c r="S132" s="1190"/>
      <c r="T132" s="1190"/>
      <c r="U132" s="1190"/>
      <c r="V132" s="1190"/>
      <c r="W132" s="1190"/>
      <c r="X132" s="2042"/>
      <c r="Y132" s="2043"/>
      <c r="Z132" s="2043"/>
      <c r="AA132" s="2043"/>
      <c r="AB132" s="2043"/>
      <c r="AC132" s="2043"/>
      <c r="AD132" s="2043"/>
      <c r="AE132" s="2043"/>
      <c r="AF132" s="2043"/>
      <c r="AG132" s="2043"/>
      <c r="AH132" s="2043"/>
      <c r="AI132" s="2043"/>
      <c r="AJ132" s="2043"/>
      <c r="AK132" s="2043"/>
      <c r="AL132" s="2043"/>
      <c r="AM132" s="2043"/>
      <c r="AN132" s="2043"/>
      <c r="AO132" s="2043"/>
      <c r="AP132" s="2043"/>
      <c r="AQ132" s="2043"/>
      <c r="AR132" s="2043"/>
      <c r="AS132" s="2043"/>
      <c r="AT132" s="2043"/>
      <c r="AU132" s="2043"/>
      <c r="AV132" s="2043"/>
      <c r="AW132" s="2043"/>
      <c r="AX132" s="2043"/>
      <c r="AY132" s="2043"/>
      <c r="AZ132" s="2043"/>
      <c r="BA132" s="2043"/>
      <c r="BB132" s="2043"/>
      <c r="BC132" s="2043"/>
      <c r="BD132" s="2044"/>
      <c r="BE132" s="1194"/>
    </row>
    <row r="133" spans="1:57" ht="15.75" customHeight="1">
      <c r="A133" s="1190"/>
      <c r="B133" s="2100" t="s">
        <v>2358</v>
      </c>
      <c r="C133" s="2101"/>
      <c r="D133" s="2101"/>
      <c r="E133" s="2101"/>
      <c r="F133" s="2101"/>
      <c r="G133" s="2101"/>
      <c r="H133" s="2101"/>
      <c r="I133" s="2101"/>
      <c r="J133" s="2101"/>
      <c r="K133" s="2101"/>
      <c r="L133" s="2101"/>
      <c r="M133" s="2101"/>
      <c r="N133" s="2101"/>
      <c r="O133" s="2101"/>
      <c r="P133" s="2101"/>
      <c r="Q133" s="2101"/>
      <c r="R133" s="2101"/>
      <c r="S133" s="2101"/>
      <c r="T133" s="2101"/>
      <c r="U133" s="2102"/>
      <c r="V133" s="1190"/>
      <c r="W133" s="1190"/>
      <c r="X133" s="2042"/>
      <c r="Y133" s="2043"/>
      <c r="Z133" s="2043"/>
      <c r="AA133" s="2043"/>
      <c r="AB133" s="2043"/>
      <c r="AC133" s="2043"/>
      <c r="AD133" s="2043"/>
      <c r="AE133" s="2043"/>
      <c r="AF133" s="2043"/>
      <c r="AG133" s="2043"/>
      <c r="AH133" s="2043"/>
      <c r="AI133" s="2043"/>
      <c r="AJ133" s="2043"/>
      <c r="AK133" s="2043"/>
      <c r="AL133" s="2043"/>
      <c r="AM133" s="2043"/>
      <c r="AN133" s="2043"/>
      <c r="AO133" s="2043"/>
      <c r="AP133" s="2043"/>
      <c r="AQ133" s="2043"/>
      <c r="AR133" s="2043"/>
      <c r="AS133" s="2043"/>
      <c r="AT133" s="2043"/>
      <c r="AU133" s="2043"/>
      <c r="AV133" s="2043"/>
      <c r="AW133" s="2043"/>
      <c r="AX133" s="2043"/>
      <c r="AY133" s="2043"/>
      <c r="AZ133" s="2043"/>
      <c r="BA133" s="2043"/>
      <c r="BB133" s="2043"/>
      <c r="BC133" s="2043"/>
      <c r="BD133" s="2044"/>
      <c r="BE133" s="1194"/>
    </row>
    <row r="134" spans="1:57" ht="15.75" customHeight="1">
      <c r="A134" s="1190"/>
      <c r="B134" s="2039"/>
      <c r="C134" s="2040"/>
      <c r="D134" s="2040"/>
      <c r="E134" s="2040"/>
      <c r="F134" s="2040"/>
      <c r="G134" s="2040"/>
      <c r="H134" s="2040"/>
      <c r="I134" s="2077" t="s">
        <v>2347</v>
      </c>
      <c r="J134" s="2077"/>
      <c r="K134" s="2077"/>
      <c r="L134" s="2077"/>
      <c r="M134" s="2077"/>
      <c r="N134" s="2077"/>
      <c r="O134" s="2077"/>
      <c r="P134" s="2077" t="s">
        <v>2346</v>
      </c>
      <c r="Q134" s="2077"/>
      <c r="R134" s="2077"/>
      <c r="S134" s="2077"/>
      <c r="T134" s="2077"/>
      <c r="U134" s="2078"/>
      <c r="V134" s="1190"/>
      <c r="W134" s="1190"/>
      <c r="X134" s="2042"/>
      <c r="Y134" s="2043"/>
      <c r="Z134" s="2043"/>
      <c r="AA134" s="2043"/>
      <c r="AB134" s="2043"/>
      <c r="AC134" s="2043"/>
      <c r="AD134" s="2043"/>
      <c r="AE134" s="2043"/>
      <c r="AF134" s="2043"/>
      <c r="AG134" s="2043"/>
      <c r="AH134" s="2043"/>
      <c r="AI134" s="2043"/>
      <c r="AJ134" s="2043"/>
      <c r="AK134" s="2043"/>
      <c r="AL134" s="2043"/>
      <c r="AM134" s="2043"/>
      <c r="AN134" s="2043"/>
      <c r="AO134" s="2043"/>
      <c r="AP134" s="2043"/>
      <c r="AQ134" s="2043"/>
      <c r="AR134" s="2043"/>
      <c r="AS134" s="2043"/>
      <c r="AT134" s="2043"/>
      <c r="AU134" s="2043"/>
      <c r="AV134" s="2043"/>
      <c r="AW134" s="2043"/>
      <c r="AX134" s="2043"/>
      <c r="AY134" s="2043"/>
      <c r="AZ134" s="2043"/>
      <c r="BA134" s="2043"/>
      <c r="BB134" s="2043"/>
      <c r="BC134" s="2043"/>
      <c r="BD134" s="2044"/>
      <c r="BE134" s="1194"/>
    </row>
    <row r="135" spans="1:57" ht="15.75" customHeight="1">
      <c r="A135" s="1190"/>
      <c r="B135" s="2039"/>
      <c r="C135" s="2040"/>
      <c r="D135" s="2040"/>
      <c r="E135" s="2040"/>
      <c r="F135" s="2040"/>
      <c r="G135" s="2040"/>
      <c r="H135" s="2040"/>
      <c r="I135" s="2077"/>
      <c r="J135" s="2077"/>
      <c r="K135" s="2077"/>
      <c r="L135" s="2077"/>
      <c r="M135" s="2077"/>
      <c r="N135" s="2077"/>
      <c r="O135" s="2077"/>
      <c r="P135" s="2077"/>
      <c r="Q135" s="2077"/>
      <c r="R135" s="2077"/>
      <c r="S135" s="2077"/>
      <c r="T135" s="2077"/>
      <c r="U135" s="2078"/>
      <c r="V135" s="1190"/>
      <c r="W135" s="1190"/>
      <c r="X135" s="2042"/>
      <c r="Y135" s="2043"/>
      <c r="Z135" s="2043"/>
      <c r="AA135" s="2043"/>
      <c r="AB135" s="2043"/>
      <c r="AC135" s="2043"/>
      <c r="AD135" s="2043"/>
      <c r="AE135" s="2043"/>
      <c r="AF135" s="2043"/>
      <c r="AG135" s="2043"/>
      <c r="AH135" s="2043"/>
      <c r="AI135" s="2043"/>
      <c r="AJ135" s="2043"/>
      <c r="AK135" s="2043"/>
      <c r="AL135" s="2043"/>
      <c r="AM135" s="2043"/>
      <c r="AN135" s="2043"/>
      <c r="AO135" s="2043"/>
      <c r="AP135" s="2043"/>
      <c r="AQ135" s="2043"/>
      <c r="AR135" s="2043"/>
      <c r="AS135" s="2043"/>
      <c r="AT135" s="2043"/>
      <c r="AU135" s="2043"/>
      <c r="AV135" s="2043"/>
      <c r="AW135" s="2043"/>
      <c r="AX135" s="2043"/>
      <c r="AY135" s="2043"/>
      <c r="AZ135" s="2043"/>
      <c r="BA135" s="2043"/>
      <c r="BB135" s="2043"/>
      <c r="BC135" s="2043"/>
      <c r="BD135" s="2044"/>
      <c r="BE135" s="1194"/>
    </row>
    <row r="136" spans="1:57" ht="15.75" customHeight="1">
      <c r="A136" s="1190"/>
      <c r="B136" s="2073" t="s">
        <v>2345</v>
      </c>
      <c r="C136" s="2074"/>
      <c r="D136" s="2074"/>
      <c r="E136" s="2074"/>
      <c r="F136" s="2074"/>
      <c r="G136" s="2074"/>
      <c r="H136" s="2074"/>
      <c r="I136" s="2075">
        <v>2</v>
      </c>
      <c r="J136" s="2075"/>
      <c r="K136" s="2075"/>
      <c r="L136" s="2075"/>
      <c r="M136" s="2075"/>
      <c r="N136" s="2075"/>
      <c r="O136" s="2075"/>
      <c r="P136" s="2075">
        <v>4</v>
      </c>
      <c r="Q136" s="2075"/>
      <c r="R136" s="2075"/>
      <c r="S136" s="2075"/>
      <c r="T136" s="2075"/>
      <c r="U136" s="2076"/>
      <c r="V136" s="1190"/>
      <c r="W136" s="1190"/>
      <c r="X136" s="2042"/>
      <c r="Y136" s="2043"/>
      <c r="Z136" s="2043"/>
      <c r="AA136" s="2043"/>
      <c r="AB136" s="2043"/>
      <c r="AC136" s="2043"/>
      <c r="AD136" s="2043"/>
      <c r="AE136" s="2043"/>
      <c r="AF136" s="2043"/>
      <c r="AG136" s="2043"/>
      <c r="AH136" s="2043"/>
      <c r="AI136" s="2043"/>
      <c r="AJ136" s="2043"/>
      <c r="AK136" s="2043"/>
      <c r="AL136" s="2043"/>
      <c r="AM136" s="2043"/>
      <c r="AN136" s="2043"/>
      <c r="AO136" s="2043"/>
      <c r="AP136" s="2043"/>
      <c r="AQ136" s="2043"/>
      <c r="AR136" s="2043"/>
      <c r="AS136" s="2043"/>
      <c r="AT136" s="2043"/>
      <c r="AU136" s="2043"/>
      <c r="AV136" s="2043"/>
      <c r="AW136" s="2043"/>
      <c r="AX136" s="2043"/>
      <c r="AY136" s="2043"/>
      <c r="AZ136" s="2043"/>
      <c r="BA136" s="2043"/>
      <c r="BB136" s="2043"/>
      <c r="BC136" s="2043"/>
      <c r="BD136" s="2044"/>
      <c r="BE136" s="1194"/>
    </row>
    <row r="137" spans="1:57" ht="15.75" customHeight="1" thickBot="1">
      <c r="A137" s="1190"/>
      <c r="B137" s="2067" t="s">
        <v>2344</v>
      </c>
      <c r="C137" s="2068"/>
      <c r="D137" s="2068"/>
      <c r="E137" s="2068"/>
      <c r="F137" s="2068"/>
      <c r="G137" s="2068"/>
      <c r="H137" s="2068"/>
      <c r="I137" s="2069">
        <v>3</v>
      </c>
      <c r="J137" s="2069"/>
      <c r="K137" s="2069"/>
      <c r="L137" s="2069"/>
      <c r="M137" s="2069"/>
      <c r="N137" s="2069"/>
      <c r="O137" s="2069"/>
      <c r="P137" s="2069">
        <v>9</v>
      </c>
      <c r="Q137" s="2069"/>
      <c r="R137" s="2069"/>
      <c r="S137" s="2069"/>
      <c r="T137" s="2069"/>
      <c r="U137" s="2070"/>
      <c r="V137" s="1190"/>
      <c r="W137" s="1190"/>
      <c r="X137" s="2045"/>
      <c r="Y137" s="2046"/>
      <c r="Z137" s="2046"/>
      <c r="AA137" s="2046"/>
      <c r="AB137" s="2046"/>
      <c r="AC137" s="2046"/>
      <c r="AD137" s="2046"/>
      <c r="AE137" s="2046"/>
      <c r="AF137" s="2046"/>
      <c r="AG137" s="2046"/>
      <c r="AH137" s="2046"/>
      <c r="AI137" s="2046"/>
      <c r="AJ137" s="2046"/>
      <c r="AK137" s="2046"/>
      <c r="AL137" s="2046"/>
      <c r="AM137" s="2046"/>
      <c r="AN137" s="2046"/>
      <c r="AO137" s="2046"/>
      <c r="AP137" s="2046"/>
      <c r="AQ137" s="2046"/>
      <c r="AR137" s="2046"/>
      <c r="AS137" s="2046"/>
      <c r="AT137" s="2046"/>
      <c r="AU137" s="2046"/>
      <c r="AV137" s="2046"/>
      <c r="AW137" s="2046"/>
      <c r="AX137" s="2046"/>
      <c r="AY137" s="2046"/>
      <c r="AZ137" s="2046"/>
      <c r="BA137" s="2046"/>
      <c r="BB137" s="2046"/>
      <c r="BC137" s="2046"/>
      <c r="BD137" s="2047"/>
      <c r="BE137" s="1194"/>
    </row>
    <row r="138" spans="1:57" ht="15.75" customHeight="1" thickBot="1">
      <c r="A138" s="1190"/>
      <c r="B138" s="1190"/>
      <c r="C138" s="1190"/>
      <c r="D138" s="1190"/>
      <c r="E138" s="1190"/>
      <c r="F138" s="1190"/>
      <c r="G138" s="1190"/>
      <c r="H138" s="1190"/>
      <c r="I138" s="1190"/>
      <c r="J138" s="1190"/>
      <c r="K138" s="1190"/>
      <c r="L138" s="1190"/>
      <c r="M138" s="1190"/>
      <c r="N138" s="1190"/>
      <c r="O138" s="1190"/>
      <c r="P138" s="1190"/>
      <c r="Q138" s="1225"/>
      <c r="R138" s="1190"/>
      <c r="S138" s="1190"/>
      <c r="T138" s="1190"/>
      <c r="U138" s="1190"/>
      <c r="V138" s="1190"/>
      <c r="W138" s="1190"/>
      <c r="X138" s="1190"/>
      <c r="Y138" s="1190"/>
      <c r="Z138" s="1190"/>
      <c r="AA138" s="1190"/>
      <c r="AB138" s="1190"/>
      <c r="AC138" s="1190"/>
      <c r="AD138" s="1190"/>
      <c r="AE138" s="1190"/>
      <c r="AF138" s="1190"/>
      <c r="AG138" s="1190"/>
      <c r="AH138" s="1190"/>
      <c r="AI138" s="1190"/>
      <c r="AJ138" s="1190"/>
      <c r="AK138" s="1190"/>
      <c r="AL138" s="1190"/>
      <c r="AM138" s="1190"/>
      <c r="AN138" s="1190"/>
      <c r="AO138" s="1190"/>
      <c r="AP138" s="1190"/>
      <c r="AQ138" s="1190"/>
      <c r="AR138" s="1190"/>
      <c r="AS138" s="1190"/>
      <c r="AT138" s="1190"/>
      <c r="AU138" s="1190"/>
      <c r="AV138" s="1190"/>
      <c r="AW138" s="1190"/>
      <c r="AX138" s="1190"/>
      <c r="AY138" s="1190"/>
      <c r="AZ138" s="1190"/>
      <c r="BA138" s="1190"/>
      <c r="BB138" s="1190"/>
      <c r="BC138" s="1190"/>
      <c r="BD138" s="1190"/>
      <c r="BE138" s="1194"/>
    </row>
    <row r="139" spans="1:57" ht="15.75" customHeight="1">
      <c r="A139" s="1190"/>
      <c r="B139" s="2095" t="s">
        <v>2357</v>
      </c>
      <c r="C139" s="2096"/>
      <c r="D139" s="2096"/>
      <c r="E139" s="2096"/>
      <c r="F139" s="2096"/>
      <c r="G139" s="2096"/>
      <c r="H139" s="2096"/>
      <c r="I139" s="2096"/>
      <c r="J139" s="2096"/>
      <c r="K139" s="2096"/>
      <c r="L139" s="2096"/>
      <c r="M139" s="2096"/>
      <c r="N139" s="2096"/>
      <c r="O139" s="2096"/>
      <c r="P139" s="2096"/>
      <c r="Q139" s="2096"/>
      <c r="R139" s="2096"/>
      <c r="S139" s="2096"/>
      <c r="T139" s="2096"/>
      <c r="U139" s="2096"/>
      <c r="V139" s="2096"/>
      <c r="W139" s="2096"/>
      <c r="X139" s="2096"/>
      <c r="Y139" s="2096"/>
      <c r="Z139" s="2096"/>
      <c r="AA139" s="2096"/>
      <c r="AB139" s="2096"/>
      <c r="AC139" s="2096"/>
      <c r="AD139" s="2096"/>
      <c r="AE139" s="2096"/>
      <c r="AF139" s="2096"/>
      <c r="AG139" s="2096"/>
      <c r="AH139" s="2082" t="s">
        <v>545</v>
      </c>
      <c r="AI139" s="2082"/>
      <c r="AJ139" s="2082"/>
      <c r="AK139" s="2082"/>
      <c r="AL139" s="2082"/>
      <c r="AM139" s="2082"/>
      <c r="AN139" s="2082"/>
      <c r="AO139" s="2082"/>
      <c r="AP139" s="2082"/>
      <c r="AQ139" s="2082"/>
      <c r="AR139" s="2082"/>
      <c r="AS139" s="2082"/>
      <c r="AT139" s="2082"/>
      <c r="AU139" s="2082"/>
      <c r="AV139" s="2082"/>
      <c r="AW139" s="2082"/>
      <c r="AX139" s="2083"/>
      <c r="AY139" s="1190"/>
      <c r="AZ139" s="1190"/>
      <c r="BA139" s="1190"/>
      <c r="BB139" s="1190"/>
      <c r="BC139" s="1190"/>
      <c r="BD139" s="1190"/>
      <c r="BE139" s="1194"/>
    </row>
    <row r="140" spans="1:57" ht="15.75" customHeight="1" thickBot="1">
      <c r="A140" s="1190"/>
      <c r="B140" s="2079" t="s">
        <v>2356</v>
      </c>
      <c r="C140" s="2080"/>
      <c r="D140" s="2080"/>
      <c r="E140" s="2080"/>
      <c r="F140" s="2080"/>
      <c r="G140" s="2080"/>
      <c r="H140" s="2080"/>
      <c r="I140" s="2080"/>
      <c r="J140" s="2080"/>
      <c r="K140" s="2080"/>
      <c r="L140" s="2080"/>
      <c r="M140" s="2080"/>
      <c r="N140" s="2080"/>
      <c r="O140" s="2080"/>
      <c r="P140" s="2080"/>
      <c r="Q140" s="2080"/>
      <c r="R140" s="2080"/>
      <c r="S140" s="2080"/>
      <c r="T140" s="2080"/>
      <c r="U140" s="2080"/>
      <c r="V140" s="2080"/>
      <c r="W140" s="2080"/>
      <c r="X140" s="2080"/>
      <c r="Y140" s="2080"/>
      <c r="Z140" s="2080"/>
      <c r="AA140" s="2080"/>
      <c r="AB140" s="2080"/>
      <c r="AC140" s="2080"/>
      <c r="AD140" s="2080"/>
      <c r="AE140" s="2080"/>
      <c r="AF140" s="2080"/>
      <c r="AG140" s="2081"/>
      <c r="AH140" s="2097" t="s">
        <v>2738</v>
      </c>
      <c r="AI140" s="2098"/>
      <c r="AJ140" s="2098"/>
      <c r="AK140" s="2098"/>
      <c r="AL140" s="2098"/>
      <c r="AM140" s="2098"/>
      <c r="AN140" s="2098"/>
      <c r="AO140" s="2098"/>
      <c r="AP140" s="2098"/>
      <c r="AQ140" s="2098"/>
      <c r="AR140" s="2098"/>
      <c r="AS140" s="2098"/>
      <c r="AT140" s="2098"/>
      <c r="AU140" s="2098"/>
      <c r="AV140" s="2098"/>
      <c r="AW140" s="2098"/>
      <c r="AX140" s="2099"/>
      <c r="AY140" s="1190"/>
      <c r="AZ140" s="1190"/>
      <c r="BA140" s="1190"/>
      <c r="BB140" s="1190"/>
      <c r="BC140" s="1190"/>
      <c r="BD140" s="1190"/>
      <c r="BE140" s="1194"/>
    </row>
    <row r="141" spans="1:57" ht="15.75" customHeight="1">
      <c r="A141" s="1190"/>
      <c r="B141" s="2079" t="s">
        <v>2355</v>
      </c>
      <c r="C141" s="2080"/>
      <c r="D141" s="2080"/>
      <c r="E141" s="2080"/>
      <c r="F141" s="2080"/>
      <c r="G141" s="2080"/>
      <c r="H141" s="2080"/>
      <c r="I141" s="2080"/>
      <c r="J141" s="2080"/>
      <c r="K141" s="2080"/>
      <c r="L141" s="2080"/>
      <c r="M141" s="2080"/>
      <c r="N141" s="2080"/>
      <c r="O141" s="2080"/>
      <c r="P141" s="2080"/>
      <c r="Q141" s="2080"/>
      <c r="R141" s="2080"/>
      <c r="S141" s="2080"/>
      <c r="T141" s="2080"/>
      <c r="U141" s="2080"/>
      <c r="V141" s="2080"/>
      <c r="W141" s="2080"/>
      <c r="X141" s="2080"/>
      <c r="Y141" s="2080"/>
      <c r="Z141" s="2080"/>
      <c r="AA141" s="2080"/>
      <c r="AB141" s="2080"/>
      <c r="AC141" s="2080"/>
      <c r="AD141" s="2080"/>
      <c r="AE141" s="2080"/>
      <c r="AF141" s="2080"/>
      <c r="AG141" s="2081"/>
      <c r="AH141" s="2082" t="s">
        <v>545</v>
      </c>
      <c r="AI141" s="2082"/>
      <c r="AJ141" s="2082"/>
      <c r="AK141" s="2082"/>
      <c r="AL141" s="2082"/>
      <c r="AM141" s="2082"/>
      <c r="AN141" s="2082"/>
      <c r="AO141" s="2082"/>
      <c r="AP141" s="2082"/>
      <c r="AQ141" s="2082"/>
      <c r="AR141" s="2082"/>
      <c r="AS141" s="2082"/>
      <c r="AT141" s="2082"/>
      <c r="AU141" s="2082"/>
      <c r="AV141" s="2082"/>
      <c r="AW141" s="2082"/>
      <c r="AX141" s="2083"/>
      <c r="AY141" s="1190"/>
      <c r="AZ141" s="1190"/>
      <c r="BA141" s="1190"/>
      <c r="BB141" s="1190"/>
      <c r="BC141" s="1190"/>
      <c r="BD141" s="1190"/>
      <c r="BE141" s="1194"/>
    </row>
    <row r="142" spans="1:57" ht="15.75" customHeight="1">
      <c r="A142" s="1190"/>
      <c r="B142" s="2084" t="s">
        <v>2354</v>
      </c>
      <c r="C142" s="2085"/>
      <c r="D142" s="2085"/>
      <c r="E142" s="2085"/>
      <c r="F142" s="2085"/>
      <c r="G142" s="2085"/>
      <c r="H142" s="2085"/>
      <c r="I142" s="2085"/>
      <c r="J142" s="2085"/>
      <c r="K142" s="2085"/>
      <c r="L142" s="2085"/>
      <c r="M142" s="2085"/>
      <c r="N142" s="2085"/>
      <c r="O142" s="2085"/>
      <c r="P142" s="2085"/>
      <c r="Q142" s="2085"/>
      <c r="R142" s="2086" t="s">
        <v>2353</v>
      </c>
      <c r="S142" s="2086"/>
      <c r="T142" s="2086"/>
      <c r="U142" s="2086"/>
      <c r="V142" s="2086"/>
      <c r="W142" s="2086"/>
      <c r="X142" s="2086"/>
      <c r="Y142" s="2086"/>
      <c r="Z142" s="2086"/>
      <c r="AA142" s="2086"/>
      <c r="AB142" s="2086"/>
      <c r="AC142" s="2086"/>
      <c r="AD142" s="2086"/>
      <c r="AE142" s="2086"/>
      <c r="AF142" s="2086"/>
      <c r="AG142" s="2086"/>
      <c r="AH142" s="2086"/>
      <c r="AI142" s="2086"/>
      <c r="AJ142" s="2086"/>
      <c r="AK142" s="2086"/>
      <c r="AL142" s="2086"/>
      <c r="AM142" s="2086"/>
      <c r="AN142" s="2086"/>
      <c r="AO142" s="2086"/>
      <c r="AP142" s="2086"/>
      <c r="AQ142" s="2086"/>
      <c r="AR142" s="2086"/>
      <c r="AS142" s="2086"/>
      <c r="AT142" s="2086"/>
      <c r="AU142" s="2086"/>
      <c r="AV142" s="2086"/>
      <c r="AW142" s="2086"/>
      <c r="AX142" s="2087"/>
      <c r="AY142" s="1190"/>
      <c r="AZ142" s="1190"/>
      <c r="BA142" s="1190"/>
      <c r="BB142" s="1190"/>
      <c r="BC142" s="1190" t="s">
        <v>249</v>
      </c>
      <c r="BD142" s="1190"/>
      <c r="BE142" s="1194"/>
    </row>
    <row r="143" spans="1:57" ht="15.75" customHeight="1">
      <c r="A143" s="1190"/>
      <c r="B143" s="2088" t="s">
        <v>2739</v>
      </c>
      <c r="C143" s="2089"/>
      <c r="D143" s="2089"/>
      <c r="E143" s="2089"/>
      <c r="F143" s="2089"/>
      <c r="G143" s="2089"/>
      <c r="H143" s="2089"/>
      <c r="I143" s="2089"/>
      <c r="J143" s="2089"/>
      <c r="K143" s="2089"/>
      <c r="L143" s="2089"/>
      <c r="M143" s="2089"/>
      <c r="N143" s="2089"/>
      <c r="O143" s="2089"/>
      <c r="P143" s="2089"/>
      <c r="Q143" s="2089"/>
      <c r="R143" s="2089"/>
      <c r="S143" s="2089"/>
      <c r="T143" s="2089"/>
      <c r="U143" s="2089"/>
      <c r="V143" s="2089"/>
      <c r="W143" s="2089"/>
      <c r="X143" s="2089"/>
      <c r="Y143" s="2089"/>
      <c r="Z143" s="2089"/>
      <c r="AA143" s="2089"/>
      <c r="AB143" s="2089"/>
      <c r="AC143" s="2089"/>
      <c r="AD143" s="2089"/>
      <c r="AE143" s="2089"/>
      <c r="AF143" s="2089"/>
      <c r="AG143" s="2089"/>
      <c r="AH143" s="2089"/>
      <c r="AI143" s="2089"/>
      <c r="AJ143" s="2089"/>
      <c r="AK143" s="2089"/>
      <c r="AL143" s="2089"/>
      <c r="AM143" s="2089"/>
      <c r="AN143" s="2089"/>
      <c r="AO143" s="2089"/>
      <c r="AP143" s="2089"/>
      <c r="AQ143" s="2089"/>
      <c r="AR143" s="2089"/>
      <c r="AS143" s="2089"/>
      <c r="AT143" s="2089"/>
      <c r="AU143" s="2089"/>
      <c r="AV143" s="2089"/>
      <c r="AW143" s="2089"/>
      <c r="AX143" s="2090"/>
      <c r="AY143" s="1190"/>
      <c r="AZ143" s="1190"/>
      <c r="BA143" s="1190"/>
      <c r="BB143" s="1190"/>
      <c r="BC143" s="1190"/>
      <c r="BD143" s="1190"/>
      <c r="BE143" s="1194"/>
    </row>
    <row r="144" spans="1:57" ht="15.75" customHeight="1">
      <c r="A144" s="1190"/>
      <c r="B144" s="2091"/>
      <c r="C144" s="2089"/>
      <c r="D144" s="2089"/>
      <c r="E144" s="2089"/>
      <c r="F144" s="2089"/>
      <c r="G144" s="2089"/>
      <c r="H144" s="2089"/>
      <c r="I144" s="2089"/>
      <c r="J144" s="2089"/>
      <c r="K144" s="2089"/>
      <c r="L144" s="2089"/>
      <c r="M144" s="2089"/>
      <c r="N144" s="2089"/>
      <c r="O144" s="2089"/>
      <c r="P144" s="2089"/>
      <c r="Q144" s="2089"/>
      <c r="R144" s="2089"/>
      <c r="S144" s="2089"/>
      <c r="T144" s="2089"/>
      <c r="U144" s="2089"/>
      <c r="V144" s="2089"/>
      <c r="W144" s="2089"/>
      <c r="X144" s="2089"/>
      <c r="Y144" s="2089"/>
      <c r="Z144" s="2089"/>
      <c r="AA144" s="2089"/>
      <c r="AB144" s="2089"/>
      <c r="AC144" s="2089"/>
      <c r="AD144" s="2089"/>
      <c r="AE144" s="2089"/>
      <c r="AF144" s="2089"/>
      <c r="AG144" s="2089"/>
      <c r="AH144" s="2089"/>
      <c r="AI144" s="2089"/>
      <c r="AJ144" s="2089"/>
      <c r="AK144" s="2089"/>
      <c r="AL144" s="2089"/>
      <c r="AM144" s="2089"/>
      <c r="AN144" s="2089"/>
      <c r="AO144" s="2089"/>
      <c r="AP144" s="2089"/>
      <c r="AQ144" s="2089"/>
      <c r="AR144" s="2089"/>
      <c r="AS144" s="2089"/>
      <c r="AT144" s="2089"/>
      <c r="AU144" s="2089"/>
      <c r="AV144" s="2089"/>
      <c r="AW144" s="2089"/>
      <c r="AX144" s="2090"/>
      <c r="AY144" s="1190"/>
      <c r="AZ144" s="1190"/>
      <c r="BA144" s="1190"/>
      <c r="BB144" s="1190"/>
      <c r="BC144" s="1190"/>
      <c r="BD144" s="1190"/>
      <c r="BE144" s="1194"/>
    </row>
    <row r="145" spans="1:57" ht="15.75" customHeight="1">
      <c r="A145" s="1190"/>
      <c r="B145" s="2091"/>
      <c r="C145" s="2089"/>
      <c r="D145" s="2089"/>
      <c r="E145" s="2089"/>
      <c r="F145" s="2089"/>
      <c r="G145" s="2089"/>
      <c r="H145" s="2089"/>
      <c r="I145" s="2089"/>
      <c r="J145" s="2089"/>
      <c r="K145" s="2089"/>
      <c r="L145" s="2089"/>
      <c r="M145" s="2089"/>
      <c r="N145" s="2089"/>
      <c r="O145" s="2089"/>
      <c r="P145" s="2089"/>
      <c r="Q145" s="2089"/>
      <c r="R145" s="2089"/>
      <c r="S145" s="2089"/>
      <c r="T145" s="2089"/>
      <c r="U145" s="2089"/>
      <c r="V145" s="2089"/>
      <c r="W145" s="2089"/>
      <c r="X145" s="2089"/>
      <c r="Y145" s="2089"/>
      <c r="Z145" s="2089"/>
      <c r="AA145" s="2089"/>
      <c r="AB145" s="2089"/>
      <c r="AC145" s="2089"/>
      <c r="AD145" s="2089"/>
      <c r="AE145" s="2089"/>
      <c r="AF145" s="2089"/>
      <c r="AG145" s="2089"/>
      <c r="AH145" s="2089"/>
      <c r="AI145" s="2089"/>
      <c r="AJ145" s="2089"/>
      <c r="AK145" s="2089"/>
      <c r="AL145" s="2089"/>
      <c r="AM145" s="2089"/>
      <c r="AN145" s="2089"/>
      <c r="AO145" s="2089"/>
      <c r="AP145" s="2089"/>
      <c r="AQ145" s="2089"/>
      <c r="AR145" s="2089"/>
      <c r="AS145" s="2089"/>
      <c r="AT145" s="2089"/>
      <c r="AU145" s="2089"/>
      <c r="AV145" s="2089"/>
      <c r="AW145" s="2089"/>
      <c r="AX145" s="2090"/>
      <c r="AY145" s="1190"/>
      <c r="AZ145" s="1190"/>
      <c r="BA145" s="1190"/>
      <c r="BB145" s="1190"/>
      <c r="BC145" s="1190"/>
      <c r="BD145" s="1190"/>
      <c r="BE145" s="1194"/>
    </row>
    <row r="146" spans="1:57" ht="15.75" customHeight="1">
      <c r="A146" s="1190"/>
      <c r="B146" s="2091"/>
      <c r="C146" s="2089"/>
      <c r="D146" s="2089"/>
      <c r="E146" s="2089"/>
      <c r="F146" s="2089"/>
      <c r="G146" s="2089"/>
      <c r="H146" s="2089"/>
      <c r="I146" s="2089"/>
      <c r="J146" s="2089"/>
      <c r="K146" s="2089"/>
      <c r="L146" s="2089"/>
      <c r="M146" s="2089"/>
      <c r="N146" s="2089"/>
      <c r="O146" s="2089"/>
      <c r="P146" s="2089"/>
      <c r="Q146" s="2089"/>
      <c r="R146" s="2089"/>
      <c r="S146" s="2089"/>
      <c r="T146" s="2089"/>
      <c r="U146" s="2089"/>
      <c r="V146" s="2089"/>
      <c r="W146" s="2089"/>
      <c r="X146" s="2089"/>
      <c r="Y146" s="2089"/>
      <c r="Z146" s="2089"/>
      <c r="AA146" s="2089"/>
      <c r="AB146" s="2089"/>
      <c r="AC146" s="2089"/>
      <c r="AD146" s="2089"/>
      <c r="AE146" s="2089"/>
      <c r="AF146" s="2089"/>
      <c r="AG146" s="2089"/>
      <c r="AH146" s="2089"/>
      <c r="AI146" s="2089"/>
      <c r="AJ146" s="2089"/>
      <c r="AK146" s="2089"/>
      <c r="AL146" s="2089"/>
      <c r="AM146" s="2089"/>
      <c r="AN146" s="2089"/>
      <c r="AO146" s="2089"/>
      <c r="AP146" s="2089"/>
      <c r="AQ146" s="2089"/>
      <c r="AR146" s="2089"/>
      <c r="AS146" s="2089"/>
      <c r="AT146" s="2089"/>
      <c r="AU146" s="2089"/>
      <c r="AV146" s="2089"/>
      <c r="AW146" s="2089"/>
      <c r="AX146" s="2090"/>
      <c r="AY146" s="1190"/>
      <c r="AZ146" s="1190"/>
      <c r="BA146" s="1190"/>
      <c r="BB146" s="1190"/>
      <c r="BC146" s="1190"/>
      <c r="BD146" s="1190"/>
      <c r="BE146" s="1194"/>
    </row>
    <row r="147" spans="1:57" ht="15.75" customHeight="1">
      <c r="A147" s="1190"/>
      <c r="B147" s="2091"/>
      <c r="C147" s="2089"/>
      <c r="D147" s="2089"/>
      <c r="E147" s="2089"/>
      <c r="F147" s="2089"/>
      <c r="G147" s="2089"/>
      <c r="H147" s="2089"/>
      <c r="I147" s="2089"/>
      <c r="J147" s="2089"/>
      <c r="K147" s="2089"/>
      <c r="L147" s="2089"/>
      <c r="M147" s="2089"/>
      <c r="N147" s="2089"/>
      <c r="O147" s="2089"/>
      <c r="P147" s="2089"/>
      <c r="Q147" s="2089"/>
      <c r="R147" s="2089"/>
      <c r="S147" s="2089"/>
      <c r="T147" s="2089"/>
      <c r="U147" s="2089"/>
      <c r="V147" s="2089"/>
      <c r="W147" s="2089"/>
      <c r="X147" s="2089"/>
      <c r="Y147" s="2089"/>
      <c r="Z147" s="2089"/>
      <c r="AA147" s="2089"/>
      <c r="AB147" s="2089"/>
      <c r="AC147" s="2089"/>
      <c r="AD147" s="2089"/>
      <c r="AE147" s="2089"/>
      <c r="AF147" s="2089"/>
      <c r="AG147" s="2089"/>
      <c r="AH147" s="2089"/>
      <c r="AI147" s="2089"/>
      <c r="AJ147" s="2089"/>
      <c r="AK147" s="2089"/>
      <c r="AL147" s="2089"/>
      <c r="AM147" s="2089"/>
      <c r="AN147" s="2089"/>
      <c r="AO147" s="2089"/>
      <c r="AP147" s="2089"/>
      <c r="AQ147" s="2089"/>
      <c r="AR147" s="2089"/>
      <c r="AS147" s="2089"/>
      <c r="AT147" s="2089"/>
      <c r="AU147" s="2089"/>
      <c r="AV147" s="2089"/>
      <c r="AW147" s="2089"/>
      <c r="AX147" s="2090"/>
      <c r="AY147" s="1190"/>
      <c r="AZ147" s="1190"/>
      <c r="BA147" s="1190"/>
      <c r="BB147" s="1190"/>
      <c r="BC147" s="1190"/>
      <c r="BD147" s="1190"/>
      <c r="BE147" s="1194"/>
    </row>
    <row r="148" spans="1:57" ht="15.75" customHeight="1">
      <c r="A148" s="1190"/>
      <c r="B148" s="2091"/>
      <c r="C148" s="2089"/>
      <c r="D148" s="2089"/>
      <c r="E148" s="2089"/>
      <c r="F148" s="2089"/>
      <c r="G148" s="2089"/>
      <c r="H148" s="2089"/>
      <c r="I148" s="2089"/>
      <c r="J148" s="2089"/>
      <c r="K148" s="2089"/>
      <c r="L148" s="2089"/>
      <c r="M148" s="2089"/>
      <c r="N148" s="2089"/>
      <c r="O148" s="2089"/>
      <c r="P148" s="2089"/>
      <c r="Q148" s="2089"/>
      <c r="R148" s="2089"/>
      <c r="S148" s="2089"/>
      <c r="T148" s="2089"/>
      <c r="U148" s="2089"/>
      <c r="V148" s="2089"/>
      <c r="W148" s="2089"/>
      <c r="X148" s="2089"/>
      <c r="Y148" s="2089"/>
      <c r="Z148" s="2089"/>
      <c r="AA148" s="2089"/>
      <c r="AB148" s="2089"/>
      <c r="AC148" s="2089"/>
      <c r="AD148" s="2089"/>
      <c r="AE148" s="2089"/>
      <c r="AF148" s="2089"/>
      <c r="AG148" s="2089"/>
      <c r="AH148" s="2089"/>
      <c r="AI148" s="2089"/>
      <c r="AJ148" s="2089"/>
      <c r="AK148" s="2089"/>
      <c r="AL148" s="2089"/>
      <c r="AM148" s="2089"/>
      <c r="AN148" s="2089"/>
      <c r="AO148" s="2089"/>
      <c r="AP148" s="2089"/>
      <c r="AQ148" s="2089"/>
      <c r="AR148" s="2089"/>
      <c r="AS148" s="2089"/>
      <c r="AT148" s="2089"/>
      <c r="AU148" s="2089"/>
      <c r="AV148" s="2089"/>
      <c r="AW148" s="2089"/>
      <c r="AX148" s="2090"/>
      <c r="AY148" s="1190"/>
      <c r="AZ148" s="1190"/>
      <c r="BA148" s="1190"/>
      <c r="BB148" s="1190"/>
      <c r="BC148" s="1190"/>
      <c r="BD148" s="1190"/>
      <c r="BE148" s="1194"/>
    </row>
    <row r="149" spans="1:57" ht="15.75" customHeight="1">
      <c r="A149" s="1190"/>
      <c r="B149" s="2091"/>
      <c r="C149" s="2089"/>
      <c r="D149" s="2089"/>
      <c r="E149" s="2089"/>
      <c r="F149" s="2089"/>
      <c r="G149" s="2089"/>
      <c r="H149" s="2089"/>
      <c r="I149" s="2089"/>
      <c r="J149" s="2089"/>
      <c r="K149" s="2089"/>
      <c r="L149" s="2089"/>
      <c r="M149" s="2089"/>
      <c r="N149" s="2089"/>
      <c r="O149" s="2089"/>
      <c r="P149" s="2089"/>
      <c r="Q149" s="2089"/>
      <c r="R149" s="2089"/>
      <c r="S149" s="2089"/>
      <c r="T149" s="2089"/>
      <c r="U149" s="2089"/>
      <c r="V149" s="2089"/>
      <c r="W149" s="2089"/>
      <c r="X149" s="2089"/>
      <c r="Y149" s="2089"/>
      <c r="Z149" s="2089"/>
      <c r="AA149" s="2089"/>
      <c r="AB149" s="2089"/>
      <c r="AC149" s="2089"/>
      <c r="AD149" s="2089"/>
      <c r="AE149" s="2089"/>
      <c r="AF149" s="2089"/>
      <c r="AG149" s="2089"/>
      <c r="AH149" s="2089"/>
      <c r="AI149" s="2089"/>
      <c r="AJ149" s="2089"/>
      <c r="AK149" s="2089"/>
      <c r="AL149" s="2089"/>
      <c r="AM149" s="2089"/>
      <c r="AN149" s="2089"/>
      <c r="AO149" s="2089"/>
      <c r="AP149" s="2089"/>
      <c r="AQ149" s="2089"/>
      <c r="AR149" s="2089"/>
      <c r="AS149" s="2089"/>
      <c r="AT149" s="2089"/>
      <c r="AU149" s="2089"/>
      <c r="AV149" s="2089"/>
      <c r="AW149" s="2089"/>
      <c r="AX149" s="2090"/>
      <c r="AY149" s="1190"/>
      <c r="AZ149" s="1190"/>
      <c r="BA149" s="1190"/>
      <c r="BB149" s="1190"/>
      <c r="BC149" s="1190"/>
      <c r="BD149" s="1190"/>
      <c r="BE149" s="1194"/>
    </row>
    <row r="150" spans="1:57" ht="15.75" customHeight="1">
      <c r="A150" s="1190"/>
      <c r="B150" s="2091"/>
      <c r="C150" s="2089"/>
      <c r="D150" s="2089"/>
      <c r="E150" s="2089"/>
      <c r="F150" s="2089"/>
      <c r="G150" s="2089"/>
      <c r="H150" s="2089"/>
      <c r="I150" s="2089"/>
      <c r="J150" s="2089"/>
      <c r="K150" s="2089"/>
      <c r="L150" s="2089"/>
      <c r="M150" s="2089"/>
      <c r="N150" s="2089"/>
      <c r="O150" s="2089"/>
      <c r="P150" s="2089"/>
      <c r="Q150" s="2089"/>
      <c r="R150" s="2089"/>
      <c r="S150" s="2089"/>
      <c r="T150" s="2089"/>
      <c r="U150" s="2089"/>
      <c r="V150" s="2089"/>
      <c r="W150" s="2089"/>
      <c r="X150" s="2089"/>
      <c r="Y150" s="2089"/>
      <c r="Z150" s="2089"/>
      <c r="AA150" s="2089"/>
      <c r="AB150" s="2089"/>
      <c r="AC150" s="2089"/>
      <c r="AD150" s="2089"/>
      <c r="AE150" s="2089"/>
      <c r="AF150" s="2089"/>
      <c r="AG150" s="2089"/>
      <c r="AH150" s="2089"/>
      <c r="AI150" s="2089"/>
      <c r="AJ150" s="2089"/>
      <c r="AK150" s="2089"/>
      <c r="AL150" s="2089"/>
      <c r="AM150" s="2089"/>
      <c r="AN150" s="2089"/>
      <c r="AO150" s="2089"/>
      <c r="AP150" s="2089"/>
      <c r="AQ150" s="2089"/>
      <c r="AR150" s="2089"/>
      <c r="AS150" s="2089"/>
      <c r="AT150" s="2089"/>
      <c r="AU150" s="2089"/>
      <c r="AV150" s="2089"/>
      <c r="AW150" s="2089"/>
      <c r="AX150" s="2090"/>
      <c r="AY150" s="1190"/>
      <c r="AZ150" s="1190"/>
      <c r="BA150" s="1190"/>
      <c r="BB150" s="1190"/>
      <c r="BC150" s="1190"/>
      <c r="BD150" s="1190"/>
      <c r="BE150" s="1194"/>
    </row>
    <row r="151" spans="1:57" ht="15.75" customHeight="1">
      <c r="A151" s="1190"/>
      <c r="B151" s="2091"/>
      <c r="C151" s="2089"/>
      <c r="D151" s="2089"/>
      <c r="E151" s="2089"/>
      <c r="F151" s="2089"/>
      <c r="G151" s="2089"/>
      <c r="H151" s="2089"/>
      <c r="I151" s="2089"/>
      <c r="J151" s="2089"/>
      <c r="K151" s="2089"/>
      <c r="L151" s="2089"/>
      <c r="M151" s="2089"/>
      <c r="N151" s="2089"/>
      <c r="O151" s="2089"/>
      <c r="P151" s="2089"/>
      <c r="Q151" s="2089"/>
      <c r="R151" s="2089"/>
      <c r="S151" s="2089"/>
      <c r="T151" s="2089"/>
      <c r="U151" s="2089"/>
      <c r="V151" s="2089"/>
      <c r="W151" s="2089"/>
      <c r="X151" s="2089"/>
      <c r="Y151" s="2089"/>
      <c r="Z151" s="2089"/>
      <c r="AA151" s="2089"/>
      <c r="AB151" s="2089"/>
      <c r="AC151" s="2089"/>
      <c r="AD151" s="2089"/>
      <c r="AE151" s="2089"/>
      <c r="AF151" s="2089"/>
      <c r="AG151" s="2089"/>
      <c r="AH151" s="2089"/>
      <c r="AI151" s="2089"/>
      <c r="AJ151" s="2089"/>
      <c r="AK151" s="2089"/>
      <c r="AL151" s="2089"/>
      <c r="AM151" s="2089"/>
      <c r="AN151" s="2089"/>
      <c r="AO151" s="2089"/>
      <c r="AP151" s="2089"/>
      <c r="AQ151" s="2089"/>
      <c r="AR151" s="2089"/>
      <c r="AS151" s="2089"/>
      <c r="AT151" s="2089"/>
      <c r="AU151" s="2089"/>
      <c r="AV151" s="2089"/>
      <c r="AW151" s="2089"/>
      <c r="AX151" s="2090"/>
      <c r="AY151" s="1190"/>
      <c r="AZ151" s="1190"/>
      <c r="BA151" s="1190"/>
      <c r="BB151" s="1190"/>
      <c r="BC151" s="1190"/>
      <c r="BD151" s="1190"/>
      <c r="BE151" s="1194"/>
    </row>
    <row r="152" spans="1:57" ht="15.75" customHeight="1" thickBot="1">
      <c r="A152" s="1190"/>
      <c r="B152" s="2092"/>
      <c r="C152" s="2093"/>
      <c r="D152" s="2093"/>
      <c r="E152" s="2093"/>
      <c r="F152" s="2093"/>
      <c r="G152" s="2093"/>
      <c r="H152" s="2093"/>
      <c r="I152" s="2093"/>
      <c r="J152" s="2093"/>
      <c r="K152" s="2093"/>
      <c r="L152" s="2093"/>
      <c r="M152" s="2093"/>
      <c r="N152" s="2093"/>
      <c r="O152" s="2093"/>
      <c r="P152" s="2093"/>
      <c r="Q152" s="2093"/>
      <c r="R152" s="2093"/>
      <c r="S152" s="2093"/>
      <c r="T152" s="2093"/>
      <c r="U152" s="2093"/>
      <c r="V152" s="2093"/>
      <c r="W152" s="2093"/>
      <c r="X152" s="2093"/>
      <c r="Y152" s="2093"/>
      <c r="Z152" s="2093"/>
      <c r="AA152" s="2093"/>
      <c r="AB152" s="2093"/>
      <c r="AC152" s="2093"/>
      <c r="AD152" s="2093"/>
      <c r="AE152" s="2093"/>
      <c r="AF152" s="2093"/>
      <c r="AG152" s="2093"/>
      <c r="AH152" s="2093"/>
      <c r="AI152" s="2093"/>
      <c r="AJ152" s="2093"/>
      <c r="AK152" s="2093"/>
      <c r="AL152" s="2093"/>
      <c r="AM152" s="2093"/>
      <c r="AN152" s="2093"/>
      <c r="AO152" s="2093"/>
      <c r="AP152" s="2093"/>
      <c r="AQ152" s="2093"/>
      <c r="AR152" s="2093"/>
      <c r="AS152" s="2093"/>
      <c r="AT152" s="2093"/>
      <c r="AU152" s="2093"/>
      <c r="AV152" s="2093"/>
      <c r="AW152" s="2093"/>
      <c r="AX152" s="2094"/>
      <c r="AY152" s="1190"/>
      <c r="AZ152" s="1190"/>
      <c r="BA152" s="1190"/>
      <c r="BB152" s="1190"/>
      <c r="BC152" s="1190"/>
      <c r="BD152" s="1190"/>
      <c r="BE152" s="1194"/>
    </row>
    <row r="153" spans="1:57" ht="15.75" customHeight="1" thickBot="1">
      <c r="A153" s="1190"/>
      <c r="B153" s="1190"/>
      <c r="C153" s="1190"/>
      <c r="D153" s="1190"/>
      <c r="E153" s="1190"/>
      <c r="F153" s="1190"/>
      <c r="G153" s="1190"/>
      <c r="H153" s="1190"/>
      <c r="I153" s="1190"/>
      <c r="J153" s="1190"/>
      <c r="K153" s="1190"/>
      <c r="L153" s="1190"/>
      <c r="M153" s="1190"/>
      <c r="N153" s="1190"/>
      <c r="O153" s="1190"/>
      <c r="P153" s="1190"/>
      <c r="Q153" s="1190"/>
      <c r="R153" s="1190"/>
      <c r="S153" s="1190"/>
      <c r="T153" s="1190"/>
      <c r="U153" s="1190"/>
      <c r="V153" s="1190"/>
      <c r="W153" s="1190"/>
      <c r="X153" s="1190"/>
      <c r="Y153" s="1190"/>
      <c r="Z153" s="1190"/>
      <c r="AA153" s="1190"/>
      <c r="AB153" s="1190"/>
      <c r="AC153" s="1190"/>
      <c r="AD153" s="1190"/>
      <c r="AE153" s="1190"/>
      <c r="AF153" s="1190"/>
      <c r="AG153" s="1190"/>
      <c r="AH153" s="1190"/>
      <c r="AI153" s="1190"/>
      <c r="AJ153" s="1190"/>
      <c r="AK153" s="1190"/>
      <c r="AL153" s="1190"/>
      <c r="AM153" s="1190"/>
      <c r="AN153" s="1190"/>
      <c r="AO153" s="1190"/>
      <c r="AP153" s="1190"/>
      <c r="AQ153" s="1190"/>
      <c r="AR153" s="1190"/>
      <c r="AS153" s="1190"/>
      <c r="AT153" s="1190"/>
      <c r="AU153" s="1190"/>
      <c r="AV153" s="1190"/>
      <c r="AW153" s="1190"/>
      <c r="AX153" s="1190"/>
      <c r="AY153" s="1190"/>
      <c r="AZ153" s="1190"/>
      <c r="BA153" s="1190"/>
      <c r="BB153" s="1190"/>
      <c r="BC153" s="1190"/>
      <c r="BD153" s="1190"/>
      <c r="BE153" s="1194"/>
    </row>
    <row r="154" spans="1:57" ht="15.75" customHeight="1" thickBot="1">
      <c r="A154" s="1190"/>
      <c r="B154" s="1209" t="s">
        <v>2352</v>
      </c>
      <c r="C154" s="1210"/>
      <c r="D154" s="1210"/>
      <c r="E154" s="1210"/>
      <c r="F154" s="1210"/>
      <c r="G154" s="1210"/>
      <c r="H154" s="1210"/>
      <c r="I154" s="1210"/>
      <c r="J154" s="1210"/>
      <c r="K154" s="1210"/>
      <c r="L154" s="1210"/>
      <c r="M154" s="1211"/>
      <c r="N154" s="1195"/>
      <c r="O154" s="1195"/>
      <c r="P154" s="1190"/>
      <c r="Q154" s="1190"/>
      <c r="R154" s="1190"/>
      <c r="S154" s="1190"/>
      <c r="T154" s="1190"/>
      <c r="U154" s="1190" t="s">
        <v>249</v>
      </c>
      <c r="V154" s="1190"/>
      <c r="W154" s="1190"/>
      <c r="X154" s="1209" t="s">
        <v>2351</v>
      </c>
      <c r="Y154" s="1210"/>
      <c r="Z154" s="1210"/>
      <c r="AA154" s="1210"/>
      <c r="AB154" s="1210"/>
      <c r="AC154" s="1210"/>
      <c r="AD154" s="1210"/>
      <c r="AE154" s="1210"/>
      <c r="AF154" s="1210"/>
      <c r="AG154" s="1210"/>
      <c r="AH154" s="1210"/>
      <c r="AI154" s="1210"/>
      <c r="AJ154" s="1210"/>
      <c r="AK154" s="1204"/>
      <c r="AL154" s="1204"/>
      <c r="AM154" s="1205"/>
      <c r="AN154" s="1190"/>
      <c r="AO154" s="1190"/>
      <c r="AP154" s="1190"/>
      <c r="AQ154" s="1190"/>
      <c r="AR154" s="1190"/>
      <c r="AS154" s="1190"/>
      <c r="AT154" s="1190"/>
      <c r="AU154" s="1190"/>
      <c r="AV154" s="1190"/>
      <c r="AW154" s="1190"/>
      <c r="AX154" s="1190"/>
      <c r="AY154" s="1190"/>
      <c r="AZ154" s="1190"/>
      <c r="BA154" s="1190"/>
      <c r="BB154" s="1190"/>
      <c r="BC154" s="1190"/>
      <c r="BD154" s="1190"/>
      <c r="BE154" s="1194"/>
    </row>
    <row r="155" spans="1:57" ht="15.75" customHeight="1" thickBot="1">
      <c r="A155" s="1190"/>
      <c r="B155" s="1190"/>
      <c r="C155" s="1190"/>
      <c r="D155" s="1190"/>
      <c r="E155" s="1190"/>
      <c r="F155" s="1190"/>
      <c r="G155" s="1190"/>
      <c r="H155" s="1190"/>
      <c r="I155" s="1190"/>
      <c r="J155" s="1190"/>
      <c r="K155" s="1190"/>
      <c r="L155" s="1190"/>
      <c r="M155" s="1190"/>
      <c r="N155" s="1190"/>
      <c r="O155" s="1190"/>
      <c r="P155" s="1195"/>
      <c r="Q155" s="1190"/>
      <c r="R155" s="1190"/>
      <c r="S155" s="1190"/>
      <c r="T155" s="1190"/>
      <c r="U155" s="1190"/>
      <c r="V155" s="1190"/>
      <c r="W155" s="1190"/>
      <c r="X155" s="1190"/>
      <c r="Y155" s="1190"/>
      <c r="Z155" s="1190"/>
      <c r="AA155" s="1190"/>
      <c r="AB155" s="1190"/>
      <c r="AC155" s="1190"/>
      <c r="AD155" s="1190"/>
      <c r="AE155" s="1190"/>
      <c r="AF155" s="1190"/>
      <c r="AG155" s="1190"/>
      <c r="AH155" s="1190"/>
      <c r="AI155" s="1190"/>
      <c r="AJ155" s="1190"/>
      <c r="AK155" s="1190"/>
      <c r="AL155" s="1190"/>
      <c r="AM155" s="1190"/>
      <c r="AN155" s="1190"/>
      <c r="AO155" s="1190"/>
      <c r="AP155" s="1190"/>
      <c r="AQ155" s="1190"/>
      <c r="AR155" s="1190"/>
      <c r="AS155" s="1190"/>
      <c r="AT155" s="1190"/>
      <c r="AU155" s="1190"/>
      <c r="AV155" s="1190"/>
      <c r="AW155" s="1190"/>
      <c r="AX155" s="1190"/>
      <c r="AY155" s="1190"/>
      <c r="AZ155" s="1190"/>
      <c r="BA155" s="1190"/>
      <c r="BB155" s="1190"/>
      <c r="BC155" s="1190"/>
      <c r="BD155" s="1190"/>
      <c r="BE155" s="1194"/>
    </row>
    <row r="156" spans="1:57" ht="15.75" customHeight="1">
      <c r="A156" s="1190"/>
      <c r="B156" s="2071" t="s">
        <v>2350</v>
      </c>
      <c r="C156" s="2027"/>
      <c r="D156" s="2027"/>
      <c r="E156" s="2027"/>
      <c r="F156" s="2027"/>
      <c r="G156" s="2027"/>
      <c r="H156" s="2027"/>
      <c r="I156" s="2027"/>
      <c r="J156" s="2027"/>
      <c r="K156" s="2027"/>
      <c r="L156" s="2027"/>
      <c r="M156" s="2027"/>
      <c r="N156" s="2027"/>
      <c r="O156" s="2027"/>
      <c r="P156" s="2027"/>
      <c r="Q156" s="2027"/>
      <c r="R156" s="2027"/>
      <c r="S156" s="2027"/>
      <c r="T156" s="2027"/>
      <c r="U156" s="2028"/>
      <c r="V156" s="1190"/>
      <c r="W156" s="1192"/>
      <c r="X156" s="2071" t="s">
        <v>2349</v>
      </c>
      <c r="Y156" s="2027"/>
      <c r="Z156" s="2027"/>
      <c r="AA156" s="2027"/>
      <c r="AB156" s="2027"/>
      <c r="AC156" s="2027"/>
      <c r="AD156" s="2027"/>
      <c r="AE156" s="2027"/>
      <c r="AF156" s="2027"/>
      <c r="AG156" s="2027"/>
      <c r="AH156" s="2027"/>
      <c r="AI156" s="2027"/>
      <c r="AJ156" s="2027"/>
      <c r="AK156" s="2027"/>
      <c r="AL156" s="2027"/>
      <c r="AM156" s="2027"/>
      <c r="AN156" s="2027"/>
      <c r="AO156" s="2027"/>
      <c r="AP156" s="2027"/>
      <c r="AQ156" s="2028"/>
      <c r="AR156" s="1190"/>
      <c r="AS156" s="1190"/>
      <c r="AT156" s="1190"/>
      <c r="AU156" s="1190"/>
      <c r="AV156" s="1190"/>
      <c r="AW156" s="1190"/>
      <c r="AX156" s="1190"/>
      <c r="AY156" s="1190"/>
      <c r="AZ156" s="1190"/>
      <c r="BA156" s="1190"/>
      <c r="BB156" s="1190"/>
      <c r="BC156" s="1190"/>
      <c r="BD156" s="1190"/>
      <c r="BE156" s="1194"/>
    </row>
    <row r="157" spans="1:57" ht="15.75" customHeight="1">
      <c r="A157" s="1190"/>
      <c r="B157" s="2039"/>
      <c r="C157" s="2040"/>
      <c r="D157" s="2040"/>
      <c r="E157" s="2040"/>
      <c r="F157" s="2040"/>
      <c r="G157" s="2040"/>
      <c r="H157" s="2040"/>
      <c r="I157" s="2077" t="s">
        <v>2347</v>
      </c>
      <c r="J157" s="2077"/>
      <c r="K157" s="2077"/>
      <c r="L157" s="2077"/>
      <c r="M157" s="2077"/>
      <c r="N157" s="2077"/>
      <c r="O157" s="2077"/>
      <c r="P157" s="2077" t="s">
        <v>2348</v>
      </c>
      <c r="Q157" s="2077"/>
      <c r="R157" s="2077"/>
      <c r="S157" s="2077"/>
      <c r="T157" s="2077"/>
      <c r="U157" s="2078"/>
      <c r="V157" s="1190"/>
      <c r="W157" s="1190"/>
      <c r="X157" s="2039"/>
      <c r="Y157" s="2040"/>
      <c r="Z157" s="2040"/>
      <c r="AA157" s="2040"/>
      <c r="AB157" s="2040"/>
      <c r="AC157" s="2040"/>
      <c r="AD157" s="2040"/>
      <c r="AE157" s="2077" t="s">
        <v>2347</v>
      </c>
      <c r="AF157" s="2077"/>
      <c r="AG157" s="2077"/>
      <c r="AH157" s="2077"/>
      <c r="AI157" s="2077"/>
      <c r="AJ157" s="2077"/>
      <c r="AK157" s="2077"/>
      <c r="AL157" s="2077" t="s">
        <v>2346</v>
      </c>
      <c r="AM157" s="2077"/>
      <c r="AN157" s="2077"/>
      <c r="AO157" s="2077"/>
      <c r="AP157" s="2077"/>
      <c r="AQ157" s="2078"/>
      <c r="AR157" s="1190"/>
      <c r="AS157" s="1190"/>
      <c r="AT157" s="1190"/>
      <c r="AU157" s="1190"/>
      <c r="AV157" s="1190"/>
      <c r="AW157" s="1190"/>
      <c r="AX157" s="1190"/>
      <c r="AY157" s="1190"/>
      <c r="AZ157" s="1190"/>
      <c r="BA157" s="1190"/>
      <c r="BB157" s="1190"/>
      <c r="BC157" s="1190"/>
      <c r="BD157" s="1190"/>
      <c r="BE157" s="1194"/>
    </row>
    <row r="158" spans="1:57" ht="15.75" customHeight="1">
      <c r="A158" s="1190"/>
      <c r="B158" s="2039"/>
      <c r="C158" s="2040"/>
      <c r="D158" s="2040"/>
      <c r="E158" s="2040"/>
      <c r="F158" s="2040"/>
      <c r="G158" s="2040"/>
      <c r="H158" s="2040"/>
      <c r="I158" s="2077"/>
      <c r="J158" s="2077"/>
      <c r="K158" s="2077"/>
      <c r="L158" s="2077"/>
      <c r="M158" s="2077"/>
      <c r="N158" s="2077"/>
      <c r="O158" s="2077"/>
      <c r="P158" s="2077"/>
      <c r="Q158" s="2077"/>
      <c r="R158" s="2077"/>
      <c r="S158" s="2077"/>
      <c r="T158" s="2077"/>
      <c r="U158" s="2078"/>
      <c r="V158" s="1190"/>
      <c r="W158" s="1190"/>
      <c r="X158" s="2039"/>
      <c r="Y158" s="2040"/>
      <c r="Z158" s="2040"/>
      <c r="AA158" s="2040"/>
      <c r="AB158" s="2040"/>
      <c r="AC158" s="2040"/>
      <c r="AD158" s="2040"/>
      <c r="AE158" s="2077"/>
      <c r="AF158" s="2077"/>
      <c r="AG158" s="2077"/>
      <c r="AH158" s="2077"/>
      <c r="AI158" s="2077"/>
      <c r="AJ158" s="2077"/>
      <c r="AK158" s="2077"/>
      <c r="AL158" s="2077"/>
      <c r="AM158" s="2077"/>
      <c r="AN158" s="2077"/>
      <c r="AO158" s="2077"/>
      <c r="AP158" s="2077"/>
      <c r="AQ158" s="2078"/>
      <c r="AR158" s="1190"/>
      <c r="AS158" s="1190"/>
      <c r="AT158" s="1190"/>
      <c r="AU158" s="1190"/>
      <c r="AV158" s="1190"/>
      <c r="AW158" s="1190"/>
      <c r="AX158" s="1190"/>
      <c r="AY158" s="1190"/>
      <c r="AZ158" s="1190"/>
      <c r="BA158" s="1190"/>
      <c r="BB158" s="1190"/>
      <c r="BC158" s="1190"/>
      <c r="BD158" s="1190"/>
      <c r="BE158" s="1194"/>
    </row>
    <row r="159" spans="1:57" ht="15.75" customHeight="1" thickBot="1">
      <c r="A159" s="1190"/>
      <c r="B159" s="2073" t="s">
        <v>2345</v>
      </c>
      <c r="C159" s="2074"/>
      <c r="D159" s="2074"/>
      <c r="E159" s="2074"/>
      <c r="F159" s="2074"/>
      <c r="G159" s="2074"/>
      <c r="H159" s="2074"/>
      <c r="I159" s="2075">
        <v>9</v>
      </c>
      <c r="J159" s="2075"/>
      <c r="K159" s="2075"/>
      <c r="L159" s="2075"/>
      <c r="M159" s="2075"/>
      <c r="N159" s="2075"/>
      <c r="O159" s="2075"/>
      <c r="P159" s="2075">
        <v>13</v>
      </c>
      <c r="Q159" s="2075"/>
      <c r="R159" s="2075"/>
      <c r="S159" s="2075"/>
      <c r="T159" s="2075"/>
      <c r="U159" s="2076"/>
      <c r="V159" s="1190"/>
      <c r="W159" s="1190"/>
      <c r="X159" s="2067" t="s">
        <v>2345</v>
      </c>
      <c r="Y159" s="2068"/>
      <c r="Z159" s="2068"/>
      <c r="AA159" s="2068"/>
      <c r="AB159" s="2068"/>
      <c r="AC159" s="2068"/>
      <c r="AD159" s="2068"/>
      <c r="AE159" s="2069">
        <v>15</v>
      </c>
      <c r="AF159" s="2069"/>
      <c r="AG159" s="2069"/>
      <c r="AH159" s="2069"/>
      <c r="AI159" s="2069"/>
      <c r="AJ159" s="2069"/>
      <c r="AK159" s="2069"/>
      <c r="AL159" s="2069">
        <v>13</v>
      </c>
      <c r="AM159" s="2069"/>
      <c r="AN159" s="2069"/>
      <c r="AO159" s="2069"/>
      <c r="AP159" s="2069"/>
      <c r="AQ159" s="2070"/>
      <c r="AR159" s="1190"/>
      <c r="AS159" s="1190"/>
      <c r="AT159" s="1190"/>
      <c r="AU159" s="1190"/>
      <c r="AV159" s="1190"/>
      <c r="AW159" s="1190"/>
      <c r="AX159" s="1190"/>
      <c r="AY159" s="1190"/>
      <c r="AZ159" s="1190"/>
      <c r="BA159" s="1190"/>
      <c r="BB159" s="1190"/>
      <c r="BC159" s="1190"/>
      <c r="BD159" s="1190"/>
      <c r="BE159" s="1194"/>
    </row>
    <row r="160" spans="1:57" ht="15.75" customHeight="1" thickBot="1">
      <c r="A160" s="1190"/>
      <c r="B160" s="2067" t="s">
        <v>2344</v>
      </c>
      <c r="C160" s="2068"/>
      <c r="D160" s="2068"/>
      <c r="E160" s="2068"/>
      <c r="F160" s="2068"/>
      <c r="G160" s="2068"/>
      <c r="H160" s="2068"/>
      <c r="I160" s="2069">
        <v>29</v>
      </c>
      <c r="J160" s="2069"/>
      <c r="K160" s="2069"/>
      <c r="L160" s="2069"/>
      <c r="M160" s="2069"/>
      <c r="N160" s="2069"/>
      <c r="O160" s="2069"/>
      <c r="P160" s="2069">
        <v>12</v>
      </c>
      <c r="Q160" s="2069"/>
      <c r="R160" s="2069"/>
      <c r="S160" s="2069"/>
      <c r="T160" s="2069"/>
      <c r="U160" s="2070"/>
      <c r="V160" s="1190"/>
      <c r="W160" s="1190"/>
      <c r="X160" s="1190"/>
      <c r="Y160" s="1190"/>
      <c r="Z160" s="1190"/>
      <c r="AA160" s="1190"/>
      <c r="AB160" s="1190"/>
      <c r="AC160" s="1190"/>
      <c r="AD160" s="1190"/>
      <c r="AE160" s="1190"/>
      <c r="AF160" s="1190"/>
      <c r="AG160" s="1190"/>
      <c r="AH160" s="1190"/>
      <c r="AI160" s="1190"/>
      <c r="AJ160" s="1190"/>
      <c r="AK160" s="1190"/>
      <c r="AL160" s="1190"/>
      <c r="AM160" s="1190"/>
      <c r="AN160" s="1190"/>
      <c r="AO160" s="1190"/>
      <c r="AP160" s="1190"/>
      <c r="AQ160" s="1190"/>
      <c r="AR160" s="1190"/>
      <c r="AS160" s="1190"/>
      <c r="AT160" s="1190"/>
      <c r="AU160" s="1190"/>
      <c r="AV160" s="1190"/>
      <c r="AW160" s="1190"/>
      <c r="AX160" s="1190"/>
      <c r="AY160" s="1190"/>
      <c r="AZ160" s="1190"/>
      <c r="BA160" s="1190"/>
      <c r="BB160" s="1190"/>
      <c r="BC160" s="1190"/>
      <c r="BD160" s="1190"/>
      <c r="BE160" s="1194"/>
    </row>
    <row r="161" spans="1:57" ht="15.75" customHeight="1" thickBot="1">
      <c r="A161" s="1190"/>
      <c r="B161" s="1190"/>
      <c r="C161" s="1190"/>
      <c r="D161" s="1190"/>
      <c r="E161" s="1190"/>
      <c r="F161" s="1190"/>
      <c r="G161" s="1190"/>
      <c r="H161" s="1190"/>
      <c r="I161" s="1190"/>
      <c r="J161" s="1190"/>
      <c r="K161" s="1190"/>
      <c r="L161" s="1190"/>
      <c r="M161" s="1190"/>
      <c r="N161" s="1190"/>
      <c r="O161" s="1190"/>
      <c r="P161" s="1190"/>
      <c r="Q161" s="1190"/>
      <c r="R161" s="1190"/>
      <c r="S161" s="1190"/>
      <c r="T161" s="1190"/>
      <c r="U161" s="1190"/>
      <c r="V161" s="1190"/>
      <c r="W161" s="1190"/>
      <c r="X161" s="1190"/>
      <c r="Y161" s="1190"/>
      <c r="Z161" s="1190"/>
      <c r="AA161" s="1190"/>
      <c r="AB161" s="1190"/>
      <c r="AC161" s="1190"/>
      <c r="AD161" s="1190"/>
      <c r="AE161" s="1190"/>
      <c r="AF161" s="1190"/>
      <c r="AG161" s="1190"/>
      <c r="AH161" s="1190"/>
      <c r="AI161" s="1190"/>
      <c r="AJ161" s="1190"/>
      <c r="AK161" s="1190"/>
      <c r="AL161" s="1190"/>
      <c r="AM161" s="1190"/>
      <c r="AN161" s="1190"/>
      <c r="AO161" s="1190"/>
      <c r="AP161" s="1190"/>
      <c r="AQ161" s="1190"/>
      <c r="AR161" s="1190"/>
      <c r="AS161" s="1190"/>
      <c r="AT161" s="1190"/>
      <c r="AU161" s="1190"/>
      <c r="AV161" s="1190"/>
      <c r="AW161" s="1190"/>
      <c r="AX161" s="1190"/>
      <c r="AY161" s="1190"/>
      <c r="AZ161" s="1190"/>
      <c r="BA161" s="1190"/>
      <c r="BB161" s="1190"/>
      <c r="BC161" s="1190"/>
      <c r="BD161" s="1190"/>
      <c r="BE161" s="1194"/>
    </row>
    <row r="162" spans="1:57" ht="15.75" customHeight="1">
      <c r="A162" s="1190"/>
      <c r="B162" s="1190"/>
      <c r="C162" s="2071" t="s">
        <v>2343</v>
      </c>
      <c r="D162" s="2027"/>
      <c r="E162" s="2027"/>
      <c r="F162" s="2027"/>
      <c r="G162" s="2027"/>
      <c r="H162" s="2027"/>
      <c r="I162" s="2027"/>
      <c r="J162" s="2027"/>
      <c r="K162" s="2027"/>
      <c r="L162" s="2027"/>
      <c r="M162" s="2027"/>
      <c r="N162" s="2027"/>
      <c r="O162" s="2027"/>
      <c r="P162" s="2027"/>
      <c r="Q162" s="2027"/>
      <c r="R162" s="2027"/>
      <c r="S162" s="2027"/>
      <c r="T162" s="2027"/>
      <c r="U162" s="2027"/>
      <c r="V162" s="2027"/>
      <c r="W162" s="2027"/>
      <c r="X162" s="2027"/>
      <c r="Y162" s="2027"/>
      <c r="Z162" s="2027"/>
      <c r="AA162" s="2027"/>
      <c r="AB162" s="2027"/>
      <c r="AC162" s="2027"/>
      <c r="AD162" s="2027"/>
      <c r="AE162" s="2027"/>
      <c r="AF162" s="2027"/>
      <c r="AG162" s="2028"/>
      <c r="AH162" s="1190"/>
      <c r="AI162" s="1190"/>
      <c r="AJ162" s="1190"/>
      <c r="AK162" s="1190"/>
      <c r="AL162" s="1190"/>
      <c r="AM162" s="1190"/>
      <c r="AN162" s="1190"/>
      <c r="AO162" s="1190"/>
      <c r="AP162" s="1190"/>
      <c r="AQ162" s="1190"/>
      <c r="AR162" s="1190"/>
      <c r="AS162" s="1190"/>
      <c r="AT162" s="1190"/>
      <c r="AU162" s="1190"/>
      <c r="AV162" s="1190"/>
      <c r="AW162" s="1190"/>
      <c r="AX162" s="1190"/>
      <c r="AY162" s="1190"/>
      <c r="AZ162" s="1190"/>
      <c r="BA162" s="1190"/>
      <c r="BB162" s="1190"/>
      <c r="BC162" s="1190"/>
      <c r="BD162" s="1190"/>
      <c r="BE162" s="1194"/>
    </row>
    <row r="163" spans="1:57" ht="15.75" customHeight="1">
      <c r="A163" s="1190"/>
      <c r="B163" s="1190"/>
      <c r="C163" s="2039" t="s">
        <v>2328</v>
      </c>
      <c r="D163" s="2040"/>
      <c r="E163" s="2040"/>
      <c r="F163" s="2040"/>
      <c r="G163" s="2040"/>
      <c r="H163" s="2040"/>
      <c r="I163" s="2040"/>
      <c r="J163" s="2040"/>
      <c r="K163" s="2040"/>
      <c r="L163" s="2040"/>
      <c r="M163" s="2040"/>
      <c r="N163" s="2040"/>
      <c r="O163" s="2040"/>
      <c r="P163" s="2040"/>
      <c r="Q163" s="2040" t="s">
        <v>2342</v>
      </c>
      <c r="R163" s="2040"/>
      <c r="S163" s="2040"/>
      <c r="T163" s="2072" t="s">
        <v>2341</v>
      </c>
      <c r="U163" s="2072"/>
      <c r="V163" s="2072"/>
      <c r="W163" s="2072"/>
      <c r="X163" s="2072"/>
      <c r="Y163" s="2072"/>
      <c r="Z163" s="2072"/>
      <c r="AA163" s="2072"/>
      <c r="AB163" s="2040" t="s">
        <v>2340</v>
      </c>
      <c r="AC163" s="2040"/>
      <c r="AD163" s="2040"/>
      <c r="AE163" s="2040"/>
      <c r="AF163" s="2040"/>
      <c r="AG163" s="2041"/>
      <c r="AH163" s="1190"/>
      <c r="AI163" s="1190"/>
      <c r="AJ163" s="1190"/>
      <c r="AK163" s="1190"/>
      <c r="AL163" s="1190"/>
      <c r="AM163" s="1190"/>
      <c r="AN163" s="1190"/>
      <c r="AO163" s="1190"/>
      <c r="AP163" s="1190"/>
      <c r="AQ163" s="1190"/>
      <c r="AR163" s="1190"/>
      <c r="AS163" s="1190"/>
      <c r="AT163" s="1190"/>
      <c r="AU163" s="1190"/>
      <c r="AV163" s="1190"/>
      <c r="AW163" s="1190"/>
      <c r="AX163" s="1190"/>
      <c r="AY163" s="1190"/>
      <c r="AZ163" s="1190"/>
      <c r="BA163" s="1190"/>
      <c r="BB163" s="1190"/>
      <c r="BC163" s="1190"/>
      <c r="BD163" s="1190"/>
      <c r="BE163" s="1194"/>
    </row>
    <row r="164" spans="1:57" ht="15.75" customHeight="1">
      <c r="A164" s="1190"/>
      <c r="B164" s="1190"/>
      <c r="C164" s="2054" t="s">
        <v>2339</v>
      </c>
      <c r="D164" s="2055"/>
      <c r="E164" s="2055"/>
      <c r="F164" s="2055"/>
      <c r="G164" s="2055"/>
      <c r="H164" s="2055"/>
      <c r="I164" s="2055"/>
      <c r="J164" s="2055"/>
      <c r="K164" s="2055"/>
      <c r="L164" s="2055"/>
      <c r="M164" s="2055"/>
      <c r="N164" s="2055"/>
      <c r="O164" s="2055"/>
      <c r="P164" s="2055"/>
      <c r="Q164" s="1997"/>
      <c r="R164" s="1997"/>
      <c r="S164" s="1997"/>
      <c r="T164" s="2048"/>
      <c r="U164" s="2048"/>
      <c r="V164" s="2048"/>
      <c r="W164" s="2048"/>
      <c r="X164" s="2048"/>
      <c r="Y164" s="2048"/>
      <c r="Z164" s="2048"/>
      <c r="AA164" s="2048"/>
      <c r="AB164" s="1226"/>
      <c r="AC164" s="1226"/>
      <c r="AD164" s="1226"/>
      <c r="AE164" s="1226"/>
      <c r="AF164" s="1226"/>
      <c r="AG164" s="1227"/>
      <c r="AH164" s="1190"/>
      <c r="AI164" s="1190"/>
      <c r="AJ164" s="1190"/>
      <c r="AK164" s="1190"/>
      <c r="AL164" s="1190"/>
      <c r="AM164" s="1190"/>
      <c r="AN164" s="1190"/>
      <c r="AO164" s="1190"/>
      <c r="AP164" s="1190" t="s">
        <v>249</v>
      </c>
      <c r="AQ164" s="1190"/>
      <c r="AR164" s="1190"/>
      <c r="AS164" s="1190"/>
      <c r="AT164" s="1190"/>
      <c r="AU164" s="1190"/>
      <c r="AV164" s="1190"/>
      <c r="AW164" s="1190"/>
      <c r="AX164" s="1190"/>
      <c r="AY164" s="1190"/>
      <c r="AZ164" s="1190"/>
      <c r="BA164" s="1190"/>
      <c r="BB164" s="1190"/>
      <c r="BC164" s="1190"/>
      <c r="BD164" s="1190"/>
      <c r="BE164" s="1194"/>
    </row>
    <row r="165" spans="1:57" ht="15.75" customHeight="1">
      <c r="A165" s="1190"/>
      <c r="B165" s="1190"/>
      <c r="C165" s="2054" t="s">
        <v>2338</v>
      </c>
      <c r="D165" s="2055"/>
      <c r="E165" s="2055"/>
      <c r="F165" s="2055"/>
      <c r="G165" s="2055"/>
      <c r="H165" s="2055"/>
      <c r="I165" s="2055"/>
      <c r="J165" s="2055"/>
      <c r="K165" s="2055"/>
      <c r="L165" s="2055"/>
      <c r="M165" s="2055"/>
      <c r="N165" s="2055"/>
      <c r="O165" s="2055"/>
      <c r="P165" s="2055"/>
      <c r="Q165" s="1997">
        <v>55</v>
      </c>
      <c r="R165" s="1997"/>
      <c r="S165" s="1997"/>
      <c r="T165" s="2057">
        <v>45720</v>
      </c>
      <c r="U165" s="2057"/>
      <c r="V165" s="2057"/>
      <c r="W165" s="2057"/>
      <c r="X165" s="2057"/>
      <c r="Y165" s="2057"/>
      <c r="Z165" s="2057"/>
      <c r="AA165" s="2057"/>
      <c r="AB165" s="1226"/>
      <c r="AC165" s="1226"/>
      <c r="AD165" s="1226"/>
      <c r="AE165" s="1226"/>
      <c r="AF165" s="1226"/>
      <c r="AG165" s="1227"/>
      <c r="AH165" s="1190"/>
      <c r="AI165" s="1190"/>
      <c r="AJ165" s="1190"/>
      <c r="AK165" s="1190"/>
      <c r="AL165" s="1190"/>
      <c r="AM165" s="1190"/>
      <c r="AN165" s="1190"/>
      <c r="AO165" s="1190"/>
      <c r="AP165" s="1190"/>
      <c r="AQ165" s="1190"/>
      <c r="AR165" s="1190"/>
      <c r="AS165" s="1190"/>
      <c r="AT165" s="1190"/>
      <c r="AU165" s="1190"/>
      <c r="AV165" s="1190"/>
      <c r="AW165" s="1190"/>
      <c r="AX165" s="1190"/>
      <c r="AY165" s="1190"/>
      <c r="AZ165" s="1190"/>
      <c r="BA165" s="1190"/>
      <c r="BB165" s="1190"/>
      <c r="BC165" s="1190"/>
      <c r="BD165" s="1190"/>
      <c r="BE165" s="1194"/>
    </row>
    <row r="166" spans="1:57" ht="15.75" customHeight="1">
      <c r="A166" s="1190"/>
      <c r="B166" s="1190"/>
      <c r="C166" s="2054" t="s">
        <v>2337</v>
      </c>
      <c r="D166" s="2055"/>
      <c r="E166" s="2055"/>
      <c r="F166" s="2055"/>
      <c r="G166" s="2055"/>
      <c r="H166" s="2055"/>
      <c r="I166" s="2055"/>
      <c r="J166" s="2055"/>
      <c r="K166" s="2055"/>
      <c r="L166" s="2055"/>
      <c r="M166" s="2055"/>
      <c r="N166" s="2055"/>
      <c r="O166" s="2055"/>
      <c r="P166" s="2055"/>
      <c r="Q166" s="1997">
        <v>55</v>
      </c>
      <c r="R166" s="1997"/>
      <c r="S166" s="1997"/>
      <c r="T166" s="2048">
        <v>45720</v>
      </c>
      <c r="U166" s="2048"/>
      <c r="V166" s="2048"/>
      <c r="W166" s="2048"/>
      <c r="X166" s="2048"/>
      <c r="Y166" s="2048"/>
      <c r="Z166" s="2048"/>
      <c r="AA166" s="2048"/>
      <c r="AB166" s="1226"/>
      <c r="AC166" s="1226"/>
      <c r="AD166" s="1226"/>
      <c r="AE166" s="1226"/>
      <c r="AF166" s="1226"/>
      <c r="AG166" s="1227"/>
      <c r="AH166" s="1190"/>
      <c r="AI166" s="1190"/>
      <c r="AJ166" s="1190"/>
      <c r="AK166" s="1190"/>
      <c r="AL166" s="1190"/>
      <c r="AM166" s="1190"/>
      <c r="AN166" s="1190"/>
      <c r="AO166" s="1190"/>
      <c r="AP166" s="1190"/>
      <c r="AQ166" s="1190"/>
      <c r="AR166" s="1190"/>
      <c r="AS166" s="1190"/>
      <c r="AT166" s="1190"/>
      <c r="AU166" s="1190"/>
      <c r="AV166" s="1190"/>
      <c r="AW166" s="1190"/>
      <c r="AX166" s="1190"/>
      <c r="AY166" s="1190"/>
      <c r="AZ166" s="1190"/>
      <c r="BA166" s="1190"/>
      <c r="BB166" s="1190"/>
      <c r="BC166" s="1190"/>
      <c r="BD166" s="1190"/>
      <c r="BE166" s="1194"/>
    </row>
    <row r="167" spans="1:57" ht="15.75" customHeight="1">
      <c r="A167" s="1190"/>
      <c r="B167" s="1190"/>
      <c r="C167" s="2054" t="s">
        <v>2336</v>
      </c>
      <c r="D167" s="2055"/>
      <c r="E167" s="2055"/>
      <c r="F167" s="2055"/>
      <c r="G167" s="2055"/>
      <c r="H167" s="2055"/>
      <c r="I167" s="2055"/>
      <c r="J167" s="2055"/>
      <c r="K167" s="2055"/>
      <c r="L167" s="2055"/>
      <c r="M167" s="2055"/>
      <c r="N167" s="2055"/>
      <c r="O167" s="2055"/>
      <c r="P167" s="2055"/>
      <c r="Q167" s="1997">
        <v>55</v>
      </c>
      <c r="R167" s="1997"/>
      <c r="S167" s="1997"/>
      <c r="T167" s="2048">
        <v>45723</v>
      </c>
      <c r="U167" s="2048"/>
      <c r="V167" s="2048"/>
      <c r="W167" s="2048"/>
      <c r="X167" s="2048"/>
      <c r="Y167" s="2048"/>
      <c r="Z167" s="2048"/>
      <c r="AA167" s="2048"/>
      <c r="AB167" s="2058" t="s">
        <v>2740</v>
      </c>
      <c r="AC167" s="2058"/>
      <c r="AD167" s="2058"/>
      <c r="AE167" s="2058"/>
      <c r="AF167" s="2058"/>
      <c r="AG167" s="2059"/>
      <c r="AH167" s="1190"/>
      <c r="AI167" s="1190"/>
      <c r="AJ167" s="1190"/>
      <c r="AK167" s="1190"/>
      <c r="AL167" s="1190"/>
      <c r="AM167" s="1190"/>
      <c r="AN167" s="1190"/>
      <c r="AO167" s="1190"/>
      <c r="AP167" s="1190"/>
      <c r="AQ167" s="1190"/>
      <c r="AR167" s="1190"/>
      <c r="AS167" s="1190"/>
      <c r="AT167" s="1190"/>
      <c r="AU167" s="1190"/>
      <c r="AV167" s="1190"/>
      <c r="AW167" s="1190"/>
      <c r="AX167" s="1190"/>
      <c r="AY167" s="1190"/>
      <c r="AZ167" s="1190"/>
      <c r="BA167" s="1190"/>
      <c r="BB167" s="1190"/>
      <c r="BC167" s="1190"/>
      <c r="BD167" s="1190"/>
      <c r="BE167" s="1194"/>
    </row>
    <row r="168" spans="1:57" ht="15.75" customHeight="1">
      <c r="A168" s="1190"/>
      <c r="B168" s="1190"/>
      <c r="C168" s="2054" t="s">
        <v>169</v>
      </c>
      <c r="D168" s="2055"/>
      <c r="E168" s="2055"/>
      <c r="F168" s="2056" t="s">
        <v>2317</v>
      </c>
      <c r="G168" s="2056"/>
      <c r="H168" s="2056"/>
      <c r="I168" s="2056"/>
      <c r="J168" s="2056"/>
      <c r="K168" s="2056"/>
      <c r="L168" s="2056"/>
      <c r="M168" s="2056"/>
      <c r="N168" s="2056"/>
      <c r="O168" s="2056"/>
      <c r="P168" s="2056"/>
      <c r="Q168" s="1997"/>
      <c r="R168" s="1997"/>
      <c r="S168" s="1997"/>
      <c r="T168" s="2057"/>
      <c r="U168" s="2057"/>
      <c r="V168" s="2057"/>
      <c r="W168" s="2057"/>
      <c r="X168" s="2057"/>
      <c r="Y168" s="2057"/>
      <c r="Z168" s="2057"/>
      <c r="AA168" s="2057"/>
      <c r="AB168" s="2058"/>
      <c r="AC168" s="2058"/>
      <c r="AD168" s="2058"/>
      <c r="AE168" s="2058"/>
      <c r="AF168" s="2058"/>
      <c r="AG168" s="2059"/>
      <c r="AH168" s="1190"/>
      <c r="AI168" s="1190"/>
      <c r="AJ168" s="1190"/>
      <c r="AK168" s="1190"/>
      <c r="AL168" s="1190"/>
      <c r="AM168" s="1190"/>
      <c r="AN168" s="1190"/>
      <c r="AO168" s="1190"/>
      <c r="AP168" s="1190"/>
      <c r="AQ168" s="1190"/>
      <c r="AR168" s="1190"/>
      <c r="AS168" s="1190"/>
      <c r="AT168" s="1190"/>
      <c r="AU168" s="1190"/>
      <c r="AV168" s="1190"/>
      <c r="AW168" s="1190"/>
      <c r="AX168" s="1190"/>
      <c r="AY168" s="1190"/>
      <c r="AZ168" s="1190"/>
      <c r="BA168" s="1190"/>
      <c r="BB168" s="1190"/>
      <c r="BC168" s="1190"/>
      <c r="BD168" s="1190"/>
      <c r="BE168" s="1194"/>
    </row>
    <row r="169" spans="1:57" ht="15.75" customHeight="1">
      <c r="A169" s="1190"/>
      <c r="B169" s="1190"/>
      <c r="C169" s="2054" t="s">
        <v>169</v>
      </c>
      <c r="D169" s="2055"/>
      <c r="E169" s="2055"/>
      <c r="F169" s="2056" t="s">
        <v>2317</v>
      </c>
      <c r="G169" s="2056"/>
      <c r="H169" s="2056"/>
      <c r="I169" s="2056"/>
      <c r="J169" s="2056"/>
      <c r="K169" s="2056"/>
      <c r="L169" s="2056"/>
      <c r="M169" s="2056"/>
      <c r="N169" s="2056"/>
      <c r="O169" s="2056"/>
      <c r="P169" s="2056"/>
      <c r="Q169" s="1997"/>
      <c r="R169" s="1997"/>
      <c r="S169" s="1997"/>
      <c r="T169" s="2057"/>
      <c r="U169" s="2057"/>
      <c r="V169" s="2057"/>
      <c r="W169" s="2057"/>
      <c r="X169" s="2057"/>
      <c r="Y169" s="2057"/>
      <c r="Z169" s="2057"/>
      <c r="AA169" s="2057"/>
      <c r="AB169" s="2058"/>
      <c r="AC169" s="2058"/>
      <c r="AD169" s="2058"/>
      <c r="AE169" s="2058"/>
      <c r="AF169" s="2058"/>
      <c r="AG169" s="2059"/>
      <c r="AH169" s="1190"/>
      <c r="AI169" s="1190"/>
      <c r="AJ169" s="1190"/>
      <c r="AK169" s="1190" t="s">
        <v>249</v>
      </c>
      <c r="AL169" s="1190"/>
      <c r="AM169" s="1190"/>
      <c r="AN169" s="1190"/>
      <c r="AO169" s="1190"/>
      <c r="AP169" s="1190"/>
      <c r="AQ169" s="1190"/>
      <c r="AR169" s="1190"/>
      <c r="AS169" s="1190"/>
      <c r="AT169" s="1190"/>
      <c r="AU169" s="1190"/>
      <c r="AV169" s="1190"/>
      <c r="AW169" s="1190"/>
      <c r="AX169" s="1190"/>
      <c r="AY169" s="1190"/>
      <c r="AZ169" s="1190"/>
      <c r="BA169" s="1190"/>
      <c r="BB169" s="1190"/>
      <c r="BC169" s="1190"/>
      <c r="BD169" s="1190"/>
      <c r="BE169" s="1194"/>
    </row>
    <row r="170" spans="1:57" ht="15.75" customHeight="1" thickBot="1">
      <c r="A170" s="1190"/>
      <c r="B170" s="1190"/>
      <c r="C170" s="2060" t="s">
        <v>169</v>
      </c>
      <c r="D170" s="2061"/>
      <c r="E170" s="2061"/>
      <c r="F170" s="2062" t="s">
        <v>2317</v>
      </c>
      <c r="G170" s="2062"/>
      <c r="H170" s="2062"/>
      <c r="I170" s="2062"/>
      <c r="J170" s="2062"/>
      <c r="K170" s="2062"/>
      <c r="L170" s="2062"/>
      <c r="M170" s="2062"/>
      <c r="N170" s="2062"/>
      <c r="O170" s="2062"/>
      <c r="P170" s="2062"/>
      <c r="Q170" s="2063"/>
      <c r="R170" s="2063"/>
      <c r="S170" s="2063"/>
      <c r="T170" s="2064"/>
      <c r="U170" s="2064"/>
      <c r="V170" s="2064"/>
      <c r="W170" s="2064"/>
      <c r="X170" s="2064"/>
      <c r="Y170" s="2064"/>
      <c r="Z170" s="2064"/>
      <c r="AA170" s="2064"/>
      <c r="AB170" s="2065"/>
      <c r="AC170" s="2065"/>
      <c r="AD170" s="2065"/>
      <c r="AE170" s="2065"/>
      <c r="AF170" s="2065"/>
      <c r="AG170" s="2066"/>
      <c r="AH170" s="1190"/>
      <c r="AI170" s="1190"/>
      <c r="AJ170" s="1190"/>
      <c r="AK170" s="1190"/>
      <c r="AL170" s="1190"/>
      <c r="AM170" s="1190"/>
      <c r="AN170" s="1190"/>
      <c r="AO170" s="1190"/>
      <c r="AP170" s="1190"/>
      <c r="AQ170" s="1190"/>
      <c r="AR170" s="1190"/>
      <c r="AS170" s="1190"/>
      <c r="AT170" s="1190"/>
      <c r="AU170" s="1190"/>
      <c r="AV170" s="1190"/>
      <c r="AW170" s="1190"/>
      <c r="AX170" s="1190"/>
      <c r="AY170" s="1190"/>
      <c r="AZ170" s="1190"/>
      <c r="BA170" s="1190"/>
      <c r="BB170" s="1190"/>
      <c r="BC170" s="1190"/>
      <c r="BD170" s="1190"/>
      <c r="BE170" s="1194"/>
    </row>
    <row r="171" spans="1:57" ht="15.75" customHeight="1" thickBot="1">
      <c r="A171" s="1190"/>
      <c r="B171" s="1190"/>
      <c r="C171" s="1190"/>
      <c r="D171" s="1190"/>
      <c r="E171" s="1190"/>
      <c r="F171" s="1190"/>
      <c r="G171" s="1190"/>
      <c r="H171" s="1190"/>
      <c r="I171" s="1190"/>
      <c r="J171" s="1190"/>
      <c r="K171" s="1190"/>
      <c r="L171" s="1190"/>
      <c r="M171" s="1190"/>
      <c r="N171" s="1190"/>
      <c r="O171" s="1190"/>
      <c r="P171" s="1190"/>
      <c r="Q171" s="1190"/>
      <c r="R171" s="1190"/>
      <c r="S171" s="1190"/>
      <c r="T171" s="1190"/>
      <c r="U171" s="1190"/>
      <c r="V171" s="1190"/>
      <c r="W171" s="1190"/>
      <c r="X171" s="1190"/>
      <c r="Y171" s="1190"/>
      <c r="Z171" s="1190"/>
      <c r="AA171" s="1190"/>
      <c r="AB171" s="1190"/>
      <c r="AC171" s="1190"/>
      <c r="AD171" s="1190"/>
      <c r="AE171" s="1190"/>
      <c r="AF171" s="1190"/>
      <c r="AG171" s="1190"/>
      <c r="AH171" s="1190"/>
      <c r="AI171" s="1190"/>
      <c r="AJ171" s="1190"/>
      <c r="AK171" s="1190"/>
      <c r="AL171" s="1190"/>
      <c r="AM171" s="1190"/>
      <c r="AN171" s="1190"/>
      <c r="AO171" s="1190"/>
      <c r="AP171" s="1190"/>
      <c r="AQ171" s="1190"/>
      <c r="AR171" s="1190"/>
      <c r="AS171" s="1190"/>
      <c r="AT171" s="1190"/>
      <c r="AU171" s="1190"/>
      <c r="AV171" s="1190"/>
      <c r="AW171" s="1190"/>
      <c r="AX171" s="1190"/>
      <c r="AY171" s="1190"/>
      <c r="AZ171" s="1190"/>
      <c r="BA171" s="1190"/>
      <c r="BB171" s="1190"/>
      <c r="BC171" s="1190"/>
      <c r="BD171" s="1190"/>
      <c r="BE171" s="1194"/>
    </row>
    <row r="172" spans="1:57" ht="15.75" customHeight="1">
      <c r="A172" s="1190"/>
      <c r="B172" s="1190"/>
      <c r="C172" s="2025" t="s">
        <v>2335</v>
      </c>
      <c r="D172" s="2026"/>
      <c r="E172" s="2026"/>
      <c r="F172" s="2026"/>
      <c r="G172" s="2026"/>
      <c r="H172" s="2026"/>
      <c r="I172" s="2026"/>
      <c r="J172" s="2026"/>
      <c r="K172" s="2026"/>
      <c r="L172" s="2026"/>
      <c r="M172" s="2026"/>
      <c r="N172" s="2035"/>
      <c r="O172" s="1190"/>
      <c r="P172" s="2036" t="s">
        <v>2334</v>
      </c>
      <c r="Q172" s="2037"/>
      <c r="R172" s="2037"/>
      <c r="S172" s="2037"/>
      <c r="T172" s="2037"/>
      <c r="U172" s="2037"/>
      <c r="V172" s="2037"/>
      <c r="W172" s="2037"/>
      <c r="X172" s="2037"/>
      <c r="Y172" s="2037"/>
      <c r="Z172" s="2037"/>
      <c r="AA172" s="2037"/>
      <c r="AB172" s="2037"/>
      <c r="AC172" s="2037"/>
      <c r="AD172" s="2037"/>
      <c r="AE172" s="2037"/>
      <c r="AF172" s="2037"/>
      <c r="AG172" s="2037"/>
      <c r="AH172" s="2037"/>
      <c r="AI172" s="2037"/>
      <c r="AJ172" s="2037"/>
      <c r="AK172" s="2037"/>
      <c r="AL172" s="2037"/>
      <c r="AM172" s="2037"/>
      <c r="AN172" s="2037"/>
      <c r="AO172" s="2038"/>
      <c r="AP172" s="1190"/>
      <c r="AQ172" s="1190"/>
      <c r="AR172" s="1190"/>
      <c r="AS172" s="1190"/>
      <c r="AT172" s="1190"/>
      <c r="AU172" s="1190"/>
      <c r="AV172" s="1190"/>
      <c r="AW172" s="1190"/>
      <c r="AX172" s="1190"/>
      <c r="AY172" s="1190"/>
      <c r="AZ172" s="1190"/>
      <c r="BA172" s="1190"/>
      <c r="BB172" s="1190"/>
      <c r="BC172" s="1190"/>
      <c r="BD172" s="1190"/>
      <c r="BE172" s="1194"/>
    </row>
    <row r="173" spans="1:57" ht="15.75" customHeight="1">
      <c r="A173" s="1190"/>
      <c r="B173" s="1190"/>
      <c r="C173" s="2039" t="s">
        <v>2333</v>
      </c>
      <c r="D173" s="2040"/>
      <c r="E173" s="2040"/>
      <c r="F173" s="2040"/>
      <c r="G173" s="2040"/>
      <c r="H173" s="2040"/>
      <c r="I173" s="2040" t="s">
        <v>2332</v>
      </c>
      <c r="J173" s="2040"/>
      <c r="K173" s="2040"/>
      <c r="L173" s="2040"/>
      <c r="M173" s="2040"/>
      <c r="N173" s="2041"/>
      <c r="O173" s="1190"/>
      <c r="P173" s="2042" t="s">
        <v>2743</v>
      </c>
      <c r="Q173" s="2043"/>
      <c r="R173" s="2043"/>
      <c r="S173" s="2043"/>
      <c r="T173" s="2043"/>
      <c r="U173" s="2043"/>
      <c r="V173" s="2043"/>
      <c r="W173" s="2043"/>
      <c r="X173" s="2043"/>
      <c r="Y173" s="2043"/>
      <c r="Z173" s="2043"/>
      <c r="AA173" s="2043"/>
      <c r="AB173" s="2043"/>
      <c r="AC173" s="2043"/>
      <c r="AD173" s="2043"/>
      <c r="AE173" s="2043"/>
      <c r="AF173" s="2043"/>
      <c r="AG173" s="2043"/>
      <c r="AH173" s="2043"/>
      <c r="AI173" s="2043"/>
      <c r="AJ173" s="2043"/>
      <c r="AK173" s="2043"/>
      <c r="AL173" s="2043"/>
      <c r="AM173" s="2043"/>
      <c r="AN173" s="2043"/>
      <c r="AO173" s="2044"/>
      <c r="AP173" s="1190"/>
      <c r="AQ173" s="1190"/>
      <c r="AR173" s="1190"/>
      <c r="AS173" s="1190"/>
      <c r="AT173" s="1190"/>
      <c r="AU173" s="1190"/>
      <c r="AV173" s="1190"/>
      <c r="AW173" s="1190"/>
      <c r="AX173" s="1190"/>
      <c r="AY173" s="1190"/>
      <c r="AZ173" s="1190"/>
      <c r="BA173" s="1190"/>
      <c r="BB173" s="1190"/>
      <c r="BC173" s="1190"/>
      <c r="BD173" s="1190"/>
      <c r="BE173" s="1194"/>
    </row>
    <row r="174" spans="1:57" ht="15.75" customHeight="1">
      <c r="A174" s="1190"/>
      <c r="B174" s="1190"/>
      <c r="C174" s="1987" t="s">
        <v>2741</v>
      </c>
      <c r="D174" s="1988"/>
      <c r="E174" s="1988"/>
      <c r="F174" s="1988"/>
      <c r="G174" s="1988"/>
      <c r="H174" s="1988"/>
      <c r="I174" s="2048">
        <v>45707</v>
      </c>
      <c r="J174" s="2048"/>
      <c r="K174" s="2048"/>
      <c r="L174" s="2048"/>
      <c r="M174" s="2048"/>
      <c r="N174" s="2049"/>
      <c r="O174" s="1190"/>
      <c r="P174" s="2042"/>
      <c r="Q174" s="2043"/>
      <c r="R174" s="2043"/>
      <c r="S174" s="2043"/>
      <c r="T174" s="2043"/>
      <c r="U174" s="2043"/>
      <c r="V174" s="2043"/>
      <c r="W174" s="2043"/>
      <c r="X174" s="2043"/>
      <c r="Y174" s="2043"/>
      <c r="Z174" s="2043"/>
      <c r="AA174" s="2043"/>
      <c r="AB174" s="2043"/>
      <c r="AC174" s="2043"/>
      <c r="AD174" s="2043"/>
      <c r="AE174" s="2043"/>
      <c r="AF174" s="2043"/>
      <c r="AG174" s="2043"/>
      <c r="AH174" s="2043"/>
      <c r="AI174" s="2043"/>
      <c r="AJ174" s="2043"/>
      <c r="AK174" s="2043"/>
      <c r="AL174" s="2043"/>
      <c r="AM174" s="2043"/>
      <c r="AN174" s="2043"/>
      <c r="AO174" s="2044"/>
      <c r="AP174" s="1190"/>
      <c r="AQ174" s="1190"/>
      <c r="AR174" s="1190"/>
      <c r="AS174" s="1190"/>
      <c r="AT174" s="1190"/>
      <c r="AU174" s="1190"/>
      <c r="AV174" s="1190"/>
      <c r="AW174" s="1190"/>
      <c r="AX174" s="1190"/>
      <c r="AY174" s="1190"/>
      <c r="AZ174" s="1190"/>
      <c r="BA174" s="1190"/>
      <c r="BB174" s="1190"/>
      <c r="BC174" s="1190"/>
      <c r="BD174" s="1190"/>
      <c r="BE174" s="1194"/>
    </row>
    <row r="175" spans="1:57" ht="15.75" customHeight="1">
      <c r="A175" s="1190"/>
      <c r="B175" s="1190"/>
      <c r="C175" s="1987" t="s">
        <v>2742</v>
      </c>
      <c r="D175" s="1988"/>
      <c r="E175" s="1988"/>
      <c r="F175" s="1988"/>
      <c r="G175" s="1988"/>
      <c r="H175" s="1988"/>
      <c r="I175" s="2048">
        <v>44785</v>
      </c>
      <c r="J175" s="2048"/>
      <c r="K175" s="2048"/>
      <c r="L175" s="2048"/>
      <c r="M175" s="2048"/>
      <c r="N175" s="2049"/>
      <c r="O175" s="1190"/>
      <c r="P175" s="2042"/>
      <c r="Q175" s="2043"/>
      <c r="R175" s="2043"/>
      <c r="S175" s="2043"/>
      <c r="T175" s="2043"/>
      <c r="U175" s="2043"/>
      <c r="V175" s="2043"/>
      <c r="W175" s="2043"/>
      <c r="X175" s="2043"/>
      <c r="Y175" s="2043"/>
      <c r="Z175" s="2043"/>
      <c r="AA175" s="2043"/>
      <c r="AB175" s="2043"/>
      <c r="AC175" s="2043"/>
      <c r="AD175" s="2043"/>
      <c r="AE175" s="2043"/>
      <c r="AF175" s="2043"/>
      <c r="AG175" s="2043"/>
      <c r="AH175" s="2043"/>
      <c r="AI175" s="2043"/>
      <c r="AJ175" s="2043"/>
      <c r="AK175" s="2043"/>
      <c r="AL175" s="2043"/>
      <c r="AM175" s="2043"/>
      <c r="AN175" s="2043"/>
      <c r="AO175" s="2044"/>
      <c r="AP175" s="1190"/>
      <c r="AQ175" s="1190"/>
      <c r="AR175" s="1190"/>
      <c r="AS175" s="1190"/>
      <c r="AT175" s="1190"/>
      <c r="AU175" s="1190"/>
      <c r="AV175" s="1190"/>
      <c r="AW175" s="1190"/>
      <c r="AX175" s="1190"/>
      <c r="AY175" s="1190"/>
      <c r="AZ175" s="1190"/>
      <c r="BA175" s="1190"/>
      <c r="BB175" s="1190"/>
      <c r="BC175" s="1190"/>
      <c r="BD175" s="1190"/>
      <c r="BE175" s="1194"/>
    </row>
    <row r="176" spans="1:57" ht="15.75" customHeight="1">
      <c r="A176" s="1190"/>
      <c r="B176" s="1190"/>
      <c r="C176" s="1987"/>
      <c r="D176" s="1988"/>
      <c r="E176" s="1988"/>
      <c r="F176" s="1988"/>
      <c r="G176" s="1988"/>
      <c r="H176" s="1988"/>
      <c r="I176" s="2048"/>
      <c r="J176" s="2048"/>
      <c r="K176" s="2048"/>
      <c r="L176" s="2048"/>
      <c r="M176" s="2048"/>
      <c r="N176" s="2049"/>
      <c r="O176" s="1190"/>
      <c r="P176" s="2042"/>
      <c r="Q176" s="2043"/>
      <c r="R176" s="2043"/>
      <c r="S176" s="2043"/>
      <c r="T176" s="2043"/>
      <c r="U176" s="2043"/>
      <c r="V176" s="2043"/>
      <c r="W176" s="2043"/>
      <c r="X176" s="2043"/>
      <c r="Y176" s="2043"/>
      <c r="Z176" s="2043"/>
      <c r="AA176" s="2043"/>
      <c r="AB176" s="2043"/>
      <c r="AC176" s="2043"/>
      <c r="AD176" s="2043"/>
      <c r="AE176" s="2043"/>
      <c r="AF176" s="2043"/>
      <c r="AG176" s="2043"/>
      <c r="AH176" s="2043"/>
      <c r="AI176" s="2043"/>
      <c r="AJ176" s="2043"/>
      <c r="AK176" s="2043"/>
      <c r="AL176" s="2043"/>
      <c r="AM176" s="2043"/>
      <c r="AN176" s="2043"/>
      <c r="AO176" s="2044"/>
      <c r="AP176" s="1190"/>
      <c r="AQ176" s="1190"/>
      <c r="AR176" s="1190"/>
      <c r="AS176" s="1190"/>
      <c r="AT176" s="1190"/>
      <c r="AU176" s="1190"/>
      <c r="AV176" s="1190"/>
      <c r="AW176" s="1190"/>
      <c r="AX176" s="1190"/>
      <c r="AY176" s="1190"/>
      <c r="AZ176" s="1190"/>
      <c r="BA176" s="1190"/>
      <c r="BB176" s="1190"/>
      <c r="BC176" s="1190"/>
      <c r="BD176" s="1190"/>
      <c r="BE176" s="1194"/>
    </row>
    <row r="177" spans="1:57" ht="15.75" customHeight="1">
      <c r="A177" s="1190"/>
      <c r="B177" s="1190"/>
      <c r="C177" s="1987"/>
      <c r="D177" s="1988"/>
      <c r="E177" s="1988"/>
      <c r="F177" s="1988"/>
      <c r="G177" s="1988"/>
      <c r="H177" s="1988"/>
      <c r="I177" s="2048"/>
      <c r="J177" s="2048"/>
      <c r="K177" s="2048"/>
      <c r="L177" s="2048"/>
      <c r="M177" s="2048"/>
      <c r="N177" s="2049"/>
      <c r="O177" s="1190"/>
      <c r="P177" s="2042"/>
      <c r="Q177" s="2043"/>
      <c r="R177" s="2043"/>
      <c r="S177" s="2043"/>
      <c r="T177" s="2043"/>
      <c r="U177" s="2043"/>
      <c r="V177" s="2043"/>
      <c r="W177" s="2043"/>
      <c r="X177" s="2043"/>
      <c r="Y177" s="2043"/>
      <c r="Z177" s="2043"/>
      <c r="AA177" s="2043"/>
      <c r="AB177" s="2043"/>
      <c r="AC177" s="2043"/>
      <c r="AD177" s="2043"/>
      <c r="AE177" s="2043"/>
      <c r="AF177" s="2043"/>
      <c r="AG177" s="2043"/>
      <c r="AH177" s="2043"/>
      <c r="AI177" s="2043"/>
      <c r="AJ177" s="2043"/>
      <c r="AK177" s="2043"/>
      <c r="AL177" s="2043"/>
      <c r="AM177" s="2043"/>
      <c r="AN177" s="2043"/>
      <c r="AO177" s="2044"/>
      <c r="AP177" s="1190"/>
      <c r="AQ177" s="1190"/>
      <c r="AR177" s="1190"/>
      <c r="AS177" s="1190"/>
      <c r="AT177" s="1190"/>
      <c r="AU177" s="1190"/>
      <c r="AV177" s="1190"/>
      <c r="AW177" s="1190"/>
      <c r="AX177" s="1190"/>
      <c r="AY177" s="1190"/>
      <c r="AZ177" s="1190"/>
      <c r="BA177" s="1190"/>
      <c r="BB177" s="1190"/>
      <c r="BC177" s="1190"/>
      <c r="BD177" s="1190"/>
      <c r="BE177" s="1194"/>
    </row>
    <row r="178" spans="1:57" ht="15.75" customHeight="1">
      <c r="A178" s="1190"/>
      <c r="B178" s="1190"/>
      <c r="C178" s="1987"/>
      <c r="D178" s="1988"/>
      <c r="E178" s="1988"/>
      <c r="F178" s="1988"/>
      <c r="G178" s="1988"/>
      <c r="H178" s="1988"/>
      <c r="I178" s="2048"/>
      <c r="J178" s="2048"/>
      <c r="K178" s="2048"/>
      <c r="L178" s="2048"/>
      <c r="M178" s="2048"/>
      <c r="N178" s="2049"/>
      <c r="O178" s="1190"/>
      <c r="P178" s="2042"/>
      <c r="Q178" s="2043"/>
      <c r="R178" s="2043"/>
      <c r="S178" s="2043"/>
      <c r="T178" s="2043"/>
      <c r="U178" s="2043"/>
      <c r="V178" s="2043"/>
      <c r="W178" s="2043"/>
      <c r="X178" s="2043"/>
      <c r="Y178" s="2043"/>
      <c r="Z178" s="2043"/>
      <c r="AA178" s="2043"/>
      <c r="AB178" s="2043"/>
      <c r="AC178" s="2043"/>
      <c r="AD178" s="2043"/>
      <c r="AE178" s="2043"/>
      <c r="AF178" s="2043"/>
      <c r="AG178" s="2043"/>
      <c r="AH178" s="2043"/>
      <c r="AI178" s="2043"/>
      <c r="AJ178" s="2043"/>
      <c r="AK178" s="2043"/>
      <c r="AL178" s="2043"/>
      <c r="AM178" s="2043"/>
      <c r="AN178" s="2043"/>
      <c r="AO178" s="2044"/>
      <c r="AP178" s="1190"/>
      <c r="AQ178" s="1190"/>
      <c r="AR178" s="1190"/>
      <c r="AS178" s="1190"/>
      <c r="AT178" s="1190"/>
      <c r="AU178" s="1190"/>
      <c r="AV178" s="1190"/>
      <c r="AW178" s="1190"/>
      <c r="AX178" s="1190"/>
      <c r="AY178" s="1190"/>
      <c r="AZ178" s="1190"/>
      <c r="BA178" s="1190"/>
      <c r="BB178" s="1190"/>
      <c r="BC178" s="1190"/>
      <c r="BD178" s="1190"/>
      <c r="BE178" s="1194"/>
    </row>
    <row r="179" spans="1:57" ht="15.75" customHeight="1">
      <c r="A179" s="1190"/>
      <c r="B179" s="1190"/>
      <c r="C179" s="1987"/>
      <c r="D179" s="1988"/>
      <c r="E179" s="1988"/>
      <c r="F179" s="1988"/>
      <c r="G179" s="1988"/>
      <c r="H179" s="1988"/>
      <c r="I179" s="2048"/>
      <c r="J179" s="2048"/>
      <c r="K179" s="2048"/>
      <c r="L179" s="2048"/>
      <c r="M179" s="2048"/>
      <c r="N179" s="2049"/>
      <c r="O179" s="1190"/>
      <c r="P179" s="2042"/>
      <c r="Q179" s="2043"/>
      <c r="R179" s="2043"/>
      <c r="S179" s="2043"/>
      <c r="T179" s="2043"/>
      <c r="U179" s="2043"/>
      <c r="V179" s="2043"/>
      <c r="W179" s="2043"/>
      <c r="X179" s="2043"/>
      <c r="Y179" s="2043"/>
      <c r="Z179" s="2043"/>
      <c r="AA179" s="2043"/>
      <c r="AB179" s="2043"/>
      <c r="AC179" s="2043"/>
      <c r="AD179" s="2043"/>
      <c r="AE179" s="2043"/>
      <c r="AF179" s="2043"/>
      <c r="AG179" s="2043"/>
      <c r="AH179" s="2043"/>
      <c r="AI179" s="2043"/>
      <c r="AJ179" s="2043"/>
      <c r="AK179" s="2043"/>
      <c r="AL179" s="2043"/>
      <c r="AM179" s="2043"/>
      <c r="AN179" s="2043"/>
      <c r="AO179" s="2044"/>
      <c r="AP179" s="1190"/>
      <c r="AQ179" s="1190"/>
      <c r="AR179" s="1190"/>
      <c r="AS179" s="1190"/>
      <c r="AT179" s="1190"/>
      <c r="AU179" s="1190"/>
      <c r="AV179" s="1190"/>
      <c r="AW179" s="1190"/>
      <c r="AX179" s="1190"/>
      <c r="AY179" s="1190"/>
      <c r="AZ179" s="1190"/>
      <c r="BA179" s="1190"/>
      <c r="BB179" s="1190"/>
      <c r="BC179" s="1190"/>
      <c r="BD179" s="1190"/>
      <c r="BE179" s="1194"/>
    </row>
    <row r="180" spans="1:57" ht="15.75" customHeight="1" thickBot="1">
      <c r="A180" s="1190"/>
      <c r="B180" s="1190"/>
      <c r="C180" s="2050"/>
      <c r="D180" s="2051"/>
      <c r="E180" s="2051"/>
      <c r="F180" s="2051"/>
      <c r="G180" s="2051"/>
      <c r="H180" s="2051"/>
      <c r="I180" s="2052"/>
      <c r="J180" s="2052"/>
      <c r="K180" s="2052"/>
      <c r="L180" s="2052"/>
      <c r="M180" s="2052"/>
      <c r="N180" s="2053"/>
      <c r="O180" s="1190"/>
      <c r="P180" s="2045"/>
      <c r="Q180" s="2046"/>
      <c r="R180" s="2046"/>
      <c r="S180" s="2046"/>
      <c r="T180" s="2046"/>
      <c r="U180" s="2046"/>
      <c r="V180" s="2046"/>
      <c r="W180" s="2046"/>
      <c r="X180" s="2046"/>
      <c r="Y180" s="2046"/>
      <c r="Z180" s="2046"/>
      <c r="AA180" s="2046"/>
      <c r="AB180" s="2046"/>
      <c r="AC180" s="2046"/>
      <c r="AD180" s="2046"/>
      <c r="AE180" s="2046"/>
      <c r="AF180" s="2046"/>
      <c r="AG180" s="2046"/>
      <c r="AH180" s="2046"/>
      <c r="AI180" s="2046"/>
      <c r="AJ180" s="2046"/>
      <c r="AK180" s="2046"/>
      <c r="AL180" s="2046"/>
      <c r="AM180" s="2046"/>
      <c r="AN180" s="2046"/>
      <c r="AO180" s="2047"/>
      <c r="AP180" s="1190"/>
      <c r="AQ180" s="1190"/>
      <c r="AR180" s="1190"/>
      <c r="AS180" s="1190"/>
      <c r="AT180" s="1190"/>
      <c r="AU180" s="1190"/>
      <c r="AV180" s="1190"/>
      <c r="AW180" s="1190"/>
      <c r="AX180" s="1190"/>
      <c r="AY180" s="1190"/>
      <c r="AZ180" s="1190"/>
      <c r="BA180" s="1190"/>
      <c r="BB180" s="1190"/>
      <c r="BC180" s="1190"/>
      <c r="BD180" s="1190"/>
      <c r="BE180" s="1194"/>
    </row>
    <row r="181" spans="1:57" ht="15.75" customHeight="1" thickBot="1">
      <c r="A181" s="1190"/>
      <c r="B181" s="1190"/>
      <c r="C181" s="1190"/>
      <c r="D181" s="1190"/>
      <c r="E181" s="1190"/>
      <c r="F181" s="1190"/>
      <c r="G181" s="1190"/>
      <c r="H181" s="1190"/>
      <c r="I181" s="1190"/>
      <c r="J181" s="1190"/>
      <c r="K181" s="1190"/>
      <c r="L181" s="1190"/>
      <c r="M181" s="1190"/>
      <c r="N181" s="1190"/>
      <c r="O181" s="1190"/>
      <c r="P181" s="1190"/>
      <c r="Q181" s="1190"/>
      <c r="R181" s="1190"/>
      <c r="S181" s="1190"/>
      <c r="T181" s="1190"/>
      <c r="U181" s="1190"/>
      <c r="V181" s="1190"/>
      <c r="W181" s="1190"/>
      <c r="X181" s="1190"/>
      <c r="Y181" s="1190"/>
      <c r="Z181" s="1190"/>
      <c r="AA181" s="1190"/>
      <c r="AB181" s="1190"/>
      <c r="AC181" s="1190"/>
      <c r="AD181" s="1190"/>
      <c r="AE181" s="1190"/>
      <c r="AF181" s="1190"/>
      <c r="AG181" s="1190"/>
      <c r="AH181" s="1190"/>
      <c r="AI181" s="1190"/>
      <c r="AJ181" s="1190"/>
      <c r="AK181" s="1190"/>
      <c r="AL181" s="1190"/>
      <c r="AM181" s="1190"/>
      <c r="AN181" s="1190"/>
      <c r="AO181" s="1190"/>
      <c r="AP181" s="1190"/>
      <c r="AQ181" s="1190"/>
      <c r="AR181" s="1190"/>
      <c r="AS181" s="1190"/>
      <c r="AT181" s="1190"/>
      <c r="AU181" s="1190"/>
      <c r="AV181" s="1190"/>
      <c r="AW181" s="1190"/>
      <c r="AX181" s="1190"/>
      <c r="AY181" s="1190"/>
      <c r="AZ181" s="1190"/>
      <c r="BA181" s="1190"/>
      <c r="BB181" s="1190"/>
      <c r="BC181" s="1190"/>
      <c r="BD181" s="1190"/>
      <c r="BE181" s="1194"/>
    </row>
    <row r="182" spans="1:57" ht="15.75" customHeight="1">
      <c r="A182" s="1190"/>
      <c r="B182" s="1190"/>
      <c r="C182" s="2016" t="s">
        <v>2330</v>
      </c>
      <c r="D182" s="2017"/>
      <c r="E182" s="2017"/>
      <c r="F182" s="2017"/>
      <c r="G182" s="2017"/>
      <c r="H182" s="2017"/>
      <c r="I182" s="2017"/>
      <c r="J182" s="2017"/>
      <c r="K182" s="2017"/>
      <c r="L182" s="2017"/>
      <c r="M182" s="2017"/>
      <c r="N182" s="2017"/>
      <c r="O182" s="2017"/>
      <c r="P182" s="2017"/>
      <c r="Q182" s="2017"/>
      <c r="R182" s="2017"/>
      <c r="S182" s="2017"/>
      <c r="T182" s="2017"/>
      <c r="U182" s="2017"/>
      <c r="V182" s="2017"/>
      <c r="W182" s="2017"/>
      <c r="X182" s="2017"/>
      <c r="Y182" s="2017"/>
      <c r="Z182" s="2017"/>
      <c r="AA182" s="2017"/>
      <c r="AB182" s="2017"/>
      <c r="AC182" s="2017"/>
      <c r="AD182" s="2017"/>
      <c r="AE182" s="2018"/>
      <c r="AF182" s="1190"/>
      <c r="AG182" s="1190"/>
      <c r="AH182" s="1901"/>
      <c r="AI182" s="1901"/>
      <c r="AJ182" s="1901"/>
      <c r="AK182" s="1901"/>
      <c r="AL182" s="1901"/>
      <c r="AM182" s="1901"/>
      <c r="AN182" s="1901"/>
      <c r="AO182" s="1901"/>
      <c r="AP182" s="1901"/>
      <c r="AQ182" s="1901"/>
      <c r="AR182" s="1901"/>
      <c r="AS182" s="1901"/>
      <c r="AT182" s="1901"/>
      <c r="AU182" s="1901"/>
      <c r="AV182" s="1901"/>
      <c r="AW182" s="1901"/>
      <c r="AX182" s="1901"/>
      <c r="AY182" s="1901"/>
      <c r="AZ182" s="1901"/>
      <c r="BA182" s="1901"/>
      <c r="BB182" s="1901"/>
      <c r="BC182" s="1901"/>
      <c r="BD182" s="1901"/>
      <c r="BE182" s="1901"/>
    </row>
    <row r="183" spans="1:57" ht="15.75" customHeight="1" thickBot="1">
      <c r="A183" s="1190"/>
      <c r="B183" s="1190"/>
      <c r="C183" s="2019"/>
      <c r="D183" s="2020"/>
      <c r="E183" s="2020"/>
      <c r="F183" s="2020"/>
      <c r="G183" s="2020"/>
      <c r="H183" s="2020"/>
      <c r="I183" s="2020"/>
      <c r="J183" s="2020"/>
      <c r="K183" s="2020"/>
      <c r="L183" s="2020"/>
      <c r="M183" s="2020"/>
      <c r="N183" s="2020"/>
      <c r="O183" s="2020"/>
      <c r="P183" s="2020"/>
      <c r="Q183" s="2020"/>
      <c r="R183" s="2020"/>
      <c r="S183" s="2020"/>
      <c r="T183" s="2020"/>
      <c r="U183" s="2020"/>
      <c r="V183" s="2020"/>
      <c r="W183" s="2020"/>
      <c r="X183" s="2020"/>
      <c r="Y183" s="2020"/>
      <c r="Z183" s="2020"/>
      <c r="AA183" s="2020"/>
      <c r="AB183" s="2020"/>
      <c r="AC183" s="2020"/>
      <c r="AD183" s="2020"/>
      <c r="AE183" s="2021"/>
      <c r="AF183" s="1190"/>
      <c r="AG183" s="1190"/>
      <c r="AH183" s="1901"/>
      <c r="AI183" s="1901"/>
      <c r="AJ183" s="1901"/>
      <c r="AK183" s="1901"/>
      <c r="AL183" s="1901"/>
      <c r="AM183" s="1901"/>
      <c r="AN183" s="1901"/>
      <c r="AO183" s="1901"/>
      <c r="AP183" s="1901"/>
      <c r="AQ183" s="1901"/>
      <c r="AR183" s="1901"/>
      <c r="AS183" s="1901"/>
      <c r="AT183" s="1901"/>
      <c r="AU183" s="1901"/>
      <c r="AV183" s="1901"/>
      <c r="AW183" s="1901"/>
      <c r="AX183" s="1901"/>
      <c r="AY183" s="1901"/>
      <c r="AZ183" s="1901"/>
      <c r="BA183" s="1901"/>
      <c r="BB183" s="1901"/>
      <c r="BC183" s="1901"/>
      <c r="BD183" s="1901"/>
      <c r="BE183" s="1901"/>
    </row>
    <row r="184" spans="1:57" ht="15.75" customHeight="1">
      <c r="A184" s="1190"/>
      <c r="B184" s="1190"/>
      <c r="C184" s="2025" t="s">
        <v>2328</v>
      </c>
      <c r="D184" s="2026"/>
      <c r="E184" s="2026"/>
      <c r="F184" s="2026"/>
      <c r="G184" s="2026"/>
      <c r="H184" s="2026"/>
      <c r="I184" s="2026"/>
      <c r="J184" s="2026"/>
      <c r="K184" s="2026"/>
      <c r="L184" s="2026"/>
      <c r="M184" s="2026"/>
      <c r="N184" s="2026" t="s">
        <v>2329</v>
      </c>
      <c r="O184" s="2026"/>
      <c r="P184" s="2026"/>
      <c r="Q184" s="2026"/>
      <c r="R184" s="2026"/>
      <c r="S184" s="2026"/>
      <c r="T184" s="2026"/>
      <c r="U184" s="2027" t="s">
        <v>2328</v>
      </c>
      <c r="V184" s="2027"/>
      <c r="W184" s="2027"/>
      <c r="X184" s="2027"/>
      <c r="Y184" s="2027"/>
      <c r="Z184" s="2027"/>
      <c r="AA184" s="2027"/>
      <c r="AB184" s="2027"/>
      <c r="AC184" s="2027"/>
      <c r="AD184" s="2027"/>
      <c r="AE184" s="2028"/>
      <c r="AF184" s="1190"/>
      <c r="AG184" s="1190"/>
      <c r="AH184" s="1901"/>
      <c r="AI184" s="1901"/>
      <c r="AJ184" s="1901"/>
      <c r="AK184" s="1901"/>
      <c r="AL184" s="1901"/>
      <c r="AM184" s="1901"/>
      <c r="AN184" s="1901"/>
      <c r="AO184" s="1901"/>
      <c r="AP184" s="1901"/>
      <c r="AQ184" s="1901"/>
      <c r="AR184" s="1901"/>
      <c r="AS184" s="1901"/>
      <c r="AT184" s="1901"/>
      <c r="AU184" s="1901"/>
      <c r="AV184" s="1901"/>
      <c r="AW184" s="1901"/>
      <c r="AX184" s="1901"/>
      <c r="AY184" s="1901"/>
      <c r="AZ184" s="1901"/>
      <c r="BA184" s="1901"/>
      <c r="BB184" s="1901"/>
      <c r="BC184" s="1901"/>
      <c r="BD184" s="1901"/>
      <c r="BE184" s="1901"/>
    </row>
    <row r="185" spans="1:57" ht="15.75" customHeight="1">
      <c r="A185" s="1190"/>
      <c r="B185" s="1190"/>
      <c r="C185" s="2004" t="s">
        <v>2327</v>
      </c>
      <c r="D185" s="2005"/>
      <c r="E185" s="2005"/>
      <c r="F185" s="2005"/>
      <c r="G185" s="2005"/>
      <c r="H185" s="2005"/>
      <c r="I185" s="2005"/>
      <c r="J185" s="2005"/>
      <c r="K185" s="2005"/>
      <c r="L185" s="2005"/>
      <c r="M185" s="2005"/>
      <c r="N185" s="2015">
        <f>'Sources and Uses Budget'!B105</f>
        <v>50605110</v>
      </c>
      <c r="O185" s="2015"/>
      <c r="P185" s="2015"/>
      <c r="Q185" s="2015"/>
      <c r="R185" s="2015"/>
      <c r="S185" s="2015"/>
      <c r="T185" s="2015"/>
      <c r="U185" s="2029"/>
      <c r="V185" s="2029"/>
      <c r="W185" s="2029"/>
      <c r="X185" s="2029"/>
      <c r="Y185" s="2029"/>
      <c r="Z185" s="2029"/>
      <c r="AA185" s="2029"/>
      <c r="AB185" s="2029"/>
      <c r="AC185" s="2029"/>
      <c r="AD185" s="2029"/>
      <c r="AE185" s="2030"/>
      <c r="AF185" s="1190"/>
      <c r="AG185" s="1190"/>
      <c r="AH185" s="1901"/>
      <c r="AI185" s="1901"/>
      <c r="AJ185" s="1901"/>
      <c r="AK185" s="1901"/>
      <c r="AL185" s="1901"/>
      <c r="AM185" s="1901"/>
      <c r="AN185" s="1901"/>
      <c r="AO185" s="1901"/>
      <c r="AP185" s="1901"/>
      <c r="AQ185" s="1901"/>
      <c r="AR185" s="1901"/>
      <c r="AS185" s="1901"/>
      <c r="AT185" s="1901"/>
      <c r="AU185" s="1901"/>
      <c r="AV185" s="1901"/>
      <c r="AW185" s="1901"/>
      <c r="AX185" s="1901"/>
      <c r="AY185" s="1901"/>
      <c r="AZ185" s="1901"/>
      <c r="BA185" s="1901"/>
      <c r="BB185" s="1901"/>
      <c r="BC185" s="1901"/>
      <c r="BD185" s="1901"/>
      <c r="BE185" s="1901"/>
    </row>
    <row r="186" spans="1:57" ht="15.75" customHeight="1">
      <c r="A186" s="1190"/>
      <c r="B186" s="1190"/>
      <c r="C186" s="2004" t="s">
        <v>2326</v>
      </c>
      <c r="D186" s="2005"/>
      <c r="E186" s="2005"/>
      <c r="F186" s="2005"/>
      <c r="G186" s="2005"/>
      <c r="H186" s="2005"/>
      <c r="I186" s="2005"/>
      <c r="J186" s="2005"/>
      <c r="K186" s="2005"/>
      <c r="L186" s="2005"/>
      <c r="M186" s="2005"/>
      <c r="N186" s="2015">
        <f>N185/J29</f>
        <v>486587.59615384613</v>
      </c>
      <c r="O186" s="2015"/>
      <c r="P186" s="2015"/>
      <c r="Q186" s="2015"/>
      <c r="R186" s="2015"/>
      <c r="S186" s="2015"/>
      <c r="T186" s="2015"/>
      <c r="U186" s="1228"/>
      <c r="V186" s="1228"/>
      <c r="W186" s="1228"/>
      <c r="X186" s="1228"/>
      <c r="Y186" s="1228"/>
      <c r="Z186" s="1228"/>
      <c r="AA186" s="1228"/>
      <c r="AB186" s="1228"/>
      <c r="AC186" s="1228"/>
      <c r="AD186" s="1228"/>
      <c r="AE186" s="1229"/>
      <c r="AF186" s="1190"/>
      <c r="AG186" s="1190"/>
      <c r="AH186" s="1901"/>
      <c r="AI186" s="1901"/>
      <c r="AJ186" s="1901"/>
      <c r="AK186" s="1901"/>
      <c r="AL186" s="1901"/>
      <c r="AM186" s="1901"/>
      <c r="AN186" s="1901"/>
      <c r="AO186" s="1901"/>
      <c r="AP186" s="1901"/>
      <c r="AQ186" s="1901"/>
      <c r="AR186" s="1901"/>
      <c r="AS186" s="1901"/>
      <c r="AT186" s="1901"/>
      <c r="AU186" s="1901"/>
      <c r="AV186" s="1901"/>
      <c r="AW186" s="1901"/>
      <c r="AX186" s="1901"/>
      <c r="AY186" s="1901"/>
      <c r="AZ186" s="1901"/>
      <c r="BA186" s="1901"/>
      <c r="BB186" s="1901"/>
      <c r="BC186" s="1901"/>
      <c r="BD186" s="1901"/>
      <c r="BE186" s="1901"/>
    </row>
    <row r="187" spans="1:57" ht="15.75" customHeight="1">
      <c r="A187" s="1190"/>
      <c r="B187" s="1190"/>
      <c r="C187" s="2031" t="s">
        <v>2325</v>
      </c>
      <c r="D187" s="2032"/>
      <c r="E187" s="2032"/>
      <c r="F187" s="2032"/>
      <c r="G187" s="2032"/>
      <c r="H187" s="2032"/>
      <c r="I187" s="2032"/>
      <c r="J187" s="2032"/>
      <c r="K187" s="2032"/>
      <c r="L187" s="2032"/>
      <c r="M187" s="2032"/>
      <c r="N187" s="2033">
        <v>0</v>
      </c>
      <c r="O187" s="2033"/>
      <c r="P187" s="2033"/>
      <c r="Q187" s="2033"/>
      <c r="R187" s="2033"/>
      <c r="S187" s="2033"/>
      <c r="T187" s="2033"/>
      <c r="U187" s="1991"/>
      <c r="V187" s="1991"/>
      <c r="W187" s="1991"/>
      <c r="X187" s="1991"/>
      <c r="Y187" s="1991"/>
      <c r="Z187" s="1991"/>
      <c r="AA187" s="1991"/>
      <c r="AB187" s="1991"/>
      <c r="AC187" s="1991"/>
      <c r="AD187" s="1991"/>
      <c r="AE187" s="1992"/>
      <c r="AF187" s="1190"/>
      <c r="AG187" s="1190"/>
      <c r="AH187" s="1901"/>
      <c r="AI187" s="1901"/>
      <c r="AJ187" s="1901"/>
      <c r="AK187" s="1901"/>
      <c r="AL187" s="1901"/>
      <c r="AM187" s="1901"/>
      <c r="AN187" s="1901"/>
      <c r="AO187" s="1901"/>
      <c r="AP187" s="1901"/>
      <c r="AQ187" s="1901"/>
      <c r="AR187" s="1901"/>
      <c r="AS187" s="1901"/>
      <c r="AT187" s="1901"/>
      <c r="AU187" s="1901"/>
      <c r="AV187" s="1901"/>
      <c r="AW187" s="1901"/>
      <c r="AX187" s="1901"/>
      <c r="AY187" s="1901"/>
      <c r="AZ187" s="1901"/>
      <c r="BA187" s="1901"/>
      <c r="BB187" s="1901"/>
      <c r="BC187" s="1901"/>
      <c r="BD187" s="1901"/>
      <c r="BE187" s="1901"/>
    </row>
    <row r="188" spans="1:57" ht="15.75" customHeight="1" thickBot="1">
      <c r="A188" s="1190"/>
      <c r="B188" s="1190"/>
      <c r="C188" s="2004" t="s">
        <v>2324</v>
      </c>
      <c r="D188" s="2005"/>
      <c r="E188" s="2005"/>
      <c r="F188" s="2005"/>
      <c r="G188" s="2005"/>
      <c r="H188" s="2005"/>
      <c r="I188" s="2005"/>
      <c r="J188" s="2005"/>
      <c r="K188" s="2005"/>
      <c r="L188" s="2005"/>
      <c r="M188" s="2005"/>
      <c r="N188" s="2034">
        <f>SUM('Sources and Uses Budget'!B85:B86)</f>
        <v>3400000</v>
      </c>
      <c r="O188" s="2034"/>
      <c r="P188" s="2034"/>
      <c r="Q188" s="2034"/>
      <c r="R188" s="2034"/>
      <c r="S188" s="2034"/>
      <c r="T188" s="2034"/>
      <c r="U188" s="1991"/>
      <c r="V188" s="1991"/>
      <c r="W188" s="1991"/>
      <c r="X188" s="1991"/>
      <c r="Y188" s="1991"/>
      <c r="Z188" s="1991"/>
      <c r="AA188" s="1991"/>
      <c r="AB188" s="1991"/>
      <c r="AC188" s="1991"/>
      <c r="AD188" s="1991"/>
      <c r="AE188" s="1992"/>
      <c r="AF188" s="1190"/>
      <c r="AG188" s="1190"/>
      <c r="AH188" s="1901"/>
      <c r="AI188" s="1901"/>
      <c r="AJ188" s="1901"/>
      <c r="AK188" s="1901"/>
      <c r="AL188" s="1901"/>
      <c r="AM188" s="1901"/>
      <c r="AN188" s="1901"/>
      <c r="AO188" s="1901"/>
      <c r="AP188" s="1901"/>
      <c r="AQ188" s="1901"/>
      <c r="AR188" s="1901"/>
      <c r="AS188" s="1901"/>
      <c r="AT188" s="1901"/>
      <c r="AU188" s="1901"/>
      <c r="AV188" s="1901"/>
      <c r="AW188" s="1901"/>
      <c r="AX188" s="1901"/>
      <c r="AY188" s="1901"/>
      <c r="AZ188" s="1901"/>
      <c r="BA188" s="1901"/>
      <c r="BB188" s="1901"/>
      <c r="BC188" s="1901"/>
      <c r="BD188" s="1901"/>
      <c r="BE188" s="1901"/>
    </row>
    <row r="189" spans="1:57" ht="15.75" customHeight="1" thickBot="1">
      <c r="A189" s="1190"/>
      <c r="B189" s="1190"/>
      <c r="C189" s="2004" t="s">
        <v>2323</v>
      </c>
      <c r="D189" s="2005"/>
      <c r="E189" s="2005"/>
      <c r="F189" s="2005"/>
      <c r="G189" s="2005"/>
      <c r="H189" s="2005"/>
      <c r="I189" s="2005"/>
      <c r="J189" s="2005"/>
      <c r="K189" s="2005"/>
      <c r="L189" s="2005"/>
      <c r="M189" s="2005"/>
      <c r="N189" s="2034">
        <f>'Sources and Uses Budget'!B8</f>
        <v>300000</v>
      </c>
      <c r="O189" s="2034"/>
      <c r="P189" s="2034"/>
      <c r="Q189" s="2034"/>
      <c r="R189" s="2034"/>
      <c r="S189" s="2034"/>
      <c r="T189" s="2034"/>
      <c r="U189" s="1991"/>
      <c r="V189" s="1991"/>
      <c r="W189" s="1991"/>
      <c r="X189" s="1991"/>
      <c r="Y189" s="1991"/>
      <c r="Z189" s="1991"/>
      <c r="AA189" s="1991"/>
      <c r="AB189" s="1991"/>
      <c r="AC189" s="1991"/>
      <c r="AD189" s="1991"/>
      <c r="AE189" s="1992"/>
      <c r="AF189" s="1190"/>
      <c r="AG189" s="1190"/>
      <c r="AH189" s="2001" t="s">
        <v>2321</v>
      </c>
      <c r="AI189" s="2002"/>
      <c r="AJ189" s="2002"/>
      <c r="AK189" s="2002"/>
      <c r="AL189" s="2002"/>
      <c r="AM189" s="2002"/>
      <c r="AN189" s="2002"/>
      <c r="AO189" s="2002"/>
      <c r="AP189" s="2002"/>
      <c r="AQ189" s="2002"/>
      <c r="AR189" s="2002"/>
      <c r="AS189" s="2002"/>
      <c r="AT189" s="2002"/>
      <c r="AU189" s="2002"/>
      <c r="AV189" s="2002"/>
      <c r="AW189" s="2002"/>
      <c r="AX189" s="2002"/>
      <c r="AY189" s="2002"/>
      <c r="AZ189" s="2002"/>
      <c r="BA189" s="2002"/>
      <c r="BB189" s="2002"/>
      <c r="BC189" s="2002"/>
      <c r="BD189" s="2002"/>
      <c r="BE189" s="2003"/>
    </row>
    <row r="190" spans="1:57" ht="15.75" customHeight="1">
      <c r="A190" s="1190"/>
      <c r="B190" s="1190"/>
      <c r="C190" s="2004" t="s">
        <v>2322</v>
      </c>
      <c r="D190" s="2005"/>
      <c r="E190" s="2005"/>
      <c r="F190" s="2005"/>
      <c r="G190" s="2005"/>
      <c r="H190" s="2005"/>
      <c r="I190" s="2005"/>
      <c r="J190" s="2005"/>
      <c r="K190" s="2005"/>
      <c r="L190" s="2005"/>
      <c r="M190" s="2005"/>
      <c r="N190" s="1990">
        <v>0</v>
      </c>
      <c r="O190" s="1990"/>
      <c r="P190" s="1990"/>
      <c r="Q190" s="1990"/>
      <c r="R190" s="1990"/>
      <c r="S190" s="1990"/>
      <c r="T190" s="1990"/>
      <c r="U190" s="1991"/>
      <c r="V190" s="1991"/>
      <c r="W190" s="1991"/>
      <c r="X190" s="1991"/>
      <c r="Y190" s="1991"/>
      <c r="Z190" s="1991"/>
      <c r="AA190" s="1991"/>
      <c r="AB190" s="1991"/>
      <c r="AC190" s="1991"/>
      <c r="AD190" s="1991"/>
      <c r="AE190" s="1992"/>
      <c r="AF190" s="1190"/>
      <c r="AG190" s="1190"/>
      <c r="AH190" s="2006" t="s">
        <v>2321</v>
      </c>
      <c r="AI190" s="2007"/>
      <c r="AJ190" s="2007"/>
      <c r="AK190" s="2007"/>
      <c r="AL190" s="2007"/>
      <c r="AM190" s="2007"/>
      <c r="AN190" s="2007"/>
      <c r="AO190" s="2007"/>
      <c r="AP190" s="2007"/>
      <c r="AQ190" s="2007"/>
      <c r="AR190" s="2007"/>
      <c r="AS190" s="2007"/>
      <c r="AT190" s="2007"/>
      <c r="AU190" s="2008">
        <f>'Sources and Uses Budget'!J108</f>
        <v>4982063</v>
      </c>
      <c r="AV190" s="2008"/>
      <c r="AW190" s="2008"/>
      <c r="AX190" s="2008"/>
      <c r="AY190" s="2008"/>
      <c r="AZ190" s="2008"/>
      <c r="BA190" s="2008"/>
      <c r="BB190" s="2008"/>
      <c r="BC190" s="2009"/>
      <c r="BD190" s="2010"/>
      <c r="BE190" s="2011"/>
    </row>
    <row r="191" spans="1:57" ht="15.75" customHeight="1">
      <c r="A191" s="1190"/>
      <c r="B191" s="1190"/>
      <c r="C191" s="2004" t="s">
        <v>2320</v>
      </c>
      <c r="D191" s="2005"/>
      <c r="E191" s="2005"/>
      <c r="F191" s="2005"/>
      <c r="G191" s="2005"/>
      <c r="H191" s="2005"/>
      <c r="I191" s="2005"/>
      <c r="J191" s="2005"/>
      <c r="K191" s="2005"/>
      <c r="L191" s="2005"/>
      <c r="M191" s="2005"/>
      <c r="N191" s="1990">
        <v>0</v>
      </c>
      <c r="O191" s="1990"/>
      <c r="P191" s="1990"/>
      <c r="Q191" s="1990"/>
      <c r="R191" s="1990"/>
      <c r="S191" s="1990"/>
      <c r="T191" s="1990"/>
      <c r="U191" s="1991"/>
      <c r="V191" s="1991"/>
      <c r="W191" s="1991"/>
      <c r="X191" s="1991"/>
      <c r="Y191" s="1991"/>
      <c r="Z191" s="1991"/>
      <c r="AA191" s="1991"/>
      <c r="AB191" s="1991"/>
      <c r="AC191" s="1991"/>
      <c r="AD191" s="1991"/>
      <c r="AE191" s="1992"/>
      <c r="AF191" s="1190"/>
      <c r="AG191" s="1190"/>
      <c r="AH191" s="2022" t="s">
        <v>2319</v>
      </c>
      <c r="AI191" s="2023"/>
      <c r="AJ191" s="2023"/>
      <c r="AK191" s="2023"/>
      <c r="AL191" s="2023"/>
      <c r="AM191" s="2023"/>
      <c r="AN191" s="2023"/>
      <c r="AO191" s="2023"/>
      <c r="AP191" s="2023"/>
      <c r="AQ191" s="2023"/>
      <c r="AR191" s="2023"/>
      <c r="AS191" s="2023"/>
      <c r="AT191" s="2023"/>
      <c r="AU191" s="2024">
        <f>'Sources and Uses Budget'!C99-'Sources and Uses Budget'!J108</f>
        <v>1155687</v>
      </c>
      <c r="AV191" s="2024"/>
      <c r="AW191" s="2024"/>
      <c r="AX191" s="2024"/>
      <c r="AY191" s="2024"/>
      <c r="AZ191" s="2024"/>
      <c r="BA191" s="2024"/>
      <c r="BB191" s="2024"/>
      <c r="BC191" s="2012"/>
      <c r="BD191" s="2013"/>
      <c r="BE191" s="2014"/>
    </row>
    <row r="192" spans="1:57" ht="15.75" customHeight="1">
      <c r="A192" s="1190"/>
      <c r="B192" s="1190"/>
      <c r="C192" s="1996" t="s">
        <v>299</v>
      </c>
      <c r="D192" s="1997"/>
      <c r="E192" s="1989" t="s">
        <v>2317</v>
      </c>
      <c r="F192" s="1989"/>
      <c r="G192" s="1989"/>
      <c r="H192" s="1989"/>
      <c r="I192" s="1989"/>
      <c r="J192" s="1989"/>
      <c r="K192" s="1989"/>
      <c r="L192" s="1989"/>
      <c r="M192" s="1989"/>
      <c r="N192" s="1990">
        <v>0</v>
      </c>
      <c r="O192" s="1990"/>
      <c r="P192" s="1990"/>
      <c r="Q192" s="1990"/>
      <c r="R192" s="1990"/>
      <c r="S192" s="1990"/>
      <c r="T192" s="1990"/>
      <c r="U192" s="1991"/>
      <c r="V192" s="1991"/>
      <c r="W192" s="1991"/>
      <c r="X192" s="1991"/>
      <c r="Y192" s="1991"/>
      <c r="Z192" s="1991"/>
      <c r="AA192" s="1991"/>
      <c r="AB192" s="1991"/>
      <c r="AC192" s="1991"/>
      <c r="AD192" s="1991"/>
      <c r="AE192" s="1992"/>
      <c r="AF192" s="1190"/>
      <c r="AG192" s="1190"/>
      <c r="AH192" s="1998" t="s">
        <v>2318</v>
      </c>
      <c r="AI192" s="1999"/>
      <c r="AJ192" s="1999"/>
      <c r="AK192" s="1999"/>
      <c r="AL192" s="1999"/>
      <c r="AM192" s="1999"/>
      <c r="AN192" s="1999"/>
      <c r="AO192" s="1999"/>
      <c r="AP192" s="1999"/>
      <c r="AQ192" s="1999"/>
      <c r="AR192" s="1999"/>
      <c r="AS192" s="1999"/>
      <c r="AT192" s="1999"/>
      <c r="AU192" s="2000">
        <f>SUM(AU190:BB191)</f>
        <v>6137750</v>
      </c>
      <c r="AV192" s="2000"/>
      <c r="AW192" s="2000"/>
      <c r="AX192" s="2000"/>
      <c r="AY192" s="2000"/>
      <c r="AZ192" s="2000"/>
      <c r="BA192" s="2000"/>
      <c r="BB192" s="2000"/>
      <c r="BC192" s="2012"/>
      <c r="BD192" s="2013"/>
      <c r="BE192" s="2014"/>
    </row>
    <row r="193" spans="1:57" ht="15.75" customHeight="1" thickBot="1">
      <c r="A193" s="1190"/>
      <c r="B193" s="1190"/>
      <c r="C193" s="1987" t="s">
        <v>299</v>
      </c>
      <c r="D193" s="1988"/>
      <c r="E193" s="1989" t="s">
        <v>2317</v>
      </c>
      <c r="F193" s="1989"/>
      <c r="G193" s="1989"/>
      <c r="H193" s="1989"/>
      <c r="I193" s="1989"/>
      <c r="J193" s="1989"/>
      <c r="K193" s="1989"/>
      <c r="L193" s="1989"/>
      <c r="M193" s="1989"/>
      <c r="N193" s="1990">
        <v>0</v>
      </c>
      <c r="O193" s="1990"/>
      <c r="P193" s="1990"/>
      <c r="Q193" s="1990"/>
      <c r="R193" s="1990"/>
      <c r="S193" s="1990"/>
      <c r="T193" s="1990"/>
      <c r="U193" s="1991"/>
      <c r="V193" s="1991"/>
      <c r="W193" s="1991"/>
      <c r="X193" s="1991"/>
      <c r="Y193" s="1991"/>
      <c r="Z193" s="1991"/>
      <c r="AA193" s="1991"/>
      <c r="AB193" s="1991"/>
      <c r="AC193" s="1991"/>
      <c r="AD193" s="1991"/>
      <c r="AE193" s="1992"/>
      <c r="AF193" s="1190"/>
      <c r="AG193" s="1190"/>
      <c r="AH193" s="1230"/>
      <c r="AI193" s="1231"/>
      <c r="AJ193" s="1231"/>
      <c r="AK193" s="1231"/>
      <c r="AL193" s="1231"/>
      <c r="AM193" s="1231"/>
      <c r="AN193" s="1231"/>
      <c r="AO193" s="1231"/>
      <c r="AP193" s="1231"/>
      <c r="AQ193" s="1231"/>
      <c r="AR193" s="1231"/>
      <c r="AS193" s="1231"/>
      <c r="AT193" s="1231"/>
      <c r="AU193" s="1231"/>
      <c r="AV193" s="1231"/>
      <c r="AW193" s="1231"/>
      <c r="AX193" s="1231"/>
      <c r="AY193" s="1231"/>
      <c r="AZ193" s="1231"/>
      <c r="BA193" s="1231"/>
      <c r="BB193" s="1231"/>
      <c r="BC193" s="1993"/>
      <c r="BD193" s="1994"/>
      <c r="BE193" s="1995"/>
    </row>
    <row r="194" spans="1:57" ht="15.75" customHeight="1" thickBot="1">
      <c r="A194" s="1190"/>
      <c r="B194" s="1190"/>
      <c r="C194" s="1975" t="s">
        <v>299</v>
      </c>
      <c r="D194" s="1976"/>
      <c r="E194" s="1977" t="s">
        <v>2317</v>
      </c>
      <c r="F194" s="1977"/>
      <c r="G194" s="1977"/>
      <c r="H194" s="1977"/>
      <c r="I194" s="1977"/>
      <c r="J194" s="1977"/>
      <c r="K194" s="1977"/>
      <c r="L194" s="1977"/>
      <c r="M194" s="1978"/>
      <c r="N194" s="1979">
        <v>0</v>
      </c>
      <c r="O194" s="1979"/>
      <c r="P194" s="1979"/>
      <c r="Q194" s="1979"/>
      <c r="R194" s="1979"/>
      <c r="S194" s="1979"/>
      <c r="T194" s="1980"/>
      <c r="U194" s="1981"/>
      <c r="V194" s="1982"/>
      <c r="W194" s="1982"/>
      <c r="X194" s="1982"/>
      <c r="Y194" s="1982"/>
      <c r="Z194" s="1982"/>
      <c r="AA194" s="1982"/>
      <c r="AB194" s="1982"/>
      <c r="AC194" s="1982"/>
      <c r="AD194" s="1982"/>
      <c r="AE194" s="1983"/>
      <c r="AF194" s="1190"/>
      <c r="AG194" s="1190"/>
      <c r="AH194" s="1984" t="s">
        <v>2316</v>
      </c>
      <c r="AI194" s="1985"/>
      <c r="AJ194" s="1985"/>
      <c r="AK194" s="1985"/>
      <c r="AL194" s="1985"/>
      <c r="AM194" s="1985"/>
      <c r="AN194" s="1985"/>
      <c r="AO194" s="1985"/>
      <c r="AP194" s="1985"/>
      <c r="AQ194" s="1985"/>
      <c r="AR194" s="1985"/>
      <c r="AS194" s="1985"/>
      <c r="AT194" s="1985"/>
      <c r="AU194" s="1986"/>
      <c r="AV194" s="1986"/>
      <c r="AW194" s="1986"/>
      <c r="AX194" s="1986"/>
      <c r="AY194" s="1986"/>
      <c r="AZ194" s="1986"/>
      <c r="BA194" s="1986"/>
      <c r="BB194" s="1986"/>
      <c r="BC194" s="1171"/>
      <c r="BD194" s="1171"/>
      <c r="BE194" s="1232"/>
    </row>
    <row r="195" spans="1:57" ht="15.75" customHeight="1">
      <c r="A195" s="1190"/>
      <c r="B195" s="1190"/>
      <c r="C195" s="1958" t="s">
        <v>2315</v>
      </c>
      <c r="D195" s="1959"/>
      <c r="E195" s="1959"/>
      <c r="F195" s="1959"/>
      <c r="G195" s="1959"/>
      <c r="H195" s="1959"/>
      <c r="I195" s="1959"/>
      <c r="J195" s="1959"/>
      <c r="K195" s="1959"/>
      <c r="L195" s="1959"/>
      <c r="M195" s="1959"/>
      <c r="N195" s="1960">
        <f>SUM(N187:T194)</f>
        <v>3700000</v>
      </c>
      <c r="O195" s="1960"/>
      <c r="P195" s="1960"/>
      <c r="Q195" s="1960"/>
      <c r="R195" s="1960"/>
      <c r="S195" s="1960"/>
      <c r="T195" s="1961"/>
      <c r="U195" s="1190"/>
      <c r="V195" s="1190"/>
      <c r="W195" s="1190"/>
      <c r="X195" s="1190"/>
      <c r="Y195" s="1190"/>
      <c r="Z195" s="1190"/>
      <c r="AA195" s="1190"/>
      <c r="AB195" s="1190"/>
      <c r="AC195" s="1190"/>
      <c r="AD195" s="1190"/>
      <c r="AE195" s="1190"/>
      <c r="AF195" s="1190"/>
      <c r="AG195" s="1190"/>
      <c r="AH195" s="1962" t="s">
        <v>2314</v>
      </c>
      <c r="AI195" s="1963"/>
      <c r="AJ195" s="1963"/>
      <c r="AK195" s="1963"/>
      <c r="AL195" s="1963"/>
      <c r="AM195" s="1963"/>
      <c r="AN195" s="1963"/>
      <c r="AO195" s="1963"/>
      <c r="AP195" s="1963"/>
      <c r="AQ195" s="1963"/>
      <c r="AR195" s="1963"/>
      <c r="AS195" s="1963"/>
      <c r="AT195" s="1963"/>
      <c r="AU195" s="1963"/>
      <c r="AV195" s="1963"/>
      <c r="AW195" s="1963"/>
      <c r="AX195" s="1963"/>
      <c r="AY195" s="1963"/>
      <c r="AZ195" s="1963"/>
      <c r="BA195" s="1963"/>
      <c r="BB195" s="1963"/>
      <c r="BC195" s="1963"/>
      <c r="BD195" s="1963"/>
      <c r="BE195" s="1964"/>
    </row>
    <row r="196" spans="1:57" ht="15.75" customHeight="1" thickBot="1">
      <c r="A196" s="1190"/>
      <c r="B196" s="1190"/>
      <c r="C196" s="1968" t="s">
        <v>2313</v>
      </c>
      <c r="D196" s="1969"/>
      <c r="E196" s="1969"/>
      <c r="F196" s="1969"/>
      <c r="G196" s="1969"/>
      <c r="H196" s="1969"/>
      <c r="I196" s="1969"/>
      <c r="J196" s="1969"/>
      <c r="K196" s="1969"/>
      <c r="L196" s="1969"/>
      <c r="M196" s="1969"/>
      <c r="N196" s="1970">
        <f>(N185-N195)/J29</f>
        <v>451010.67307692306</v>
      </c>
      <c r="O196" s="1971"/>
      <c r="P196" s="1971"/>
      <c r="Q196" s="1971"/>
      <c r="R196" s="1971"/>
      <c r="S196" s="1971"/>
      <c r="T196" s="1972"/>
      <c r="U196" s="1195"/>
      <c r="V196" s="1190"/>
      <c r="W196" s="1190"/>
      <c r="X196" s="1190"/>
      <c r="Y196" s="1190"/>
      <c r="Z196" s="1190"/>
      <c r="AA196" s="1190"/>
      <c r="AB196" s="1190"/>
      <c r="AC196" s="1190"/>
      <c r="AD196" s="1190"/>
      <c r="AE196" s="1190"/>
      <c r="AF196" s="1190"/>
      <c r="AG196" s="1190"/>
      <c r="AH196" s="1965"/>
      <c r="AI196" s="1966"/>
      <c r="AJ196" s="1966"/>
      <c r="AK196" s="1966"/>
      <c r="AL196" s="1966"/>
      <c r="AM196" s="1966"/>
      <c r="AN196" s="1966"/>
      <c r="AO196" s="1966"/>
      <c r="AP196" s="1966"/>
      <c r="AQ196" s="1966"/>
      <c r="AR196" s="1966"/>
      <c r="AS196" s="1966"/>
      <c r="AT196" s="1966"/>
      <c r="AU196" s="1966"/>
      <c r="AV196" s="1966"/>
      <c r="AW196" s="1966"/>
      <c r="AX196" s="1966"/>
      <c r="AY196" s="1966"/>
      <c r="AZ196" s="1966"/>
      <c r="BA196" s="1966"/>
      <c r="BB196" s="1966"/>
      <c r="BC196" s="1966"/>
      <c r="BD196" s="1966"/>
      <c r="BE196" s="1967"/>
    </row>
    <row r="197" spans="1:57" ht="15.75" customHeight="1">
      <c r="A197" s="1190"/>
      <c r="B197" s="1190"/>
      <c r="C197" s="1190"/>
      <c r="D197" s="1190"/>
      <c r="E197" s="1190"/>
      <c r="F197" s="1190"/>
      <c r="G197" s="1190"/>
      <c r="H197" s="1190"/>
      <c r="I197" s="1190"/>
      <c r="J197" s="1190"/>
      <c r="K197" s="1190"/>
      <c r="L197" s="1190"/>
      <c r="M197" s="1190"/>
      <c r="N197" s="1190"/>
      <c r="O197" s="1190"/>
      <c r="P197" s="1190"/>
      <c r="Q197" s="1190"/>
      <c r="R197" s="1190"/>
      <c r="S197" s="1190"/>
      <c r="T197" s="1190"/>
      <c r="U197" s="1190"/>
      <c r="V197" s="1190"/>
      <c r="W197" s="1190"/>
      <c r="X197" s="1190"/>
      <c r="Y197" s="1190"/>
      <c r="Z197" s="1190"/>
      <c r="AA197" s="1190"/>
      <c r="AB197" s="1190"/>
      <c r="AC197" s="1190"/>
      <c r="AD197" s="1190"/>
      <c r="AE197" s="1190"/>
      <c r="AF197" s="1190"/>
      <c r="AG197" s="1190"/>
      <c r="AH197" s="1973"/>
      <c r="AI197" s="1973"/>
      <c r="AJ197" s="1973"/>
      <c r="AK197" s="1973"/>
      <c r="AL197" s="1973"/>
      <c r="AM197" s="1973"/>
      <c r="AN197" s="1973"/>
      <c r="AO197" s="1973"/>
      <c r="AP197" s="1973"/>
      <c r="AQ197" s="1973"/>
      <c r="AR197" s="1973"/>
      <c r="AS197" s="1974"/>
      <c r="AT197" s="1974"/>
      <c r="AU197" s="1974"/>
      <c r="AV197" s="1974"/>
      <c r="AW197" s="1974"/>
      <c r="AX197" s="1974"/>
      <c r="AY197" s="1974"/>
      <c r="AZ197" s="1974"/>
      <c r="BA197" s="1974"/>
      <c r="BB197" s="1974"/>
      <c r="BC197" s="1974"/>
      <c r="BD197" s="1974"/>
      <c r="BE197" s="1194"/>
    </row>
    <row r="198" spans="1:57" ht="15.75" customHeight="1" thickBot="1">
      <c r="A198" s="1190"/>
      <c r="B198" s="1190"/>
      <c r="C198" s="1190"/>
      <c r="D198" s="1190"/>
      <c r="E198" s="1190"/>
      <c r="F198" s="1190"/>
      <c r="G198" s="1190"/>
      <c r="H198" s="1190"/>
      <c r="I198" s="1190"/>
      <c r="J198" s="1190"/>
      <c r="K198" s="1190"/>
      <c r="L198" s="1190"/>
      <c r="M198" s="1190"/>
      <c r="N198" s="1190"/>
      <c r="O198" s="1190"/>
      <c r="P198" s="1190"/>
      <c r="Q198" s="1190"/>
      <c r="R198" s="1190"/>
      <c r="S198" s="1190"/>
      <c r="T198" s="1190"/>
      <c r="U198" s="1190"/>
      <c r="V198" s="1190"/>
      <c r="W198" s="1190"/>
      <c r="X198" s="1190"/>
      <c r="Y198" s="1190"/>
      <c r="Z198" s="1190"/>
      <c r="AA198" s="1190"/>
      <c r="AB198" s="1190"/>
      <c r="AC198" s="1190"/>
      <c r="AD198" s="1190"/>
      <c r="AE198" s="1190"/>
      <c r="AF198" s="1190"/>
      <c r="AG198" s="1190"/>
      <c r="AH198" s="1190"/>
      <c r="AI198" s="1190"/>
      <c r="AJ198" s="1190"/>
      <c r="AK198" s="1190"/>
      <c r="AL198" s="1190"/>
      <c r="AM198" s="1190"/>
      <c r="AN198" s="1190"/>
      <c r="AO198" s="1190"/>
      <c r="AP198" s="1190"/>
      <c r="AQ198" s="1190"/>
      <c r="AR198" s="1190"/>
      <c r="AS198" s="1190"/>
      <c r="AT198" s="1190"/>
      <c r="AU198" s="1190"/>
      <c r="AV198" s="1190"/>
      <c r="AW198" s="1190"/>
      <c r="AX198" s="1190"/>
      <c r="AY198" s="1190"/>
      <c r="AZ198" s="1190"/>
      <c r="BA198" s="1190"/>
      <c r="BB198" s="1190"/>
      <c r="BC198" s="1190"/>
      <c r="BD198" s="1190"/>
      <c r="BE198" s="1194"/>
    </row>
    <row r="199" spans="1:57" ht="15.75" customHeight="1" thickBot="1">
      <c r="A199" s="1190"/>
      <c r="B199" s="1190"/>
      <c r="C199" s="1953" t="s">
        <v>2312</v>
      </c>
      <c r="D199" s="1954"/>
      <c r="E199" s="1954"/>
      <c r="F199" s="1954"/>
      <c r="G199" s="1954"/>
      <c r="H199" s="1954"/>
      <c r="I199" s="1954"/>
      <c r="J199" s="1954"/>
      <c r="K199" s="1954"/>
      <c r="L199" s="1954"/>
      <c r="M199" s="1954"/>
      <c r="N199" s="1954"/>
      <c r="O199" s="1954"/>
      <c r="P199" s="1954"/>
      <c r="Q199" s="1954"/>
      <c r="R199" s="1954"/>
      <c r="S199" s="1954"/>
      <c r="T199" s="1954"/>
      <c r="U199" s="1954"/>
      <c r="V199" s="1954"/>
      <c r="W199" s="1954"/>
      <c r="X199" s="1954"/>
      <c r="Y199" s="1954"/>
      <c r="Z199" s="1954"/>
      <c r="AA199" s="1954"/>
      <c r="AB199" s="1954"/>
      <c r="AC199" s="1954"/>
      <c r="AD199" s="1954"/>
      <c r="AE199" s="1955"/>
      <c r="AF199" s="1190"/>
      <c r="AG199" s="1190"/>
      <c r="AH199" s="1190"/>
      <c r="AI199" s="1190"/>
      <c r="AJ199" s="1190"/>
      <c r="AK199" s="1190"/>
      <c r="AL199" s="1190"/>
      <c r="AM199" s="1190"/>
      <c r="AN199" s="1190"/>
      <c r="AO199" s="1190"/>
      <c r="AP199" s="1190"/>
      <c r="AQ199" s="1190"/>
      <c r="AR199" s="1190"/>
      <c r="AS199" s="1190"/>
      <c r="AT199" s="1190"/>
      <c r="AU199" s="1190"/>
      <c r="AV199" s="1190"/>
      <c r="AW199" s="1190"/>
      <c r="AX199" s="1190"/>
      <c r="AY199" s="1190"/>
      <c r="AZ199" s="1190"/>
      <c r="BA199" s="1190"/>
      <c r="BB199" s="1190"/>
      <c r="BC199" s="1190"/>
      <c r="BD199" s="1190"/>
      <c r="BE199" s="1194"/>
    </row>
    <row r="200" spans="1:57" ht="15.75" customHeight="1">
      <c r="A200" s="1190"/>
      <c r="B200" s="1190"/>
      <c r="C200" s="1956" t="s">
        <v>2311</v>
      </c>
      <c r="D200" s="1956"/>
      <c r="E200" s="1956"/>
      <c r="F200" s="1956"/>
      <c r="G200" s="1956"/>
      <c r="H200" s="1956"/>
      <c r="I200" s="1956"/>
      <c r="J200" s="1956"/>
      <c r="K200" s="1956"/>
      <c r="L200" s="1956"/>
      <c r="M200" s="1956"/>
      <c r="N200" s="1956"/>
      <c r="O200" s="1957" t="s">
        <v>2310</v>
      </c>
      <c r="P200" s="1957"/>
      <c r="Q200" s="1957"/>
      <c r="R200" s="1957"/>
      <c r="S200" s="1957"/>
      <c r="T200" s="1957"/>
      <c r="U200" s="1957"/>
      <c r="V200" s="1957"/>
      <c r="W200" s="1957"/>
      <c r="X200" s="1957" t="s">
        <v>2309</v>
      </c>
      <c r="Y200" s="1957"/>
      <c r="Z200" s="1957"/>
      <c r="AA200" s="1957"/>
      <c r="AB200" s="1957"/>
      <c r="AC200" s="1957"/>
      <c r="AD200" s="1957"/>
      <c r="AE200" s="1957"/>
      <c r="AF200" s="1190"/>
      <c r="AG200" s="1190"/>
      <c r="AH200" s="1190"/>
      <c r="AI200" s="1190"/>
      <c r="AJ200" s="1190"/>
      <c r="AK200" s="1190"/>
      <c r="AL200" s="1190"/>
      <c r="AM200" s="1190"/>
      <c r="AN200" s="1190"/>
      <c r="AO200" s="1190"/>
      <c r="AP200" s="1190"/>
      <c r="AQ200" s="1190"/>
      <c r="AR200" s="1190"/>
      <c r="AS200" s="1190"/>
      <c r="AT200" s="1190"/>
      <c r="AU200" s="1190"/>
      <c r="AV200" s="1190"/>
      <c r="AW200" s="1190"/>
      <c r="AX200" s="1190"/>
      <c r="AY200" s="1190"/>
      <c r="AZ200" s="1190"/>
      <c r="BA200" s="1190"/>
      <c r="BB200" s="1190"/>
      <c r="BC200" s="1190"/>
      <c r="BD200" s="1190"/>
      <c r="BE200" s="1194"/>
    </row>
    <row r="201" spans="1:57" ht="15.75" customHeight="1">
      <c r="A201" s="1190"/>
      <c r="B201" s="1190"/>
      <c r="C201" s="1948" t="s">
        <v>2308</v>
      </c>
      <c r="D201" s="1948"/>
      <c r="E201" s="1948"/>
      <c r="F201" s="1948"/>
      <c r="G201" s="1948"/>
      <c r="H201" s="1948"/>
      <c r="I201" s="1948"/>
      <c r="J201" s="1948"/>
      <c r="K201" s="1948"/>
      <c r="L201" s="1948"/>
      <c r="M201" s="1948"/>
      <c r="N201" s="1948"/>
      <c r="O201" s="1949">
        <v>5000</v>
      </c>
      <c r="P201" s="1949"/>
      <c r="Q201" s="1949"/>
      <c r="R201" s="1949"/>
      <c r="S201" s="1949"/>
      <c r="T201" s="1949"/>
      <c r="U201" s="1949"/>
      <c r="V201" s="1949"/>
      <c r="W201" s="1949"/>
      <c r="X201" s="1950">
        <v>0.03</v>
      </c>
      <c r="Y201" s="1950"/>
      <c r="Z201" s="1950"/>
      <c r="AA201" s="1950"/>
      <c r="AB201" s="1950"/>
      <c r="AC201" s="1950"/>
      <c r="AD201" s="1950"/>
      <c r="AE201" s="1950"/>
      <c r="AF201" s="1190"/>
      <c r="AG201" s="1190"/>
      <c r="AH201" s="1190"/>
      <c r="AI201" s="1190"/>
      <c r="AJ201" s="1190"/>
      <c r="AK201" s="1190"/>
      <c r="AL201" s="1190"/>
      <c r="AM201" s="1190"/>
      <c r="AN201" s="1190"/>
      <c r="AO201" s="1190"/>
      <c r="AP201" s="1190"/>
      <c r="AQ201" s="1190"/>
      <c r="AR201" s="1190"/>
      <c r="AS201" s="1190"/>
      <c r="AT201" s="1190"/>
      <c r="AU201" s="1190"/>
      <c r="AV201" s="1190"/>
      <c r="AW201" s="1190"/>
      <c r="AX201" s="1190"/>
      <c r="AY201" s="1190"/>
      <c r="AZ201" s="1190"/>
      <c r="BA201" s="1190"/>
      <c r="BB201" s="1190"/>
      <c r="BC201" s="1190"/>
      <c r="BD201" s="1190"/>
      <c r="BE201" s="1194"/>
    </row>
    <row r="202" spans="1:57" ht="15.75" customHeight="1">
      <c r="A202" s="1190"/>
      <c r="B202" s="1190"/>
      <c r="C202" s="1948" t="s">
        <v>854</v>
      </c>
      <c r="D202" s="1948"/>
      <c r="E202" s="1948"/>
      <c r="F202" s="1948"/>
      <c r="G202" s="1948"/>
      <c r="H202" s="1948"/>
      <c r="I202" s="1948"/>
      <c r="J202" s="1948"/>
      <c r="K202" s="1948"/>
      <c r="L202" s="1948"/>
      <c r="M202" s="1948"/>
      <c r="N202" s="1948"/>
      <c r="O202" s="1949">
        <v>16000</v>
      </c>
      <c r="P202" s="1949"/>
      <c r="Q202" s="1949"/>
      <c r="R202" s="1949"/>
      <c r="S202" s="1949"/>
      <c r="T202" s="1949"/>
      <c r="U202" s="1949"/>
      <c r="V202" s="1949"/>
      <c r="W202" s="1949"/>
      <c r="X202" s="1950">
        <v>0.03</v>
      </c>
      <c r="Y202" s="1950"/>
      <c r="Z202" s="1950"/>
      <c r="AA202" s="1950"/>
      <c r="AB202" s="1950"/>
      <c r="AC202" s="1950"/>
      <c r="AD202" s="1950"/>
      <c r="AE202" s="1950"/>
      <c r="AF202" s="1190"/>
      <c r="AG202" s="1190"/>
      <c r="AH202" s="1190"/>
      <c r="AI202" s="1190"/>
      <c r="AJ202" s="1190"/>
      <c r="AK202" s="1190"/>
      <c r="AL202" s="1190"/>
      <c r="AM202" s="1190"/>
      <c r="AN202" s="1190"/>
      <c r="AO202" s="1190"/>
      <c r="AP202" s="1190"/>
      <c r="AQ202" s="1190"/>
      <c r="AR202" s="1190"/>
      <c r="AS202" s="1190"/>
      <c r="AT202" s="1190"/>
      <c r="AU202" s="1190"/>
      <c r="AV202" s="1190"/>
      <c r="AW202" s="1190"/>
      <c r="AX202" s="1190"/>
      <c r="AY202" s="1190"/>
      <c r="AZ202" s="1190"/>
      <c r="BA202" s="1190"/>
      <c r="BB202" s="1190"/>
      <c r="BC202" s="1190"/>
      <c r="BD202" s="1190"/>
      <c r="BE202" s="1194"/>
    </row>
    <row r="203" spans="1:57" ht="15.75" customHeight="1">
      <c r="A203" s="1190"/>
      <c r="B203" s="1190"/>
      <c r="C203" s="1948" t="s">
        <v>2307</v>
      </c>
      <c r="D203" s="1948"/>
      <c r="E203" s="1948"/>
      <c r="F203" s="1948"/>
      <c r="G203" s="1948"/>
      <c r="H203" s="1948"/>
      <c r="I203" s="1948"/>
      <c r="J203" s="1948"/>
      <c r="K203" s="1948"/>
      <c r="L203" s="1948"/>
      <c r="M203" s="1948"/>
      <c r="N203" s="1948"/>
      <c r="O203" s="1951">
        <f>SUM(O201:W202)</f>
        <v>21000</v>
      </c>
      <c r="P203" s="1952"/>
      <c r="Q203" s="1952"/>
      <c r="R203" s="1952"/>
      <c r="S203" s="1952"/>
      <c r="T203" s="1952"/>
      <c r="U203" s="1952"/>
      <c r="V203" s="1952"/>
      <c r="W203" s="1952"/>
      <c r="X203" s="1952" t="s">
        <v>2306</v>
      </c>
      <c r="Y203" s="1952"/>
      <c r="Z203" s="1952"/>
      <c r="AA203" s="1952"/>
      <c r="AB203" s="1952"/>
      <c r="AC203" s="1952"/>
      <c r="AD203" s="1952"/>
      <c r="AE203" s="1952"/>
      <c r="AF203" s="1190"/>
      <c r="AG203" s="1190"/>
      <c r="AH203" s="1190"/>
      <c r="AI203" s="1190"/>
      <c r="AJ203" s="1190"/>
      <c r="AK203" s="1190"/>
      <c r="AL203" s="1190"/>
      <c r="AM203" s="1190"/>
      <c r="AN203" s="1190"/>
      <c r="AO203" s="1190"/>
      <c r="AP203" s="1190"/>
      <c r="AQ203" s="1190"/>
      <c r="AR203" s="1190"/>
      <c r="AS203" s="1190"/>
      <c r="AT203" s="1190"/>
      <c r="AU203" s="1190"/>
      <c r="AV203" s="1190"/>
      <c r="AW203" s="1190"/>
      <c r="AX203" s="1190"/>
      <c r="AY203" s="1190"/>
      <c r="AZ203" s="1190"/>
      <c r="BA203" s="1190"/>
      <c r="BB203" s="1190"/>
      <c r="BC203" s="1190"/>
      <c r="BD203" s="1190"/>
      <c r="BE203" s="1194"/>
    </row>
    <row r="204" spans="1:57" ht="15.75" customHeight="1">
      <c r="A204" s="1190"/>
      <c r="B204" s="1190"/>
      <c r="C204" s="1922" t="s">
        <v>2305</v>
      </c>
      <c r="D204" s="1922"/>
      <c r="E204" s="1922"/>
      <c r="F204" s="1922"/>
      <c r="G204" s="1922"/>
      <c r="H204" s="1922"/>
      <c r="I204" s="1922"/>
      <c r="J204" s="1922"/>
      <c r="K204" s="1922"/>
      <c r="L204" s="1922"/>
      <c r="M204" s="1922"/>
      <c r="N204" s="1922"/>
      <c r="O204" s="1922"/>
      <c r="P204" s="1922"/>
      <c r="Q204" s="1922"/>
      <c r="R204" s="1922"/>
      <c r="S204" s="1922"/>
      <c r="T204" s="1922"/>
      <c r="U204" s="1922"/>
      <c r="V204" s="1922"/>
      <c r="W204" s="1922"/>
      <c r="X204" s="1922"/>
      <c r="Y204" s="1922"/>
      <c r="Z204" s="1922"/>
      <c r="AA204" s="1922"/>
      <c r="AB204" s="1922"/>
      <c r="AC204" s="1922"/>
      <c r="AD204" s="1922"/>
      <c r="AE204" s="1922"/>
      <c r="AF204" s="1190"/>
      <c r="AG204" s="1190"/>
      <c r="AH204" s="1190"/>
      <c r="AI204" s="1190"/>
      <c r="AJ204" s="1190"/>
      <c r="AK204" s="1190"/>
      <c r="AL204" s="1190"/>
      <c r="AM204" s="1190"/>
      <c r="AN204" s="1190"/>
      <c r="AO204" s="1190"/>
      <c r="AP204" s="1190"/>
      <c r="AQ204" s="1190"/>
      <c r="AR204" s="1190"/>
      <c r="AS204" s="1190"/>
      <c r="AT204" s="1190"/>
      <c r="AU204" s="1190"/>
      <c r="AV204" s="1190"/>
      <c r="AW204" s="1190"/>
      <c r="AX204" s="1190"/>
      <c r="AY204" s="1190"/>
      <c r="AZ204" s="1190"/>
      <c r="BA204" s="1190"/>
      <c r="BB204" s="1190"/>
      <c r="BC204" s="1190"/>
      <c r="BD204" s="1190"/>
      <c r="BE204" s="1194"/>
    </row>
    <row r="205" spans="1:57" ht="15.75" customHeight="1" thickBot="1">
      <c r="A205" s="1190"/>
      <c r="B205" s="1190"/>
      <c r="C205" s="1190"/>
      <c r="D205" s="1190"/>
      <c r="E205" s="1190"/>
      <c r="F205" s="1190"/>
      <c r="G205" s="1190"/>
      <c r="H205" s="1190"/>
      <c r="I205" s="1190"/>
      <c r="J205" s="1190"/>
      <c r="K205" s="1190"/>
      <c r="L205" s="1190"/>
      <c r="M205" s="1190"/>
      <c r="N205" s="1190"/>
      <c r="O205" s="1190"/>
      <c r="P205" s="1190"/>
      <c r="Q205" s="1190"/>
      <c r="R205" s="1190"/>
      <c r="S205" s="1190"/>
      <c r="T205" s="1190"/>
      <c r="U205" s="1190"/>
      <c r="V205" s="1190"/>
      <c r="W205" s="1190"/>
      <c r="X205" s="1190"/>
      <c r="Y205" s="1190"/>
      <c r="Z205" s="1190"/>
      <c r="AA205" s="1190"/>
      <c r="AB205" s="1190"/>
      <c r="AC205" s="1190"/>
      <c r="AD205" s="1190"/>
      <c r="AE205" s="1190"/>
      <c r="AF205" s="1190"/>
      <c r="AG205" s="1190"/>
      <c r="AH205" s="1190"/>
      <c r="AI205" s="1190"/>
      <c r="AJ205" s="1190"/>
      <c r="AK205" s="1190"/>
      <c r="AL205" s="1190"/>
      <c r="AM205" s="1190"/>
      <c r="AN205" s="1190"/>
      <c r="AO205" s="1190"/>
      <c r="AP205" s="1190"/>
      <c r="AQ205" s="1190"/>
      <c r="AR205" s="1190"/>
      <c r="AS205" s="1190"/>
      <c r="AT205" s="1190"/>
      <c r="AU205" s="1190"/>
      <c r="AV205" s="1190"/>
      <c r="AW205" s="1190"/>
      <c r="AX205" s="1190"/>
      <c r="AY205" s="1190"/>
      <c r="AZ205" s="1190"/>
      <c r="BA205" s="1190"/>
      <c r="BB205" s="1190"/>
      <c r="BC205" s="1190"/>
      <c r="BD205" s="1190"/>
      <c r="BE205" s="1194"/>
    </row>
    <row r="206" spans="1:57" ht="15.75" customHeight="1" thickBot="1">
      <c r="A206" s="1190"/>
      <c r="B206" s="1190"/>
      <c r="C206" s="1923" t="s">
        <v>2304</v>
      </c>
      <c r="D206" s="1924"/>
      <c r="E206" s="1924"/>
      <c r="F206" s="1924"/>
      <c r="G206" s="1924"/>
      <c r="H206" s="1924"/>
      <c r="I206" s="1924"/>
      <c r="J206" s="1924"/>
      <c r="K206" s="1924"/>
      <c r="L206" s="1924"/>
      <c r="M206" s="1924"/>
      <c r="N206" s="1924"/>
      <c r="O206" s="1924"/>
      <c r="P206" s="1924"/>
      <c r="Q206" s="1924"/>
      <c r="R206" s="1924"/>
      <c r="S206" s="1924"/>
      <c r="T206" s="1924"/>
      <c r="U206" s="1924"/>
      <c r="V206" s="1924"/>
      <c r="W206" s="1924"/>
      <c r="X206" s="1924"/>
      <c r="Y206" s="1924"/>
      <c r="Z206" s="1924"/>
      <c r="AA206" s="1924"/>
      <c r="AB206" s="1924"/>
      <c r="AC206" s="1924"/>
      <c r="AD206" s="1924"/>
      <c r="AE206" s="1924"/>
      <c r="AF206" s="1924"/>
      <c r="AG206" s="1924"/>
      <c r="AH206" s="1924"/>
      <c r="AI206" s="1924"/>
      <c r="AJ206" s="1924"/>
      <c r="AK206" s="1925"/>
      <c r="AL206" s="1190"/>
      <c r="AM206" s="1190"/>
      <c r="AN206" s="1190"/>
      <c r="AO206" s="1190"/>
      <c r="AP206" s="1190"/>
      <c r="AQ206" s="1190"/>
      <c r="AR206" s="1190"/>
      <c r="AS206" s="1190"/>
      <c r="AT206" s="1190"/>
      <c r="AU206" s="1190"/>
      <c r="AV206" s="1190"/>
      <c r="AW206" s="1190"/>
      <c r="AX206" s="1190"/>
      <c r="AY206" s="1190"/>
      <c r="AZ206" s="1190"/>
      <c r="BA206" s="1190"/>
      <c r="BB206" s="1190"/>
      <c r="BC206" s="1190"/>
      <c r="BD206" s="1190"/>
      <c r="BE206" s="1194"/>
    </row>
    <row r="207" spans="1:57" ht="15.75" customHeight="1">
      <c r="A207" s="1190"/>
      <c r="B207" s="1190"/>
      <c r="C207" s="1926" t="s">
        <v>2303</v>
      </c>
      <c r="D207" s="1927"/>
      <c r="E207" s="1927"/>
      <c r="F207" s="1928"/>
      <c r="G207" s="1932" t="s">
        <v>2302</v>
      </c>
      <c r="H207" s="1927"/>
      <c r="I207" s="1927"/>
      <c r="J207" s="1927"/>
      <c r="K207" s="1927"/>
      <c r="L207" s="1927"/>
      <c r="M207" s="1927"/>
      <c r="N207" s="1927"/>
      <c r="O207" s="1928"/>
      <c r="P207" s="1934" t="s">
        <v>2301</v>
      </c>
      <c r="Q207" s="1935"/>
      <c r="R207" s="1935"/>
      <c r="S207" s="1935"/>
      <c r="T207" s="1936"/>
      <c r="U207" s="1940" t="s">
        <v>2300</v>
      </c>
      <c r="V207" s="1941"/>
      <c r="W207" s="1941"/>
      <c r="X207" s="1942"/>
      <c r="Y207" s="1940" t="s">
        <v>2299</v>
      </c>
      <c r="Z207" s="1941"/>
      <c r="AA207" s="1941"/>
      <c r="AB207" s="1942"/>
      <c r="AC207" s="1940" t="s">
        <v>2298</v>
      </c>
      <c r="AD207" s="1941"/>
      <c r="AE207" s="1941"/>
      <c r="AF207" s="1942"/>
      <c r="AG207" s="1932" t="s">
        <v>2297</v>
      </c>
      <c r="AH207" s="1927"/>
      <c r="AI207" s="1927"/>
      <c r="AJ207" s="1927"/>
      <c r="AK207" s="1946"/>
      <c r="AL207" s="1190"/>
      <c r="AM207" s="1190"/>
      <c r="AN207" s="1190"/>
      <c r="AO207" s="1190"/>
      <c r="AP207" s="1190"/>
      <c r="AQ207" s="1190"/>
      <c r="AR207" s="1190"/>
      <c r="AS207" s="1190"/>
      <c r="AT207" s="1190"/>
      <c r="AU207" s="1190"/>
      <c r="AV207" s="1190"/>
      <c r="AW207" s="1190"/>
      <c r="AX207" s="1190"/>
      <c r="AY207" s="1190"/>
      <c r="AZ207" s="1190"/>
      <c r="BA207" s="1190"/>
      <c r="BB207" s="1190"/>
      <c r="BC207" s="1190"/>
      <c r="BD207" s="1190"/>
      <c r="BE207" s="1194"/>
    </row>
    <row r="208" spans="1:57" ht="15.75" customHeight="1">
      <c r="A208" s="1190"/>
      <c r="B208" s="1190"/>
      <c r="C208" s="1929"/>
      <c r="D208" s="1930"/>
      <c r="E208" s="1930"/>
      <c r="F208" s="1931"/>
      <c r="G208" s="1933"/>
      <c r="H208" s="1930"/>
      <c r="I208" s="1930"/>
      <c r="J208" s="1930"/>
      <c r="K208" s="1930"/>
      <c r="L208" s="1930"/>
      <c r="M208" s="1930"/>
      <c r="N208" s="1930"/>
      <c r="O208" s="1931"/>
      <c r="P208" s="1937"/>
      <c r="Q208" s="1938"/>
      <c r="R208" s="1938"/>
      <c r="S208" s="1938"/>
      <c r="T208" s="1939"/>
      <c r="U208" s="1943"/>
      <c r="V208" s="1944"/>
      <c r="W208" s="1944"/>
      <c r="X208" s="1945"/>
      <c r="Y208" s="1943"/>
      <c r="Z208" s="1944"/>
      <c r="AA208" s="1944"/>
      <c r="AB208" s="1945"/>
      <c r="AC208" s="1943"/>
      <c r="AD208" s="1944"/>
      <c r="AE208" s="1944"/>
      <c r="AF208" s="1945"/>
      <c r="AG208" s="1933"/>
      <c r="AH208" s="1930"/>
      <c r="AI208" s="1930"/>
      <c r="AJ208" s="1930"/>
      <c r="AK208" s="1947"/>
      <c r="AL208" s="1190"/>
      <c r="AM208" s="1190"/>
      <c r="AN208" s="1190"/>
      <c r="AO208" s="1190"/>
      <c r="AP208" s="1190"/>
      <c r="AQ208" s="1190"/>
      <c r="AR208" s="1190"/>
      <c r="AS208" s="1190"/>
      <c r="AT208" s="1190"/>
      <c r="AU208" s="1190"/>
      <c r="AV208" s="1190"/>
      <c r="AW208" s="1190"/>
      <c r="AX208" s="1190"/>
      <c r="AY208" s="1190"/>
      <c r="AZ208" s="1190"/>
      <c r="BA208" s="1190"/>
      <c r="BB208" s="1190"/>
      <c r="BC208" s="1190"/>
      <c r="BD208" s="1190"/>
      <c r="BE208" s="1194"/>
    </row>
    <row r="209" spans="1:57" ht="15.75" customHeight="1">
      <c r="A209" s="1190"/>
      <c r="B209" s="1190"/>
      <c r="C209" s="1915">
        <v>1</v>
      </c>
      <c r="D209" s="1916"/>
      <c r="E209" s="1916"/>
      <c r="F209" s="1916"/>
      <c r="G209" s="1917" t="s">
        <v>2744</v>
      </c>
      <c r="H209" s="1917"/>
      <c r="I209" s="1917"/>
      <c r="J209" s="1917"/>
      <c r="K209" s="1917"/>
      <c r="L209" s="1917"/>
      <c r="M209" s="1917"/>
      <c r="N209" s="1917"/>
      <c r="O209" s="1917"/>
      <c r="P209" s="1918">
        <v>46023</v>
      </c>
      <c r="Q209" s="1921"/>
      <c r="R209" s="1921"/>
      <c r="S209" s="1921"/>
      <c r="T209" s="1921"/>
      <c r="U209" s="1919">
        <v>3385243</v>
      </c>
      <c r="V209" s="1919"/>
      <c r="W209" s="1919"/>
      <c r="X209" s="1919"/>
      <c r="Y209" s="1919">
        <v>150000</v>
      </c>
      <c r="Z209" s="1919"/>
      <c r="AA209" s="1919"/>
      <c r="AB209" s="1919"/>
      <c r="AC209" s="1920">
        <v>0.02</v>
      </c>
      <c r="AD209" s="1920"/>
      <c r="AE209" s="1920"/>
      <c r="AF209" s="1920"/>
      <c r="AG209" s="1904" t="s">
        <v>2748</v>
      </c>
      <c r="AH209" s="1905"/>
      <c r="AI209" s="1905"/>
      <c r="AJ209" s="1905"/>
      <c r="AK209" s="1906"/>
      <c r="AL209" s="1190"/>
      <c r="AM209" s="1190"/>
      <c r="AN209" s="1190"/>
      <c r="AO209" s="1190"/>
      <c r="AP209" s="1190"/>
      <c r="AQ209" s="1190"/>
      <c r="AR209" s="1190"/>
      <c r="AS209" s="1190"/>
      <c r="AT209" s="1190"/>
      <c r="AU209" s="1190"/>
      <c r="AV209" s="1190"/>
      <c r="AW209" s="1190"/>
      <c r="AX209" s="1190"/>
      <c r="AY209" s="1190"/>
      <c r="AZ209" s="1190"/>
      <c r="BA209" s="1190"/>
      <c r="BB209" s="1190"/>
      <c r="BC209" s="1190"/>
      <c r="BD209" s="1190"/>
      <c r="BE209" s="1194"/>
    </row>
    <row r="210" spans="1:57" ht="15.75" customHeight="1">
      <c r="A210" s="1190"/>
      <c r="B210" s="1190"/>
      <c r="C210" s="1915">
        <v>2</v>
      </c>
      <c r="D210" s="1916"/>
      <c r="E210" s="1916"/>
      <c r="F210" s="1916"/>
      <c r="G210" s="1917" t="s">
        <v>2745</v>
      </c>
      <c r="H210" s="1917"/>
      <c r="I210" s="1917"/>
      <c r="J210" s="1917"/>
      <c r="K210" s="1917"/>
      <c r="L210" s="1917"/>
      <c r="M210" s="1917"/>
      <c r="N210" s="1917"/>
      <c r="O210" s="1917"/>
      <c r="P210" s="1918">
        <v>46631</v>
      </c>
      <c r="Q210" s="1918"/>
      <c r="R210" s="1918"/>
      <c r="S210" s="1918"/>
      <c r="T210" s="1918"/>
      <c r="U210" s="1919">
        <v>3385243</v>
      </c>
      <c r="V210" s="1919"/>
      <c r="W210" s="1919"/>
      <c r="X210" s="1919"/>
      <c r="Y210" s="1919">
        <v>150000</v>
      </c>
      <c r="Z210" s="1919"/>
      <c r="AA210" s="1919"/>
      <c r="AB210" s="1919"/>
      <c r="AC210" s="1920">
        <v>0.02</v>
      </c>
      <c r="AD210" s="1920"/>
      <c r="AE210" s="1920"/>
      <c r="AF210" s="1920"/>
      <c r="AG210" s="1904" t="s">
        <v>2748</v>
      </c>
      <c r="AH210" s="1905"/>
      <c r="AI210" s="1905"/>
      <c r="AJ210" s="1905"/>
      <c r="AK210" s="1906"/>
      <c r="AL210" s="1190"/>
      <c r="AM210" s="1190"/>
      <c r="AN210" s="1190"/>
      <c r="AO210" s="1190"/>
      <c r="AP210" s="1190"/>
      <c r="AQ210" s="1190"/>
      <c r="AR210" s="1190"/>
      <c r="AS210" s="1190"/>
      <c r="AT210" s="1190"/>
      <c r="AU210" s="1190"/>
      <c r="AV210" s="1190"/>
      <c r="AW210" s="1190"/>
      <c r="AX210" s="1190"/>
      <c r="AY210" s="1190"/>
      <c r="AZ210" s="1190"/>
      <c r="BA210" s="1190"/>
      <c r="BB210" s="1190"/>
      <c r="BC210" s="1190"/>
      <c r="BD210" s="1190"/>
      <c r="BE210" s="1194"/>
    </row>
    <row r="211" spans="1:57" ht="15.75" customHeight="1">
      <c r="A211" s="1190"/>
      <c r="B211" s="1190"/>
      <c r="C211" s="1915">
        <v>3</v>
      </c>
      <c r="D211" s="1916"/>
      <c r="E211" s="1916"/>
      <c r="F211" s="1916"/>
      <c r="G211" s="1917" t="s">
        <v>2746</v>
      </c>
      <c r="H211" s="1917"/>
      <c r="I211" s="1917"/>
      <c r="J211" s="1917"/>
      <c r="K211" s="1917"/>
      <c r="L211" s="1917"/>
      <c r="M211" s="1917"/>
      <c r="N211" s="1917"/>
      <c r="O211" s="1917"/>
      <c r="P211" s="1918">
        <v>46784</v>
      </c>
      <c r="Q211" s="1918"/>
      <c r="R211" s="1918"/>
      <c r="S211" s="1918"/>
      <c r="T211" s="1918"/>
      <c r="U211" s="1919">
        <v>15447803</v>
      </c>
      <c r="V211" s="1919"/>
      <c r="W211" s="1919"/>
      <c r="X211" s="1919"/>
      <c r="Y211" s="1919">
        <v>505687</v>
      </c>
      <c r="Z211" s="1919"/>
      <c r="AA211" s="1919"/>
      <c r="AB211" s="1919"/>
      <c r="AC211" s="1920">
        <v>0.21</v>
      </c>
      <c r="AD211" s="1920"/>
      <c r="AE211" s="1920"/>
      <c r="AF211" s="1920"/>
      <c r="AG211" s="1904" t="s">
        <v>2748</v>
      </c>
      <c r="AH211" s="1905"/>
      <c r="AI211" s="1905"/>
      <c r="AJ211" s="1905"/>
      <c r="AK211" s="1906"/>
      <c r="AL211" s="1190"/>
      <c r="AM211" s="1190"/>
      <c r="AN211" s="1190"/>
      <c r="AO211" s="1190"/>
      <c r="AP211" s="1190"/>
      <c r="AQ211" s="1190"/>
      <c r="AR211" s="1190"/>
      <c r="AS211" s="1190"/>
      <c r="AT211" s="1190"/>
      <c r="AU211" s="1190"/>
      <c r="AV211" s="1190"/>
      <c r="AW211" s="1190"/>
      <c r="AX211" s="1190"/>
      <c r="AY211" s="1190"/>
      <c r="AZ211" s="1190"/>
      <c r="BA211" s="1190"/>
      <c r="BB211" s="1190"/>
      <c r="BC211" s="1190"/>
      <c r="BD211" s="1190"/>
      <c r="BE211" s="1194"/>
    </row>
    <row r="212" spans="1:57" ht="15.75" customHeight="1">
      <c r="A212" s="1190"/>
      <c r="B212" s="1190"/>
      <c r="C212" s="1915">
        <v>4</v>
      </c>
      <c r="D212" s="1916"/>
      <c r="E212" s="1916"/>
      <c r="F212" s="1916"/>
      <c r="G212" s="1917" t="s">
        <v>2747</v>
      </c>
      <c r="H212" s="1917"/>
      <c r="I212" s="1917"/>
      <c r="J212" s="1917"/>
      <c r="K212" s="1917"/>
      <c r="L212" s="1917"/>
      <c r="M212" s="1917"/>
      <c r="N212" s="1917"/>
      <c r="O212" s="1917"/>
      <c r="P212" s="1918">
        <v>46874</v>
      </c>
      <c r="Q212" s="1918"/>
      <c r="R212" s="1918"/>
      <c r="S212" s="1918"/>
      <c r="T212" s="1918"/>
      <c r="U212" s="1919">
        <v>350000</v>
      </c>
      <c r="V212" s="1919"/>
      <c r="W212" s="1919"/>
      <c r="X212" s="1919"/>
      <c r="Y212" s="1919">
        <v>5332063</v>
      </c>
      <c r="Z212" s="1919"/>
      <c r="AA212" s="1919"/>
      <c r="AB212" s="1919"/>
      <c r="AC212" s="1920">
        <v>0.74</v>
      </c>
      <c r="AD212" s="1920"/>
      <c r="AE212" s="1920"/>
      <c r="AF212" s="1920"/>
      <c r="AG212" s="1904" t="s">
        <v>458</v>
      </c>
      <c r="AH212" s="1905"/>
      <c r="AI212" s="1905"/>
      <c r="AJ212" s="1905"/>
      <c r="AK212" s="1906"/>
      <c r="AL212" s="1190"/>
      <c r="AM212" s="1190"/>
      <c r="AN212" s="1190"/>
      <c r="AO212" s="1190"/>
      <c r="AP212" s="1190"/>
      <c r="AQ212" s="1190"/>
      <c r="AR212" s="1190"/>
      <c r="AS212" s="1190"/>
      <c r="AT212" s="1190"/>
      <c r="AU212" s="1190"/>
      <c r="AV212" s="1190"/>
      <c r="AW212" s="1190"/>
      <c r="AX212" s="1190"/>
      <c r="AY212" s="1190"/>
      <c r="AZ212" s="1190"/>
      <c r="BA212" s="1190"/>
      <c r="BB212" s="1190"/>
      <c r="BC212" s="1190"/>
      <c r="BD212" s="1190"/>
      <c r="BE212" s="1194"/>
    </row>
    <row r="213" spans="1:57" ht="15.75" customHeight="1">
      <c r="A213" s="1190"/>
      <c r="B213" s="1190"/>
      <c r="C213" s="1915">
        <v>5</v>
      </c>
      <c r="D213" s="1916"/>
      <c r="E213" s="1916"/>
      <c r="F213" s="1916"/>
      <c r="G213" s="1917" t="s">
        <v>1885</v>
      </c>
      <c r="H213" s="1917"/>
      <c r="I213" s="1917"/>
      <c r="J213" s="1917"/>
      <c r="K213" s="1917"/>
      <c r="L213" s="1917"/>
      <c r="M213" s="1917"/>
      <c r="N213" s="1917"/>
      <c r="O213" s="1917"/>
      <c r="P213" s="1918"/>
      <c r="Q213" s="1918"/>
      <c r="R213" s="1918"/>
      <c r="S213" s="1918"/>
      <c r="T213" s="1918"/>
      <c r="U213" s="1919" t="s">
        <v>1885</v>
      </c>
      <c r="V213" s="1919"/>
      <c r="W213" s="1919"/>
      <c r="X213" s="1919"/>
      <c r="Y213" s="1919" t="s">
        <v>1885</v>
      </c>
      <c r="Z213" s="1919"/>
      <c r="AA213" s="1919"/>
      <c r="AB213" s="1919"/>
      <c r="AC213" s="1920" t="s">
        <v>1885</v>
      </c>
      <c r="AD213" s="1920"/>
      <c r="AE213" s="1920"/>
      <c r="AF213" s="1920"/>
      <c r="AG213" s="1904"/>
      <c r="AH213" s="1905"/>
      <c r="AI213" s="1905"/>
      <c r="AJ213" s="1905"/>
      <c r="AK213" s="1906"/>
      <c r="AL213" s="1190"/>
      <c r="AM213" s="1190"/>
      <c r="AN213" s="1190"/>
      <c r="AO213" s="1190"/>
      <c r="AP213" s="1190"/>
      <c r="AQ213" s="1190"/>
      <c r="AR213" s="1190"/>
      <c r="AS213" s="1190"/>
      <c r="AT213" s="1190"/>
      <c r="AU213" s="1190"/>
      <c r="AV213" s="1190"/>
      <c r="AW213" s="1190"/>
      <c r="AX213" s="1190"/>
      <c r="AY213" s="1190"/>
      <c r="AZ213" s="1190"/>
      <c r="BA213" s="1190"/>
      <c r="BB213" s="1190"/>
      <c r="BC213" s="1190"/>
      <c r="BD213" s="1190"/>
      <c r="BE213" s="1194"/>
    </row>
    <row r="214" spans="1:57" ht="15.75" customHeight="1">
      <c r="A214" s="1190"/>
      <c r="B214" s="1190"/>
      <c r="C214" s="1915">
        <v>6</v>
      </c>
      <c r="D214" s="1916"/>
      <c r="E214" s="1916"/>
      <c r="F214" s="1916"/>
      <c r="G214" s="1917" t="s">
        <v>1885</v>
      </c>
      <c r="H214" s="1917"/>
      <c r="I214" s="1917"/>
      <c r="J214" s="1917"/>
      <c r="K214" s="1917"/>
      <c r="L214" s="1917"/>
      <c r="M214" s="1917"/>
      <c r="N214" s="1917"/>
      <c r="O214" s="1917"/>
      <c r="P214" s="1918"/>
      <c r="Q214" s="1918"/>
      <c r="R214" s="1918"/>
      <c r="S214" s="1918"/>
      <c r="T214" s="1918"/>
      <c r="U214" s="1919"/>
      <c r="V214" s="1919"/>
      <c r="W214" s="1919"/>
      <c r="X214" s="1919"/>
      <c r="Y214" s="1919"/>
      <c r="Z214" s="1919"/>
      <c r="AA214" s="1919"/>
      <c r="AB214" s="1919"/>
      <c r="AC214" s="1920" t="s">
        <v>1885</v>
      </c>
      <c r="AD214" s="1920"/>
      <c r="AE214" s="1920"/>
      <c r="AF214" s="1920"/>
      <c r="AG214" s="1904"/>
      <c r="AH214" s="1905"/>
      <c r="AI214" s="1905"/>
      <c r="AJ214" s="1905"/>
      <c r="AK214" s="1906"/>
      <c r="AL214" s="1190"/>
      <c r="AM214" s="1190"/>
      <c r="AN214" s="1190"/>
      <c r="AO214" s="1190"/>
      <c r="AP214" s="1190"/>
      <c r="AQ214" s="1190"/>
      <c r="AR214" s="1190"/>
      <c r="AS214" s="1190"/>
      <c r="AT214" s="1190"/>
      <c r="AU214" s="1190"/>
      <c r="AV214" s="1190"/>
      <c r="AW214" s="1190"/>
      <c r="AX214" s="1190"/>
      <c r="AY214" s="1190"/>
      <c r="AZ214" s="1190"/>
      <c r="BA214" s="1190"/>
      <c r="BB214" s="1190"/>
      <c r="BC214" s="1190"/>
      <c r="BD214" s="1190"/>
      <c r="BE214" s="1194"/>
    </row>
    <row r="215" spans="1:57" ht="15.75" customHeight="1">
      <c r="A215" s="1190"/>
      <c r="B215" s="1190"/>
      <c r="C215" s="1915">
        <v>7</v>
      </c>
      <c r="D215" s="1916"/>
      <c r="E215" s="1916"/>
      <c r="F215" s="1916"/>
      <c r="G215" s="1917"/>
      <c r="H215" s="1917"/>
      <c r="I215" s="1917"/>
      <c r="J215" s="1917"/>
      <c r="K215" s="1917"/>
      <c r="L215" s="1917"/>
      <c r="M215" s="1917"/>
      <c r="N215" s="1917"/>
      <c r="O215" s="1917"/>
      <c r="P215" s="1918"/>
      <c r="Q215" s="1918"/>
      <c r="R215" s="1918"/>
      <c r="S215" s="1918"/>
      <c r="T215" s="1918"/>
      <c r="U215" s="1919"/>
      <c r="V215" s="1919"/>
      <c r="W215" s="1919"/>
      <c r="X215" s="1919"/>
      <c r="Y215" s="1919"/>
      <c r="Z215" s="1919"/>
      <c r="AA215" s="1919"/>
      <c r="AB215" s="1919"/>
      <c r="AC215" s="1920" t="s">
        <v>1885</v>
      </c>
      <c r="AD215" s="1920"/>
      <c r="AE215" s="1920"/>
      <c r="AF215" s="1920"/>
      <c r="AG215" s="1904"/>
      <c r="AH215" s="1905"/>
      <c r="AI215" s="1905"/>
      <c r="AJ215" s="1905"/>
      <c r="AK215" s="1906"/>
      <c r="AL215" s="1190"/>
      <c r="AM215" s="1190"/>
      <c r="AN215" s="1190"/>
      <c r="AO215" s="1190"/>
      <c r="AP215" s="1190"/>
      <c r="AQ215" s="1190"/>
      <c r="AR215" s="1190"/>
      <c r="AS215" s="1190"/>
      <c r="AT215" s="1190"/>
      <c r="AU215" s="1190"/>
      <c r="AV215" s="1190"/>
      <c r="AW215" s="1190"/>
      <c r="AX215" s="1190"/>
      <c r="AY215" s="1190"/>
      <c r="AZ215" s="1190"/>
      <c r="BA215" s="1190"/>
      <c r="BB215" s="1190"/>
      <c r="BC215" s="1190"/>
      <c r="BD215" s="1190"/>
      <c r="BE215" s="1194"/>
    </row>
    <row r="216" spans="1:57" ht="15.75" customHeight="1">
      <c r="A216" s="1190"/>
      <c r="B216" s="1190"/>
      <c r="C216" s="1907" t="s">
        <v>2296</v>
      </c>
      <c r="D216" s="1908"/>
      <c r="E216" s="1908"/>
      <c r="F216" s="1908"/>
      <c r="G216" s="1908"/>
      <c r="H216" s="1908"/>
      <c r="I216" s="1908"/>
      <c r="J216" s="1908"/>
      <c r="K216" s="1908"/>
      <c r="L216" s="1908"/>
      <c r="M216" s="1908"/>
      <c r="N216" s="1908"/>
      <c r="O216" s="1908"/>
      <c r="P216" s="1909"/>
      <c r="Q216" s="1909"/>
      <c r="R216" s="1909"/>
      <c r="S216" s="1909"/>
      <c r="T216" s="1909"/>
      <c r="U216" s="1910">
        <f>-SUM(U209:U215)</f>
        <v>-22568289</v>
      </c>
      <c r="V216" s="1910"/>
      <c r="W216" s="1910"/>
      <c r="X216" s="1910"/>
      <c r="Y216" s="1910">
        <f>-SUM(Y209:Y215)</f>
        <v>-6137750</v>
      </c>
      <c r="Z216" s="1910"/>
      <c r="AA216" s="1910"/>
      <c r="AB216" s="1910"/>
      <c r="AC216" s="1911">
        <f>-SUM(AC209:AC215)</f>
        <v>-0.99</v>
      </c>
      <c r="AD216" s="1911"/>
      <c r="AE216" s="1911"/>
      <c r="AF216" s="1911"/>
      <c r="AG216" s="1912"/>
      <c r="AH216" s="1913"/>
      <c r="AI216" s="1913"/>
      <c r="AJ216" s="1913"/>
      <c r="AK216" s="1914"/>
      <c r="AL216" s="1190"/>
      <c r="AM216" s="1190"/>
      <c r="AN216" s="1190"/>
      <c r="AO216" s="1190"/>
      <c r="AP216" s="1190"/>
      <c r="AQ216" s="1190"/>
      <c r="AR216" s="1190"/>
      <c r="AS216" s="1190"/>
      <c r="AT216" s="1190"/>
      <c r="AU216" s="1190"/>
      <c r="AV216" s="1190"/>
      <c r="AW216" s="1190"/>
      <c r="AX216" s="1190"/>
      <c r="AY216" s="1190"/>
      <c r="AZ216" s="1190"/>
      <c r="BA216" s="1190"/>
      <c r="BB216" s="1190"/>
      <c r="BC216" s="1190"/>
      <c r="BD216" s="1190"/>
      <c r="BE216" s="1194"/>
    </row>
    <row r="217" spans="1:57" ht="15.75" customHeight="1">
      <c r="A217" s="1190"/>
      <c r="B217" s="1190"/>
      <c r="C217" s="1190" t="s">
        <v>2295</v>
      </c>
      <c r="D217" s="1190"/>
      <c r="E217" s="1190"/>
      <c r="F217" s="1190"/>
      <c r="G217" s="1190"/>
      <c r="H217" s="1190"/>
      <c r="I217" s="1190"/>
      <c r="J217" s="1190"/>
      <c r="K217" s="1190"/>
      <c r="L217" s="1190"/>
      <c r="M217" s="1190"/>
      <c r="N217" s="1190"/>
      <c r="O217" s="1190"/>
      <c r="P217" s="1190"/>
      <c r="Q217" s="1190"/>
      <c r="R217" s="1190"/>
      <c r="S217" s="1190"/>
      <c r="T217" s="1190"/>
      <c r="U217" s="1190"/>
      <c r="V217" s="1190"/>
      <c r="W217" s="1190"/>
      <c r="X217" s="1190"/>
      <c r="Y217" s="1190"/>
      <c r="Z217" s="1190"/>
      <c r="AA217" s="1190"/>
      <c r="AB217" s="1190"/>
      <c r="AC217" s="1190"/>
      <c r="AD217" s="1190"/>
      <c r="AE217" s="1190"/>
      <c r="AF217" s="1190"/>
      <c r="AG217" s="1190"/>
      <c r="AH217" s="1190"/>
      <c r="AI217" s="1190"/>
      <c r="AJ217" s="1190"/>
      <c r="AK217" s="1190"/>
      <c r="AL217" s="1190"/>
      <c r="AM217" s="1190"/>
      <c r="AN217" s="1190"/>
      <c r="AO217" s="1190"/>
      <c r="AP217" s="1190"/>
      <c r="AQ217" s="1190"/>
      <c r="AR217" s="1190"/>
      <c r="AS217" s="1190"/>
      <c r="AT217" s="1190"/>
      <c r="AU217" s="1190"/>
      <c r="AV217" s="1190"/>
      <c r="AW217" s="1190"/>
      <c r="AX217" s="1190"/>
      <c r="AY217" s="1190"/>
      <c r="AZ217" s="1190"/>
      <c r="BA217" s="1190"/>
      <c r="BB217" s="1190"/>
      <c r="BC217" s="1190"/>
      <c r="BD217" s="1190"/>
      <c r="BE217" s="1194"/>
    </row>
    <row r="218" spans="1:57" ht="15.75" customHeight="1">
      <c r="A218" s="1190"/>
      <c r="B218" s="1190"/>
      <c r="C218" s="1190"/>
      <c r="D218" s="1190"/>
      <c r="E218" s="1190"/>
      <c r="F218" s="1190"/>
      <c r="G218" s="1190"/>
      <c r="H218" s="1190"/>
      <c r="I218" s="1190"/>
      <c r="J218" s="1190"/>
      <c r="K218" s="1190"/>
      <c r="L218" s="1190"/>
      <c r="M218" s="1190"/>
      <c r="N218" s="1190"/>
      <c r="O218" s="1190"/>
      <c r="P218" s="1190"/>
      <c r="Q218" s="1190"/>
      <c r="R218" s="1190"/>
      <c r="S218" s="1190"/>
      <c r="T218" s="1190"/>
      <c r="U218" s="1190"/>
      <c r="V218" s="1190"/>
      <c r="W218" s="1190"/>
      <c r="X218" s="1190"/>
      <c r="Y218" s="1190"/>
      <c r="Z218" s="1190"/>
      <c r="AA218" s="1190"/>
      <c r="AB218" s="1190"/>
      <c r="AC218" s="1190"/>
      <c r="AD218" s="1190"/>
      <c r="AE218" s="1190"/>
      <c r="AF218" s="1190"/>
      <c r="AG218" s="1190"/>
      <c r="AH218" s="1190"/>
      <c r="AI218" s="1190"/>
      <c r="AJ218" s="1190"/>
      <c r="AK218" s="1190"/>
      <c r="AL218" s="1190"/>
      <c r="AM218" s="1190"/>
      <c r="AN218" s="1190"/>
      <c r="AO218" s="1190"/>
      <c r="AP218" s="1190"/>
      <c r="AQ218" s="1190"/>
      <c r="AR218" s="1190"/>
      <c r="AS218" s="1190"/>
      <c r="AT218" s="1190"/>
      <c r="AU218" s="1190"/>
      <c r="AV218" s="1190"/>
      <c r="AW218" s="1190"/>
      <c r="AX218" s="1190"/>
      <c r="AY218" s="1190"/>
      <c r="AZ218" s="1190"/>
      <c r="BA218" s="1190"/>
      <c r="BB218" s="1190"/>
      <c r="BC218" s="1190"/>
      <c r="BD218" s="1190"/>
      <c r="BE218" s="1194"/>
    </row>
    <row r="219" spans="1:57" ht="15.75" customHeight="1">
      <c r="A219" s="1190"/>
      <c r="B219" s="1190"/>
      <c r="C219" s="1190"/>
      <c r="D219" s="1190"/>
      <c r="E219" s="1190"/>
      <c r="F219" s="1190"/>
      <c r="G219" s="1190"/>
      <c r="H219" s="1190"/>
      <c r="I219" s="1190"/>
      <c r="J219" s="1190"/>
      <c r="K219" s="1190"/>
      <c r="L219" s="1190"/>
      <c r="M219" s="1190"/>
      <c r="N219" s="1190"/>
      <c r="O219" s="1190"/>
      <c r="P219" s="1190"/>
      <c r="Q219" s="1190"/>
      <c r="R219" s="1190"/>
      <c r="S219" s="1190"/>
      <c r="T219" s="1190"/>
      <c r="U219" s="1190"/>
      <c r="V219" s="1190"/>
      <c r="W219" s="1190"/>
      <c r="X219" s="1190"/>
      <c r="Y219" s="1190"/>
      <c r="Z219" s="1190"/>
      <c r="AA219" s="1190"/>
      <c r="AB219" s="1190"/>
      <c r="AC219" s="1190"/>
      <c r="AD219" s="1190"/>
      <c r="AE219" s="1190"/>
      <c r="AF219" s="1190"/>
      <c r="AG219" s="1190"/>
      <c r="AH219" s="1190"/>
      <c r="AI219" s="1190"/>
      <c r="AJ219" s="1190"/>
      <c r="AK219" s="1190"/>
      <c r="AL219" s="1190"/>
      <c r="AM219" s="1190"/>
      <c r="AN219" s="1190"/>
      <c r="AO219" s="1190"/>
      <c r="AP219" s="1190"/>
      <c r="AQ219" s="1190"/>
      <c r="AR219" s="1190"/>
      <c r="AS219" s="1190"/>
      <c r="AT219" s="1190"/>
      <c r="AU219" s="1190"/>
      <c r="AV219" s="1190"/>
      <c r="AW219" s="1190"/>
      <c r="AX219" s="1190"/>
      <c r="AY219" s="1190"/>
      <c r="AZ219" s="1190"/>
      <c r="BA219" s="1190"/>
      <c r="BB219" s="1190"/>
      <c r="BC219" s="1190"/>
      <c r="BD219" s="1190"/>
      <c r="BE219" s="1194"/>
    </row>
    <row r="220" spans="1:57" ht="15.75" customHeight="1" thickBot="1">
      <c r="A220" s="1190"/>
      <c r="B220" s="1190"/>
      <c r="C220" s="1190"/>
      <c r="D220" s="1190"/>
      <c r="E220" s="1190"/>
      <c r="F220" s="1190"/>
      <c r="G220" s="1190"/>
      <c r="H220" s="1190"/>
      <c r="I220" s="1190"/>
      <c r="J220" s="1190"/>
      <c r="K220" s="1190"/>
      <c r="L220" s="1190"/>
      <c r="M220" s="1190"/>
      <c r="N220" s="1190"/>
      <c r="O220" s="1190"/>
      <c r="P220" s="1190"/>
      <c r="Q220" s="1190"/>
      <c r="R220" s="1190"/>
      <c r="S220" s="1190"/>
      <c r="T220" s="1190"/>
      <c r="U220" s="1190"/>
      <c r="V220" s="1190"/>
      <c r="W220" s="1190"/>
      <c r="X220" s="1190"/>
      <c r="Y220" s="1190"/>
      <c r="Z220" s="1190"/>
      <c r="AA220" s="1190"/>
      <c r="AB220" s="1190"/>
      <c r="AC220" s="1190"/>
      <c r="AD220" s="1190"/>
      <c r="AE220" s="1190"/>
      <c r="AF220" s="1190"/>
      <c r="AG220" s="1190"/>
      <c r="AH220" s="1190"/>
      <c r="AI220" s="1190"/>
      <c r="AJ220" s="1190"/>
      <c r="AK220" s="1190"/>
      <c r="AL220" s="1190"/>
      <c r="AM220" s="1190"/>
      <c r="AN220" s="1190"/>
      <c r="AO220" s="1190"/>
      <c r="AP220" s="1190"/>
      <c r="AQ220" s="1190"/>
      <c r="AR220" s="1190"/>
      <c r="AS220" s="1190"/>
      <c r="AT220" s="1190"/>
      <c r="AU220" s="1190"/>
      <c r="AV220" s="1190"/>
      <c r="AW220" s="1190"/>
      <c r="AX220" s="1190"/>
      <c r="AY220" s="1190"/>
      <c r="AZ220" s="1190"/>
      <c r="BA220" s="1190"/>
      <c r="BB220" s="1190"/>
      <c r="BC220" s="1190"/>
      <c r="BD220" s="1190"/>
      <c r="BE220" s="1194"/>
    </row>
    <row r="221" spans="1:57" ht="15.75" customHeight="1">
      <c r="A221" s="1190"/>
      <c r="B221" s="1891" t="s">
        <v>2294</v>
      </c>
      <c r="C221" s="1892"/>
      <c r="D221" s="1892"/>
      <c r="E221" s="1892"/>
      <c r="F221" s="1892"/>
      <c r="G221" s="1892"/>
      <c r="H221" s="1892"/>
      <c r="I221" s="1892"/>
      <c r="J221" s="1892"/>
      <c r="K221" s="1892"/>
      <c r="L221" s="1892"/>
      <c r="M221" s="1892"/>
      <c r="N221" s="1892"/>
      <c r="O221" s="1892"/>
      <c r="P221" s="1892"/>
      <c r="Q221" s="1892"/>
      <c r="R221" s="1892"/>
      <c r="S221" s="1892"/>
      <c r="T221" s="1892"/>
      <c r="U221" s="1892"/>
      <c r="V221" s="1892"/>
      <c r="W221" s="1892"/>
      <c r="X221" s="1892"/>
      <c r="Y221" s="1892"/>
      <c r="Z221" s="1892"/>
      <c r="AA221" s="1892"/>
      <c r="AB221" s="1892"/>
      <c r="AC221" s="1892"/>
      <c r="AD221" s="1892"/>
      <c r="AE221" s="1892"/>
      <c r="AF221" s="1892"/>
      <c r="AG221" s="1892"/>
      <c r="AH221" s="1892"/>
      <c r="AI221" s="1892"/>
      <c r="AJ221" s="1892"/>
      <c r="AK221" s="1892"/>
      <c r="AL221" s="1892"/>
      <c r="AM221" s="1892"/>
      <c r="AN221" s="1892"/>
      <c r="AO221" s="1892"/>
      <c r="AP221" s="1892"/>
      <c r="AQ221" s="1892"/>
      <c r="AR221" s="1892"/>
      <c r="AS221" s="1892"/>
      <c r="AT221" s="1892"/>
      <c r="AU221" s="1892"/>
      <c r="AV221" s="1892"/>
      <c r="AW221" s="1892"/>
      <c r="AX221" s="1892"/>
      <c r="AY221" s="1892"/>
      <c r="AZ221" s="1892"/>
      <c r="BA221" s="1892"/>
      <c r="BB221" s="1892"/>
      <c r="BC221" s="1892"/>
      <c r="BD221" s="1893"/>
      <c r="BE221" s="1194"/>
    </row>
    <row r="222" spans="1:57" ht="15.75" customHeight="1">
      <c r="A222" s="1190"/>
      <c r="B222" s="1894"/>
      <c r="C222" s="1895"/>
      <c r="D222" s="1895"/>
      <c r="E222" s="1895"/>
      <c r="F222" s="1895"/>
      <c r="G222" s="1895"/>
      <c r="H222" s="1895"/>
      <c r="I222" s="1895"/>
      <c r="J222" s="1895"/>
      <c r="K222" s="1895"/>
      <c r="L222" s="1895"/>
      <c r="M222" s="1895"/>
      <c r="N222" s="1895"/>
      <c r="O222" s="1895"/>
      <c r="P222" s="1895"/>
      <c r="Q222" s="1895"/>
      <c r="R222" s="1895"/>
      <c r="S222" s="1895"/>
      <c r="T222" s="1895"/>
      <c r="U222" s="1895"/>
      <c r="V222" s="1895"/>
      <c r="W222" s="1895"/>
      <c r="X222" s="1895"/>
      <c r="Y222" s="1895"/>
      <c r="Z222" s="1895"/>
      <c r="AA222" s="1895"/>
      <c r="AB222" s="1895"/>
      <c r="AC222" s="1895"/>
      <c r="AD222" s="1895"/>
      <c r="AE222" s="1895"/>
      <c r="AF222" s="1895"/>
      <c r="AG222" s="1895"/>
      <c r="AH222" s="1895"/>
      <c r="AI222" s="1895"/>
      <c r="AJ222" s="1895"/>
      <c r="AK222" s="1895"/>
      <c r="AL222" s="1895"/>
      <c r="AM222" s="1895"/>
      <c r="AN222" s="1895"/>
      <c r="AO222" s="1895"/>
      <c r="AP222" s="1895"/>
      <c r="AQ222" s="1895"/>
      <c r="AR222" s="1895"/>
      <c r="AS222" s="1895"/>
      <c r="AT222" s="1895"/>
      <c r="AU222" s="1895"/>
      <c r="AV222" s="1895"/>
      <c r="AW222" s="1895"/>
      <c r="AX222" s="1895"/>
      <c r="AY222" s="1895"/>
      <c r="AZ222" s="1895"/>
      <c r="BA222" s="1895"/>
      <c r="BB222" s="1895"/>
      <c r="BC222" s="1895"/>
      <c r="BD222" s="1896"/>
      <c r="BE222" s="1194"/>
    </row>
    <row r="223" spans="1:57" ht="15.75" customHeight="1">
      <c r="A223" s="1190"/>
      <c r="B223" s="1897" t="s">
        <v>2293</v>
      </c>
      <c r="C223" s="1898"/>
      <c r="D223" s="1898"/>
      <c r="E223" s="1898"/>
      <c r="F223" s="1898"/>
      <c r="G223" s="1898"/>
      <c r="H223" s="1898"/>
      <c r="I223" s="1898"/>
      <c r="J223" s="1898"/>
      <c r="K223" s="1898"/>
      <c r="L223" s="1898"/>
      <c r="M223" s="1898"/>
      <c r="N223" s="1898"/>
      <c r="O223" s="1898"/>
      <c r="P223" s="1898"/>
      <c r="Q223" s="1898"/>
      <c r="R223" s="1898"/>
      <c r="S223" s="1898"/>
      <c r="T223" s="1898"/>
      <c r="U223" s="1898"/>
      <c r="V223" s="1898"/>
      <c r="W223" s="1898"/>
      <c r="X223" s="1898"/>
      <c r="Y223" s="1898"/>
      <c r="Z223" s="1898"/>
      <c r="AA223" s="1898"/>
      <c r="AB223" s="1898"/>
      <c r="AC223" s="1898"/>
      <c r="AD223" s="1898"/>
      <c r="AE223" s="1898"/>
      <c r="AF223" s="1898"/>
      <c r="AG223" s="1898"/>
      <c r="AH223" s="1898"/>
      <c r="AI223" s="1898"/>
      <c r="AJ223" s="1898"/>
      <c r="AK223" s="1898"/>
      <c r="AL223" s="1898"/>
      <c r="AM223" s="1898"/>
      <c r="AN223" s="1898"/>
      <c r="AO223" s="1898"/>
      <c r="AP223" s="1898"/>
      <c r="AQ223" s="1898"/>
      <c r="AR223" s="1898"/>
      <c r="AS223" s="1898"/>
      <c r="AT223" s="1898"/>
      <c r="AU223" s="1898"/>
      <c r="AV223" s="1898"/>
      <c r="AW223" s="1898"/>
      <c r="AX223" s="1898"/>
      <c r="AY223" s="1898"/>
      <c r="AZ223" s="1898"/>
      <c r="BA223" s="1898"/>
      <c r="BB223" s="1898"/>
      <c r="BC223" s="1898"/>
      <c r="BD223" s="1899"/>
      <c r="BE223" s="1194"/>
    </row>
    <row r="224" spans="1:57" ht="15.75" customHeight="1">
      <c r="A224" s="1190"/>
      <c r="B224" s="1897" t="s">
        <v>2292</v>
      </c>
      <c r="C224" s="1898"/>
      <c r="D224" s="1898"/>
      <c r="E224" s="1898"/>
      <c r="F224" s="1898"/>
      <c r="G224" s="1898"/>
      <c r="H224" s="1898"/>
      <c r="I224" s="1898"/>
      <c r="J224" s="1898"/>
      <c r="K224" s="1898"/>
      <c r="L224" s="1898"/>
      <c r="M224" s="1898"/>
      <c r="N224" s="1898"/>
      <c r="O224" s="1898"/>
      <c r="P224" s="1898"/>
      <c r="Q224" s="1898"/>
      <c r="R224" s="1898"/>
      <c r="S224" s="1898"/>
      <c r="T224" s="1898"/>
      <c r="U224" s="1898"/>
      <c r="V224" s="1898"/>
      <c r="W224" s="1898"/>
      <c r="X224" s="1898"/>
      <c r="Y224" s="1898"/>
      <c r="Z224" s="1898"/>
      <c r="AA224" s="1898"/>
      <c r="AB224" s="1898"/>
      <c r="AC224" s="1898"/>
      <c r="AD224" s="1898"/>
      <c r="AE224" s="1898"/>
      <c r="AF224" s="1898"/>
      <c r="AG224" s="1898"/>
      <c r="AH224" s="1898"/>
      <c r="AI224" s="1898"/>
      <c r="AJ224" s="1898"/>
      <c r="AK224" s="1898"/>
      <c r="AL224" s="1898"/>
      <c r="AM224" s="1898"/>
      <c r="AN224" s="1898"/>
      <c r="AO224" s="1898"/>
      <c r="AP224" s="1898"/>
      <c r="AQ224" s="1898"/>
      <c r="AR224" s="1898"/>
      <c r="AS224" s="1898"/>
      <c r="AT224" s="1898"/>
      <c r="AU224" s="1898"/>
      <c r="AV224" s="1898"/>
      <c r="AW224" s="1898"/>
      <c r="AX224" s="1898"/>
      <c r="AY224" s="1898"/>
      <c r="AZ224" s="1898"/>
      <c r="BA224" s="1898"/>
      <c r="BB224" s="1898"/>
      <c r="BC224" s="1898"/>
      <c r="BD224" s="1899"/>
      <c r="BE224" s="1194"/>
    </row>
    <row r="225" spans="1:57" ht="15.75" customHeight="1">
      <c r="A225" s="1190"/>
      <c r="B225" s="1189"/>
      <c r="C225" s="1190"/>
      <c r="D225" s="1190"/>
      <c r="E225" s="1190"/>
      <c r="F225" s="1190"/>
      <c r="G225" s="1190"/>
      <c r="H225" s="1190"/>
      <c r="I225" s="1190"/>
      <c r="J225" s="1190"/>
      <c r="K225" s="1190"/>
      <c r="L225" s="1190"/>
      <c r="M225" s="1190"/>
      <c r="N225" s="1190"/>
      <c r="O225" s="1190"/>
      <c r="P225" s="1190"/>
      <c r="Q225" s="1190"/>
      <c r="R225" s="1190"/>
      <c r="S225" s="1190"/>
      <c r="T225" s="1190"/>
      <c r="U225" s="1190"/>
      <c r="V225" s="1190"/>
      <c r="W225" s="1190"/>
      <c r="X225" s="1190"/>
      <c r="Y225" s="1190"/>
      <c r="Z225" s="1190"/>
      <c r="AA225" s="1190"/>
      <c r="AB225" s="1190"/>
      <c r="AC225" s="1190"/>
      <c r="AD225" s="1190"/>
      <c r="AE225" s="1190"/>
      <c r="AF225" s="1190"/>
      <c r="AG225" s="1190"/>
      <c r="AH225" s="1190"/>
      <c r="AI225" s="1190"/>
      <c r="AJ225" s="1190"/>
      <c r="AK225" s="1190"/>
      <c r="AL225" s="1190"/>
      <c r="AM225" s="1190"/>
      <c r="AN225" s="1190"/>
      <c r="AO225" s="1190"/>
      <c r="AP225" s="1190"/>
      <c r="AQ225" s="1190"/>
      <c r="AR225" s="1190"/>
      <c r="AS225" s="1190"/>
      <c r="AT225" s="1190"/>
      <c r="AU225" s="1190"/>
      <c r="AV225" s="1190"/>
      <c r="AW225" s="1190"/>
      <c r="AX225" s="1190"/>
      <c r="AY225" s="1190"/>
      <c r="AZ225" s="1190"/>
      <c r="BA225" s="1190"/>
      <c r="BB225" s="1190"/>
      <c r="BC225" s="1190"/>
      <c r="BD225" s="1194"/>
      <c r="BE225" s="1194"/>
    </row>
    <row r="226" spans="1:57" ht="15.75" customHeight="1">
      <c r="A226" s="1190"/>
      <c r="B226" s="1900" t="s">
        <v>2291</v>
      </c>
      <c r="C226" s="1901"/>
      <c r="D226" s="1901"/>
      <c r="E226" s="1901"/>
      <c r="F226" s="1901"/>
      <c r="G226" s="1901"/>
      <c r="H226" s="1901"/>
      <c r="I226" s="1901"/>
      <c r="J226" s="1901"/>
      <c r="K226" s="1901"/>
      <c r="L226" s="1901"/>
      <c r="M226" s="1901"/>
      <c r="N226" s="1901"/>
      <c r="O226" s="1901"/>
      <c r="P226" s="1901"/>
      <c r="Q226" s="1901"/>
      <c r="R226" s="1901"/>
      <c r="S226" s="1901"/>
      <c r="T226" s="1901"/>
      <c r="U226" s="1901"/>
      <c r="V226" s="1901"/>
      <c r="W226" s="1901"/>
      <c r="X226" s="1901"/>
      <c r="Y226" s="1901"/>
      <c r="Z226" s="1901"/>
      <c r="AA226" s="1901"/>
      <c r="AB226" s="1901"/>
      <c r="AC226" s="1901"/>
      <c r="AD226" s="1901"/>
      <c r="AE226" s="1901"/>
      <c r="AF226" s="1901"/>
      <c r="AG226" s="1901"/>
      <c r="AH226" s="1901"/>
      <c r="AI226" s="1901"/>
      <c r="AJ226" s="1901"/>
      <c r="AK226" s="1901"/>
      <c r="AL226" s="1901"/>
      <c r="AM226" s="1901"/>
      <c r="AN226" s="1901"/>
      <c r="AO226" s="1901"/>
      <c r="AP226" s="1901"/>
      <c r="AQ226" s="1901"/>
      <c r="AR226" s="1901"/>
      <c r="AS226" s="1901"/>
      <c r="AT226" s="1901"/>
      <c r="AU226" s="1901"/>
      <c r="AV226" s="1901"/>
      <c r="AW226" s="1901"/>
      <c r="AX226" s="1901"/>
      <c r="AY226" s="1901"/>
      <c r="AZ226" s="1901"/>
      <c r="BA226" s="1901"/>
      <c r="BB226" s="1901"/>
      <c r="BC226" s="1901"/>
      <c r="BD226" s="1902"/>
      <c r="BE226" s="1194"/>
    </row>
    <row r="227" spans="1:57" ht="15.75" customHeight="1">
      <c r="A227" s="1190"/>
      <c r="B227" s="1233"/>
      <c r="C227" s="1190"/>
      <c r="D227" s="1190"/>
      <c r="E227" s="1190"/>
      <c r="F227" s="1190"/>
      <c r="G227" s="1190"/>
      <c r="H227" s="1190"/>
      <c r="I227" s="1190"/>
      <c r="J227" s="1190"/>
      <c r="K227" s="1190"/>
      <c r="L227" s="1190"/>
      <c r="M227" s="1190"/>
      <c r="N227" s="1190"/>
      <c r="O227" s="1190"/>
      <c r="P227" s="1190"/>
      <c r="Q227" s="1190"/>
      <c r="R227" s="1190"/>
      <c r="S227" s="1190"/>
      <c r="T227" s="1190"/>
      <c r="U227" s="1190"/>
      <c r="V227" s="1190"/>
      <c r="W227" s="1190"/>
      <c r="X227" s="1190"/>
      <c r="Y227" s="1190"/>
      <c r="Z227" s="1190"/>
      <c r="AA227" s="1190"/>
      <c r="AB227" s="1190"/>
      <c r="AC227" s="1190"/>
      <c r="AD227" s="1190"/>
      <c r="AE227" s="1190"/>
      <c r="AF227" s="1190"/>
      <c r="AG227" s="1190"/>
      <c r="AH227" s="1190"/>
      <c r="AI227" s="1190"/>
      <c r="AJ227" s="1190"/>
      <c r="AK227" s="1190"/>
      <c r="AL227" s="1190"/>
      <c r="AM227" s="1190"/>
      <c r="AN227" s="1190"/>
      <c r="AO227" s="1190"/>
      <c r="AP227" s="1190"/>
      <c r="AQ227" s="1190"/>
      <c r="AR227" s="1190"/>
      <c r="AS227" s="1190"/>
      <c r="AT227" s="1190"/>
      <c r="AU227" s="1190"/>
      <c r="AV227" s="1190"/>
      <c r="AW227" s="1190"/>
      <c r="AX227" s="1190"/>
      <c r="AY227" s="1190"/>
      <c r="AZ227" s="1190"/>
      <c r="BA227" s="1190"/>
      <c r="BB227" s="1190"/>
      <c r="BC227" s="1190"/>
      <c r="BD227" s="1194"/>
      <c r="BE227" s="1194"/>
    </row>
    <row r="228" spans="1:57" ht="15.75" customHeight="1">
      <c r="A228" s="1190"/>
      <c r="B228" s="1234"/>
      <c r="C228" s="1190"/>
      <c r="D228" s="1190"/>
      <c r="E228" s="1190"/>
      <c r="F228" s="1190"/>
      <c r="G228" s="1190"/>
      <c r="H228" s="1192" t="s">
        <v>2290</v>
      </c>
      <c r="I228" s="1190"/>
      <c r="J228" s="1190"/>
      <c r="K228" s="1190"/>
      <c r="L228" s="1190"/>
      <c r="M228" s="1190"/>
      <c r="N228" s="1190"/>
      <c r="O228" s="1190"/>
      <c r="P228" s="1190"/>
      <c r="Q228" s="1190"/>
      <c r="R228" s="1190"/>
      <c r="S228" s="1190"/>
      <c r="T228" s="1190"/>
      <c r="U228" s="1190"/>
      <c r="V228" s="1190"/>
      <c r="W228" s="1190"/>
      <c r="X228" s="1190"/>
      <c r="Y228" s="1190"/>
      <c r="Z228" s="1190"/>
      <c r="AA228" s="1190"/>
      <c r="AB228" s="1190"/>
      <c r="AC228" s="1190"/>
      <c r="AD228" s="1190"/>
      <c r="AE228" s="1190"/>
      <c r="AF228" s="1190"/>
      <c r="AG228" s="1190"/>
      <c r="AH228" s="1190"/>
      <c r="AI228" s="1190"/>
      <c r="AJ228" s="1190"/>
      <c r="AK228" s="1190"/>
      <c r="AL228" s="1190"/>
      <c r="AM228" s="1190"/>
      <c r="AN228" s="1190"/>
      <c r="AO228" s="1190"/>
      <c r="AP228" s="1190"/>
      <c r="AQ228" s="1190"/>
      <c r="AR228" s="1190"/>
      <c r="AS228" s="1190"/>
      <c r="AT228" s="1190"/>
      <c r="AU228" s="1190"/>
      <c r="AV228" s="1190"/>
      <c r="AW228" s="1190"/>
      <c r="AX228" s="1190"/>
      <c r="AY228" s="1190"/>
      <c r="AZ228" s="1190"/>
      <c r="BA228" s="1190"/>
      <c r="BB228" s="1190"/>
      <c r="BC228" s="1190"/>
      <c r="BD228" s="1194"/>
      <c r="BE228" s="1194"/>
    </row>
    <row r="229" spans="1:57" ht="15.75" customHeight="1">
      <c r="A229" s="1190"/>
      <c r="B229" s="1234"/>
      <c r="C229" s="1190"/>
      <c r="D229" s="1190"/>
      <c r="E229" s="1190"/>
      <c r="F229" s="1190"/>
      <c r="G229" s="1190"/>
      <c r="H229" s="1190"/>
      <c r="I229" s="1190"/>
      <c r="J229" s="1190"/>
      <c r="K229" s="1190"/>
      <c r="L229" s="1190"/>
      <c r="M229" s="1190"/>
      <c r="N229" s="1190"/>
      <c r="O229" s="1190"/>
      <c r="P229" s="1190"/>
      <c r="Q229" s="1190"/>
      <c r="R229" s="1190"/>
      <c r="S229" s="1190"/>
      <c r="T229" s="1190"/>
      <c r="U229" s="1190"/>
      <c r="V229" s="1190"/>
      <c r="W229" s="1190"/>
      <c r="X229" s="1190"/>
      <c r="Y229" s="1190"/>
      <c r="Z229" s="1190"/>
      <c r="AA229" s="1190"/>
      <c r="AB229" s="1190"/>
      <c r="AC229" s="1190"/>
      <c r="AD229" s="1190"/>
      <c r="AE229" s="1190"/>
      <c r="AF229" s="1190"/>
      <c r="AG229" s="1190"/>
      <c r="AH229" s="1190"/>
      <c r="AI229" s="1190"/>
      <c r="AJ229" s="1190"/>
      <c r="AK229" s="1190"/>
      <c r="AL229" s="1190"/>
      <c r="AM229" s="1190"/>
      <c r="AN229" s="1190"/>
      <c r="AO229" s="1190"/>
      <c r="AP229" s="1190"/>
      <c r="AQ229" s="1190"/>
      <c r="AR229" s="1190"/>
      <c r="AS229" s="1190"/>
      <c r="AT229" s="1190"/>
      <c r="AU229" s="1190"/>
      <c r="AV229" s="1190"/>
      <c r="AW229" s="1190"/>
      <c r="AX229" s="1190"/>
      <c r="AY229" s="1190"/>
      <c r="AZ229" s="1190"/>
      <c r="BA229" s="1190"/>
      <c r="BB229" s="1190"/>
      <c r="BC229" s="1190"/>
      <c r="BD229" s="1194"/>
      <c r="BE229" s="1194"/>
    </row>
    <row r="230" spans="1:57" ht="15.75" customHeight="1">
      <c r="A230" s="1190"/>
      <c r="B230" s="1234"/>
      <c r="C230" s="1190"/>
      <c r="D230" s="1190"/>
      <c r="E230" s="1190"/>
      <c r="F230" s="1190"/>
      <c r="G230" s="1190"/>
      <c r="H230" s="1903" t="s">
        <v>2289</v>
      </c>
      <c r="I230" s="1903"/>
      <c r="J230" s="1903"/>
      <c r="K230" s="1903"/>
      <c r="L230" s="1903"/>
      <c r="M230" s="1903"/>
      <c r="N230" s="1903"/>
      <c r="O230" s="1903"/>
      <c r="P230" s="1903"/>
      <c r="Q230" s="1903"/>
      <c r="R230" s="1903"/>
      <c r="S230" s="1903"/>
      <c r="T230" s="1903"/>
      <c r="U230" s="1903"/>
      <c r="V230" s="1903"/>
      <c r="W230" s="1903"/>
      <c r="X230" s="1903"/>
      <c r="Y230" s="1903"/>
      <c r="Z230" s="1903"/>
      <c r="AA230" s="1903"/>
      <c r="AB230" s="1903"/>
      <c r="AC230" s="1903"/>
      <c r="AD230" s="1903"/>
      <c r="AE230" s="1903"/>
      <c r="AF230" s="1903"/>
      <c r="AG230" s="1903"/>
      <c r="AH230" s="1903"/>
      <c r="AI230" s="1903"/>
      <c r="AJ230" s="1903"/>
      <c r="AK230" s="1903"/>
      <c r="AL230" s="1903"/>
      <c r="AM230" s="1903"/>
      <c r="AN230" s="1903"/>
      <c r="AO230" s="1903"/>
      <c r="AP230" s="1903"/>
      <c r="AQ230" s="1903"/>
      <c r="AR230" s="1903"/>
      <c r="AS230" s="1903"/>
      <c r="AT230" s="1903"/>
      <c r="AU230" s="1903"/>
      <c r="AV230" s="1903"/>
      <c r="AW230" s="1903"/>
      <c r="AX230" s="1903"/>
      <c r="AY230" s="1903"/>
      <c r="AZ230" s="1190"/>
      <c r="BA230" s="1190"/>
      <c r="BB230" s="1190"/>
      <c r="BC230" s="1190"/>
      <c r="BD230" s="1194"/>
      <c r="BE230" s="1194"/>
    </row>
    <row r="231" spans="1:57" ht="15.75" customHeight="1">
      <c r="A231" s="1190"/>
      <c r="B231" s="1234"/>
      <c r="C231" s="1190"/>
      <c r="D231" s="1190"/>
      <c r="E231" s="1190"/>
      <c r="F231" s="1190"/>
      <c r="G231" s="1190"/>
      <c r="H231" s="1190"/>
      <c r="I231" s="1190"/>
      <c r="J231" s="1190"/>
      <c r="K231" s="1190"/>
      <c r="L231" s="1190"/>
      <c r="M231" s="1190"/>
      <c r="N231" s="1190"/>
      <c r="O231" s="1190"/>
      <c r="P231" s="1190"/>
      <c r="Q231" s="1190"/>
      <c r="R231" s="1190"/>
      <c r="S231" s="1190"/>
      <c r="T231" s="1190"/>
      <c r="U231" s="1190"/>
      <c r="V231" s="1190"/>
      <c r="W231" s="1190"/>
      <c r="X231" s="1190"/>
      <c r="Y231" s="1190"/>
      <c r="Z231" s="1190"/>
      <c r="AA231" s="1190"/>
      <c r="AB231" s="1190"/>
      <c r="AC231" s="1190"/>
      <c r="AD231" s="1190"/>
      <c r="AE231" s="1190"/>
      <c r="AF231" s="1190"/>
      <c r="AG231" s="1190"/>
      <c r="AH231" s="1190"/>
      <c r="AI231" s="1190"/>
      <c r="AJ231" s="1190"/>
      <c r="AK231" s="1190"/>
      <c r="AL231" s="1190"/>
      <c r="AM231" s="1190"/>
      <c r="AN231" s="1190"/>
      <c r="AO231" s="1190"/>
      <c r="AP231" s="1190"/>
      <c r="AQ231" s="1190"/>
      <c r="AR231" s="1190"/>
      <c r="AS231" s="1190"/>
      <c r="AT231" s="1190"/>
      <c r="AU231" s="1190"/>
      <c r="AV231" s="1190"/>
      <c r="AW231" s="1190"/>
      <c r="AX231" s="1190"/>
      <c r="AY231" s="1190"/>
      <c r="AZ231" s="1190"/>
      <c r="BA231" s="1190"/>
      <c r="BB231" s="1190"/>
      <c r="BC231" s="1190"/>
      <c r="BD231" s="1194"/>
      <c r="BE231" s="1194"/>
    </row>
    <row r="232" spans="1:57" ht="15.75" customHeight="1">
      <c r="A232" s="1190"/>
      <c r="B232" s="1234"/>
      <c r="C232" s="1190"/>
      <c r="D232" s="1190"/>
      <c r="E232" s="1190"/>
      <c r="F232" s="1190"/>
      <c r="G232" s="1190"/>
      <c r="H232" s="1886" t="s">
        <v>2288</v>
      </c>
      <c r="I232" s="1886"/>
      <c r="J232" s="1886"/>
      <c r="K232" s="1886"/>
      <c r="L232" s="1886"/>
      <c r="M232" s="1886"/>
      <c r="N232" s="1886"/>
      <c r="O232" s="1886"/>
      <c r="P232" s="1886"/>
      <c r="Q232" s="1886"/>
      <c r="R232" s="1886"/>
      <c r="S232" s="1886"/>
      <c r="T232" s="1886"/>
      <c r="U232" s="1886"/>
      <c r="V232" s="1886"/>
      <c r="W232" s="1886"/>
      <c r="X232" s="1886"/>
      <c r="Y232" s="1886"/>
      <c r="Z232" s="1886"/>
      <c r="AA232" s="1886"/>
      <c r="AB232" s="1886"/>
      <c r="AC232" s="1886"/>
      <c r="AD232" s="1886"/>
      <c r="AE232" s="1886"/>
      <c r="AF232" s="1886"/>
      <c r="AG232" s="1886"/>
      <c r="AH232" s="1886"/>
      <c r="AI232" s="1886"/>
      <c r="AJ232" s="1886"/>
      <c r="AK232" s="1886"/>
      <c r="AL232" s="1886"/>
      <c r="AM232" s="1886"/>
      <c r="AN232" s="1886"/>
      <c r="AO232" s="1886"/>
      <c r="AP232" s="1886"/>
      <c r="AQ232" s="1886"/>
      <c r="AR232" s="1886"/>
      <c r="AS232" s="1886"/>
      <c r="AT232" s="1886"/>
      <c r="AU232" s="1886"/>
      <c r="AV232" s="1886"/>
      <c r="AW232" s="1886"/>
      <c r="AX232" s="1886"/>
      <c r="AY232" s="1886"/>
      <c r="AZ232" s="1886"/>
      <c r="BA232" s="1190"/>
      <c r="BB232" s="1190"/>
      <c r="BC232" s="1190"/>
      <c r="BD232" s="1194"/>
      <c r="BE232" s="1194"/>
    </row>
    <row r="233" spans="1:57" ht="15.75" customHeight="1">
      <c r="A233" s="1190"/>
      <c r="B233" s="1189"/>
      <c r="C233" s="1190"/>
      <c r="D233" s="1190"/>
      <c r="E233" s="1190"/>
      <c r="F233" s="1190"/>
      <c r="G233" s="1190"/>
      <c r="H233" s="1886"/>
      <c r="I233" s="1886"/>
      <c r="J233" s="1886"/>
      <c r="K233" s="1886"/>
      <c r="L233" s="1886"/>
      <c r="M233" s="1886"/>
      <c r="N233" s="1886"/>
      <c r="O233" s="1886"/>
      <c r="P233" s="1886"/>
      <c r="Q233" s="1886"/>
      <c r="R233" s="1886"/>
      <c r="S233" s="1886"/>
      <c r="T233" s="1886"/>
      <c r="U233" s="1886"/>
      <c r="V233" s="1886"/>
      <c r="W233" s="1886"/>
      <c r="X233" s="1886"/>
      <c r="Y233" s="1886"/>
      <c r="Z233" s="1886"/>
      <c r="AA233" s="1886"/>
      <c r="AB233" s="1886"/>
      <c r="AC233" s="1886"/>
      <c r="AD233" s="1886"/>
      <c r="AE233" s="1886"/>
      <c r="AF233" s="1886"/>
      <c r="AG233" s="1886"/>
      <c r="AH233" s="1886"/>
      <c r="AI233" s="1886"/>
      <c r="AJ233" s="1886"/>
      <c r="AK233" s="1886"/>
      <c r="AL233" s="1886"/>
      <c r="AM233" s="1886"/>
      <c r="AN233" s="1886"/>
      <c r="AO233" s="1886"/>
      <c r="AP233" s="1886"/>
      <c r="AQ233" s="1886"/>
      <c r="AR233" s="1886"/>
      <c r="AS233" s="1886"/>
      <c r="AT233" s="1886"/>
      <c r="AU233" s="1886"/>
      <c r="AV233" s="1886"/>
      <c r="AW233" s="1886"/>
      <c r="AX233" s="1886"/>
      <c r="AY233" s="1886"/>
      <c r="AZ233" s="1886"/>
      <c r="BA233" s="1190"/>
      <c r="BB233" s="1190"/>
      <c r="BC233" s="1190"/>
      <c r="BD233" s="1194"/>
      <c r="BE233" s="1194"/>
    </row>
    <row r="234" spans="1:57" ht="15.75" customHeight="1">
      <c r="A234" s="1190"/>
      <c r="B234" s="1189"/>
      <c r="C234" s="1190"/>
      <c r="D234" s="1190"/>
      <c r="E234" s="1190"/>
      <c r="F234" s="1190"/>
      <c r="G234" s="1190"/>
      <c r="H234" s="1886"/>
      <c r="I234" s="1886"/>
      <c r="J234" s="1886"/>
      <c r="K234" s="1886"/>
      <c r="L234" s="1886"/>
      <c r="M234" s="1886"/>
      <c r="N234" s="1886"/>
      <c r="O234" s="1886"/>
      <c r="P234" s="1886"/>
      <c r="Q234" s="1886"/>
      <c r="R234" s="1886"/>
      <c r="S234" s="1886"/>
      <c r="T234" s="1886"/>
      <c r="U234" s="1886"/>
      <c r="V234" s="1886"/>
      <c r="W234" s="1886"/>
      <c r="X234" s="1886"/>
      <c r="Y234" s="1886"/>
      <c r="Z234" s="1886"/>
      <c r="AA234" s="1886"/>
      <c r="AB234" s="1886"/>
      <c r="AC234" s="1886"/>
      <c r="AD234" s="1886"/>
      <c r="AE234" s="1886"/>
      <c r="AF234" s="1886"/>
      <c r="AG234" s="1886"/>
      <c r="AH234" s="1886"/>
      <c r="AI234" s="1886"/>
      <c r="AJ234" s="1886"/>
      <c r="AK234" s="1886"/>
      <c r="AL234" s="1886"/>
      <c r="AM234" s="1886"/>
      <c r="AN234" s="1886"/>
      <c r="AO234" s="1886"/>
      <c r="AP234" s="1886"/>
      <c r="AQ234" s="1886"/>
      <c r="AR234" s="1886"/>
      <c r="AS234" s="1886"/>
      <c r="AT234" s="1886"/>
      <c r="AU234" s="1886"/>
      <c r="AV234" s="1886"/>
      <c r="AW234" s="1886"/>
      <c r="AX234" s="1886"/>
      <c r="AY234" s="1886"/>
      <c r="AZ234" s="1886"/>
      <c r="BA234" s="1190"/>
      <c r="BB234" s="1190"/>
      <c r="BC234" s="1190"/>
      <c r="BD234" s="1194"/>
      <c r="BE234" s="1194"/>
    </row>
    <row r="235" spans="1:57" ht="15.75" customHeight="1">
      <c r="A235" s="1190"/>
      <c r="B235" s="1189"/>
      <c r="C235" s="1190"/>
      <c r="D235" s="1190"/>
      <c r="E235" s="1190"/>
      <c r="F235" s="1190"/>
      <c r="G235" s="1190"/>
      <c r="H235" s="1886"/>
      <c r="I235" s="1886"/>
      <c r="J235" s="1886"/>
      <c r="K235" s="1886"/>
      <c r="L235" s="1886"/>
      <c r="M235" s="1886"/>
      <c r="N235" s="1886"/>
      <c r="O235" s="1886"/>
      <c r="P235" s="1886"/>
      <c r="Q235" s="1886"/>
      <c r="R235" s="1886"/>
      <c r="S235" s="1886"/>
      <c r="T235" s="1886"/>
      <c r="U235" s="1886"/>
      <c r="V235" s="1886"/>
      <c r="W235" s="1886"/>
      <c r="X235" s="1886"/>
      <c r="Y235" s="1886"/>
      <c r="Z235" s="1886"/>
      <c r="AA235" s="1886"/>
      <c r="AB235" s="1886"/>
      <c r="AC235" s="1886"/>
      <c r="AD235" s="1886"/>
      <c r="AE235" s="1886"/>
      <c r="AF235" s="1886"/>
      <c r="AG235" s="1886"/>
      <c r="AH235" s="1886"/>
      <c r="AI235" s="1886"/>
      <c r="AJ235" s="1886"/>
      <c r="AK235" s="1886"/>
      <c r="AL235" s="1886"/>
      <c r="AM235" s="1886"/>
      <c r="AN235" s="1886"/>
      <c r="AO235" s="1886"/>
      <c r="AP235" s="1886"/>
      <c r="AQ235" s="1886"/>
      <c r="AR235" s="1886"/>
      <c r="AS235" s="1886"/>
      <c r="AT235" s="1886"/>
      <c r="AU235" s="1886"/>
      <c r="AV235" s="1886"/>
      <c r="AW235" s="1886"/>
      <c r="AX235" s="1886"/>
      <c r="AY235" s="1886"/>
      <c r="AZ235" s="1886"/>
      <c r="BA235" s="1190"/>
      <c r="BB235" s="1190"/>
      <c r="BC235" s="1190"/>
      <c r="BD235" s="1194"/>
      <c r="BE235" s="1194"/>
    </row>
    <row r="236" spans="1:57" ht="15.75" customHeight="1">
      <c r="A236" s="1190"/>
      <c r="B236" s="1189"/>
      <c r="C236" s="1190"/>
      <c r="D236" s="1190"/>
      <c r="E236" s="1190"/>
      <c r="F236" s="1190"/>
      <c r="G236" s="1190"/>
      <c r="H236" s="1190"/>
      <c r="I236" s="1190"/>
      <c r="J236" s="1190"/>
      <c r="K236" s="1190"/>
      <c r="L236" s="1190"/>
      <c r="M236" s="1190"/>
      <c r="N236" s="1190"/>
      <c r="O236" s="1190"/>
      <c r="P236" s="1190"/>
      <c r="Q236" s="1190"/>
      <c r="R236" s="1190"/>
      <c r="S236" s="1190"/>
      <c r="T236" s="1190"/>
      <c r="U236" s="1190"/>
      <c r="V236" s="1190"/>
      <c r="W236" s="1190"/>
      <c r="X236" s="1190"/>
      <c r="Y236" s="1190"/>
      <c r="Z236" s="1190"/>
      <c r="AA236" s="1190"/>
      <c r="AB236" s="1190"/>
      <c r="AC236" s="1190"/>
      <c r="AD236" s="1190"/>
      <c r="AE236" s="1190"/>
      <c r="AF236" s="1190"/>
      <c r="AG236" s="1190"/>
      <c r="AH236" s="1190"/>
      <c r="AI236" s="1190"/>
      <c r="AJ236" s="1190"/>
      <c r="AK236" s="1190"/>
      <c r="AL236" s="1190"/>
      <c r="AM236" s="1190"/>
      <c r="AN236" s="1190"/>
      <c r="AO236" s="1190"/>
      <c r="AP236" s="1190"/>
      <c r="AQ236" s="1190"/>
      <c r="AR236" s="1190"/>
      <c r="AS236" s="1190"/>
      <c r="AT236" s="1190"/>
      <c r="AU236" s="1190"/>
      <c r="AV236" s="1190"/>
      <c r="AW236" s="1190"/>
      <c r="AX236" s="1190"/>
      <c r="AY236" s="1190"/>
      <c r="AZ236" s="1190"/>
      <c r="BA236" s="1190"/>
      <c r="BB236" s="1190"/>
      <c r="BC236" s="1190"/>
      <c r="BD236" s="1194"/>
      <c r="BE236" s="1194"/>
    </row>
    <row r="237" spans="1:57" ht="15.75" customHeight="1" thickBot="1">
      <c r="A237" s="1190"/>
      <c r="B237" s="1235"/>
      <c r="C237" s="1236"/>
      <c r="D237" s="1236"/>
      <c r="E237" s="1236"/>
      <c r="F237" s="1236"/>
      <c r="G237" s="1236"/>
      <c r="H237" s="1887" t="s">
        <v>2287</v>
      </c>
      <c r="I237" s="1887"/>
      <c r="J237" s="1887"/>
      <c r="K237" s="1887"/>
      <c r="L237" s="1887"/>
      <c r="M237" s="1887"/>
      <c r="N237" s="1887"/>
      <c r="O237" s="1887"/>
      <c r="P237" s="1887"/>
      <c r="Q237" s="1887"/>
      <c r="R237" s="1887"/>
      <c r="S237" s="1887"/>
      <c r="T237" s="1887"/>
      <c r="U237" s="1887"/>
      <c r="V237" s="1887"/>
      <c r="W237" s="1887"/>
      <c r="X237" s="1887"/>
      <c r="Y237" s="1887"/>
      <c r="Z237" s="1887"/>
      <c r="AA237" s="1887"/>
      <c r="AB237" s="1887"/>
      <c r="AC237" s="1887"/>
      <c r="AD237" s="1887"/>
      <c r="AE237" s="1887"/>
      <c r="AF237" s="1887"/>
      <c r="AG237" s="1887"/>
      <c r="AH237" s="1887"/>
      <c r="AI237" s="1887"/>
      <c r="AJ237" s="1887"/>
      <c r="AK237" s="1887"/>
      <c r="AL237" s="1887"/>
      <c r="AM237" s="1887"/>
      <c r="AN237" s="1887"/>
      <c r="AO237" s="1887"/>
      <c r="AP237" s="1887"/>
      <c r="AQ237" s="1887"/>
      <c r="AR237" s="1887"/>
      <c r="AS237" s="1887"/>
      <c r="AT237" s="1887"/>
      <c r="AU237" s="1887"/>
      <c r="AV237" s="1887"/>
      <c r="AW237" s="1236"/>
      <c r="AX237" s="1236"/>
      <c r="AY237" s="1236"/>
      <c r="AZ237" s="1236"/>
      <c r="BA237" s="1236"/>
      <c r="BB237" s="1236"/>
      <c r="BC237" s="1236"/>
      <c r="BD237" s="1237"/>
      <c r="BE237" s="1194"/>
    </row>
    <row r="238" spans="1:57" ht="15.75" customHeight="1" thickBot="1">
      <c r="A238" s="1190"/>
      <c r="B238" s="1238"/>
      <c r="C238" s="1239"/>
      <c r="D238" s="1239"/>
      <c r="E238" s="1239"/>
      <c r="F238" s="1239"/>
      <c r="G238" s="1239"/>
      <c r="H238" s="1239"/>
      <c r="I238" s="1239"/>
      <c r="J238" s="1239"/>
      <c r="K238" s="1239"/>
      <c r="L238" s="1239"/>
      <c r="M238" s="1239"/>
      <c r="N238" s="1239"/>
      <c r="O238" s="1239"/>
      <c r="P238" s="1239"/>
      <c r="Q238" s="1239"/>
      <c r="R238" s="1239"/>
      <c r="S238" s="1239"/>
      <c r="T238" s="1239"/>
      <c r="U238" s="1239"/>
      <c r="V238" s="1239"/>
      <c r="W238" s="1239"/>
      <c r="X238" s="1239"/>
      <c r="Y238" s="1239"/>
      <c r="Z238" s="1239"/>
      <c r="AA238" s="1239"/>
      <c r="AB238" s="1239"/>
      <c r="AC238" s="1239"/>
      <c r="AD238" s="1239"/>
      <c r="AE238" s="1239"/>
      <c r="AF238" s="1239"/>
      <c r="AG238" s="1239"/>
      <c r="AH238" s="1239"/>
      <c r="AI238" s="1239"/>
      <c r="AJ238" s="1239"/>
      <c r="AK238" s="1239"/>
      <c r="AL238" s="1239"/>
      <c r="AM238" s="1239"/>
      <c r="AN238" s="1239"/>
      <c r="AO238" s="1239"/>
      <c r="AP238" s="1239"/>
      <c r="AQ238" s="1239"/>
      <c r="AR238" s="1239"/>
      <c r="AS238" s="1239"/>
      <c r="AT238" s="1239"/>
      <c r="AU238" s="1239"/>
      <c r="AV238" s="1239"/>
      <c r="AW238" s="1239"/>
      <c r="AX238" s="1239"/>
      <c r="AY238" s="1239"/>
      <c r="AZ238" s="1239"/>
      <c r="BA238" s="1239"/>
      <c r="BB238" s="1239"/>
      <c r="BC238" s="1239"/>
      <c r="BD238" s="1240"/>
      <c r="BE238" s="1194"/>
    </row>
    <row r="239" spans="1:57" ht="30" customHeight="1" thickBot="1">
      <c r="A239" s="1190"/>
      <c r="B239" s="1238"/>
      <c r="C239" s="1239"/>
      <c r="D239" s="1239"/>
      <c r="E239" s="1239"/>
      <c r="F239" s="1239"/>
      <c r="G239" s="1239"/>
      <c r="H239" s="1877" t="s">
        <v>2286</v>
      </c>
      <c r="I239" s="1877"/>
      <c r="J239" s="1877"/>
      <c r="K239" s="1877"/>
      <c r="L239" s="1239"/>
      <c r="M239" s="1239"/>
      <c r="N239" s="1239"/>
      <c r="O239" s="1239"/>
      <c r="P239" s="1239"/>
      <c r="Q239" s="1239"/>
      <c r="R239" s="1239"/>
      <c r="S239" s="1888"/>
      <c r="T239" s="1889"/>
      <c r="U239" s="1889"/>
      <c r="V239" s="1889"/>
      <c r="W239" s="1889"/>
      <c r="X239" s="1889"/>
      <c r="Y239" s="1889"/>
      <c r="Z239" s="1889"/>
      <c r="AA239" s="1889"/>
      <c r="AB239" s="1889"/>
      <c r="AC239" s="1889"/>
      <c r="AD239" s="1889"/>
      <c r="AE239" s="1889"/>
      <c r="AF239" s="1889"/>
      <c r="AG239" s="1889"/>
      <c r="AH239" s="1889"/>
      <c r="AI239" s="1889"/>
      <c r="AJ239" s="1890"/>
      <c r="AK239" s="1239"/>
      <c r="AL239" s="1239"/>
      <c r="AM239" s="1239"/>
      <c r="AN239" s="1239"/>
      <c r="AO239" s="1239"/>
      <c r="AP239" s="1239"/>
      <c r="AQ239" s="1239"/>
      <c r="AR239" s="1239"/>
      <c r="AS239" s="1239"/>
      <c r="AT239" s="1239"/>
      <c r="AU239" s="1239"/>
      <c r="AV239" s="1239"/>
      <c r="AW239" s="1239"/>
      <c r="AX239" s="1239"/>
      <c r="AY239" s="1239"/>
      <c r="AZ239" s="1239"/>
      <c r="BA239" s="1239"/>
      <c r="BB239" s="1239"/>
      <c r="BC239" s="1239"/>
      <c r="BD239" s="1240"/>
      <c r="BE239" s="1194"/>
    </row>
    <row r="240" spans="1:57" ht="15.75" customHeight="1" thickBot="1">
      <c r="A240" s="1190"/>
      <c r="B240" s="1238"/>
      <c r="C240" s="1239"/>
      <c r="D240" s="1239"/>
      <c r="E240" s="1239"/>
      <c r="F240" s="1239"/>
      <c r="G240" s="1239"/>
      <c r="H240" s="1241"/>
      <c r="I240" s="1241"/>
      <c r="J240" s="1241"/>
      <c r="K240" s="1241"/>
      <c r="L240" s="1239"/>
      <c r="M240" s="1239"/>
      <c r="N240" s="1239"/>
      <c r="O240" s="1239"/>
      <c r="P240" s="1239"/>
      <c r="Q240" s="1239"/>
      <c r="R240" s="1239"/>
      <c r="S240" s="1239"/>
      <c r="T240" s="1239"/>
      <c r="U240" s="1239"/>
      <c r="V240" s="1239"/>
      <c r="W240" s="1239"/>
      <c r="X240" s="1239"/>
      <c r="Y240" s="1239"/>
      <c r="Z240" s="1239"/>
      <c r="AA240" s="1239"/>
      <c r="AB240" s="1239"/>
      <c r="AC240" s="1239"/>
      <c r="AD240" s="1239"/>
      <c r="AE240" s="1239"/>
      <c r="AF240" s="1239"/>
      <c r="AG240" s="1239"/>
      <c r="AH240" s="1239"/>
      <c r="AI240" s="1239"/>
      <c r="AJ240" s="1239"/>
      <c r="AK240" s="1239"/>
      <c r="AL240" s="1239"/>
      <c r="AM240" s="1239"/>
      <c r="AN240" s="1239"/>
      <c r="AO240" s="1239"/>
      <c r="AP240" s="1239"/>
      <c r="AQ240" s="1239"/>
      <c r="AR240" s="1239"/>
      <c r="AS240" s="1239"/>
      <c r="AT240" s="1239"/>
      <c r="AU240" s="1239"/>
      <c r="AV240" s="1239"/>
      <c r="AW240" s="1239"/>
      <c r="AX240" s="1239"/>
      <c r="AY240" s="1239"/>
      <c r="AZ240" s="1239"/>
      <c r="BA240" s="1239"/>
      <c r="BB240" s="1239"/>
      <c r="BC240" s="1239"/>
      <c r="BD240" s="1240"/>
      <c r="BE240" s="1194"/>
    </row>
    <row r="241" spans="1:57" ht="15.75" customHeight="1" thickBot="1">
      <c r="A241" s="1190"/>
      <c r="B241" s="1238"/>
      <c r="C241" s="1239"/>
      <c r="D241" s="1239"/>
      <c r="E241" s="1239"/>
      <c r="F241" s="1239"/>
      <c r="G241" s="1239"/>
      <c r="H241" s="1877" t="s">
        <v>2285</v>
      </c>
      <c r="I241" s="1877"/>
      <c r="J241" s="1877"/>
      <c r="K241" s="1241"/>
      <c r="L241" s="1239"/>
      <c r="M241" s="1239"/>
      <c r="N241" s="1239"/>
      <c r="O241" s="1239"/>
      <c r="P241" s="1239"/>
      <c r="Q241" s="1239"/>
      <c r="R241" s="1239"/>
      <c r="S241" s="1878" t="s">
        <v>2610</v>
      </c>
      <c r="T241" s="1879"/>
      <c r="U241" s="1879"/>
      <c r="V241" s="1879"/>
      <c r="W241" s="1879"/>
      <c r="X241" s="1879"/>
      <c r="Y241" s="1879"/>
      <c r="Z241" s="1879"/>
      <c r="AA241" s="1879"/>
      <c r="AB241" s="1879"/>
      <c r="AC241" s="1879"/>
      <c r="AD241" s="1879"/>
      <c r="AE241" s="1879"/>
      <c r="AF241" s="1879"/>
      <c r="AG241" s="1879"/>
      <c r="AH241" s="1879"/>
      <c r="AI241" s="1879"/>
      <c r="AJ241" s="1880"/>
      <c r="AK241" s="1239"/>
      <c r="AL241" s="1239"/>
      <c r="AM241" s="1239"/>
      <c r="AN241" s="1239"/>
      <c r="AO241" s="1239"/>
      <c r="AP241" s="1239"/>
      <c r="AQ241" s="1239"/>
      <c r="AR241" s="1239"/>
      <c r="AS241" s="1239"/>
      <c r="AT241" s="1239"/>
      <c r="AU241" s="1239"/>
      <c r="AV241" s="1239"/>
      <c r="AW241" s="1239"/>
      <c r="AX241" s="1239"/>
      <c r="AY241" s="1239"/>
      <c r="AZ241" s="1239"/>
      <c r="BA241" s="1239"/>
      <c r="BB241" s="1239"/>
      <c r="BC241" s="1239"/>
      <c r="BD241" s="1240"/>
      <c r="BE241" s="1194"/>
    </row>
    <row r="242" spans="1:57" ht="15.75" customHeight="1" thickBot="1">
      <c r="A242" s="1190"/>
      <c r="B242" s="1238"/>
      <c r="C242" s="1239"/>
      <c r="D242" s="1239"/>
      <c r="E242" s="1239"/>
      <c r="F242" s="1239"/>
      <c r="G242" s="1239"/>
      <c r="H242" s="1241"/>
      <c r="I242" s="1241"/>
      <c r="J242" s="1241"/>
      <c r="K242" s="1241"/>
      <c r="L242" s="1239"/>
      <c r="M242" s="1239"/>
      <c r="N242" s="1239"/>
      <c r="O242" s="1239"/>
      <c r="P242" s="1239"/>
      <c r="Q242" s="1239"/>
      <c r="R242" s="1239"/>
      <c r="S242" s="1239"/>
      <c r="T242" s="1239"/>
      <c r="U242" s="1239"/>
      <c r="V242" s="1239"/>
      <c r="W242" s="1239"/>
      <c r="X242" s="1239"/>
      <c r="Y242" s="1239"/>
      <c r="Z242" s="1239"/>
      <c r="AA242" s="1239"/>
      <c r="AB242" s="1239"/>
      <c r="AC242" s="1239"/>
      <c r="AD242" s="1239"/>
      <c r="AE242" s="1239"/>
      <c r="AF242" s="1239"/>
      <c r="AG242" s="1239"/>
      <c r="AH242" s="1239"/>
      <c r="AI242" s="1239"/>
      <c r="AJ242" s="1239"/>
      <c r="AK242" s="1239"/>
      <c r="AL242" s="1239"/>
      <c r="AM242" s="1239"/>
      <c r="AN242" s="1239"/>
      <c r="AO242" s="1239"/>
      <c r="AP242" s="1239"/>
      <c r="AQ242" s="1239"/>
      <c r="AR242" s="1239"/>
      <c r="AS242" s="1239"/>
      <c r="AT242" s="1239"/>
      <c r="AU242" s="1239"/>
      <c r="AV242" s="1239"/>
      <c r="AW242" s="1239"/>
      <c r="AX242" s="1239"/>
      <c r="AY242" s="1239"/>
      <c r="AZ242" s="1239"/>
      <c r="BA242" s="1239"/>
      <c r="BB242" s="1239"/>
      <c r="BC242" s="1239"/>
      <c r="BD242" s="1240"/>
      <c r="BE242" s="1194"/>
    </row>
    <row r="243" spans="1:57" ht="15.75" customHeight="1" thickBot="1">
      <c r="A243" s="1190"/>
      <c r="B243" s="1238"/>
      <c r="C243" s="1239"/>
      <c r="D243" s="1239"/>
      <c r="E243" s="1239"/>
      <c r="F243" s="1239"/>
      <c r="G243" s="1239"/>
      <c r="H243" s="1877" t="s">
        <v>441</v>
      </c>
      <c r="I243" s="1877"/>
      <c r="J243" s="1241"/>
      <c r="K243" s="1241"/>
      <c r="L243" s="1239"/>
      <c r="M243" s="1239"/>
      <c r="N243" s="1239"/>
      <c r="O243" s="1239"/>
      <c r="P243" s="1239"/>
      <c r="Q243" s="1239"/>
      <c r="R243" s="1239"/>
      <c r="S243" s="1878" t="s">
        <v>2611</v>
      </c>
      <c r="T243" s="1879"/>
      <c r="U243" s="1879"/>
      <c r="V243" s="1879"/>
      <c r="W243" s="1879"/>
      <c r="X243" s="1879"/>
      <c r="Y243" s="1879"/>
      <c r="Z243" s="1879"/>
      <c r="AA243" s="1879"/>
      <c r="AB243" s="1879"/>
      <c r="AC243" s="1879"/>
      <c r="AD243" s="1879"/>
      <c r="AE243" s="1879"/>
      <c r="AF243" s="1879"/>
      <c r="AG243" s="1879"/>
      <c r="AH243" s="1879"/>
      <c r="AI243" s="1879"/>
      <c r="AJ243" s="1880"/>
      <c r="AK243" s="1239"/>
      <c r="AL243" s="1239"/>
      <c r="AM243" s="1239"/>
      <c r="AN243" s="1239"/>
      <c r="AO243" s="1239"/>
      <c r="AP243" s="1239"/>
      <c r="AQ243" s="1239"/>
      <c r="AR243" s="1239"/>
      <c r="AS243" s="1239"/>
      <c r="AT243" s="1239"/>
      <c r="AU243" s="1239"/>
      <c r="AV243" s="1239"/>
      <c r="AW243" s="1239"/>
      <c r="AX243" s="1239"/>
      <c r="AY243" s="1239"/>
      <c r="AZ243" s="1239"/>
      <c r="BA243" s="1239"/>
      <c r="BB243" s="1239"/>
      <c r="BC243" s="1239"/>
      <c r="BD243" s="1240"/>
      <c r="BE243" s="1194"/>
    </row>
    <row r="244" spans="1:57" ht="15.75" customHeight="1" thickBot="1">
      <c r="A244" s="1190"/>
      <c r="B244" s="1238"/>
      <c r="C244" s="1239"/>
      <c r="D244" s="1239"/>
      <c r="E244" s="1239"/>
      <c r="F244" s="1239"/>
      <c r="G244" s="1239"/>
      <c r="H244" s="1239"/>
      <c r="I244" s="1239"/>
      <c r="J244" s="1239"/>
      <c r="K244" s="1239"/>
      <c r="L244" s="1239"/>
      <c r="M244" s="1239"/>
      <c r="N244" s="1239"/>
      <c r="O244" s="1239"/>
      <c r="P244" s="1239"/>
      <c r="Q244" s="1239"/>
      <c r="R244" s="1239"/>
      <c r="S244" s="1239"/>
      <c r="T244" s="1239"/>
      <c r="U244" s="1239"/>
      <c r="V244" s="1239"/>
      <c r="W244" s="1239"/>
      <c r="X244" s="1239"/>
      <c r="Y244" s="1239"/>
      <c r="Z244" s="1239"/>
      <c r="AA244" s="1239"/>
      <c r="AB244" s="1239"/>
      <c r="AC244" s="1239"/>
      <c r="AD244" s="1239"/>
      <c r="AE244" s="1239"/>
      <c r="AF244" s="1239"/>
      <c r="AG244" s="1239"/>
      <c r="AH244" s="1239"/>
      <c r="AI244" s="1239"/>
      <c r="AJ244" s="1239"/>
      <c r="AK244" s="1239"/>
      <c r="AL244" s="1239"/>
      <c r="AM244" s="1239"/>
      <c r="AN244" s="1239"/>
      <c r="AO244" s="1239"/>
      <c r="AP244" s="1239"/>
      <c r="AQ244" s="1239"/>
      <c r="AR244" s="1239"/>
      <c r="AS244" s="1239"/>
      <c r="AT244" s="1239"/>
      <c r="AU244" s="1239"/>
      <c r="AV244" s="1239"/>
      <c r="AW244" s="1239"/>
      <c r="AX244" s="1239"/>
      <c r="AY244" s="1239"/>
      <c r="AZ244" s="1239"/>
      <c r="BA244" s="1239"/>
      <c r="BB244" s="1239"/>
      <c r="BC244" s="1239"/>
      <c r="BD244" s="1240"/>
      <c r="BE244" s="1194"/>
    </row>
    <row r="245" spans="1:57" ht="15.75" customHeight="1" thickBot="1">
      <c r="A245" s="1190"/>
      <c r="B245" s="1238"/>
      <c r="C245" s="1239"/>
      <c r="D245" s="1239"/>
      <c r="E245" s="1239"/>
      <c r="F245" s="1239"/>
      <c r="G245" s="1239"/>
      <c r="H245" s="1881" t="s">
        <v>2284</v>
      </c>
      <c r="I245" s="1881"/>
      <c r="J245" s="1881"/>
      <c r="K245" s="1881"/>
      <c r="L245" s="1881"/>
      <c r="M245" s="1881"/>
      <c r="N245" s="1881"/>
      <c r="O245" s="1881"/>
      <c r="P245" s="1239"/>
      <c r="Q245" s="1239"/>
      <c r="R245" s="1239"/>
      <c r="S245" s="1878" t="s">
        <v>2608</v>
      </c>
      <c r="T245" s="1879"/>
      <c r="U245" s="1879"/>
      <c r="V245" s="1879"/>
      <c r="W245" s="1879"/>
      <c r="X245" s="1879"/>
      <c r="Y245" s="1879"/>
      <c r="Z245" s="1879"/>
      <c r="AA245" s="1879"/>
      <c r="AB245" s="1879"/>
      <c r="AC245" s="1879"/>
      <c r="AD245" s="1879"/>
      <c r="AE245" s="1879"/>
      <c r="AF245" s="1879"/>
      <c r="AG245" s="1879"/>
      <c r="AH245" s="1879"/>
      <c r="AI245" s="1879"/>
      <c r="AJ245" s="1880"/>
      <c r="AK245" s="1239"/>
      <c r="AL245" s="1239"/>
      <c r="AM245" s="1239"/>
      <c r="AN245" s="1239"/>
      <c r="AO245" s="1239"/>
      <c r="AP245" s="1239"/>
      <c r="AQ245" s="1239"/>
      <c r="AR245" s="1239"/>
      <c r="AS245" s="1239"/>
      <c r="AT245" s="1239"/>
      <c r="AU245" s="1239"/>
      <c r="AV245" s="1239"/>
      <c r="AW245" s="1239"/>
      <c r="AX245" s="1239"/>
      <c r="AY245" s="1239"/>
      <c r="AZ245" s="1239"/>
      <c r="BA245" s="1239"/>
      <c r="BB245" s="1239"/>
      <c r="BC245" s="1239"/>
      <c r="BD245" s="1240"/>
      <c r="BE245" s="1194"/>
    </row>
    <row r="246" spans="1:57" ht="15.75" customHeight="1" thickBot="1">
      <c r="A246" s="1190"/>
      <c r="B246" s="1238"/>
      <c r="C246" s="1239"/>
      <c r="D246" s="1239"/>
      <c r="E246" s="1239"/>
      <c r="F246" s="1239"/>
      <c r="G246" s="1239"/>
      <c r="H246" s="1239"/>
      <c r="I246" s="1239"/>
      <c r="J246" s="1239"/>
      <c r="K246" s="1239"/>
      <c r="L246" s="1239"/>
      <c r="M246" s="1239"/>
      <c r="N246" s="1239"/>
      <c r="O246" s="1239"/>
      <c r="P246" s="1239"/>
      <c r="Q246" s="1239"/>
      <c r="R246" s="1239"/>
      <c r="S246" s="1239"/>
      <c r="T246" s="1239"/>
      <c r="U246" s="1239"/>
      <c r="V246" s="1239"/>
      <c r="W246" s="1239"/>
      <c r="X246" s="1239"/>
      <c r="Y246" s="1239"/>
      <c r="Z246" s="1239"/>
      <c r="AA246" s="1239"/>
      <c r="AB246" s="1239"/>
      <c r="AC246" s="1239"/>
      <c r="AD246" s="1239"/>
      <c r="AE246" s="1239"/>
      <c r="AF246" s="1239"/>
      <c r="AG246" s="1239"/>
      <c r="AH246" s="1239"/>
      <c r="AI246" s="1239"/>
      <c r="AJ246" s="1239"/>
      <c r="AK246" s="1239"/>
      <c r="AL246" s="1239"/>
      <c r="AM246" s="1239"/>
      <c r="AN246" s="1239"/>
      <c r="AO246" s="1239"/>
      <c r="AP246" s="1239"/>
      <c r="AQ246" s="1239"/>
      <c r="AR246" s="1239"/>
      <c r="AS246" s="1239"/>
      <c r="AT246" s="1239"/>
      <c r="AU246" s="1239"/>
      <c r="AV246" s="1239"/>
      <c r="AW246" s="1239"/>
      <c r="AX246" s="1239"/>
      <c r="AY246" s="1239"/>
      <c r="AZ246" s="1239"/>
      <c r="BA246" s="1239"/>
      <c r="BB246" s="1239"/>
      <c r="BC246" s="1239"/>
      <c r="BD246" s="1240"/>
      <c r="BE246" s="1194"/>
    </row>
    <row r="247" spans="1:57" ht="15.75" customHeight="1" thickBot="1">
      <c r="A247" s="1190"/>
      <c r="B247" s="1238"/>
      <c r="C247" s="1239"/>
      <c r="D247" s="1239"/>
      <c r="E247" s="1239"/>
      <c r="F247" s="1239"/>
      <c r="G247" s="1239"/>
      <c r="H247" s="1882" t="s">
        <v>2283</v>
      </c>
      <c r="I247" s="1882"/>
      <c r="J247" s="1239"/>
      <c r="K247" s="1239"/>
      <c r="L247" s="1239"/>
      <c r="M247" s="1239"/>
      <c r="N247" s="1239"/>
      <c r="O247" s="1239"/>
      <c r="P247" s="1239"/>
      <c r="Q247" s="1239"/>
      <c r="R247" s="1239"/>
      <c r="S247" s="1883"/>
      <c r="T247" s="1884"/>
      <c r="U247" s="1884"/>
      <c r="V247" s="1884"/>
      <c r="W247" s="1884"/>
      <c r="X247" s="1884"/>
      <c r="Y247" s="1884"/>
      <c r="Z247" s="1884"/>
      <c r="AA247" s="1884"/>
      <c r="AB247" s="1884"/>
      <c r="AC247" s="1884"/>
      <c r="AD247" s="1884"/>
      <c r="AE247" s="1884"/>
      <c r="AF247" s="1884"/>
      <c r="AG247" s="1884"/>
      <c r="AH247" s="1884"/>
      <c r="AI247" s="1884"/>
      <c r="AJ247" s="1885"/>
      <c r="AK247" s="1239"/>
      <c r="AL247" s="1239"/>
      <c r="AM247" s="1239"/>
      <c r="AN247" s="1239"/>
      <c r="AO247" s="1239"/>
      <c r="AP247" s="1239"/>
      <c r="AQ247" s="1239"/>
      <c r="AR247" s="1239"/>
      <c r="AS247" s="1239"/>
      <c r="AT247" s="1239"/>
      <c r="AU247" s="1239"/>
      <c r="AV247" s="1239"/>
      <c r="AW247" s="1239"/>
      <c r="AX247" s="1239"/>
      <c r="AY247" s="1239"/>
      <c r="AZ247" s="1239"/>
      <c r="BA247" s="1239"/>
      <c r="BB247" s="1239"/>
      <c r="BC247" s="1239"/>
      <c r="BD247" s="1240"/>
      <c r="BE247" s="1194"/>
    </row>
    <row r="248" spans="1:57" ht="15.75" customHeight="1" thickBot="1">
      <c r="A248" s="1190"/>
      <c r="B248" s="1242"/>
      <c r="C248" s="1243"/>
      <c r="D248" s="1243"/>
      <c r="E248" s="1243"/>
      <c r="F248" s="1243"/>
      <c r="G248" s="1243"/>
      <c r="H248" s="1243"/>
      <c r="I248" s="1243"/>
      <c r="J248" s="1243"/>
      <c r="K248" s="1243"/>
      <c r="L248" s="1243"/>
      <c r="M248" s="1243"/>
      <c r="N248" s="1243"/>
      <c r="O248" s="1243"/>
      <c r="P248" s="1243"/>
      <c r="Q248" s="1243"/>
      <c r="R248" s="1243"/>
      <c r="S248" s="1243"/>
      <c r="T248" s="1243"/>
      <c r="U248" s="1243"/>
      <c r="V248" s="1243"/>
      <c r="W248" s="1243"/>
      <c r="X248" s="1243"/>
      <c r="Y248" s="1243"/>
      <c r="Z248" s="1243"/>
      <c r="AA248" s="1243"/>
      <c r="AB248" s="1243"/>
      <c r="AC248" s="1243"/>
      <c r="AD248" s="1243"/>
      <c r="AE248" s="1243"/>
      <c r="AF248" s="1243"/>
      <c r="AG248" s="1243"/>
      <c r="AH248" s="1243"/>
      <c r="AI248" s="1243"/>
      <c r="AJ248" s="1243"/>
      <c r="AK248" s="1243"/>
      <c r="AL248" s="1243"/>
      <c r="AM248" s="1243"/>
      <c r="AN248" s="1243"/>
      <c r="AO248" s="1243"/>
      <c r="AP248" s="1243"/>
      <c r="AQ248" s="1243"/>
      <c r="AR248" s="1243"/>
      <c r="AS248" s="1243"/>
      <c r="AT248" s="1243"/>
      <c r="AU248" s="1243"/>
      <c r="AV248" s="1243"/>
      <c r="AW248" s="1243"/>
      <c r="AX248" s="1243"/>
      <c r="AY248" s="1243"/>
      <c r="AZ248" s="1243"/>
      <c r="BA248" s="1243"/>
      <c r="BB248" s="1243"/>
      <c r="BC248" s="1243"/>
      <c r="BD248" s="1244"/>
      <c r="BE248" s="1194"/>
    </row>
    <row r="249" spans="1:57" ht="15.75" customHeight="1" thickBot="1">
      <c r="A249" s="1236"/>
      <c r="B249" s="1236"/>
      <c r="C249" s="1236"/>
      <c r="D249" s="1236"/>
      <c r="E249" s="1236"/>
      <c r="F249" s="1236"/>
      <c r="G249" s="1236"/>
      <c r="H249" s="1236"/>
      <c r="I249" s="1236"/>
      <c r="J249" s="1236"/>
      <c r="K249" s="1236"/>
      <c r="L249" s="1236"/>
      <c r="M249" s="1236"/>
      <c r="N249" s="1236"/>
      <c r="O249" s="1236"/>
      <c r="P249" s="1236"/>
      <c r="Q249" s="1236"/>
      <c r="R249" s="1236"/>
      <c r="S249" s="1236"/>
      <c r="T249" s="1236"/>
      <c r="U249" s="1236"/>
      <c r="V249" s="1236"/>
      <c r="W249" s="1236"/>
      <c r="X249" s="1236"/>
      <c r="Y249" s="1236"/>
      <c r="Z249" s="1236"/>
      <c r="AA249" s="1236"/>
      <c r="AB249" s="1236"/>
      <c r="AC249" s="1236"/>
      <c r="AD249" s="1236"/>
      <c r="AE249" s="1236"/>
      <c r="AF249" s="1236"/>
      <c r="AG249" s="1236"/>
      <c r="AH249" s="1236"/>
      <c r="AI249" s="1236"/>
      <c r="AJ249" s="1236"/>
      <c r="AK249" s="1236"/>
      <c r="AL249" s="1236"/>
      <c r="AM249" s="1236"/>
      <c r="AN249" s="1236"/>
      <c r="AO249" s="1236"/>
      <c r="AP249" s="1236"/>
      <c r="AQ249" s="1236"/>
      <c r="AR249" s="1236"/>
      <c r="AS249" s="1236"/>
      <c r="AT249" s="1236"/>
      <c r="AU249" s="1236"/>
      <c r="AV249" s="1236"/>
      <c r="AW249" s="1236"/>
      <c r="AX249" s="1236"/>
      <c r="AY249" s="1236"/>
      <c r="AZ249" s="1236"/>
      <c r="BA249" s="1236"/>
      <c r="BB249" s="1236"/>
      <c r="BC249" s="1236"/>
      <c r="BD249" s="1236"/>
      <c r="BE249" s="1237"/>
    </row>
    <row r="252" spans="1:57" ht="15.75" customHeight="1">
      <c r="D252" s="1188"/>
    </row>
    <row r="253" spans="1:57" ht="15.75" customHeight="1">
      <c r="D253" s="1245"/>
    </row>
    <row r="254" spans="1:57" ht="15.75" customHeight="1">
      <c r="D254" s="1188"/>
    </row>
    <row r="255" spans="1:57" ht="15.75" customHeight="1">
      <c r="D255" s="1188"/>
    </row>
    <row r="256" spans="1:57" ht="15.75" customHeight="1">
      <c r="R256" s="1187" t="s">
        <v>249</v>
      </c>
    </row>
  </sheetData>
  <sheetProtection algorithmName="SHA-512" hashValue="RpmYkaNc8PD84NpwKRC+jXGRBdvsbDNxt4Qh2FfU6vyxUfHJC3EvcMw2g2Xq7S/DFQ30Qyq9J6zQlWqQI7AuMg==" saltValue="lRwLnXnxdmen0JFlNYlZSw==" spinCount="100000" sheet="1" objects="1" scenarios="1"/>
  <mergeCells count="701">
    <mergeCell ref="L6:AC6"/>
    <mergeCell ref="AF6:AO6"/>
    <mergeCell ref="AP6:AU6"/>
    <mergeCell ref="AF7:AO7"/>
    <mergeCell ref="AP7:AU7"/>
    <mergeCell ref="AB8:AD8"/>
    <mergeCell ref="AF8:AO8"/>
    <mergeCell ref="AP8:AU8"/>
    <mergeCell ref="A1:BE1"/>
    <mergeCell ref="A2:BE2"/>
    <mergeCell ref="L4:AC4"/>
    <mergeCell ref="AF4:AO4"/>
    <mergeCell ref="AP4:AU4"/>
    <mergeCell ref="AF5:AO5"/>
    <mergeCell ref="AP5:AU5"/>
    <mergeCell ref="B13:P13"/>
    <mergeCell ref="Q13:T13"/>
    <mergeCell ref="AA13:AN13"/>
    <mergeCell ref="AO13:AS13"/>
    <mergeCell ref="AA14:AN14"/>
    <mergeCell ref="AO14:AS14"/>
    <mergeCell ref="AF9:AO9"/>
    <mergeCell ref="AP9:AU9"/>
    <mergeCell ref="N10:T10"/>
    <mergeCell ref="AF10:AO10"/>
    <mergeCell ref="AP10:AU10"/>
    <mergeCell ref="N11:T11"/>
    <mergeCell ref="AF11:AO11"/>
    <mergeCell ref="AP11:AU11"/>
    <mergeCell ref="B15:R15"/>
    <mergeCell ref="S15:W15"/>
    <mergeCell ref="AA15:AN15"/>
    <mergeCell ref="AO15:AS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AN21:AS21"/>
    <mergeCell ref="AT21:AY21"/>
    <mergeCell ref="B22:I22"/>
    <mergeCell ref="J22:O22"/>
    <mergeCell ref="P22:U22"/>
    <mergeCell ref="V22:AA22"/>
    <mergeCell ref="AB22:AG22"/>
    <mergeCell ref="AH22:AM22"/>
    <mergeCell ref="AN22:AS22"/>
    <mergeCell ref="AT22:AY22"/>
    <mergeCell ref="B21:I21"/>
    <mergeCell ref="J21:O21"/>
    <mergeCell ref="P21:U21"/>
    <mergeCell ref="V21:AA21"/>
    <mergeCell ref="AB21:AG21"/>
    <mergeCell ref="AH21:AM21"/>
    <mergeCell ref="AN23:AS23"/>
    <mergeCell ref="AT23:AY23"/>
    <mergeCell ref="B24:I24"/>
    <mergeCell ref="J24:O24"/>
    <mergeCell ref="P24:U24"/>
    <mergeCell ref="V24:AA24"/>
    <mergeCell ref="AB24:AG24"/>
    <mergeCell ref="AH24:AM24"/>
    <mergeCell ref="AN24:AS24"/>
    <mergeCell ref="AT24:AY24"/>
    <mergeCell ref="B23:I23"/>
    <mergeCell ref="J23:O23"/>
    <mergeCell ref="P23:U23"/>
    <mergeCell ref="V23:AA23"/>
    <mergeCell ref="AB23:AG23"/>
    <mergeCell ref="AH23:AM23"/>
    <mergeCell ref="AN25:AS25"/>
    <mergeCell ref="AT25:AY25"/>
    <mergeCell ref="B26:I26"/>
    <mergeCell ref="J26:O26"/>
    <mergeCell ref="P26:U26"/>
    <mergeCell ref="V26:AA26"/>
    <mergeCell ref="AB26:AG26"/>
    <mergeCell ref="AH26:AM26"/>
    <mergeCell ref="AN26:AS26"/>
    <mergeCell ref="AT26:AY26"/>
    <mergeCell ref="B25:I25"/>
    <mergeCell ref="J25:O25"/>
    <mergeCell ref="P25:U25"/>
    <mergeCell ref="V25:AA25"/>
    <mergeCell ref="AB25:AG25"/>
    <mergeCell ref="AH25:AM25"/>
    <mergeCell ref="AN27:AS27"/>
    <mergeCell ref="AT27:AY27"/>
    <mergeCell ref="B28:I28"/>
    <mergeCell ref="J28:O28"/>
    <mergeCell ref="P28:U28"/>
    <mergeCell ref="V28:AA28"/>
    <mergeCell ref="AB28:AG28"/>
    <mergeCell ref="AH28:AM28"/>
    <mergeCell ref="AN28:AS28"/>
    <mergeCell ref="AT28:AY28"/>
    <mergeCell ref="B27:I27"/>
    <mergeCell ref="J27:O27"/>
    <mergeCell ref="P27:U27"/>
    <mergeCell ref="V27:AA27"/>
    <mergeCell ref="AB27:AG27"/>
    <mergeCell ref="AH27:AM27"/>
    <mergeCell ref="AN29:AS29"/>
    <mergeCell ref="AT29:AY29"/>
    <mergeCell ref="B31:BD31"/>
    <mergeCell ref="B32:I35"/>
    <mergeCell ref="J32:M35"/>
    <mergeCell ref="N32:Q35"/>
    <mergeCell ref="R32:BD32"/>
    <mergeCell ref="R33:BD34"/>
    <mergeCell ref="R35:U35"/>
    <mergeCell ref="V35:Y35"/>
    <mergeCell ref="B29:I29"/>
    <mergeCell ref="J29:O29"/>
    <mergeCell ref="P29:U29"/>
    <mergeCell ref="V29:AA29"/>
    <mergeCell ref="AB29:AG29"/>
    <mergeCell ref="AH29:AM29"/>
    <mergeCell ref="AY35:BD35"/>
    <mergeCell ref="Z35:AC35"/>
    <mergeCell ref="AD35:AG35"/>
    <mergeCell ref="AH35:AK35"/>
    <mergeCell ref="AL35:AO35"/>
    <mergeCell ref="AP35:AR35"/>
    <mergeCell ref="AS35:AX35"/>
    <mergeCell ref="AP36:AR36"/>
    <mergeCell ref="AS36:AX36"/>
    <mergeCell ref="AY36:BD36"/>
    <mergeCell ref="B37:I37"/>
    <mergeCell ref="J37:M37"/>
    <mergeCell ref="N37:Q37"/>
    <mergeCell ref="R37:U37"/>
    <mergeCell ref="V37:Y37"/>
    <mergeCell ref="Z37:AC37"/>
    <mergeCell ref="AD37:AG37"/>
    <mergeCell ref="AH37:AK37"/>
    <mergeCell ref="AL37:AO37"/>
    <mergeCell ref="AP37:AR37"/>
    <mergeCell ref="AS37:AX37"/>
    <mergeCell ref="AY37:BD37"/>
    <mergeCell ref="B36:I36"/>
    <mergeCell ref="J36:M36"/>
    <mergeCell ref="N36:Q36"/>
    <mergeCell ref="R36:U36"/>
    <mergeCell ref="V36:Y36"/>
    <mergeCell ref="Z36:AC36"/>
    <mergeCell ref="AD36:AG36"/>
    <mergeCell ref="AH36:AK36"/>
    <mergeCell ref="AL36:AO36"/>
    <mergeCell ref="B38:I38"/>
    <mergeCell ref="J38:M38"/>
    <mergeCell ref="N38:Q38"/>
    <mergeCell ref="R38:U38"/>
    <mergeCell ref="V38:Y38"/>
    <mergeCell ref="AY38:BD38"/>
    <mergeCell ref="B39:I39"/>
    <mergeCell ref="J39:M39"/>
    <mergeCell ref="N39:Q39"/>
    <mergeCell ref="R39:U39"/>
    <mergeCell ref="V39:Y39"/>
    <mergeCell ref="Z39:AC39"/>
    <mergeCell ref="AD39:AG39"/>
    <mergeCell ref="AH39:AK39"/>
    <mergeCell ref="AL39:AO39"/>
    <mergeCell ref="Z38:AC38"/>
    <mergeCell ref="AD38:AG38"/>
    <mergeCell ref="AH38:AK38"/>
    <mergeCell ref="AL38:AO38"/>
    <mergeCell ref="AP38:AR38"/>
    <mergeCell ref="AS38:AX38"/>
    <mergeCell ref="AP39:AR39"/>
    <mergeCell ref="AS39:AX39"/>
    <mergeCell ref="AY39:BD39"/>
    <mergeCell ref="AP40:AR40"/>
    <mergeCell ref="AS40:AX40"/>
    <mergeCell ref="AY40:BD40"/>
    <mergeCell ref="B41:I41"/>
    <mergeCell ref="J41:M41"/>
    <mergeCell ref="N41:Q41"/>
    <mergeCell ref="R41:U41"/>
    <mergeCell ref="V41:Y41"/>
    <mergeCell ref="AY41:BD41"/>
    <mergeCell ref="Z41:AC41"/>
    <mergeCell ref="AD41:AG41"/>
    <mergeCell ref="AH41:AK41"/>
    <mergeCell ref="AL41:AO41"/>
    <mergeCell ref="AP41:AR41"/>
    <mergeCell ref="AS41:AX41"/>
    <mergeCell ref="B40:I40"/>
    <mergeCell ref="J40:M40"/>
    <mergeCell ref="N40:Q40"/>
    <mergeCell ref="R40:U40"/>
    <mergeCell ref="V40:Y40"/>
    <mergeCell ref="Z40:AC40"/>
    <mergeCell ref="AD40:AG40"/>
    <mergeCell ref="AH40:AK40"/>
    <mergeCell ref="AL40:AO40"/>
    <mergeCell ref="AP42:AR42"/>
    <mergeCell ref="AS42:AX42"/>
    <mergeCell ref="AY42:BD42"/>
    <mergeCell ref="B43:I43"/>
    <mergeCell ref="J43:M43"/>
    <mergeCell ref="N43:Q43"/>
    <mergeCell ref="R43:U43"/>
    <mergeCell ref="V43:Y43"/>
    <mergeCell ref="Z43:AC43"/>
    <mergeCell ref="AD43:AG43"/>
    <mergeCell ref="AH43:AK43"/>
    <mergeCell ref="AL43:AO43"/>
    <mergeCell ref="AP43:AR43"/>
    <mergeCell ref="AS43:AX43"/>
    <mergeCell ref="AY43:BD43"/>
    <mergeCell ref="B42:I42"/>
    <mergeCell ref="J42:M42"/>
    <mergeCell ref="N42:Q42"/>
    <mergeCell ref="R42:U42"/>
    <mergeCell ref="V42:Y42"/>
    <mergeCell ref="Z42:AC42"/>
    <mergeCell ref="AD42:AG42"/>
    <mergeCell ref="AH42:AK42"/>
    <mergeCell ref="AL42:AO42"/>
    <mergeCell ref="B44:I44"/>
    <mergeCell ref="J44:M44"/>
    <mergeCell ref="N44:Q44"/>
    <mergeCell ref="R44:U44"/>
    <mergeCell ref="V44:Y44"/>
    <mergeCell ref="AY44:BD44"/>
    <mergeCell ref="B45:I45"/>
    <mergeCell ref="J45:M45"/>
    <mergeCell ref="N45:Q45"/>
    <mergeCell ref="R45:U45"/>
    <mergeCell ref="V45:Y45"/>
    <mergeCell ref="Z45:AC45"/>
    <mergeCell ref="AD45:AG45"/>
    <mergeCell ref="AH45:AK45"/>
    <mergeCell ref="AL45:AO45"/>
    <mergeCell ref="Z44:AC44"/>
    <mergeCell ref="AD44:AG44"/>
    <mergeCell ref="AH44:AK44"/>
    <mergeCell ref="AL44:AO44"/>
    <mergeCell ref="AP44:AR44"/>
    <mergeCell ref="AS44:AX44"/>
    <mergeCell ref="AP45:AR45"/>
    <mergeCell ref="AS45:AX45"/>
    <mergeCell ref="AY45:BD45"/>
    <mergeCell ref="AP46:AR46"/>
    <mergeCell ref="AS46:AX46"/>
    <mergeCell ref="AY46:BD46"/>
    <mergeCell ref="B47:I47"/>
    <mergeCell ref="J47:M47"/>
    <mergeCell ref="N47:Q47"/>
    <mergeCell ref="R47:U47"/>
    <mergeCell ref="V47:Y47"/>
    <mergeCell ref="AY47:BD47"/>
    <mergeCell ref="AP47:AR47"/>
    <mergeCell ref="AS47:AX47"/>
    <mergeCell ref="B46:I46"/>
    <mergeCell ref="J46:M46"/>
    <mergeCell ref="N46:Q46"/>
    <mergeCell ref="R46:U46"/>
    <mergeCell ref="V46:Y46"/>
    <mergeCell ref="Z46:AC46"/>
    <mergeCell ref="AD46:AG46"/>
    <mergeCell ref="AH46:AK46"/>
    <mergeCell ref="AL46:AO46"/>
    <mergeCell ref="B50:AO50"/>
    <mergeCell ref="B51:I51"/>
    <mergeCell ref="J51:Q51"/>
    <mergeCell ref="R51:Y51"/>
    <mergeCell ref="Z51:AG51"/>
    <mergeCell ref="AH51:AO51"/>
    <mergeCell ref="Z47:AC47"/>
    <mergeCell ref="AD47:AG47"/>
    <mergeCell ref="AH47:AK47"/>
    <mergeCell ref="AL47:AO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59:I59"/>
    <mergeCell ref="J59:AW59"/>
    <mergeCell ref="B60:I60"/>
    <mergeCell ref="J60:AW60"/>
    <mergeCell ref="B61:I61"/>
    <mergeCell ref="J61:AW61"/>
    <mergeCell ref="B56:I56"/>
    <mergeCell ref="J56:Q56"/>
    <mergeCell ref="R56:Y56"/>
    <mergeCell ref="Z56:AG56"/>
    <mergeCell ref="AH56:AO56"/>
    <mergeCell ref="B57:I57"/>
    <mergeCell ref="J57:Q57"/>
    <mergeCell ref="R57:Y57"/>
    <mergeCell ref="Z57:AG57"/>
    <mergeCell ref="AH57:AO57"/>
    <mergeCell ref="AV68:BC68"/>
    <mergeCell ref="B69:N69"/>
    <mergeCell ref="O69:AA69"/>
    <mergeCell ref="AC69:AU69"/>
    <mergeCell ref="AV69:BC69"/>
    <mergeCell ref="B62:I62"/>
    <mergeCell ref="J62:AW62"/>
    <mergeCell ref="B63:I63"/>
    <mergeCell ref="J63:AW63"/>
    <mergeCell ref="B64:I64"/>
    <mergeCell ref="J64:AW64"/>
    <mergeCell ref="B70:N70"/>
    <mergeCell ref="O70:AA70"/>
    <mergeCell ref="AC70:AE70"/>
    <mergeCell ref="AF70:AU70"/>
    <mergeCell ref="B71:N71"/>
    <mergeCell ref="O71:AA71"/>
    <mergeCell ref="AC71:AE71"/>
    <mergeCell ref="AF71:AU71"/>
    <mergeCell ref="B68:AA68"/>
    <mergeCell ref="AC68:AU68"/>
    <mergeCell ref="F79:T79"/>
    <mergeCell ref="B80:Q80"/>
    <mergeCell ref="R80:T80"/>
    <mergeCell ref="B81:Q81"/>
    <mergeCell ref="R81:T81"/>
    <mergeCell ref="B83:AH83"/>
    <mergeCell ref="B72:N72"/>
    <mergeCell ref="O72:AA72"/>
    <mergeCell ref="AC72:BC72"/>
    <mergeCell ref="B73:N73"/>
    <mergeCell ref="O73:AA73"/>
    <mergeCell ref="AC73:BC77"/>
    <mergeCell ref="B74:N74"/>
    <mergeCell ref="O74:AA74"/>
    <mergeCell ref="B75:N75"/>
    <mergeCell ref="O75:AA75"/>
    <mergeCell ref="V86:AA86"/>
    <mergeCell ref="AB86:AH86"/>
    <mergeCell ref="B87:H87"/>
    <mergeCell ref="I87:N87"/>
    <mergeCell ref="O87:U87"/>
    <mergeCell ref="V87:AA87"/>
    <mergeCell ref="AB87:AH87"/>
    <mergeCell ref="AJ83:AX86"/>
    <mergeCell ref="AY83:BB86"/>
    <mergeCell ref="B84:H85"/>
    <mergeCell ref="I84:N85"/>
    <mergeCell ref="O84:U85"/>
    <mergeCell ref="V84:AA85"/>
    <mergeCell ref="AB84:AH85"/>
    <mergeCell ref="B86:H86"/>
    <mergeCell ref="I86:N86"/>
    <mergeCell ref="O86:U86"/>
    <mergeCell ref="F92:T92"/>
    <mergeCell ref="B93:Q93"/>
    <mergeCell ref="R93:T93"/>
    <mergeCell ref="B94:Q94"/>
    <mergeCell ref="R94:T94"/>
    <mergeCell ref="B96:AH96"/>
    <mergeCell ref="AJ87:BB88"/>
    <mergeCell ref="B88:H88"/>
    <mergeCell ref="I88:N88"/>
    <mergeCell ref="O88:U88"/>
    <mergeCell ref="V88:AA88"/>
    <mergeCell ref="AB88:AH88"/>
    <mergeCell ref="V99:AA99"/>
    <mergeCell ref="AB99:AH99"/>
    <mergeCell ref="B100:H100"/>
    <mergeCell ref="I100:N100"/>
    <mergeCell ref="O100:U100"/>
    <mergeCell ref="V100:AA100"/>
    <mergeCell ref="AB100:AH100"/>
    <mergeCell ref="AJ96:AX99"/>
    <mergeCell ref="AY96:BB99"/>
    <mergeCell ref="B97:H98"/>
    <mergeCell ref="I97:N98"/>
    <mergeCell ref="O97:U98"/>
    <mergeCell ref="V97:AA98"/>
    <mergeCell ref="AB97:AH98"/>
    <mergeCell ref="B99:H99"/>
    <mergeCell ref="I99:N99"/>
    <mergeCell ref="O99:U99"/>
    <mergeCell ref="F104:R104"/>
    <mergeCell ref="O105:R105"/>
    <mergeCell ref="B107:AH107"/>
    <mergeCell ref="B108:H109"/>
    <mergeCell ref="I108:N109"/>
    <mergeCell ref="O108:U109"/>
    <mergeCell ref="V108:AA109"/>
    <mergeCell ref="AB108:AH109"/>
    <mergeCell ref="AJ100:BB101"/>
    <mergeCell ref="B101:H101"/>
    <mergeCell ref="I101:N101"/>
    <mergeCell ref="O101:U101"/>
    <mergeCell ref="V101:AA101"/>
    <mergeCell ref="AB101:AH101"/>
    <mergeCell ref="B112:H112"/>
    <mergeCell ref="I112:N112"/>
    <mergeCell ref="O112:U112"/>
    <mergeCell ref="V112:AA112"/>
    <mergeCell ref="AB112:AH112"/>
    <mergeCell ref="F115:R115"/>
    <mergeCell ref="B110:H110"/>
    <mergeCell ref="I110:N110"/>
    <mergeCell ref="O110:U110"/>
    <mergeCell ref="V110:AA110"/>
    <mergeCell ref="AB110:AH110"/>
    <mergeCell ref="B111:H111"/>
    <mergeCell ref="I111:N111"/>
    <mergeCell ref="O111:U111"/>
    <mergeCell ref="V111:AA111"/>
    <mergeCell ref="AB111:AH111"/>
    <mergeCell ref="O127:U127"/>
    <mergeCell ref="B128:H128"/>
    <mergeCell ref="I128:N128"/>
    <mergeCell ref="O128:U128"/>
    <mergeCell ref="B129:H129"/>
    <mergeCell ref="I129:N129"/>
    <mergeCell ref="O129:U129"/>
    <mergeCell ref="B117:T120"/>
    <mergeCell ref="U117:X120"/>
    <mergeCell ref="B121:T122"/>
    <mergeCell ref="U121:X122"/>
    <mergeCell ref="X125:BD126"/>
    <mergeCell ref="B126:U126"/>
    <mergeCell ref="B141:AG141"/>
    <mergeCell ref="AH141:AX141"/>
    <mergeCell ref="B142:Q142"/>
    <mergeCell ref="R142:AX142"/>
    <mergeCell ref="B143:AX152"/>
    <mergeCell ref="B156:U156"/>
    <mergeCell ref="X156:AQ156"/>
    <mergeCell ref="B137:H137"/>
    <mergeCell ref="I137:O137"/>
    <mergeCell ref="P137:U137"/>
    <mergeCell ref="B139:AG139"/>
    <mergeCell ref="AH139:AX139"/>
    <mergeCell ref="B140:AG140"/>
    <mergeCell ref="AH140:AX140"/>
    <mergeCell ref="X127:BD137"/>
    <mergeCell ref="B133:U133"/>
    <mergeCell ref="B134:H135"/>
    <mergeCell ref="I134:O135"/>
    <mergeCell ref="P134:U135"/>
    <mergeCell ref="B136:H136"/>
    <mergeCell ref="I136:O136"/>
    <mergeCell ref="P136:U136"/>
    <mergeCell ref="B127:H127"/>
    <mergeCell ref="I127:N127"/>
    <mergeCell ref="B159:H159"/>
    <mergeCell ref="I159:O159"/>
    <mergeCell ref="P159:U159"/>
    <mergeCell ref="X159:AD159"/>
    <mergeCell ref="AE159:AK159"/>
    <mergeCell ref="AL159:AQ159"/>
    <mergeCell ref="B157:H158"/>
    <mergeCell ref="I157:O158"/>
    <mergeCell ref="P157:U158"/>
    <mergeCell ref="X157:AD158"/>
    <mergeCell ref="AE157:AK158"/>
    <mergeCell ref="AL157:AQ158"/>
    <mergeCell ref="C164:P164"/>
    <mergeCell ref="Q164:S164"/>
    <mergeCell ref="T164:AA164"/>
    <mergeCell ref="C165:P165"/>
    <mergeCell ref="Q165:S165"/>
    <mergeCell ref="T165:AA165"/>
    <mergeCell ref="B160:H160"/>
    <mergeCell ref="I160:O160"/>
    <mergeCell ref="P160:U160"/>
    <mergeCell ref="C162:AG162"/>
    <mergeCell ref="C163:P163"/>
    <mergeCell ref="Q163:S163"/>
    <mergeCell ref="T163:AA163"/>
    <mergeCell ref="AB163:AG163"/>
    <mergeCell ref="AB167:AG167"/>
    <mergeCell ref="C168:E168"/>
    <mergeCell ref="F168:P168"/>
    <mergeCell ref="Q168:S168"/>
    <mergeCell ref="T168:AA168"/>
    <mergeCell ref="AB168:AG168"/>
    <mergeCell ref="C166:P166"/>
    <mergeCell ref="Q166:S166"/>
    <mergeCell ref="T166:AA166"/>
    <mergeCell ref="C167:P167"/>
    <mergeCell ref="Q167:S167"/>
    <mergeCell ref="T167:AA167"/>
    <mergeCell ref="C169:E169"/>
    <mergeCell ref="F169:P169"/>
    <mergeCell ref="Q169:S169"/>
    <mergeCell ref="T169:AA169"/>
    <mergeCell ref="AB169:AG169"/>
    <mergeCell ref="C170:E170"/>
    <mergeCell ref="F170:P170"/>
    <mergeCell ref="Q170:S170"/>
    <mergeCell ref="T170:AA170"/>
    <mergeCell ref="AB170:AG170"/>
    <mergeCell ref="C172:N172"/>
    <mergeCell ref="P172:AO172"/>
    <mergeCell ref="C173:H173"/>
    <mergeCell ref="I173:N173"/>
    <mergeCell ref="P173:AO180"/>
    <mergeCell ref="C174:H174"/>
    <mergeCell ref="I174:N174"/>
    <mergeCell ref="C175:H175"/>
    <mergeCell ref="I175:N175"/>
    <mergeCell ref="C176:H176"/>
    <mergeCell ref="I176:N176"/>
    <mergeCell ref="C177:H177"/>
    <mergeCell ref="I177:N177"/>
    <mergeCell ref="C178:H178"/>
    <mergeCell ref="I178:N178"/>
    <mergeCell ref="C179:H179"/>
    <mergeCell ref="I179:N179"/>
    <mergeCell ref="C180:H180"/>
    <mergeCell ref="I180:N180"/>
    <mergeCell ref="C186:M186"/>
    <mergeCell ref="N186:T186"/>
    <mergeCell ref="C182:AE183"/>
    <mergeCell ref="C191:M191"/>
    <mergeCell ref="N191:T191"/>
    <mergeCell ref="U191:AE191"/>
    <mergeCell ref="AH191:AT191"/>
    <mergeCell ref="AU191:BB191"/>
    <mergeCell ref="AH182:BE188"/>
    <mergeCell ref="C184:M184"/>
    <mergeCell ref="N184:T184"/>
    <mergeCell ref="U184:AE184"/>
    <mergeCell ref="C185:M185"/>
    <mergeCell ref="N185:T185"/>
    <mergeCell ref="U185:AE185"/>
    <mergeCell ref="C187:M187"/>
    <mergeCell ref="N187:T187"/>
    <mergeCell ref="U187:AE187"/>
    <mergeCell ref="C188:M188"/>
    <mergeCell ref="N188:T188"/>
    <mergeCell ref="U188:AE188"/>
    <mergeCell ref="BC191:BE191"/>
    <mergeCell ref="C189:M189"/>
    <mergeCell ref="N189:T189"/>
    <mergeCell ref="U189:AE189"/>
    <mergeCell ref="AH189:BE189"/>
    <mergeCell ref="C190:M190"/>
    <mergeCell ref="N190:T190"/>
    <mergeCell ref="U190:AE190"/>
    <mergeCell ref="AH190:AT190"/>
    <mergeCell ref="AU190:BB190"/>
    <mergeCell ref="BC190:BE190"/>
    <mergeCell ref="BC192:BE192"/>
    <mergeCell ref="C193:D193"/>
    <mergeCell ref="E193:M193"/>
    <mergeCell ref="N193:T193"/>
    <mergeCell ref="U193:AE193"/>
    <mergeCell ref="BC193:BE193"/>
    <mergeCell ref="C192:D192"/>
    <mergeCell ref="E192:M192"/>
    <mergeCell ref="N192:T192"/>
    <mergeCell ref="U192:AE192"/>
    <mergeCell ref="AH192:AT192"/>
    <mergeCell ref="AU192:BB192"/>
    <mergeCell ref="C195:M195"/>
    <mergeCell ref="N195:T195"/>
    <mergeCell ref="AH195:BE196"/>
    <mergeCell ref="C196:M196"/>
    <mergeCell ref="N196:T196"/>
    <mergeCell ref="AH197:AR197"/>
    <mergeCell ref="AS197:AX197"/>
    <mergeCell ref="AY197:BD197"/>
    <mergeCell ref="C194:D194"/>
    <mergeCell ref="E194:M194"/>
    <mergeCell ref="N194:T194"/>
    <mergeCell ref="U194:AE194"/>
    <mergeCell ref="AH194:AT194"/>
    <mergeCell ref="AU194:BB194"/>
    <mergeCell ref="C202:N202"/>
    <mergeCell ref="O202:W202"/>
    <mergeCell ref="X202:AE202"/>
    <mergeCell ref="C203:N203"/>
    <mergeCell ref="O203:W203"/>
    <mergeCell ref="X203:AE203"/>
    <mergeCell ref="C199:AE199"/>
    <mergeCell ref="C200:N200"/>
    <mergeCell ref="O200:W200"/>
    <mergeCell ref="X200:AE200"/>
    <mergeCell ref="C201:N201"/>
    <mergeCell ref="O201:W201"/>
    <mergeCell ref="X201:AE201"/>
    <mergeCell ref="C204:AE204"/>
    <mergeCell ref="C206:AK206"/>
    <mergeCell ref="C207:F208"/>
    <mergeCell ref="G207:O208"/>
    <mergeCell ref="P207:T208"/>
    <mergeCell ref="U207:X208"/>
    <mergeCell ref="Y207:AB208"/>
    <mergeCell ref="AC207:AF208"/>
    <mergeCell ref="AG207:AK208"/>
    <mergeCell ref="AG209:AK209"/>
    <mergeCell ref="C210:F210"/>
    <mergeCell ref="G210:O210"/>
    <mergeCell ref="P210:T210"/>
    <mergeCell ref="U210:X210"/>
    <mergeCell ref="Y210:AB210"/>
    <mergeCell ref="AC210:AF210"/>
    <mergeCell ref="AG210:AK210"/>
    <mergeCell ref="C209:F209"/>
    <mergeCell ref="G209:O209"/>
    <mergeCell ref="P209:T209"/>
    <mergeCell ref="U209:X209"/>
    <mergeCell ref="Y209:AB209"/>
    <mergeCell ref="AC209:AF209"/>
    <mergeCell ref="AG211:AK211"/>
    <mergeCell ref="C212:F212"/>
    <mergeCell ref="G212:O212"/>
    <mergeCell ref="P212:T212"/>
    <mergeCell ref="U212:X212"/>
    <mergeCell ref="Y212:AB212"/>
    <mergeCell ref="AC212:AF212"/>
    <mergeCell ref="AG212:AK212"/>
    <mergeCell ref="C211:F211"/>
    <mergeCell ref="G211:O211"/>
    <mergeCell ref="P211:T211"/>
    <mergeCell ref="U211:X211"/>
    <mergeCell ref="Y211:AB211"/>
    <mergeCell ref="AC211:AF211"/>
    <mergeCell ref="AG213:AK213"/>
    <mergeCell ref="C214:F214"/>
    <mergeCell ref="G214:O214"/>
    <mergeCell ref="P214:T214"/>
    <mergeCell ref="U214:X214"/>
    <mergeCell ref="Y214:AB214"/>
    <mergeCell ref="AC214:AF214"/>
    <mergeCell ref="AG214:AK214"/>
    <mergeCell ref="C213:F213"/>
    <mergeCell ref="G213:O213"/>
    <mergeCell ref="P213:T213"/>
    <mergeCell ref="U213:X213"/>
    <mergeCell ref="Y213:AB213"/>
    <mergeCell ref="AC213:AF213"/>
    <mergeCell ref="B221:BD221"/>
    <mergeCell ref="B222:BD222"/>
    <mergeCell ref="B223:BD223"/>
    <mergeCell ref="B224:BD224"/>
    <mergeCell ref="B226:BD226"/>
    <mergeCell ref="H230:AY230"/>
    <mergeCell ref="AG215:AK215"/>
    <mergeCell ref="C216:O216"/>
    <mergeCell ref="P216:T216"/>
    <mergeCell ref="U216:X216"/>
    <mergeCell ref="Y216:AB216"/>
    <mergeCell ref="AC216:AF216"/>
    <mergeCell ref="AG216:AK216"/>
    <mergeCell ref="C215:F215"/>
    <mergeCell ref="G215:O215"/>
    <mergeCell ref="P215:T215"/>
    <mergeCell ref="U215:X215"/>
    <mergeCell ref="Y215:AB215"/>
    <mergeCell ref="AC215:AF215"/>
    <mergeCell ref="H243:I243"/>
    <mergeCell ref="S243:AJ243"/>
    <mergeCell ref="H245:O245"/>
    <mergeCell ref="S245:AJ245"/>
    <mergeCell ref="H247:I247"/>
    <mergeCell ref="S247:AJ247"/>
    <mergeCell ref="H232:AZ235"/>
    <mergeCell ref="H237:AV237"/>
    <mergeCell ref="H239:K239"/>
    <mergeCell ref="S239:AJ239"/>
    <mergeCell ref="H241:J241"/>
    <mergeCell ref="S241:AJ241"/>
  </mergeCells>
  <dataValidations count="6">
    <dataValidation type="list" allowBlank="1" showInputMessage="1" showErrorMessage="1" sqref="F104 F79 F92" xr:uid="{1FCB458F-1225-43AF-8FF1-2B902753D698}">
      <formula1>$BQ$96:$BQ$98</formula1>
    </dataValidation>
    <dataValidation type="list" allowBlank="1" showInputMessage="1" showErrorMessage="1" sqref="AP8:AU8" xr:uid="{824BC104-7AD7-4EDE-A931-906012CA9D6C}">
      <formula1>$BM$9:$BM$13</formula1>
    </dataValidation>
    <dataValidation type="list" allowBlank="1" showInputMessage="1" showErrorMessage="1" sqref="BM68:BM70" xr:uid="{AA69C59B-EBB5-4938-AFBE-6CF369304820}">
      <formula1>$BM$68:$BM$70</formula1>
    </dataValidation>
    <dataValidation type="list" allowBlank="1" showInputMessage="1" showErrorMessage="1" sqref="AV68:BC69 AY96:BB99 U117:X120 AY83:BB86 AH139:AX139 AH141:AX141" xr:uid="{BA8D614D-1177-459E-8523-7B747D245324}">
      <formula1>$BM$69:$BM$71</formula1>
    </dataValidation>
    <dataValidation type="list" allowBlank="1" showInputMessage="1" showErrorMessage="1" sqref="Q13:T13" xr:uid="{1E70C12F-0BE7-4AFE-927D-E210EC278E7A}">
      <formula1>$BM$69:$BM$70</formula1>
    </dataValidation>
    <dataValidation type="list" showDropDown="1" showInputMessage="1" showErrorMessage="1" sqref="F115:R115" xr:uid="{11A1EE09-923A-44E2-8738-714A1724F8E8}">
      <formula1>$BQ$101:$BQ$102</formula1>
    </dataValidation>
  </dataValidations>
  <pageMargins left="0.7" right="0.7" top="0.75" bottom="0.75" header="0.3" footer="0.3"/>
  <pageSetup paperSize="5" scale="46" fitToHeight="2"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37" workbookViewId="0">
      <selection activeCell="B30" sqref="B30:AM30"/>
    </sheetView>
  </sheetViews>
  <sheetFormatPr defaultColWidth="0" defaultRowHeight="12.95" customHeight="1"/>
  <cols>
    <col min="1" max="1" width="1.5703125" style="402" customWidth="1"/>
    <col min="2" max="2" width="0.85546875" style="402" customWidth="1"/>
    <col min="3" max="18" width="2.5703125" style="402" customWidth="1"/>
    <col min="19" max="19" width="6.28515625" style="402" customWidth="1"/>
    <col min="20" max="39" width="2.7109375" style="402" customWidth="1"/>
    <col min="40" max="40" width="1.5703125" style="402" customWidth="1"/>
    <col min="41" max="256" width="2.5703125" style="402" hidden="1"/>
    <col min="257" max="257" width="1.5703125" style="402" hidden="1" customWidth="1"/>
    <col min="258" max="258" width="0.85546875" style="402" hidden="1" customWidth="1"/>
    <col min="259" max="274" width="2.5703125" style="402" hidden="1" customWidth="1"/>
    <col min="275" max="275" width="4" style="402" hidden="1" customWidth="1"/>
    <col min="276" max="279" width="2.5703125" style="402" hidden="1" customWidth="1"/>
    <col min="280" max="280" width="2.42578125" style="402" hidden="1" customWidth="1"/>
    <col min="281" max="284" width="2.5703125" style="402" hidden="1" customWidth="1"/>
    <col min="285" max="285" width="2.42578125" style="402" hidden="1" customWidth="1"/>
    <col min="286" max="289" width="2.5703125" style="402" hidden="1" customWidth="1"/>
    <col min="290" max="295" width="2.42578125" style="402" hidden="1" customWidth="1"/>
    <col min="296" max="296" width="1.5703125" style="402" hidden="1" customWidth="1"/>
    <col min="297" max="512" width="2.5703125" style="402" hidden="1"/>
    <col min="513" max="513" width="1.5703125" style="402" hidden="1" customWidth="1"/>
    <col min="514" max="514" width="0.85546875" style="402" hidden="1" customWidth="1"/>
    <col min="515" max="530" width="2.5703125" style="402" hidden="1" customWidth="1"/>
    <col min="531" max="531" width="4" style="402" hidden="1" customWidth="1"/>
    <col min="532" max="535" width="2.5703125" style="402" hidden="1" customWidth="1"/>
    <col min="536" max="536" width="2.42578125" style="402" hidden="1" customWidth="1"/>
    <col min="537" max="540" width="2.5703125" style="402" hidden="1" customWidth="1"/>
    <col min="541" max="541" width="2.42578125" style="402" hidden="1" customWidth="1"/>
    <col min="542" max="545" width="2.5703125" style="402" hidden="1" customWidth="1"/>
    <col min="546" max="551" width="2.42578125" style="402" hidden="1" customWidth="1"/>
    <col min="552" max="552" width="1.5703125" style="402" hidden="1" customWidth="1"/>
    <col min="553" max="768" width="2.5703125" style="402" hidden="1"/>
    <col min="769" max="769" width="1.5703125" style="402" hidden="1" customWidth="1"/>
    <col min="770" max="770" width="0.85546875" style="402" hidden="1" customWidth="1"/>
    <col min="771" max="786" width="2.5703125" style="402" hidden="1" customWidth="1"/>
    <col min="787" max="787" width="4" style="402" hidden="1" customWidth="1"/>
    <col min="788" max="791" width="2.5703125" style="402" hidden="1" customWidth="1"/>
    <col min="792" max="792" width="2.42578125" style="402" hidden="1" customWidth="1"/>
    <col min="793" max="796" width="2.5703125" style="402" hidden="1" customWidth="1"/>
    <col min="797" max="797" width="2.42578125" style="402" hidden="1" customWidth="1"/>
    <col min="798" max="801" width="2.5703125" style="402" hidden="1" customWidth="1"/>
    <col min="802" max="807" width="2.42578125" style="402" hidden="1" customWidth="1"/>
    <col min="808" max="808" width="1.5703125" style="402" hidden="1" customWidth="1"/>
    <col min="809" max="1024" width="2.5703125" style="402" hidden="1"/>
    <col min="1025" max="1025" width="1.5703125" style="402" hidden="1" customWidth="1"/>
    <col min="1026" max="1026" width="0.85546875" style="402" hidden="1" customWidth="1"/>
    <col min="1027" max="1042" width="2.5703125" style="402" hidden="1" customWidth="1"/>
    <col min="1043" max="1043" width="4" style="402" hidden="1" customWidth="1"/>
    <col min="1044" max="1047" width="2.5703125" style="402" hidden="1" customWidth="1"/>
    <col min="1048" max="1048" width="2.42578125" style="402" hidden="1" customWidth="1"/>
    <col min="1049" max="1052" width="2.5703125" style="402" hidden="1" customWidth="1"/>
    <col min="1053" max="1053" width="2.42578125" style="402" hidden="1" customWidth="1"/>
    <col min="1054" max="1057" width="2.5703125" style="402" hidden="1" customWidth="1"/>
    <col min="1058" max="1063" width="2.42578125" style="402" hidden="1" customWidth="1"/>
    <col min="1064" max="1064" width="1.5703125" style="402" hidden="1" customWidth="1"/>
    <col min="1065" max="1280" width="2.5703125" style="402" hidden="1"/>
    <col min="1281" max="1281" width="1.5703125" style="402" hidden="1" customWidth="1"/>
    <col min="1282" max="1282" width="0.85546875" style="402" hidden="1" customWidth="1"/>
    <col min="1283" max="1298" width="2.5703125" style="402" hidden="1" customWidth="1"/>
    <col min="1299" max="1299" width="4" style="402" hidden="1" customWidth="1"/>
    <col min="1300" max="1303" width="2.5703125" style="402" hidden="1" customWidth="1"/>
    <col min="1304" max="1304" width="2.42578125" style="402" hidden="1" customWidth="1"/>
    <col min="1305" max="1308" width="2.5703125" style="402" hidden="1" customWidth="1"/>
    <col min="1309" max="1309" width="2.42578125" style="402" hidden="1" customWidth="1"/>
    <col min="1310" max="1313" width="2.5703125" style="402" hidden="1" customWidth="1"/>
    <col min="1314" max="1319" width="2.42578125" style="402" hidden="1" customWidth="1"/>
    <col min="1320" max="1320" width="1.5703125" style="402" hidden="1" customWidth="1"/>
    <col min="1321" max="1536" width="2.5703125" style="402" hidden="1"/>
    <col min="1537" max="1537" width="1.5703125" style="402" hidden="1" customWidth="1"/>
    <col min="1538" max="1538" width="0.85546875" style="402" hidden="1" customWidth="1"/>
    <col min="1539" max="1554" width="2.5703125" style="402" hidden="1" customWidth="1"/>
    <col min="1555" max="1555" width="4" style="402" hidden="1" customWidth="1"/>
    <col min="1556" max="1559" width="2.5703125" style="402" hidden="1" customWidth="1"/>
    <col min="1560" max="1560" width="2.42578125" style="402" hidden="1" customWidth="1"/>
    <col min="1561" max="1564" width="2.5703125" style="402" hidden="1" customWidth="1"/>
    <col min="1565" max="1565" width="2.42578125" style="402" hidden="1" customWidth="1"/>
    <col min="1566" max="1569" width="2.5703125" style="402" hidden="1" customWidth="1"/>
    <col min="1570" max="1575" width="2.42578125" style="402" hidden="1" customWidth="1"/>
    <col min="1576" max="1576" width="1.5703125" style="402" hidden="1" customWidth="1"/>
    <col min="1577" max="1792" width="2.5703125" style="402" hidden="1"/>
    <col min="1793" max="1793" width="1.5703125" style="402" hidden="1" customWidth="1"/>
    <col min="1794" max="1794" width="0.85546875" style="402" hidden="1" customWidth="1"/>
    <col min="1795" max="1810" width="2.5703125" style="402" hidden="1" customWidth="1"/>
    <col min="1811" max="1811" width="4" style="402" hidden="1" customWidth="1"/>
    <col min="1812" max="1815" width="2.5703125" style="402" hidden="1" customWidth="1"/>
    <col min="1816" max="1816" width="2.42578125" style="402" hidden="1" customWidth="1"/>
    <col min="1817" max="1820" width="2.5703125" style="402" hidden="1" customWidth="1"/>
    <col min="1821" max="1821" width="2.42578125" style="402" hidden="1" customWidth="1"/>
    <col min="1822" max="1825" width="2.5703125" style="402" hidden="1" customWidth="1"/>
    <col min="1826" max="1831" width="2.42578125" style="402" hidden="1" customWidth="1"/>
    <col min="1832" max="1832" width="1.5703125" style="402" hidden="1" customWidth="1"/>
    <col min="1833" max="2048" width="2.5703125" style="402" hidden="1"/>
    <col min="2049" max="2049" width="1.5703125" style="402" hidden="1" customWidth="1"/>
    <col min="2050" max="2050" width="0.85546875" style="402" hidden="1" customWidth="1"/>
    <col min="2051" max="2066" width="2.5703125" style="402" hidden="1" customWidth="1"/>
    <col min="2067" max="2067" width="4" style="402" hidden="1" customWidth="1"/>
    <col min="2068" max="2071" width="2.5703125" style="402" hidden="1" customWidth="1"/>
    <col min="2072" max="2072" width="2.42578125" style="402" hidden="1" customWidth="1"/>
    <col min="2073" max="2076" width="2.5703125" style="402" hidden="1" customWidth="1"/>
    <col min="2077" max="2077" width="2.42578125" style="402" hidden="1" customWidth="1"/>
    <col min="2078" max="2081" width="2.5703125" style="402" hidden="1" customWidth="1"/>
    <col min="2082" max="2087" width="2.42578125" style="402" hidden="1" customWidth="1"/>
    <col min="2088" max="2088" width="1.5703125" style="402" hidden="1" customWidth="1"/>
    <col min="2089" max="2304" width="2.5703125" style="402" hidden="1"/>
    <col min="2305" max="2305" width="1.5703125" style="402" hidden="1" customWidth="1"/>
    <col min="2306" max="2306" width="0.85546875" style="402" hidden="1" customWidth="1"/>
    <col min="2307" max="2322" width="2.5703125" style="402" hidden="1" customWidth="1"/>
    <col min="2323" max="2323" width="4" style="402" hidden="1" customWidth="1"/>
    <col min="2324" max="2327" width="2.5703125" style="402" hidden="1" customWidth="1"/>
    <col min="2328" max="2328" width="2.42578125" style="402" hidden="1" customWidth="1"/>
    <col min="2329" max="2332" width="2.5703125" style="402" hidden="1" customWidth="1"/>
    <col min="2333" max="2333" width="2.42578125" style="402" hidden="1" customWidth="1"/>
    <col min="2334" max="2337" width="2.5703125" style="402" hidden="1" customWidth="1"/>
    <col min="2338" max="2343" width="2.42578125" style="402" hidden="1" customWidth="1"/>
    <col min="2344" max="2344" width="1.5703125" style="402" hidden="1" customWidth="1"/>
    <col min="2345" max="2560" width="2.5703125" style="402" hidden="1"/>
    <col min="2561" max="2561" width="1.5703125" style="402" hidden="1" customWidth="1"/>
    <col min="2562" max="2562" width="0.85546875" style="402" hidden="1" customWidth="1"/>
    <col min="2563" max="2578" width="2.5703125" style="402" hidden="1" customWidth="1"/>
    <col min="2579" max="2579" width="4" style="402" hidden="1" customWidth="1"/>
    <col min="2580" max="2583" width="2.5703125" style="402" hidden="1" customWidth="1"/>
    <col min="2584" max="2584" width="2.42578125" style="402" hidden="1" customWidth="1"/>
    <col min="2585" max="2588" width="2.5703125" style="402" hidden="1" customWidth="1"/>
    <col min="2589" max="2589" width="2.42578125" style="402" hidden="1" customWidth="1"/>
    <col min="2590" max="2593" width="2.5703125" style="402" hidden="1" customWidth="1"/>
    <col min="2594" max="2599" width="2.42578125" style="402" hidden="1" customWidth="1"/>
    <col min="2600" max="2600" width="1.5703125" style="402" hidden="1" customWidth="1"/>
    <col min="2601" max="2816" width="2.5703125" style="402" hidden="1"/>
    <col min="2817" max="2817" width="1.5703125" style="402" hidden="1" customWidth="1"/>
    <col min="2818" max="2818" width="0.85546875" style="402" hidden="1" customWidth="1"/>
    <col min="2819" max="2834" width="2.5703125" style="402" hidden="1" customWidth="1"/>
    <col min="2835" max="2835" width="4" style="402" hidden="1" customWidth="1"/>
    <col min="2836" max="2839" width="2.5703125" style="402" hidden="1" customWidth="1"/>
    <col min="2840" max="2840" width="2.42578125" style="402" hidden="1" customWidth="1"/>
    <col min="2841" max="2844" width="2.5703125" style="402" hidden="1" customWidth="1"/>
    <col min="2845" max="2845" width="2.42578125" style="402" hidden="1" customWidth="1"/>
    <col min="2846" max="2849" width="2.5703125" style="402" hidden="1" customWidth="1"/>
    <col min="2850" max="2855" width="2.42578125" style="402" hidden="1" customWidth="1"/>
    <col min="2856" max="2856" width="1.5703125" style="402" hidden="1" customWidth="1"/>
    <col min="2857" max="3072" width="2.5703125" style="402" hidden="1"/>
    <col min="3073" max="3073" width="1.5703125" style="402" hidden="1" customWidth="1"/>
    <col min="3074" max="3074" width="0.85546875" style="402" hidden="1" customWidth="1"/>
    <col min="3075" max="3090" width="2.5703125" style="402" hidden="1" customWidth="1"/>
    <col min="3091" max="3091" width="4" style="402" hidden="1" customWidth="1"/>
    <col min="3092" max="3095" width="2.5703125" style="402" hidden="1" customWidth="1"/>
    <col min="3096" max="3096" width="2.42578125" style="402" hidden="1" customWidth="1"/>
    <col min="3097" max="3100" width="2.5703125" style="402" hidden="1" customWidth="1"/>
    <col min="3101" max="3101" width="2.42578125" style="402" hidden="1" customWidth="1"/>
    <col min="3102" max="3105" width="2.5703125" style="402" hidden="1" customWidth="1"/>
    <col min="3106" max="3111" width="2.42578125" style="402" hidden="1" customWidth="1"/>
    <col min="3112" max="3112" width="1.5703125" style="402" hidden="1" customWidth="1"/>
    <col min="3113" max="3328" width="2.5703125" style="402" hidden="1"/>
    <col min="3329" max="3329" width="1.5703125" style="402" hidden="1" customWidth="1"/>
    <col min="3330" max="3330" width="0.85546875" style="402" hidden="1" customWidth="1"/>
    <col min="3331" max="3346" width="2.5703125" style="402" hidden="1" customWidth="1"/>
    <col min="3347" max="3347" width="4" style="402" hidden="1" customWidth="1"/>
    <col min="3348" max="3351" width="2.5703125" style="402" hidden="1" customWidth="1"/>
    <col min="3352" max="3352" width="2.42578125" style="402" hidden="1" customWidth="1"/>
    <col min="3353" max="3356" width="2.5703125" style="402" hidden="1" customWidth="1"/>
    <col min="3357" max="3357" width="2.42578125" style="402" hidden="1" customWidth="1"/>
    <col min="3358" max="3361" width="2.5703125" style="402" hidden="1" customWidth="1"/>
    <col min="3362" max="3367" width="2.42578125" style="402" hidden="1" customWidth="1"/>
    <col min="3368" max="3368" width="1.5703125" style="402" hidden="1" customWidth="1"/>
    <col min="3369" max="3584" width="2.5703125" style="402" hidden="1"/>
    <col min="3585" max="3585" width="1.5703125" style="402" hidden="1" customWidth="1"/>
    <col min="3586" max="3586" width="0.85546875" style="402" hidden="1" customWidth="1"/>
    <col min="3587" max="3602" width="2.5703125" style="402" hidden="1" customWidth="1"/>
    <col min="3603" max="3603" width="4" style="402" hidden="1" customWidth="1"/>
    <col min="3604" max="3607" width="2.5703125" style="402" hidden="1" customWidth="1"/>
    <col min="3608" max="3608" width="2.42578125" style="402" hidden="1" customWidth="1"/>
    <col min="3609" max="3612" width="2.5703125" style="402" hidden="1" customWidth="1"/>
    <col min="3613" max="3613" width="2.42578125" style="402" hidden="1" customWidth="1"/>
    <col min="3614" max="3617" width="2.5703125" style="402" hidden="1" customWidth="1"/>
    <col min="3618" max="3623" width="2.42578125" style="402" hidden="1" customWidth="1"/>
    <col min="3624" max="3624" width="1.5703125" style="402" hidden="1" customWidth="1"/>
    <col min="3625" max="3840" width="2.5703125" style="402" hidden="1"/>
    <col min="3841" max="3841" width="1.5703125" style="402" hidden="1" customWidth="1"/>
    <col min="3842" max="3842" width="0.85546875" style="402" hidden="1" customWidth="1"/>
    <col min="3843" max="3858" width="2.5703125" style="402" hidden="1" customWidth="1"/>
    <col min="3859" max="3859" width="4" style="402" hidden="1" customWidth="1"/>
    <col min="3860" max="3863" width="2.5703125" style="402" hidden="1" customWidth="1"/>
    <col min="3864" max="3864" width="2.42578125" style="402" hidden="1" customWidth="1"/>
    <col min="3865" max="3868" width="2.5703125" style="402" hidden="1" customWidth="1"/>
    <col min="3869" max="3869" width="2.42578125" style="402" hidden="1" customWidth="1"/>
    <col min="3870" max="3873" width="2.5703125" style="402" hidden="1" customWidth="1"/>
    <col min="3874" max="3879" width="2.42578125" style="402" hidden="1" customWidth="1"/>
    <col min="3880" max="3880" width="1.5703125" style="402" hidden="1" customWidth="1"/>
    <col min="3881" max="4096" width="2.5703125" style="402" hidden="1"/>
    <col min="4097" max="4097" width="1.5703125" style="402" hidden="1" customWidth="1"/>
    <col min="4098" max="4098" width="0.85546875" style="402" hidden="1" customWidth="1"/>
    <col min="4099" max="4114" width="2.5703125" style="402" hidden="1" customWidth="1"/>
    <col min="4115" max="4115" width="4" style="402" hidden="1" customWidth="1"/>
    <col min="4116" max="4119" width="2.5703125" style="402" hidden="1" customWidth="1"/>
    <col min="4120" max="4120" width="2.42578125" style="402" hidden="1" customWidth="1"/>
    <col min="4121" max="4124" width="2.5703125" style="402" hidden="1" customWidth="1"/>
    <col min="4125" max="4125" width="2.42578125" style="402" hidden="1" customWidth="1"/>
    <col min="4126" max="4129" width="2.5703125" style="402" hidden="1" customWidth="1"/>
    <col min="4130" max="4135" width="2.42578125" style="402" hidden="1" customWidth="1"/>
    <col min="4136" max="4136" width="1.5703125" style="402" hidden="1" customWidth="1"/>
    <col min="4137" max="4352" width="2.5703125" style="402" hidden="1"/>
    <col min="4353" max="4353" width="1.5703125" style="402" hidden="1" customWidth="1"/>
    <col min="4354" max="4354" width="0.85546875" style="402" hidden="1" customWidth="1"/>
    <col min="4355" max="4370" width="2.5703125" style="402" hidden="1" customWidth="1"/>
    <col min="4371" max="4371" width="4" style="402" hidden="1" customWidth="1"/>
    <col min="4372" max="4375" width="2.5703125" style="402" hidden="1" customWidth="1"/>
    <col min="4376" max="4376" width="2.42578125" style="402" hidden="1" customWidth="1"/>
    <col min="4377" max="4380" width="2.5703125" style="402" hidden="1" customWidth="1"/>
    <col min="4381" max="4381" width="2.42578125" style="402" hidden="1" customWidth="1"/>
    <col min="4382" max="4385" width="2.5703125" style="402" hidden="1" customWidth="1"/>
    <col min="4386" max="4391" width="2.42578125" style="402" hidden="1" customWidth="1"/>
    <col min="4392" max="4392" width="1.5703125" style="402" hidden="1" customWidth="1"/>
    <col min="4393" max="4608" width="2.5703125" style="402" hidden="1"/>
    <col min="4609" max="4609" width="1.5703125" style="402" hidden="1" customWidth="1"/>
    <col min="4610" max="4610" width="0.85546875" style="402" hidden="1" customWidth="1"/>
    <col min="4611" max="4626" width="2.5703125" style="402" hidden="1" customWidth="1"/>
    <col min="4627" max="4627" width="4" style="402" hidden="1" customWidth="1"/>
    <col min="4628" max="4631" width="2.5703125" style="402" hidden="1" customWidth="1"/>
    <col min="4632" max="4632" width="2.42578125" style="402" hidden="1" customWidth="1"/>
    <col min="4633" max="4636" width="2.5703125" style="402" hidden="1" customWidth="1"/>
    <col min="4637" max="4637" width="2.42578125" style="402" hidden="1" customWidth="1"/>
    <col min="4638" max="4641" width="2.5703125" style="402" hidden="1" customWidth="1"/>
    <col min="4642" max="4647" width="2.42578125" style="402" hidden="1" customWidth="1"/>
    <col min="4648" max="4648" width="1.5703125" style="402" hidden="1" customWidth="1"/>
    <col min="4649" max="4864" width="2.5703125" style="402" hidden="1"/>
    <col min="4865" max="4865" width="1.5703125" style="402" hidden="1" customWidth="1"/>
    <col min="4866" max="4866" width="0.85546875" style="402" hidden="1" customWidth="1"/>
    <col min="4867" max="4882" width="2.5703125" style="402" hidden="1" customWidth="1"/>
    <col min="4883" max="4883" width="4" style="402" hidden="1" customWidth="1"/>
    <col min="4884" max="4887" width="2.5703125" style="402" hidden="1" customWidth="1"/>
    <col min="4888" max="4888" width="2.42578125" style="402" hidden="1" customWidth="1"/>
    <col min="4889" max="4892" width="2.5703125" style="402" hidden="1" customWidth="1"/>
    <col min="4893" max="4893" width="2.42578125" style="402" hidden="1" customWidth="1"/>
    <col min="4894" max="4897" width="2.5703125" style="402" hidden="1" customWidth="1"/>
    <col min="4898" max="4903" width="2.42578125" style="402" hidden="1" customWidth="1"/>
    <col min="4904" max="4904" width="1.5703125" style="402" hidden="1" customWidth="1"/>
    <col min="4905" max="5120" width="2.5703125" style="402" hidden="1"/>
    <col min="5121" max="5121" width="1.5703125" style="402" hidden="1" customWidth="1"/>
    <col min="5122" max="5122" width="0.85546875" style="402" hidden="1" customWidth="1"/>
    <col min="5123" max="5138" width="2.5703125" style="402" hidden="1" customWidth="1"/>
    <col min="5139" max="5139" width="4" style="402" hidden="1" customWidth="1"/>
    <col min="5140" max="5143" width="2.5703125" style="402" hidden="1" customWidth="1"/>
    <col min="5144" max="5144" width="2.42578125" style="402" hidden="1" customWidth="1"/>
    <col min="5145" max="5148" width="2.5703125" style="402" hidden="1" customWidth="1"/>
    <col min="5149" max="5149" width="2.42578125" style="402" hidden="1" customWidth="1"/>
    <col min="5150" max="5153" width="2.5703125" style="402" hidden="1" customWidth="1"/>
    <col min="5154" max="5159" width="2.42578125" style="402" hidden="1" customWidth="1"/>
    <col min="5160" max="5160" width="1.5703125" style="402" hidden="1" customWidth="1"/>
    <col min="5161" max="5376" width="2.5703125" style="402" hidden="1"/>
    <col min="5377" max="5377" width="1.5703125" style="402" hidden="1" customWidth="1"/>
    <col min="5378" max="5378" width="0.85546875" style="402" hidden="1" customWidth="1"/>
    <col min="5379" max="5394" width="2.5703125" style="402" hidden="1" customWidth="1"/>
    <col min="5395" max="5395" width="4" style="402" hidden="1" customWidth="1"/>
    <col min="5396" max="5399" width="2.5703125" style="402" hidden="1" customWidth="1"/>
    <col min="5400" max="5400" width="2.42578125" style="402" hidden="1" customWidth="1"/>
    <col min="5401" max="5404" width="2.5703125" style="402" hidden="1" customWidth="1"/>
    <col min="5405" max="5405" width="2.42578125" style="402" hidden="1" customWidth="1"/>
    <col min="5406" max="5409" width="2.5703125" style="402" hidden="1" customWidth="1"/>
    <col min="5410" max="5415" width="2.42578125" style="402" hidden="1" customWidth="1"/>
    <col min="5416" max="5416" width="1.5703125" style="402" hidden="1" customWidth="1"/>
    <col min="5417" max="5632" width="2.5703125" style="402" hidden="1"/>
    <col min="5633" max="5633" width="1.5703125" style="402" hidden="1" customWidth="1"/>
    <col min="5634" max="5634" width="0.85546875" style="402" hidden="1" customWidth="1"/>
    <col min="5635" max="5650" width="2.5703125" style="402" hidden="1" customWidth="1"/>
    <col min="5651" max="5651" width="4" style="402" hidden="1" customWidth="1"/>
    <col min="5652" max="5655" width="2.5703125" style="402" hidden="1" customWidth="1"/>
    <col min="5656" max="5656" width="2.42578125" style="402" hidden="1" customWidth="1"/>
    <col min="5657" max="5660" width="2.5703125" style="402" hidden="1" customWidth="1"/>
    <col min="5661" max="5661" width="2.42578125" style="402" hidden="1" customWidth="1"/>
    <col min="5662" max="5665" width="2.5703125" style="402" hidden="1" customWidth="1"/>
    <col min="5666" max="5671" width="2.42578125" style="402" hidden="1" customWidth="1"/>
    <col min="5672" max="5672" width="1.5703125" style="402" hidden="1" customWidth="1"/>
    <col min="5673" max="5888" width="2.5703125" style="402" hidden="1"/>
    <col min="5889" max="5889" width="1.5703125" style="402" hidden="1" customWidth="1"/>
    <col min="5890" max="5890" width="0.85546875" style="402" hidden="1" customWidth="1"/>
    <col min="5891" max="5906" width="2.5703125" style="402" hidden="1" customWidth="1"/>
    <col min="5907" max="5907" width="4" style="402" hidden="1" customWidth="1"/>
    <col min="5908" max="5911" width="2.5703125" style="402" hidden="1" customWidth="1"/>
    <col min="5912" max="5912" width="2.42578125" style="402" hidden="1" customWidth="1"/>
    <col min="5913" max="5916" width="2.5703125" style="402" hidden="1" customWidth="1"/>
    <col min="5917" max="5917" width="2.42578125" style="402" hidden="1" customWidth="1"/>
    <col min="5918" max="5921" width="2.5703125" style="402" hidden="1" customWidth="1"/>
    <col min="5922" max="5927" width="2.42578125" style="402" hidden="1" customWidth="1"/>
    <col min="5928" max="5928" width="1.5703125" style="402" hidden="1" customWidth="1"/>
    <col min="5929" max="6144" width="2.5703125" style="402" hidden="1"/>
    <col min="6145" max="6145" width="1.5703125" style="402" hidden="1" customWidth="1"/>
    <col min="6146" max="6146" width="0.85546875" style="402" hidden="1" customWidth="1"/>
    <col min="6147" max="6162" width="2.5703125" style="402" hidden="1" customWidth="1"/>
    <col min="6163" max="6163" width="4" style="402" hidden="1" customWidth="1"/>
    <col min="6164" max="6167" width="2.5703125" style="402" hidden="1" customWidth="1"/>
    <col min="6168" max="6168" width="2.42578125" style="402" hidden="1" customWidth="1"/>
    <col min="6169" max="6172" width="2.5703125" style="402" hidden="1" customWidth="1"/>
    <col min="6173" max="6173" width="2.42578125" style="402" hidden="1" customWidth="1"/>
    <col min="6174" max="6177" width="2.5703125" style="402" hidden="1" customWidth="1"/>
    <col min="6178" max="6183" width="2.42578125" style="402" hidden="1" customWidth="1"/>
    <col min="6184" max="6184" width="1.5703125" style="402" hidden="1" customWidth="1"/>
    <col min="6185" max="6400" width="2.5703125" style="402" hidden="1"/>
    <col min="6401" max="6401" width="1.5703125" style="402" hidden="1" customWidth="1"/>
    <col min="6402" max="6402" width="0.85546875" style="402" hidden="1" customWidth="1"/>
    <col min="6403" max="6418" width="2.5703125" style="402" hidden="1" customWidth="1"/>
    <col min="6419" max="6419" width="4" style="402" hidden="1" customWidth="1"/>
    <col min="6420" max="6423" width="2.5703125" style="402" hidden="1" customWidth="1"/>
    <col min="6424" max="6424" width="2.42578125" style="402" hidden="1" customWidth="1"/>
    <col min="6425" max="6428" width="2.5703125" style="402" hidden="1" customWidth="1"/>
    <col min="6429" max="6429" width="2.42578125" style="402" hidden="1" customWidth="1"/>
    <col min="6430" max="6433" width="2.5703125" style="402" hidden="1" customWidth="1"/>
    <col min="6434" max="6439" width="2.42578125" style="402" hidden="1" customWidth="1"/>
    <col min="6440" max="6440" width="1.5703125" style="402" hidden="1" customWidth="1"/>
    <col min="6441" max="6656" width="2.5703125" style="402" hidden="1"/>
    <col min="6657" max="6657" width="1.5703125" style="402" hidden="1" customWidth="1"/>
    <col min="6658" max="6658" width="0.85546875" style="402" hidden="1" customWidth="1"/>
    <col min="6659" max="6674" width="2.5703125" style="402" hidden="1" customWidth="1"/>
    <col min="6675" max="6675" width="4" style="402" hidden="1" customWidth="1"/>
    <col min="6676" max="6679" width="2.5703125" style="402" hidden="1" customWidth="1"/>
    <col min="6680" max="6680" width="2.42578125" style="402" hidden="1" customWidth="1"/>
    <col min="6681" max="6684" width="2.5703125" style="402" hidden="1" customWidth="1"/>
    <col min="6685" max="6685" width="2.42578125" style="402" hidden="1" customWidth="1"/>
    <col min="6686" max="6689" width="2.5703125" style="402" hidden="1" customWidth="1"/>
    <col min="6690" max="6695" width="2.42578125" style="402" hidden="1" customWidth="1"/>
    <col min="6696" max="6696" width="1.5703125" style="402" hidden="1" customWidth="1"/>
    <col min="6697" max="6912" width="2.5703125" style="402" hidden="1"/>
    <col min="6913" max="6913" width="1.5703125" style="402" hidden="1" customWidth="1"/>
    <col min="6914" max="6914" width="0.85546875" style="402" hidden="1" customWidth="1"/>
    <col min="6915" max="6930" width="2.5703125" style="402" hidden="1" customWidth="1"/>
    <col min="6931" max="6931" width="4" style="402" hidden="1" customWidth="1"/>
    <col min="6932" max="6935" width="2.5703125" style="402" hidden="1" customWidth="1"/>
    <col min="6936" max="6936" width="2.42578125" style="402" hidden="1" customWidth="1"/>
    <col min="6937" max="6940" width="2.5703125" style="402" hidden="1" customWidth="1"/>
    <col min="6941" max="6941" width="2.42578125" style="402" hidden="1" customWidth="1"/>
    <col min="6942" max="6945" width="2.5703125" style="402" hidden="1" customWidth="1"/>
    <col min="6946" max="6951" width="2.42578125" style="402" hidden="1" customWidth="1"/>
    <col min="6952" max="6952" width="1.5703125" style="402" hidden="1" customWidth="1"/>
    <col min="6953" max="7168" width="2.5703125" style="402" hidden="1"/>
    <col min="7169" max="7169" width="1.5703125" style="402" hidden="1" customWidth="1"/>
    <col min="7170" max="7170" width="0.85546875" style="402" hidden="1" customWidth="1"/>
    <col min="7171" max="7186" width="2.5703125" style="402" hidden="1" customWidth="1"/>
    <col min="7187" max="7187" width="4" style="402" hidden="1" customWidth="1"/>
    <col min="7188" max="7191" width="2.5703125" style="402" hidden="1" customWidth="1"/>
    <col min="7192" max="7192" width="2.42578125" style="402" hidden="1" customWidth="1"/>
    <col min="7193" max="7196" width="2.5703125" style="402" hidden="1" customWidth="1"/>
    <col min="7197" max="7197" width="2.42578125" style="402" hidden="1" customWidth="1"/>
    <col min="7198" max="7201" width="2.5703125" style="402" hidden="1" customWidth="1"/>
    <col min="7202" max="7207" width="2.42578125" style="402" hidden="1" customWidth="1"/>
    <col min="7208" max="7208" width="1.5703125" style="402" hidden="1" customWidth="1"/>
    <col min="7209" max="7424" width="2.5703125" style="402" hidden="1"/>
    <col min="7425" max="7425" width="1.5703125" style="402" hidden="1" customWidth="1"/>
    <col min="7426" max="7426" width="0.85546875" style="402" hidden="1" customWidth="1"/>
    <col min="7427" max="7442" width="2.5703125" style="402" hidden="1" customWidth="1"/>
    <col min="7443" max="7443" width="4" style="402" hidden="1" customWidth="1"/>
    <col min="7444" max="7447" width="2.5703125" style="402" hidden="1" customWidth="1"/>
    <col min="7448" max="7448" width="2.42578125" style="402" hidden="1" customWidth="1"/>
    <col min="7449" max="7452" width="2.5703125" style="402" hidden="1" customWidth="1"/>
    <col min="7453" max="7453" width="2.42578125" style="402" hidden="1" customWidth="1"/>
    <col min="7454" max="7457" width="2.5703125" style="402" hidden="1" customWidth="1"/>
    <col min="7458" max="7463" width="2.42578125" style="402" hidden="1" customWidth="1"/>
    <col min="7464" max="7464" width="1.5703125" style="402" hidden="1" customWidth="1"/>
    <col min="7465" max="7680" width="2.5703125" style="402" hidden="1"/>
    <col min="7681" max="7681" width="1.5703125" style="402" hidden="1" customWidth="1"/>
    <col min="7682" max="7682" width="0.85546875" style="402" hidden="1" customWidth="1"/>
    <col min="7683" max="7698" width="2.5703125" style="402" hidden="1" customWidth="1"/>
    <col min="7699" max="7699" width="4" style="402" hidden="1" customWidth="1"/>
    <col min="7700" max="7703" width="2.5703125" style="402" hidden="1" customWidth="1"/>
    <col min="7704" max="7704" width="2.42578125" style="402" hidden="1" customWidth="1"/>
    <col min="7705" max="7708" width="2.5703125" style="402" hidden="1" customWidth="1"/>
    <col min="7709" max="7709" width="2.42578125" style="402" hidden="1" customWidth="1"/>
    <col min="7710" max="7713" width="2.5703125" style="402" hidden="1" customWidth="1"/>
    <col min="7714" max="7719" width="2.42578125" style="402" hidden="1" customWidth="1"/>
    <col min="7720" max="7720" width="1.5703125" style="402" hidden="1" customWidth="1"/>
    <col min="7721" max="7936" width="2.5703125" style="402" hidden="1"/>
    <col min="7937" max="7937" width="1.5703125" style="402" hidden="1" customWidth="1"/>
    <col min="7938" max="7938" width="0.85546875" style="402" hidden="1" customWidth="1"/>
    <col min="7939" max="7954" width="2.5703125" style="402" hidden="1" customWidth="1"/>
    <col min="7955" max="7955" width="4" style="402" hidden="1" customWidth="1"/>
    <col min="7956" max="7959" width="2.5703125" style="402" hidden="1" customWidth="1"/>
    <col min="7960" max="7960" width="2.42578125" style="402" hidden="1" customWidth="1"/>
    <col min="7961" max="7964" width="2.5703125" style="402" hidden="1" customWidth="1"/>
    <col min="7965" max="7965" width="2.42578125" style="402" hidden="1" customWidth="1"/>
    <col min="7966" max="7969" width="2.5703125" style="402" hidden="1" customWidth="1"/>
    <col min="7970" max="7975" width="2.42578125" style="402" hidden="1" customWidth="1"/>
    <col min="7976" max="7976" width="1.5703125" style="402" hidden="1" customWidth="1"/>
    <col min="7977" max="8192" width="2.5703125" style="402" hidden="1"/>
    <col min="8193" max="8193" width="1.5703125" style="402" hidden="1" customWidth="1"/>
    <col min="8194" max="8194" width="0.85546875" style="402" hidden="1" customWidth="1"/>
    <col min="8195" max="8210" width="2.5703125" style="402" hidden="1" customWidth="1"/>
    <col min="8211" max="8211" width="4" style="402" hidden="1" customWidth="1"/>
    <col min="8212" max="8215" width="2.5703125" style="402" hidden="1" customWidth="1"/>
    <col min="8216" max="8216" width="2.42578125" style="402" hidden="1" customWidth="1"/>
    <col min="8217" max="8220" width="2.5703125" style="402" hidden="1" customWidth="1"/>
    <col min="8221" max="8221" width="2.42578125" style="402" hidden="1" customWidth="1"/>
    <col min="8222" max="8225" width="2.5703125" style="402" hidden="1" customWidth="1"/>
    <col min="8226" max="8231" width="2.42578125" style="402" hidden="1" customWidth="1"/>
    <col min="8232" max="8232" width="1.5703125" style="402" hidden="1" customWidth="1"/>
    <col min="8233" max="8448" width="2.5703125" style="402" hidden="1"/>
    <col min="8449" max="8449" width="1.5703125" style="402" hidden="1" customWidth="1"/>
    <col min="8450" max="8450" width="0.85546875" style="402" hidden="1" customWidth="1"/>
    <col min="8451" max="8466" width="2.5703125" style="402" hidden="1" customWidth="1"/>
    <col min="8467" max="8467" width="4" style="402" hidden="1" customWidth="1"/>
    <col min="8468" max="8471" width="2.5703125" style="402" hidden="1" customWidth="1"/>
    <col min="8472" max="8472" width="2.42578125" style="402" hidden="1" customWidth="1"/>
    <col min="8473" max="8476" width="2.5703125" style="402" hidden="1" customWidth="1"/>
    <col min="8477" max="8477" width="2.42578125" style="402" hidden="1" customWidth="1"/>
    <col min="8478" max="8481" width="2.5703125" style="402" hidden="1" customWidth="1"/>
    <col min="8482" max="8487" width="2.42578125" style="402" hidden="1" customWidth="1"/>
    <col min="8488" max="8488" width="1.5703125" style="402" hidden="1" customWidth="1"/>
    <col min="8489" max="8704" width="2.5703125" style="402" hidden="1"/>
    <col min="8705" max="8705" width="1.5703125" style="402" hidden="1" customWidth="1"/>
    <col min="8706" max="8706" width="0.85546875" style="402" hidden="1" customWidth="1"/>
    <col min="8707" max="8722" width="2.5703125" style="402" hidden="1" customWidth="1"/>
    <col min="8723" max="8723" width="4" style="402" hidden="1" customWidth="1"/>
    <col min="8724" max="8727" width="2.5703125" style="402" hidden="1" customWidth="1"/>
    <col min="8728" max="8728" width="2.42578125" style="402" hidden="1" customWidth="1"/>
    <col min="8729" max="8732" width="2.5703125" style="402" hidden="1" customWidth="1"/>
    <col min="8733" max="8733" width="2.42578125" style="402" hidden="1" customWidth="1"/>
    <col min="8734" max="8737" width="2.5703125" style="402" hidden="1" customWidth="1"/>
    <col min="8738" max="8743" width="2.42578125" style="402" hidden="1" customWidth="1"/>
    <col min="8744" max="8744" width="1.5703125" style="402" hidden="1" customWidth="1"/>
    <col min="8745" max="8960" width="2.5703125" style="402" hidden="1"/>
    <col min="8961" max="8961" width="1.5703125" style="402" hidden="1" customWidth="1"/>
    <col min="8962" max="8962" width="0.85546875" style="402" hidden="1" customWidth="1"/>
    <col min="8963" max="8978" width="2.5703125" style="402" hidden="1" customWidth="1"/>
    <col min="8979" max="8979" width="4" style="402" hidden="1" customWidth="1"/>
    <col min="8980" max="8983" width="2.5703125" style="402" hidden="1" customWidth="1"/>
    <col min="8984" max="8984" width="2.42578125" style="402" hidden="1" customWidth="1"/>
    <col min="8985" max="8988" width="2.5703125" style="402" hidden="1" customWidth="1"/>
    <col min="8989" max="8989" width="2.42578125" style="402" hidden="1" customWidth="1"/>
    <col min="8990" max="8993" width="2.5703125" style="402" hidden="1" customWidth="1"/>
    <col min="8994" max="8999" width="2.42578125" style="402" hidden="1" customWidth="1"/>
    <col min="9000" max="9000" width="1.5703125" style="402" hidden="1" customWidth="1"/>
    <col min="9001" max="9216" width="2.5703125" style="402" hidden="1"/>
    <col min="9217" max="9217" width="1.5703125" style="402" hidden="1" customWidth="1"/>
    <col min="9218" max="9218" width="0.85546875" style="402" hidden="1" customWidth="1"/>
    <col min="9219" max="9234" width="2.5703125" style="402" hidden="1" customWidth="1"/>
    <col min="9235" max="9235" width="4" style="402" hidden="1" customWidth="1"/>
    <col min="9236" max="9239" width="2.5703125" style="402" hidden="1" customWidth="1"/>
    <col min="9240" max="9240" width="2.42578125" style="402" hidden="1" customWidth="1"/>
    <col min="9241" max="9244" width="2.5703125" style="402" hidden="1" customWidth="1"/>
    <col min="9245" max="9245" width="2.42578125" style="402" hidden="1" customWidth="1"/>
    <col min="9246" max="9249" width="2.5703125" style="402" hidden="1" customWidth="1"/>
    <col min="9250" max="9255" width="2.42578125" style="402" hidden="1" customWidth="1"/>
    <col min="9256" max="9256" width="1.5703125" style="402" hidden="1" customWidth="1"/>
    <col min="9257" max="9472" width="2.5703125" style="402" hidden="1"/>
    <col min="9473" max="9473" width="1.5703125" style="402" hidden="1" customWidth="1"/>
    <col min="9474" max="9474" width="0.85546875" style="402" hidden="1" customWidth="1"/>
    <col min="9475" max="9490" width="2.5703125" style="402" hidden="1" customWidth="1"/>
    <col min="9491" max="9491" width="4" style="402" hidden="1" customWidth="1"/>
    <col min="9492" max="9495" width="2.5703125" style="402" hidden="1" customWidth="1"/>
    <col min="9496" max="9496" width="2.42578125" style="402" hidden="1" customWidth="1"/>
    <col min="9497" max="9500" width="2.5703125" style="402" hidden="1" customWidth="1"/>
    <col min="9501" max="9501" width="2.42578125" style="402" hidden="1" customWidth="1"/>
    <col min="9502" max="9505" width="2.5703125" style="402" hidden="1" customWidth="1"/>
    <col min="9506" max="9511" width="2.42578125" style="402" hidden="1" customWidth="1"/>
    <col min="9512" max="9512" width="1.5703125" style="402" hidden="1" customWidth="1"/>
    <col min="9513" max="9728" width="2.5703125" style="402" hidden="1"/>
    <col min="9729" max="9729" width="1.5703125" style="402" hidden="1" customWidth="1"/>
    <col min="9730" max="9730" width="0.85546875" style="402" hidden="1" customWidth="1"/>
    <col min="9731" max="9746" width="2.5703125" style="402" hidden="1" customWidth="1"/>
    <col min="9747" max="9747" width="4" style="402" hidden="1" customWidth="1"/>
    <col min="9748" max="9751" width="2.5703125" style="402" hidden="1" customWidth="1"/>
    <col min="9752" max="9752" width="2.42578125" style="402" hidden="1" customWidth="1"/>
    <col min="9753" max="9756" width="2.5703125" style="402" hidden="1" customWidth="1"/>
    <col min="9757" max="9757" width="2.42578125" style="402" hidden="1" customWidth="1"/>
    <col min="9758" max="9761" width="2.5703125" style="402" hidden="1" customWidth="1"/>
    <col min="9762" max="9767" width="2.42578125" style="402" hidden="1" customWidth="1"/>
    <col min="9768" max="9768" width="1.5703125" style="402" hidden="1" customWidth="1"/>
    <col min="9769" max="9984" width="2.5703125" style="402" hidden="1"/>
    <col min="9985" max="9985" width="1.5703125" style="402" hidden="1" customWidth="1"/>
    <col min="9986" max="9986" width="0.85546875" style="402" hidden="1" customWidth="1"/>
    <col min="9987" max="10002" width="2.5703125" style="402" hidden="1" customWidth="1"/>
    <col min="10003" max="10003" width="4" style="402" hidden="1" customWidth="1"/>
    <col min="10004" max="10007" width="2.5703125" style="402" hidden="1" customWidth="1"/>
    <col min="10008" max="10008" width="2.42578125" style="402" hidden="1" customWidth="1"/>
    <col min="10009" max="10012" width="2.5703125" style="402" hidden="1" customWidth="1"/>
    <col min="10013" max="10013" width="2.42578125" style="402" hidden="1" customWidth="1"/>
    <col min="10014" max="10017" width="2.5703125" style="402" hidden="1" customWidth="1"/>
    <col min="10018" max="10023" width="2.42578125" style="402" hidden="1" customWidth="1"/>
    <col min="10024" max="10024" width="1.5703125" style="402" hidden="1" customWidth="1"/>
    <col min="10025" max="10240" width="2.5703125" style="402" hidden="1"/>
    <col min="10241" max="10241" width="1.5703125" style="402" hidden="1" customWidth="1"/>
    <col min="10242" max="10242" width="0.85546875" style="402" hidden="1" customWidth="1"/>
    <col min="10243" max="10258" width="2.5703125" style="402" hidden="1" customWidth="1"/>
    <col min="10259" max="10259" width="4" style="402" hidden="1" customWidth="1"/>
    <col min="10260" max="10263" width="2.5703125" style="402" hidden="1" customWidth="1"/>
    <col min="10264" max="10264" width="2.42578125" style="402" hidden="1" customWidth="1"/>
    <col min="10265" max="10268" width="2.5703125" style="402" hidden="1" customWidth="1"/>
    <col min="10269" max="10269" width="2.42578125" style="402" hidden="1" customWidth="1"/>
    <col min="10270" max="10273" width="2.5703125" style="402" hidden="1" customWidth="1"/>
    <col min="10274" max="10279" width="2.42578125" style="402" hidden="1" customWidth="1"/>
    <col min="10280" max="10280" width="1.5703125" style="402" hidden="1" customWidth="1"/>
    <col min="10281" max="10496" width="2.5703125" style="402" hidden="1"/>
    <col min="10497" max="10497" width="1.5703125" style="402" hidden="1" customWidth="1"/>
    <col min="10498" max="10498" width="0.85546875" style="402" hidden="1" customWidth="1"/>
    <col min="10499" max="10514" width="2.5703125" style="402" hidden="1" customWidth="1"/>
    <col min="10515" max="10515" width="4" style="402" hidden="1" customWidth="1"/>
    <col min="10516" max="10519" width="2.5703125" style="402" hidden="1" customWidth="1"/>
    <col min="10520" max="10520" width="2.42578125" style="402" hidden="1" customWidth="1"/>
    <col min="10521" max="10524" width="2.5703125" style="402" hidden="1" customWidth="1"/>
    <col min="10525" max="10525" width="2.42578125" style="402" hidden="1" customWidth="1"/>
    <col min="10526" max="10529" width="2.5703125" style="402" hidden="1" customWidth="1"/>
    <col min="10530" max="10535" width="2.42578125" style="402" hidden="1" customWidth="1"/>
    <col min="10536" max="10536" width="1.5703125" style="402" hidden="1" customWidth="1"/>
    <col min="10537" max="10752" width="2.5703125" style="402" hidden="1"/>
    <col min="10753" max="10753" width="1.5703125" style="402" hidden="1" customWidth="1"/>
    <col min="10754" max="10754" width="0.85546875" style="402" hidden="1" customWidth="1"/>
    <col min="10755" max="10770" width="2.5703125" style="402" hidden="1" customWidth="1"/>
    <col min="10771" max="10771" width="4" style="402" hidden="1" customWidth="1"/>
    <col min="10772" max="10775" width="2.5703125" style="402" hidden="1" customWidth="1"/>
    <col min="10776" max="10776" width="2.42578125" style="402" hidden="1" customWidth="1"/>
    <col min="10777" max="10780" width="2.5703125" style="402" hidden="1" customWidth="1"/>
    <col min="10781" max="10781" width="2.42578125" style="402" hidden="1" customWidth="1"/>
    <col min="10782" max="10785" width="2.5703125" style="402" hidden="1" customWidth="1"/>
    <col min="10786" max="10791" width="2.42578125" style="402" hidden="1" customWidth="1"/>
    <col min="10792" max="10792" width="1.5703125" style="402" hidden="1" customWidth="1"/>
    <col min="10793" max="11008" width="2.5703125" style="402" hidden="1"/>
    <col min="11009" max="11009" width="1.5703125" style="402" hidden="1" customWidth="1"/>
    <col min="11010" max="11010" width="0.85546875" style="402" hidden="1" customWidth="1"/>
    <col min="11011" max="11026" width="2.5703125" style="402" hidden="1" customWidth="1"/>
    <col min="11027" max="11027" width="4" style="402" hidden="1" customWidth="1"/>
    <col min="11028" max="11031" width="2.5703125" style="402" hidden="1" customWidth="1"/>
    <col min="11032" max="11032" width="2.42578125" style="402" hidden="1" customWidth="1"/>
    <col min="11033" max="11036" width="2.5703125" style="402" hidden="1" customWidth="1"/>
    <col min="11037" max="11037" width="2.42578125" style="402" hidden="1" customWidth="1"/>
    <col min="11038" max="11041" width="2.5703125" style="402" hidden="1" customWidth="1"/>
    <col min="11042" max="11047" width="2.42578125" style="402" hidden="1" customWidth="1"/>
    <col min="11048" max="11048" width="1.5703125" style="402" hidden="1" customWidth="1"/>
    <col min="11049" max="11264" width="2.5703125" style="402" hidden="1"/>
    <col min="11265" max="11265" width="1.5703125" style="402" hidden="1" customWidth="1"/>
    <col min="11266" max="11266" width="0.85546875" style="402" hidden="1" customWidth="1"/>
    <col min="11267" max="11282" width="2.5703125" style="402" hidden="1" customWidth="1"/>
    <col min="11283" max="11283" width="4" style="402" hidden="1" customWidth="1"/>
    <col min="11284" max="11287" width="2.5703125" style="402" hidden="1" customWidth="1"/>
    <col min="11288" max="11288" width="2.42578125" style="402" hidden="1" customWidth="1"/>
    <col min="11289" max="11292" width="2.5703125" style="402" hidden="1" customWidth="1"/>
    <col min="11293" max="11293" width="2.42578125" style="402" hidden="1" customWidth="1"/>
    <col min="11294" max="11297" width="2.5703125" style="402" hidden="1" customWidth="1"/>
    <col min="11298" max="11303" width="2.42578125" style="402" hidden="1" customWidth="1"/>
    <col min="11304" max="11304" width="1.5703125" style="402" hidden="1" customWidth="1"/>
    <col min="11305" max="11520" width="2.5703125" style="402" hidden="1"/>
    <col min="11521" max="11521" width="1.5703125" style="402" hidden="1" customWidth="1"/>
    <col min="11522" max="11522" width="0.85546875" style="402" hidden="1" customWidth="1"/>
    <col min="11523" max="11538" width="2.5703125" style="402" hidden="1" customWidth="1"/>
    <col min="11539" max="11539" width="4" style="402" hidden="1" customWidth="1"/>
    <col min="11540" max="11543" width="2.5703125" style="402" hidden="1" customWidth="1"/>
    <col min="11544" max="11544" width="2.42578125" style="402" hidden="1" customWidth="1"/>
    <col min="11545" max="11548" width="2.5703125" style="402" hidden="1" customWidth="1"/>
    <col min="11549" max="11549" width="2.42578125" style="402" hidden="1" customWidth="1"/>
    <col min="11550" max="11553" width="2.5703125" style="402" hidden="1" customWidth="1"/>
    <col min="11554" max="11559" width="2.42578125" style="402" hidden="1" customWidth="1"/>
    <col min="11560" max="11560" width="1.5703125" style="402" hidden="1" customWidth="1"/>
    <col min="11561" max="11776" width="2.5703125" style="402" hidden="1"/>
    <col min="11777" max="11777" width="1.5703125" style="402" hidden="1" customWidth="1"/>
    <col min="11778" max="11778" width="0.85546875" style="402" hidden="1" customWidth="1"/>
    <col min="11779" max="11794" width="2.5703125" style="402" hidden="1" customWidth="1"/>
    <col min="11795" max="11795" width="4" style="402" hidden="1" customWidth="1"/>
    <col min="11796" max="11799" width="2.5703125" style="402" hidden="1" customWidth="1"/>
    <col min="11800" max="11800" width="2.42578125" style="402" hidden="1" customWidth="1"/>
    <col min="11801" max="11804" width="2.5703125" style="402" hidden="1" customWidth="1"/>
    <col min="11805" max="11805" width="2.42578125" style="402" hidden="1" customWidth="1"/>
    <col min="11806" max="11809" width="2.5703125" style="402" hidden="1" customWidth="1"/>
    <col min="11810" max="11815" width="2.42578125" style="402" hidden="1" customWidth="1"/>
    <col min="11816" max="11816" width="1.5703125" style="402" hidden="1" customWidth="1"/>
    <col min="11817" max="12032" width="2.5703125" style="402" hidden="1"/>
    <col min="12033" max="12033" width="1.5703125" style="402" hidden="1" customWidth="1"/>
    <col min="12034" max="12034" width="0.85546875" style="402" hidden="1" customWidth="1"/>
    <col min="12035" max="12050" width="2.5703125" style="402" hidden="1" customWidth="1"/>
    <col min="12051" max="12051" width="4" style="402" hidden="1" customWidth="1"/>
    <col min="12052" max="12055" width="2.5703125" style="402" hidden="1" customWidth="1"/>
    <col min="12056" max="12056" width="2.42578125" style="402" hidden="1" customWidth="1"/>
    <col min="12057" max="12060" width="2.5703125" style="402" hidden="1" customWidth="1"/>
    <col min="12061" max="12061" width="2.42578125" style="402" hidden="1" customWidth="1"/>
    <col min="12062" max="12065" width="2.5703125" style="402" hidden="1" customWidth="1"/>
    <col min="12066" max="12071" width="2.42578125" style="402" hidden="1" customWidth="1"/>
    <col min="12072" max="12072" width="1.5703125" style="402" hidden="1" customWidth="1"/>
    <col min="12073" max="12288" width="2.5703125" style="402" hidden="1"/>
    <col min="12289" max="12289" width="1.5703125" style="402" hidden="1" customWidth="1"/>
    <col min="12290" max="12290" width="0.85546875" style="402" hidden="1" customWidth="1"/>
    <col min="12291" max="12306" width="2.5703125" style="402" hidden="1" customWidth="1"/>
    <col min="12307" max="12307" width="4" style="402" hidden="1" customWidth="1"/>
    <col min="12308" max="12311" width="2.5703125" style="402" hidden="1" customWidth="1"/>
    <col min="12312" max="12312" width="2.42578125" style="402" hidden="1" customWidth="1"/>
    <col min="12313" max="12316" width="2.5703125" style="402" hidden="1" customWidth="1"/>
    <col min="12317" max="12317" width="2.42578125" style="402" hidden="1" customWidth="1"/>
    <col min="12318" max="12321" width="2.5703125" style="402" hidden="1" customWidth="1"/>
    <col min="12322" max="12327" width="2.42578125" style="402" hidden="1" customWidth="1"/>
    <col min="12328" max="12328" width="1.5703125" style="402" hidden="1" customWidth="1"/>
    <col min="12329" max="12544" width="2.5703125" style="402" hidden="1"/>
    <col min="12545" max="12545" width="1.5703125" style="402" hidden="1" customWidth="1"/>
    <col min="12546" max="12546" width="0.85546875" style="402" hidden="1" customWidth="1"/>
    <col min="12547" max="12562" width="2.5703125" style="402" hidden="1" customWidth="1"/>
    <col min="12563" max="12563" width="4" style="402" hidden="1" customWidth="1"/>
    <col min="12564" max="12567" width="2.5703125" style="402" hidden="1" customWidth="1"/>
    <col min="12568" max="12568" width="2.42578125" style="402" hidden="1" customWidth="1"/>
    <col min="12569" max="12572" width="2.5703125" style="402" hidden="1" customWidth="1"/>
    <col min="12573" max="12573" width="2.42578125" style="402" hidden="1" customWidth="1"/>
    <col min="12574" max="12577" width="2.5703125" style="402" hidden="1" customWidth="1"/>
    <col min="12578" max="12583" width="2.42578125" style="402" hidden="1" customWidth="1"/>
    <col min="12584" max="12584" width="1.5703125" style="402" hidden="1" customWidth="1"/>
    <col min="12585" max="12800" width="2.5703125" style="402" hidden="1"/>
    <col min="12801" max="12801" width="1.5703125" style="402" hidden="1" customWidth="1"/>
    <col min="12802" max="12802" width="0.85546875" style="402" hidden="1" customWidth="1"/>
    <col min="12803" max="12818" width="2.5703125" style="402" hidden="1" customWidth="1"/>
    <col min="12819" max="12819" width="4" style="402" hidden="1" customWidth="1"/>
    <col min="12820" max="12823" width="2.5703125" style="402" hidden="1" customWidth="1"/>
    <col min="12824" max="12824" width="2.42578125" style="402" hidden="1" customWidth="1"/>
    <col min="12825" max="12828" width="2.5703125" style="402" hidden="1" customWidth="1"/>
    <col min="12829" max="12829" width="2.42578125" style="402" hidden="1" customWidth="1"/>
    <col min="12830" max="12833" width="2.5703125" style="402" hidden="1" customWidth="1"/>
    <col min="12834" max="12839" width="2.42578125" style="402" hidden="1" customWidth="1"/>
    <col min="12840" max="12840" width="1.5703125" style="402" hidden="1" customWidth="1"/>
    <col min="12841" max="13056" width="2.5703125" style="402" hidden="1"/>
    <col min="13057" max="13057" width="1.5703125" style="402" hidden="1" customWidth="1"/>
    <col min="13058" max="13058" width="0.85546875" style="402" hidden="1" customWidth="1"/>
    <col min="13059" max="13074" width="2.5703125" style="402" hidden="1" customWidth="1"/>
    <col min="13075" max="13075" width="4" style="402" hidden="1" customWidth="1"/>
    <col min="13076" max="13079" width="2.5703125" style="402" hidden="1" customWidth="1"/>
    <col min="13080" max="13080" width="2.42578125" style="402" hidden="1" customWidth="1"/>
    <col min="13081" max="13084" width="2.5703125" style="402" hidden="1" customWidth="1"/>
    <col min="13085" max="13085" width="2.42578125" style="402" hidden="1" customWidth="1"/>
    <col min="13086" max="13089" width="2.5703125" style="402" hidden="1" customWidth="1"/>
    <col min="13090" max="13095" width="2.42578125" style="402" hidden="1" customWidth="1"/>
    <col min="13096" max="13096" width="1.5703125" style="402" hidden="1" customWidth="1"/>
    <col min="13097" max="13312" width="2.5703125" style="402" hidden="1"/>
    <col min="13313" max="13313" width="1.5703125" style="402" hidden="1" customWidth="1"/>
    <col min="13314" max="13314" width="0.85546875" style="402" hidden="1" customWidth="1"/>
    <col min="13315" max="13330" width="2.5703125" style="402" hidden="1" customWidth="1"/>
    <col min="13331" max="13331" width="4" style="402" hidden="1" customWidth="1"/>
    <col min="13332" max="13335" width="2.5703125" style="402" hidden="1" customWidth="1"/>
    <col min="13336" max="13336" width="2.42578125" style="402" hidden="1" customWidth="1"/>
    <col min="13337" max="13340" width="2.5703125" style="402" hidden="1" customWidth="1"/>
    <col min="13341" max="13341" width="2.42578125" style="402" hidden="1" customWidth="1"/>
    <col min="13342" max="13345" width="2.5703125" style="402" hidden="1" customWidth="1"/>
    <col min="13346" max="13351" width="2.42578125" style="402" hidden="1" customWidth="1"/>
    <col min="13352" max="13352" width="1.5703125" style="402" hidden="1" customWidth="1"/>
    <col min="13353" max="13568" width="2.5703125" style="402" hidden="1"/>
    <col min="13569" max="13569" width="1.5703125" style="402" hidden="1" customWidth="1"/>
    <col min="13570" max="13570" width="0.85546875" style="402" hidden="1" customWidth="1"/>
    <col min="13571" max="13586" width="2.5703125" style="402" hidden="1" customWidth="1"/>
    <col min="13587" max="13587" width="4" style="402" hidden="1" customWidth="1"/>
    <col min="13588" max="13591" width="2.5703125" style="402" hidden="1" customWidth="1"/>
    <col min="13592" max="13592" width="2.42578125" style="402" hidden="1" customWidth="1"/>
    <col min="13593" max="13596" width="2.5703125" style="402" hidden="1" customWidth="1"/>
    <col min="13597" max="13597" width="2.42578125" style="402" hidden="1" customWidth="1"/>
    <col min="13598" max="13601" width="2.5703125" style="402" hidden="1" customWidth="1"/>
    <col min="13602" max="13607" width="2.42578125" style="402" hidden="1" customWidth="1"/>
    <col min="13608" max="13608" width="1.5703125" style="402" hidden="1" customWidth="1"/>
    <col min="13609" max="13824" width="2.5703125" style="402" hidden="1"/>
    <col min="13825" max="13825" width="1.5703125" style="402" hidden="1" customWidth="1"/>
    <col min="13826" max="13826" width="0.85546875" style="402" hidden="1" customWidth="1"/>
    <col min="13827" max="13842" width="2.5703125" style="402" hidden="1" customWidth="1"/>
    <col min="13843" max="13843" width="4" style="402" hidden="1" customWidth="1"/>
    <col min="13844" max="13847" width="2.5703125" style="402" hidden="1" customWidth="1"/>
    <col min="13848" max="13848" width="2.42578125" style="402" hidden="1" customWidth="1"/>
    <col min="13849" max="13852" width="2.5703125" style="402" hidden="1" customWidth="1"/>
    <col min="13853" max="13853" width="2.42578125" style="402" hidden="1" customWidth="1"/>
    <col min="13854" max="13857" width="2.5703125" style="402" hidden="1" customWidth="1"/>
    <col min="13858" max="13863" width="2.42578125" style="402" hidden="1" customWidth="1"/>
    <col min="13864" max="13864" width="1.5703125" style="402" hidden="1" customWidth="1"/>
    <col min="13865" max="14080" width="2.5703125" style="402" hidden="1"/>
    <col min="14081" max="14081" width="1.5703125" style="402" hidden="1" customWidth="1"/>
    <col min="14082" max="14082" width="0.85546875" style="402" hidden="1" customWidth="1"/>
    <col min="14083" max="14098" width="2.5703125" style="402" hidden="1" customWidth="1"/>
    <col min="14099" max="14099" width="4" style="402" hidden="1" customWidth="1"/>
    <col min="14100" max="14103" width="2.5703125" style="402" hidden="1" customWidth="1"/>
    <col min="14104" max="14104" width="2.42578125" style="402" hidden="1" customWidth="1"/>
    <col min="14105" max="14108" width="2.5703125" style="402" hidden="1" customWidth="1"/>
    <col min="14109" max="14109" width="2.42578125" style="402" hidden="1" customWidth="1"/>
    <col min="14110" max="14113" width="2.5703125" style="402" hidden="1" customWidth="1"/>
    <col min="14114" max="14119" width="2.42578125" style="402" hidden="1" customWidth="1"/>
    <col min="14120" max="14120" width="1.5703125" style="402" hidden="1" customWidth="1"/>
    <col min="14121" max="14336" width="2.5703125" style="402" hidden="1"/>
    <col min="14337" max="14337" width="1.5703125" style="402" hidden="1" customWidth="1"/>
    <col min="14338" max="14338" width="0.85546875" style="402" hidden="1" customWidth="1"/>
    <col min="14339" max="14354" width="2.5703125" style="402" hidden="1" customWidth="1"/>
    <col min="14355" max="14355" width="4" style="402" hidden="1" customWidth="1"/>
    <col min="14356" max="14359" width="2.5703125" style="402" hidden="1" customWidth="1"/>
    <col min="14360" max="14360" width="2.42578125" style="402" hidden="1" customWidth="1"/>
    <col min="14361" max="14364" width="2.5703125" style="402" hidden="1" customWidth="1"/>
    <col min="14365" max="14365" width="2.42578125" style="402" hidden="1" customWidth="1"/>
    <col min="14366" max="14369" width="2.5703125" style="402" hidden="1" customWidth="1"/>
    <col min="14370" max="14375" width="2.42578125" style="402" hidden="1" customWidth="1"/>
    <col min="14376" max="14376" width="1.5703125" style="402" hidden="1" customWidth="1"/>
    <col min="14377" max="14592" width="2.5703125" style="402" hidden="1"/>
    <col min="14593" max="14593" width="1.5703125" style="402" hidden="1" customWidth="1"/>
    <col min="14594" max="14594" width="0.85546875" style="402" hidden="1" customWidth="1"/>
    <col min="14595" max="14610" width="2.5703125" style="402" hidden="1" customWidth="1"/>
    <col min="14611" max="14611" width="4" style="402" hidden="1" customWidth="1"/>
    <col min="14612" max="14615" width="2.5703125" style="402" hidden="1" customWidth="1"/>
    <col min="14616" max="14616" width="2.42578125" style="402" hidden="1" customWidth="1"/>
    <col min="14617" max="14620" width="2.5703125" style="402" hidden="1" customWidth="1"/>
    <col min="14621" max="14621" width="2.42578125" style="402" hidden="1" customWidth="1"/>
    <col min="14622" max="14625" width="2.5703125" style="402" hidden="1" customWidth="1"/>
    <col min="14626" max="14631" width="2.42578125" style="402" hidden="1" customWidth="1"/>
    <col min="14632" max="14632" width="1.5703125" style="402" hidden="1" customWidth="1"/>
    <col min="14633" max="14848" width="2.5703125" style="402" hidden="1"/>
    <col min="14849" max="14849" width="1.5703125" style="402" hidden="1" customWidth="1"/>
    <col min="14850" max="14850" width="0.85546875" style="402" hidden="1" customWidth="1"/>
    <col min="14851" max="14866" width="2.5703125" style="402" hidden="1" customWidth="1"/>
    <col min="14867" max="14867" width="4" style="402" hidden="1" customWidth="1"/>
    <col min="14868" max="14871" width="2.5703125" style="402" hidden="1" customWidth="1"/>
    <col min="14872" max="14872" width="2.42578125" style="402" hidden="1" customWidth="1"/>
    <col min="14873" max="14876" width="2.5703125" style="402" hidden="1" customWidth="1"/>
    <col min="14877" max="14877" width="2.42578125" style="402" hidden="1" customWidth="1"/>
    <col min="14878" max="14881" width="2.5703125" style="402" hidden="1" customWidth="1"/>
    <col min="14882" max="14887" width="2.42578125" style="402" hidden="1" customWidth="1"/>
    <col min="14888" max="14888" width="1.5703125" style="402" hidden="1" customWidth="1"/>
    <col min="14889" max="15104" width="2.5703125" style="402" hidden="1"/>
    <col min="15105" max="15105" width="1.5703125" style="402" hidden="1" customWidth="1"/>
    <col min="15106" max="15106" width="0.85546875" style="402" hidden="1" customWidth="1"/>
    <col min="15107" max="15122" width="2.5703125" style="402" hidden="1" customWidth="1"/>
    <col min="15123" max="15123" width="4" style="402" hidden="1" customWidth="1"/>
    <col min="15124" max="15127" width="2.5703125" style="402" hidden="1" customWidth="1"/>
    <col min="15128" max="15128" width="2.42578125" style="402" hidden="1" customWidth="1"/>
    <col min="15129" max="15132" width="2.5703125" style="402" hidden="1" customWidth="1"/>
    <col min="15133" max="15133" width="2.42578125" style="402" hidden="1" customWidth="1"/>
    <col min="15134" max="15137" width="2.5703125" style="402" hidden="1" customWidth="1"/>
    <col min="15138" max="15143" width="2.42578125" style="402" hidden="1" customWidth="1"/>
    <col min="15144" max="15144" width="1.5703125" style="402" hidden="1" customWidth="1"/>
    <col min="15145" max="15360" width="2.5703125" style="402" hidden="1"/>
    <col min="15361" max="15361" width="1.5703125" style="402" hidden="1" customWidth="1"/>
    <col min="15362" max="15362" width="0.85546875" style="402" hidden="1" customWidth="1"/>
    <col min="15363" max="15378" width="2.5703125" style="402" hidden="1" customWidth="1"/>
    <col min="15379" max="15379" width="4" style="402" hidden="1" customWidth="1"/>
    <col min="15380" max="15383" width="2.5703125" style="402" hidden="1" customWidth="1"/>
    <col min="15384" max="15384" width="2.42578125" style="402" hidden="1" customWidth="1"/>
    <col min="15385" max="15388" width="2.5703125" style="402" hidden="1" customWidth="1"/>
    <col min="15389" max="15389" width="2.42578125" style="402" hidden="1" customWidth="1"/>
    <col min="15390" max="15393" width="2.5703125" style="402" hidden="1" customWidth="1"/>
    <col min="15394" max="15399" width="2.42578125" style="402" hidden="1" customWidth="1"/>
    <col min="15400" max="15400" width="1.5703125" style="402" hidden="1" customWidth="1"/>
    <col min="15401" max="15616" width="2.5703125" style="402" hidden="1"/>
    <col min="15617" max="15617" width="1.5703125" style="402" hidden="1" customWidth="1"/>
    <col min="15618" max="15618" width="0.85546875" style="402" hidden="1" customWidth="1"/>
    <col min="15619" max="15634" width="2.5703125" style="402" hidden="1" customWidth="1"/>
    <col min="15635" max="15635" width="4" style="402" hidden="1" customWidth="1"/>
    <col min="15636" max="15639" width="2.5703125" style="402" hidden="1" customWidth="1"/>
    <col min="15640" max="15640" width="2.42578125" style="402" hidden="1" customWidth="1"/>
    <col min="15641" max="15644" width="2.5703125" style="402" hidden="1" customWidth="1"/>
    <col min="15645" max="15645" width="2.42578125" style="402" hidden="1" customWidth="1"/>
    <col min="15646" max="15649" width="2.5703125" style="402" hidden="1" customWidth="1"/>
    <col min="15650" max="15655" width="2.42578125" style="402" hidden="1" customWidth="1"/>
    <col min="15656" max="15656" width="1.5703125" style="402" hidden="1" customWidth="1"/>
    <col min="15657" max="15872" width="2.5703125" style="402" hidden="1"/>
    <col min="15873" max="15873" width="1.5703125" style="402" hidden="1" customWidth="1"/>
    <col min="15874" max="15874" width="0.85546875" style="402" hidden="1" customWidth="1"/>
    <col min="15875" max="15890" width="2.5703125" style="402" hidden="1" customWidth="1"/>
    <col min="15891" max="15891" width="4" style="402" hidden="1" customWidth="1"/>
    <col min="15892" max="15895" width="2.5703125" style="402" hidden="1" customWidth="1"/>
    <col min="15896" max="15896" width="2.42578125" style="402" hidden="1" customWidth="1"/>
    <col min="15897" max="15900" width="2.5703125" style="402" hidden="1" customWidth="1"/>
    <col min="15901" max="15901" width="2.42578125" style="402" hidden="1" customWidth="1"/>
    <col min="15902" max="15905" width="2.5703125" style="402" hidden="1" customWidth="1"/>
    <col min="15906" max="15911" width="2.42578125" style="402" hidden="1" customWidth="1"/>
    <col min="15912" max="15912" width="1.5703125" style="402" hidden="1" customWidth="1"/>
    <col min="15913" max="16128" width="2.5703125" style="402" hidden="1"/>
    <col min="16129" max="16129" width="1.5703125" style="402" hidden="1" customWidth="1"/>
    <col min="16130" max="16130" width="0.85546875" style="402" hidden="1" customWidth="1"/>
    <col min="16131" max="16146" width="2.5703125" style="402" hidden="1" customWidth="1"/>
    <col min="16147" max="16147" width="4" style="402" hidden="1" customWidth="1"/>
    <col min="16148" max="16151" width="2.5703125" style="402" hidden="1" customWidth="1"/>
    <col min="16152" max="16152" width="2.42578125" style="402" hidden="1" customWidth="1"/>
    <col min="16153" max="16156" width="2.5703125" style="402" hidden="1" customWidth="1"/>
    <col min="16157" max="16157" width="2.42578125" style="402" hidden="1" customWidth="1"/>
    <col min="16158" max="16161" width="2.5703125" style="402" hidden="1" customWidth="1"/>
    <col min="16162" max="16167" width="2.42578125" style="402" hidden="1" customWidth="1"/>
    <col min="16168" max="16168" width="1.5703125" style="402" hidden="1" customWidth="1"/>
    <col min="16169" max="16384" width="2.5703125" style="402" hidden="1"/>
  </cols>
  <sheetData>
    <row r="1" spans="1:40" ht="12.95" customHeight="1">
      <c r="A1" s="2377" t="s">
        <v>1280</v>
      </c>
      <c r="B1" s="2377"/>
      <c r="C1" s="2377"/>
      <c r="D1" s="2377"/>
      <c r="E1" s="2377"/>
      <c r="F1" s="2377"/>
      <c r="G1" s="2377"/>
      <c r="H1" s="2377"/>
      <c r="I1" s="2377"/>
      <c r="J1" s="2377"/>
      <c r="K1" s="2377"/>
      <c r="L1" s="2377"/>
      <c r="M1" s="2377"/>
      <c r="N1" s="2377"/>
      <c r="O1" s="2377"/>
      <c r="P1" s="2377"/>
      <c r="Q1" s="2377"/>
      <c r="R1" s="2377"/>
      <c r="S1" s="2377"/>
      <c r="T1" s="2377"/>
      <c r="U1" s="2377"/>
      <c r="V1" s="2377"/>
      <c r="W1" s="2377"/>
      <c r="X1" s="2377"/>
      <c r="Y1" s="2377"/>
      <c r="Z1" s="2377"/>
      <c r="AA1" s="2377"/>
      <c r="AB1" s="2377"/>
      <c r="AC1" s="2377"/>
      <c r="AD1" s="2377"/>
      <c r="AE1" s="2377"/>
      <c r="AF1" s="2377"/>
      <c r="AG1" s="2377"/>
      <c r="AH1" s="2377"/>
      <c r="AI1" s="2377"/>
      <c r="AJ1" s="2377"/>
      <c r="AK1" s="2377"/>
      <c r="AL1" s="2377"/>
      <c r="AM1" s="2377"/>
      <c r="AN1" s="2377"/>
    </row>
    <row r="2" spans="1:40" ht="12.95" customHeight="1" thickBot="1">
      <c r="A2" s="2378"/>
      <c r="B2" s="2378"/>
      <c r="C2" s="2378"/>
      <c r="D2" s="2378"/>
      <c r="E2" s="2378"/>
      <c r="F2" s="2378"/>
      <c r="G2" s="2378"/>
      <c r="H2" s="2378"/>
      <c r="I2" s="2378"/>
      <c r="J2" s="2378"/>
      <c r="K2" s="2378"/>
      <c r="L2" s="2378"/>
      <c r="M2" s="2378"/>
      <c r="N2" s="2378"/>
      <c r="O2" s="2378"/>
      <c r="P2" s="2378"/>
      <c r="Q2" s="2378"/>
      <c r="R2" s="2378"/>
      <c r="S2" s="2378"/>
      <c r="T2" s="2378"/>
      <c r="U2" s="2378"/>
      <c r="V2" s="2378"/>
      <c r="W2" s="2378"/>
      <c r="X2" s="2378"/>
      <c r="Y2" s="2378"/>
      <c r="Z2" s="2378"/>
      <c r="AA2" s="2378"/>
      <c r="AB2" s="2378"/>
      <c r="AC2" s="2378"/>
      <c r="AD2" s="2378"/>
      <c r="AE2" s="2378"/>
      <c r="AF2" s="2378"/>
      <c r="AG2" s="2378"/>
      <c r="AH2" s="2378"/>
      <c r="AI2" s="2378"/>
      <c r="AJ2" s="2378"/>
      <c r="AK2" s="2378"/>
      <c r="AL2" s="2378"/>
      <c r="AM2" s="2378"/>
      <c r="AN2" s="2378"/>
    </row>
    <row r="3" spans="1:40" ht="12.95" customHeight="1" thickTop="1">
      <c r="A3" s="402" t="str">
        <f>+A1</f>
        <v>V. BASIS AND CREDITS : 4% FEDERAL AND STATE CREDIT</v>
      </c>
      <c r="C3" s="101"/>
      <c r="D3" s="101"/>
      <c r="E3" s="101"/>
      <c r="F3" s="101"/>
      <c r="G3" s="101"/>
      <c r="H3" s="101"/>
      <c r="I3" s="101"/>
      <c r="J3" s="403"/>
      <c r="K3" s="403"/>
      <c r="L3" s="403"/>
      <c r="M3" s="403"/>
      <c r="N3" s="403"/>
      <c r="O3" s="403"/>
      <c r="P3" s="403"/>
      <c r="Q3" s="403"/>
      <c r="R3" s="403"/>
      <c r="S3" s="403"/>
      <c r="T3" s="403"/>
      <c r="U3" s="403"/>
      <c r="V3" s="403"/>
      <c r="W3" s="403"/>
      <c r="X3" s="403"/>
      <c r="Y3" s="403"/>
      <c r="Z3" s="403"/>
      <c r="AA3" s="403"/>
      <c r="AB3" s="403"/>
      <c r="AC3" s="403"/>
      <c r="AD3" s="403"/>
      <c r="AE3" s="403"/>
      <c r="AF3" s="403"/>
      <c r="AG3" s="403"/>
      <c r="AH3" s="403"/>
      <c r="AI3" s="403"/>
      <c r="AJ3" s="403"/>
      <c r="AK3" s="403"/>
      <c r="AL3" s="403"/>
      <c r="AM3" s="403"/>
      <c r="AN3" s="403"/>
    </row>
    <row r="4" spans="1:40" ht="12.95" customHeight="1">
      <c r="A4" s="404"/>
    </row>
    <row r="5" spans="1:40" ht="12.95" customHeight="1">
      <c r="A5" s="404" t="s">
        <v>318</v>
      </c>
      <c r="C5" s="404" t="s">
        <v>122</v>
      </c>
      <c r="F5" s="404"/>
    </row>
    <row r="6" spans="1:40" ht="12.95" customHeight="1">
      <c r="A6" s="404"/>
      <c r="C6" s="402" t="s">
        <v>1238</v>
      </c>
    </row>
    <row r="7" spans="1:40" ht="12.95" customHeight="1">
      <c r="B7" s="405"/>
      <c r="C7" s="406"/>
      <c r="D7" s="406"/>
      <c r="E7" s="406"/>
      <c r="F7" s="406"/>
      <c r="G7" s="406"/>
      <c r="H7" s="406"/>
      <c r="I7" s="406"/>
      <c r="J7" s="406"/>
      <c r="K7" s="406"/>
      <c r="L7" s="406"/>
      <c r="M7" s="406"/>
      <c r="N7" s="406"/>
      <c r="O7" s="406"/>
      <c r="P7" s="406"/>
      <c r="Q7" s="406"/>
      <c r="R7" s="406"/>
      <c r="S7" s="406"/>
      <c r="T7" s="2357" t="str">
        <f xml:space="preserve"> IF(T25=100%,'Sources and Basis Breakdown'!G2,'Sources and Basis Breakdown'!F2)</f>
        <v>30% PVC for New Const/
Rehabilitation
DDA/QCT
Building(s)</v>
      </c>
      <c r="U7" s="2357"/>
      <c r="V7" s="2357"/>
      <c r="W7" s="2357"/>
      <c r="X7" s="2357"/>
      <c r="Y7" s="2357" t="str">
        <f>IF(T25=100%,"",'Sources and Basis Breakdown'!G2)</f>
        <v>30% PVC for New Const/
Rehabilitation
NON-DDA/
NON-QCT Building(s)</v>
      </c>
      <c r="Z7" s="2357"/>
      <c r="AA7" s="2357"/>
      <c r="AB7" s="2357"/>
      <c r="AC7" s="2357"/>
      <c r="AD7" s="2357" t="str">
        <f xml:space="preserve"> IF(T25=100%, 'Sources and Basis Breakdown'!J2,'Sources and Basis Breakdown'!I2)</f>
        <v>30% PVC for Acquisition
DDA/QCT Building(s)</v>
      </c>
      <c r="AE7" s="2357"/>
      <c r="AF7" s="2357"/>
      <c r="AG7" s="2357"/>
      <c r="AH7" s="2357"/>
      <c r="AI7" s="2357" t="str">
        <f>IF(T25=100%,"",'Sources and Basis Breakdown'!J2)</f>
        <v>30% PVC for Acquisition
NON-DDA/
NON-QCT Building(s)</v>
      </c>
      <c r="AJ7" s="2357"/>
      <c r="AK7" s="2357"/>
      <c r="AL7" s="2357"/>
      <c r="AM7" s="2357"/>
    </row>
    <row r="8" spans="1:40" ht="12.95" customHeight="1">
      <c r="B8" s="407"/>
      <c r="T8" s="2357"/>
      <c r="U8" s="2357"/>
      <c r="V8" s="2357"/>
      <c r="W8" s="2357"/>
      <c r="X8" s="2357"/>
      <c r="Y8" s="2357"/>
      <c r="Z8" s="2357"/>
      <c r="AA8" s="2357"/>
      <c r="AB8" s="2357"/>
      <c r="AC8" s="2357"/>
      <c r="AD8" s="2357"/>
      <c r="AE8" s="2357"/>
      <c r="AF8" s="2357"/>
      <c r="AG8" s="2357"/>
      <c r="AH8" s="2357"/>
      <c r="AI8" s="2357"/>
      <c r="AJ8" s="2357"/>
      <c r="AK8" s="2357"/>
      <c r="AL8" s="2357"/>
      <c r="AM8" s="2357"/>
    </row>
    <row r="9" spans="1:40" ht="12.95" customHeight="1">
      <c r="B9" s="407"/>
      <c r="T9" s="2357"/>
      <c r="U9" s="2357"/>
      <c r="V9" s="2357"/>
      <c r="W9" s="2357"/>
      <c r="X9" s="2357"/>
      <c r="Y9" s="2357"/>
      <c r="Z9" s="2357"/>
      <c r="AA9" s="2357"/>
      <c r="AB9" s="2357"/>
      <c r="AC9" s="2357"/>
      <c r="AD9" s="2357"/>
      <c r="AE9" s="2357"/>
      <c r="AF9" s="2357"/>
      <c r="AG9" s="2357"/>
      <c r="AH9" s="2357"/>
      <c r="AI9" s="2357"/>
      <c r="AJ9" s="2357"/>
      <c r="AK9" s="2357"/>
      <c r="AL9" s="2357"/>
      <c r="AM9" s="2357"/>
    </row>
    <row r="10" spans="1:40" ht="12.95" customHeight="1">
      <c r="B10" s="408"/>
      <c r="C10" s="409"/>
      <c r="D10" s="409"/>
      <c r="E10" s="409"/>
      <c r="F10" s="409"/>
      <c r="G10" s="409"/>
      <c r="H10" s="409"/>
      <c r="I10" s="409"/>
      <c r="J10" s="409"/>
      <c r="K10" s="409"/>
      <c r="L10" s="409"/>
      <c r="M10" s="409"/>
      <c r="N10" s="409"/>
      <c r="O10" s="409"/>
      <c r="P10" s="409"/>
      <c r="Q10" s="409"/>
      <c r="R10" s="409"/>
      <c r="S10" s="409"/>
      <c r="T10" s="2357"/>
      <c r="U10" s="2357"/>
      <c r="V10" s="2357"/>
      <c r="W10" s="2357"/>
      <c r="X10" s="2357"/>
      <c r="Y10" s="2357"/>
      <c r="Z10" s="2357"/>
      <c r="AA10" s="2357"/>
      <c r="AB10" s="2357"/>
      <c r="AC10" s="2357"/>
      <c r="AD10" s="2357"/>
      <c r="AE10" s="2357"/>
      <c r="AF10" s="2357"/>
      <c r="AG10" s="2357"/>
      <c r="AH10" s="2357"/>
      <c r="AI10" s="2357"/>
      <c r="AJ10" s="2357"/>
      <c r="AK10" s="2357"/>
      <c r="AL10" s="2357"/>
      <c r="AM10" s="2357"/>
    </row>
    <row r="11" spans="1:40" ht="12.95" customHeight="1">
      <c r="B11" s="2343" t="s">
        <v>374</v>
      </c>
      <c r="C11" s="2344"/>
      <c r="D11" s="2344"/>
      <c r="E11" s="2344"/>
      <c r="F11" s="2344"/>
      <c r="G11" s="2344"/>
      <c r="H11" s="2344"/>
      <c r="I11" s="2344"/>
      <c r="J11" s="2344"/>
      <c r="K11" s="2344"/>
      <c r="L11" s="2344"/>
      <c r="M11" s="2344"/>
      <c r="N11" s="2344"/>
      <c r="O11" s="2344"/>
      <c r="P11" s="2344"/>
      <c r="Q11" s="2344"/>
      <c r="R11" s="2344"/>
      <c r="S11" s="2345"/>
      <c r="T11" s="2379">
        <f>IF('Sources and Basis Breakdown'!F107=0,'Sources and Basis Breakdown'!E107,'Sources and Basis Breakdown'!F107)</f>
        <v>47056089</v>
      </c>
      <c r="U11" s="2380"/>
      <c r="V11" s="2380"/>
      <c r="W11" s="2380"/>
      <c r="X11" s="2380"/>
      <c r="Y11" s="2379">
        <f>IF(Y7="",0,IF('Sources and Basis Breakdown'!G107+'Sources and Basis Breakdown'!F107='Sources and Basis Breakdown'!E107,'Sources and Basis Breakdown'!G107,0))</f>
        <v>0</v>
      </c>
      <c r="Z11" s="2380"/>
      <c r="AA11" s="2380"/>
      <c r="AB11" s="2380"/>
      <c r="AC11" s="2380"/>
      <c r="AD11" s="2380">
        <f>IF('Sources and Basis Breakdown'!I107=0,'Sources and Basis Breakdown'!H107,'Sources and Basis Breakdown'!I107)</f>
        <v>0</v>
      </c>
      <c r="AE11" s="2380"/>
      <c r="AF11" s="2380"/>
      <c r="AG11" s="2380"/>
      <c r="AH11" s="2380"/>
      <c r="AI11" s="2380">
        <f>IF(Y7="",0,IF('Sources and Basis Breakdown'!I107+'Sources and Basis Breakdown'!J107='Sources and Basis Breakdown'!H107,'Sources and Basis Breakdown'!J107,0))</f>
        <v>0</v>
      </c>
      <c r="AJ11" s="2380"/>
      <c r="AK11" s="2380"/>
      <c r="AL11" s="2380"/>
      <c r="AM11" s="2380"/>
    </row>
    <row r="12" spans="1:40" ht="12.95" customHeight="1">
      <c r="B12" s="2381" t="s">
        <v>497</v>
      </c>
      <c r="C12" s="1308"/>
      <c r="D12" s="1308"/>
      <c r="E12" s="1308"/>
      <c r="F12" s="1308"/>
      <c r="G12" s="1308"/>
      <c r="H12" s="1308"/>
      <c r="I12" s="1308"/>
      <c r="J12" s="1308"/>
      <c r="K12" s="1308"/>
      <c r="L12" s="1308"/>
      <c r="M12" s="1308"/>
      <c r="N12" s="1308"/>
      <c r="O12" s="1308"/>
      <c r="P12" s="1308"/>
      <c r="Q12" s="1308"/>
      <c r="R12" s="1308"/>
      <c r="S12" s="2382"/>
      <c r="T12" s="2372"/>
      <c r="U12" s="2373"/>
      <c r="V12" s="2373"/>
      <c r="W12" s="2373"/>
      <c r="X12" s="2374"/>
      <c r="Y12" s="2372"/>
      <c r="Z12" s="2373"/>
      <c r="AA12" s="2373"/>
      <c r="AB12" s="2373"/>
      <c r="AC12" s="2374"/>
      <c r="AD12" s="2372"/>
      <c r="AE12" s="2373"/>
      <c r="AF12" s="2373"/>
      <c r="AG12" s="2373"/>
      <c r="AH12" s="2374"/>
      <c r="AI12" s="2372"/>
      <c r="AJ12" s="2373"/>
      <c r="AK12" s="2373"/>
      <c r="AL12" s="2373"/>
      <c r="AM12" s="2374"/>
    </row>
    <row r="13" spans="1:40" ht="12.95" customHeight="1">
      <c r="B13" s="435"/>
      <c r="C13" s="2383" t="s">
        <v>498</v>
      </c>
      <c r="D13" s="2383"/>
      <c r="E13" s="2383"/>
      <c r="F13" s="2383"/>
      <c r="G13" s="2383"/>
      <c r="H13" s="2383"/>
      <c r="I13" s="2383"/>
      <c r="J13" s="2383"/>
      <c r="K13" s="2383"/>
      <c r="L13" s="2383"/>
      <c r="M13" s="2383"/>
      <c r="N13" s="2383"/>
      <c r="O13" s="2383"/>
      <c r="P13" s="2383"/>
      <c r="Q13" s="2383"/>
      <c r="R13" s="2383"/>
      <c r="S13" s="2384"/>
      <c r="T13" s="2375"/>
      <c r="U13" s="2376"/>
      <c r="V13" s="2376"/>
      <c r="W13" s="2376"/>
      <c r="X13" s="2376"/>
      <c r="Y13" s="2375"/>
      <c r="Z13" s="2376"/>
      <c r="AA13" s="2376"/>
      <c r="AB13" s="2376"/>
      <c r="AC13" s="2376"/>
      <c r="AD13" s="2376"/>
      <c r="AE13" s="2376"/>
      <c r="AF13" s="2376"/>
      <c r="AG13" s="2376"/>
      <c r="AH13" s="2376"/>
      <c r="AI13" s="2376"/>
      <c r="AJ13" s="2376"/>
      <c r="AK13" s="2376"/>
      <c r="AL13" s="2376"/>
      <c r="AM13" s="2376"/>
    </row>
    <row r="14" spans="1:40" ht="12.95" customHeight="1">
      <c r="B14" s="435"/>
      <c r="C14" s="2383" t="s">
        <v>499</v>
      </c>
      <c r="D14" s="2383"/>
      <c r="E14" s="2383"/>
      <c r="F14" s="2383"/>
      <c r="G14" s="2383"/>
      <c r="H14" s="2383"/>
      <c r="I14" s="2383"/>
      <c r="J14" s="2383"/>
      <c r="K14" s="2383"/>
      <c r="L14" s="2383"/>
      <c r="M14" s="2383"/>
      <c r="N14" s="2383"/>
      <c r="O14" s="2383"/>
      <c r="P14" s="2383"/>
      <c r="Q14" s="2383"/>
      <c r="R14" s="2383"/>
      <c r="S14" s="2384"/>
      <c r="T14" s="2365"/>
      <c r="U14" s="2366"/>
      <c r="V14" s="2366"/>
      <c r="W14" s="2366"/>
      <c r="X14" s="2366"/>
      <c r="Y14" s="2365"/>
      <c r="Z14" s="2366"/>
      <c r="AA14" s="2366"/>
      <c r="AB14" s="2366"/>
      <c r="AC14" s="2366"/>
      <c r="AD14" s="2366"/>
      <c r="AE14" s="2366"/>
      <c r="AF14" s="2366"/>
      <c r="AG14" s="2366"/>
      <c r="AH14" s="2366"/>
      <c r="AI14" s="2366"/>
      <c r="AJ14" s="2366"/>
      <c r="AK14" s="2366"/>
      <c r="AL14" s="2366"/>
      <c r="AM14" s="2366"/>
    </row>
    <row r="15" spans="1:40" ht="12.95" customHeight="1">
      <c r="B15" s="435"/>
      <c r="C15" s="2383" t="s">
        <v>500</v>
      </c>
      <c r="D15" s="2383"/>
      <c r="E15" s="2383"/>
      <c r="F15" s="2383"/>
      <c r="G15" s="2383"/>
      <c r="H15" s="2383"/>
      <c r="I15" s="2383"/>
      <c r="J15" s="2383"/>
      <c r="K15" s="2383"/>
      <c r="L15" s="2383"/>
      <c r="M15" s="2383"/>
      <c r="N15" s="2383"/>
      <c r="O15" s="2383"/>
      <c r="P15" s="2383"/>
      <c r="Q15" s="2383"/>
      <c r="R15" s="2383"/>
      <c r="S15" s="2384"/>
      <c r="T15" s="2365"/>
      <c r="U15" s="2366"/>
      <c r="V15" s="2366"/>
      <c r="W15" s="2366"/>
      <c r="X15" s="2366"/>
      <c r="Y15" s="2365"/>
      <c r="Z15" s="2366"/>
      <c r="AA15" s="2366"/>
      <c r="AB15" s="2366"/>
      <c r="AC15" s="2366"/>
      <c r="AD15" s="2366"/>
      <c r="AE15" s="2366"/>
      <c r="AF15" s="2366"/>
      <c r="AG15" s="2366"/>
      <c r="AH15" s="2366"/>
      <c r="AI15" s="2366"/>
      <c r="AJ15" s="2366"/>
      <c r="AK15" s="2366"/>
      <c r="AL15" s="2366"/>
      <c r="AM15" s="2366"/>
    </row>
    <row r="16" spans="1:40" ht="12.95" customHeight="1">
      <c r="B16" s="435"/>
      <c r="C16" s="2383" t="s">
        <v>805</v>
      </c>
      <c r="D16" s="2383"/>
      <c r="E16" s="2383"/>
      <c r="F16" s="2383"/>
      <c r="G16" s="2383"/>
      <c r="H16" s="2383"/>
      <c r="I16" s="2383"/>
      <c r="J16" s="2383"/>
      <c r="K16" s="2383"/>
      <c r="L16" s="2383"/>
      <c r="M16" s="2383"/>
      <c r="N16" s="2383"/>
      <c r="O16" s="2383"/>
      <c r="P16" s="2383"/>
      <c r="Q16" s="2383"/>
      <c r="R16" s="2383"/>
      <c r="S16" s="2384"/>
      <c r="T16" s="2365"/>
      <c r="U16" s="2366"/>
      <c r="V16" s="2366"/>
      <c r="W16" s="2366"/>
      <c r="X16" s="2366"/>
      <c r="Y16" s="2365"/>
      <c r="Z16" s="2366"/>
      <c r="AA16" s="2366"/>
      <c r="AB16" s="2366"/>
      <c r="AC16" s="2366"/>
      <c r="AD16" s="2366"/>
      <c r="AE16" s="2366"/>
      <c r="AF16" s="2366"/>
      <c r="AG16" s="2366"/>
      <c r="AH16" s="2366"/>
      <c r="AI16" s="2366"/>
      <c r="AJ16" s="2366"/>
      <c r="AK16" s="2366"/>
      <c r="AL16" s="2366"/>
      <c r="AM16" s="2366"/>
    </row>
    <row r="17" spans="1:40" ht="12.95" customHeight="1">
      <c r="B17" s="435"/>
      <c r="C17" s="2383" t="s">
        <v>501</v>
      </c>
      <c r="D17" s="2383"/>
      <c r="E17" s="2383"/>
      <c r="F17" s="2383"/>
      <c r="G17" s="2383"/>
      <c r="H17" s="2383"/>
      <c r="I17" s="2383"/>
      <c r="J17" s="2383"/>
      <c r="K17" s="2383"/>
      <c r="L17" s="2383"/>
      <c r="M17" s="2383"/>
      <c r="N17" s="2383"/>
      <c r="O17" s="2383"/>
      <c r="P17" s="2383"/>
      <c r="Q17" s="2383"/>
      <c r="R17" s="2383"/>
      <c r="S17" s="2384"/>
      <c r="T17" s="2365"/>
      <c r="U17" s="2366"/>
      <c r="V17" s="2366"/>
      <c r="W17" s="2366"/>
      <c r="X17" s="2366"/>
      <c r="Y17" s="2365"/>
      <c r="Z17" s="2366"/>
      <c r="AA17" s="2366"/>
      <c r="AB17" s="2366"/>
      <c r="AC17" s="2366"/>
      <c r="AD17" s="2366"/>
      <c r="AE17" s="2366"/>
      <c r="AF17" s="2366"/>
      <c r="AG17" s="2366"/>
      <c r="AH17" s="2366"/>
      <c r="AI17" s="2366"/>
      <c r="AJ17" s="2366"/>
      <c r="AK17" s="2366"/>
      <c r="AL17" s="2366"/>
      <c r="AM17" s="2366"/>
    </row>
    <row r="18" spans="1:40" ht="12.95" customHeight="1">
      <c r="A18"/>
      <c r="B18" s="1150"/>
      <c r="C18" s="1564" t="s">
        <v>960</v>
      </c>
      <c r="D18" s="1564"/>
      <c r="E18" s="1564"/>
      <c r="F18" s="1564"/>
      <c r="G18" s="1564"/>
      <c r="H18" s="1564"/>
      <c r="I18" s="1564"/>
      <c r="J18" s="1564"/>
      <c r="K18" s="1564"/>
      <c r="L18" s="1564"/>
      <c r="M18" s="1564"/>
      <c r="N18" s="1564"/>
      <c r="O18" s="1564"/>
      <c r="P18" s="1564"/>
      <c r="Q18" s="1564"/>
      <c r="R18" s="1564"/>
      <c r="S18" s="1565"/>
      <c r="T18" s="2365"/>
      <c r="U18" s="2366"/>
      <c r="V18" s="2366"/>
      <c r="W18" s="2366"/>
      <c r="X18" s="2366"/>
      <c r="Y18" s="2365"/>
      <c r="Z18" s="2366"/>
      <c r="AA18" s="2366"/>
      <c r="AB18" s="2366"/>
      <c r="AC18" s="2366"/>
      <c r="AD18" s="2366"/>
      <c r="AE18" s="2366"/>
      <c r="AF18" s="2366"/>
      <c r="AG18" s="2366"/>
      <c r="AH18" s="2366"/>
      <c r="AI18" s="2366"/>
      <c r="AJ18" s="2366"/>
      <c r="AK18" s="2366"/>
      <c r="AL18" s="2366"/>
      <c r="AM18" s="2366"/>
    </row>
    <row r="19" spans="1:40" ht="12.95" customHeight="1">
      <c r="B19" s="1150"/>
      <c r="C19" s="1564" t="s">
        <v>960</v>
      </c>
      <c r="D19" s="1564"/>
      <c r="E19" s="1564"/>
      <c r="F19" s="1564"/>
      <c r="G19" s="1564"/>
      <c r="H19" s="1564"/>
      <c r="I19" s="1564"/>
      <c r="J19" s="1564"/>
      <c r="K19" s="1564"/>
      <c r="L19" s="1564"/>
      <c r="M19" s="1564"/>
      <c r="N19" s="1564"/>
      <c r="O19" s="1564"/>
      <c r="P19" s="1564"/>
      <c r="Q19" s="1564"/>
      <c r="R19" s="1564"/>
      <c r="S19" s="1565"/>
      <c r="T19" s="2365"/>
      <c r="U19" s="2366"/>
      <c r="V19" s="2366"/>
      <c r="W19" s="2366"/>
      <c r="X19" s="2366"/>
      <c r="Y19" s="2365"/>
      <c r="Z19" s="2366"/>
      <c r="AA19" s="2366"/>
      <c r="AB19" s="2366"/>
      <c r="AC19" s="2366"/>
      <c r="AD19" s="2366"/>
      <c r="AE19" s="2366"/>
      <c r="AF19" s="2366"/>
      <c r="AG19" s="2366"/>
      <c r="AH19" s="2366"/>
      <c r="AI19" s="2366"/>
      <c r="AJ19" s="2366"/>
      <c r="AK19" s="2366"/>
      <c r="AL19" s="2366"/>
      <c r="AM19" s="2366"/>
    </row>
    <row r="20" spans="1:40" ht="12.95" customHeight="1">
      <c r="B20" s="2343" t="s">
        <v>502</v>
      </c>
      <c r="C20" s="2344"/>
      <c r="D20" s="2344"/>
      <c r="E20" s="2344"/>
      <c r="F20" s="2344"/>
      <c r="G20" s="2344"/>
      <c r="H20" s="2344"/>
      <c r="I20" s="2344"/>
      <c r="J20" s="2344"/>
      <c r="K20" s="2344"/>
      <c r="L20" s="2344"/>
      <c r="M20" s="2344"/>
      <c r="N20" s="2344"/>
      <c r="O20" s="2344"/>
      <c r="P20" s="2344"/>
      <c r="Q20" s="2344"/>
      <c r="R20" s="2344"/>
      <c r="S20" s="2345"/>
      <c r="T20" s="2356">
        <f>SUM(T13:X19)</f>
        <v>0</v>
      </c>
      <c r="U20" s="2337"/>
      <c r="V20" s="2337"/>
      <c r="W20" s="2337"/>
      <c r="X20" s="2337"/>
      <c r="Y20" s="2356">
        <f>SUM(Y13:AC19)</f>
        <v>0</v>
      </c>
      <c r="Z20" s="2337"/>
      <c r="AA20" s="2337"/>
      <c r="AB20" s="2337"/>
      <c r="AC20" s="2337"/>
      <c r="AD20" s="2347">
        <f>SUM(AD13:AH19)</f>
        <v>0</v>
      </c>
      <c r="AE20" s="2355"/>
      <c r="AF20" s="2355"/>
      <c r="AG20" s="2355"/>
      <c r="AH20" s="2356"/>
      <c r="AI20" s="2347">
        <f>SUM(AI13:AM19)</f>
        <v>0</v>
      </c>
      <c r="AJ20" s="2355"/>
      <c r="AK20" s="2355"/>
      <c r="AL20" s="2355"/>
      <c r="AM20" s="2356"/>
    </row>
    <row r="21" spans="1:40" ht="12.95" customHeight="1">
      <c r="B21" s="2343" t="s">
        <v>1263</v>
      </c>
      <c r="C21" s="2344"/>
      <c r="D21" s="2344"/>
      <c r="E21" s="2344"/>
      <c r="F21" s="2344"/>
      <c r="G21" s="2344"/>
      <c r="H21" s="2344"/>
      <c r="I21" s="2344"/>
      <c r="J21" s="2344"/>
      <c r="K21" s="2344"/>
      <c r="L21" s="2344"/>
      <c r="M21" s="2344"/>
      <c r="N21" s="2344"/>
      <c r="O21" s="2344"/>
      <c r="P21" s="2344"/>
      <c r="Q21" s="2344"/>
      <c r="R21" s="2344"/>
      <c r="S21" s="2345"/>
      <c r="T21" s="2365"/>
      <c r="U21" s="2366"/>
      <c r="V21" s="2366"/>
      <c r="W21" s="2366"/>
      <c r="X21" s="2366"/>
      <c r="Y21" s="2365"/>
      <c r="Z21" s="2366"/>
      <c r="AA21" s="2366"/>
      <c r="AB21" s="2366"/>
      <c r="AC21" s="2366"/>
      <c r="AD21" s="2372"/>
      <c r="AE21" s="2373"/>
      <c r="AF21" s="2373"/>
      <c r="AG21" s="2373"/>
      <c r="AH21" s="2374"/>
      <c r="AI21" s="2372"/>
      <c r="AJ21" s="2373"/>
      <c r="AK21" s="2373"/>
      <c r="AL21" s="2373"/>
      <c r="AM21" s="2374"/>
    </row>
    <row r="22" spans="1:40" ht="12.95" customHeight="1">
      <c r="B22" s="2343" t="s">
        <v>503</v>
      </c>
      <c r="C22" s="2344"/>
      <c r="D22" s="2344"/>
      <c r="E22" s="2344"/>
      <c r="F22" s="2344"/>
      <c r="G22" s="2344"/>
      <c r="H22" s="2344"/>
      <c r="I22" s="2344"/>
      <c r="J22" s="2344"/>
      <c r="K22" s="2344"/>
      <c r="L22" s="2344"/>
      <c r="M22" s="2344"/>
      <c r="N22" s="2344"/>
      <c r="O22" s="2344"/>
      <c r="P22" s="2344"/>
      <c r="Q22" s="2344"/>
      <c r="R22" s="2344"/>
      <c r="S22" s="2345"/>
      <c r="T22" s="2361">
        <f>(ABS(T20)+ABS(T21))*-1</f>
        <v>0</v>
      </c>
      <c r="U22" s="2362"/>
      <c r="V22" s="2362"/>
      <c r="W22" s="2362"/>
      <c r="X22" s="2362"/>
      <c r="Y22" s="2361">
        <f>(Y20+Y21)*-1</f>
        <v>0</v>
      </c>
      <c r="Z22" s="2362"/>
      <c r="AA22" s="2362"/>
      <c r="AB22" s="2362"/>
      <c r="AC22" s="2362"/>
      <c r="AD22" s="2363">
        <f>(AD20)*-1</f>
        <v>0</v>
      </c>
      <c r="AE22" s="2364"/>
      <c r="AF22" s="2364"/>
      <c r="AG22" s="2364"/>
      <c r="AH22" s="2361"/>
      <c r="AI22" s="2363">
        <f>(AI20)*-1</f>
        <v>0</v>
      </c>
      <c r="AJ22" s="2364"/>
      <c r="AK22" s="2364"/>
      <c r="AL22" s="2364"/>
      <c r="AM22" s="2361"/>
    </row>
    <row r="23" spans="1:40" ht="12.95" customHeight="1">
      <c r="B23" s="2343" t="s">
        <v>504</v>
      </c>
      <c r="C23" s="2344"/>
      <c r="D23" s="2344"/>
      <c r="E23" s="2344"/>
      <c r="F23" s="2344"/>
      <c r="G23" s="2344"/>
      <c r="H23" s="2344"/>
      <c r="I23" s="2344"/>
      <c r="J23" s="2344"/>
      <c r="K23" s="2344"/>
      <c r="L23" s="2344"/>
      <c r="M23" s="2344"/>
      <c r="N23" s="2344"/>
      <c r="O23" s="2344"/>
      <c r="P23" s="2344"/>
      <c r="Q23" s="2344"/>
      <c r="R23" s="2344"/>
      <c r="S23" s="2345"/>
      <c r="T23" s="2356">
        <f>T11+T22</f>
        <v>47056089</v>
      </c>
      <c r="U23" s="2337"/>
      <c r="V23" s="2337"/>
      <c r="W23" s="2337"/>
      <c r="X23" s="2337"/>
      <c r="Y23" s="2356">
        <f>Y11+Y22</f>
        <v>0</v>
      </c>
      <c r="Z23" s="2337"/>
      <c r="AA23" s="2337"/>
      <c r="AB23" s="2337"/>
      <c r="AC23" s="2337"/>
      <c r="AD23" s="2356">
        <f>AD11+AD22</f>
        <v>0</v>
      </c>
      <c r="AE23" s="2337"/>
      <c r="AF23" s="2337"/>
      <c r="AG23" s="2337"/>
      <c r="AH23" s="2337"/>
      <c r="AI23" s="2356">
        <f>AI11+AI22</f>
        <v>0</v>
      </c>
      <c r="AJ23" s="2337"/>
      <c r="AK23" s="2337"/>
      <c r="AL23" s="2337"/>
      <c r="AM23" s="2337"/>
    </row>
    <row r="24" spans="1:40" ht="12.95" customHeight="1">
      <c r="B24" s="2343" t="s">
        <v>961</v>
      </c>
      <c r="C24" s="2344"/>
      <c r="D24" s="2344"/>
      <c r="E24" s="2344"/>
      <c r="F24" s="2344"/>
      <c r="G24" s="2344"/>
      <c r="H24" s="2344"/>
      <c r="I24" s="2344"/>
      <c r="J24" s="2344"/>
      <c r="K24" s="2344"/>
      <c r="L24" s="2344"/>
      <c r="M24" s="2344"/>
      <c r="N24" s="2344"/>
      <c r="O24" s="2344"/>
      <c r="P24" s="2344"/>
      <c r="Q24" s="2344"/>
      <c r="R24" s="2344"/>
      <c r="S24" s="2345"/>
      <c r="T24" s="2347">
        <f>Application!AJ1053</f>
        <v>117777819.5</v>
      </c>
      <c r="U24" s="2355"/>
      <c r="V24" s="2355"/>
      <c r="W24" s="2355"/>
      <c r="X24" s="2355"/>
      <c r="Y24" s="2355"/>
      <c r="Z24" s="2355"/>
      <c r="AA24" s="2355"/>
      <c r="AB24" s="2355"/>
      <c r="AC24" s="2355"/>
      <c r="AD24" s="2355"/>
      <c r="AE24" s="2355"/>
      <c r="AF24" s="2355"/>
      <c r="AG24" s="2355"/>
      <c r="AH24" s="2355"/>
      <c r="AI24" s="2355"/>
      <c r="AJ24" s="2355"/>
      <c r="AK24" s="2355"/>
      <c r="AL24" s="2355"/>
      <c r="AM24" s="2356"/>
    </row>
    <row r="25" spans="1:40" ht="12.95" customHeight="1">
      <c r="B25" s="2387" t="s">
        <v>1264</v>
      </c>
      <c r="C25" s="2388"/>
      <c r="D25" s="2388"/>
      <c r="E25" s="2388"/>
      <c r="F25" s="2388"/>
      <c r="G25" s="2388"/>
      <c r="H25" s="2388"/>
      <c r="I25" s="2388"/>
      <c r="J25" s="2388"/>
      <c r="K25" s="2388"/>
      <c r="L25" s="2388"/>
      <c r="M25" s="2388"/>
      <c r="N25" s="2388"/>
      <c r="O25" s="2388"/>
      <c r="P25" s="2388"/>
      <c r="Q25" s="2388"/>
      <c r="R25" s="2388"/>
      <c r="S25" s="2389"/>
      <c r="T25" s="2369">
        <f>IF(OR(Application!T196="yes",Application!T195="yes"),1.3,1)</f>
        <v>1.3</v>
      </c>
      <c r="U25" s="2370"/>
      <c r="V25" s="2370"/>
      <c r="W25" s="2370"/>
      <c r="X25" s="2370"/>
      <c r="Y25" s="2369">
        <v>1</v>
      </c>
      <c r="Z25" s="2370"/>
      <c r="AA25" s="2370"/>
      <c r="AB25" s="2370"/>
      <c r="AC25" s="2370"/>
      <c r="AD25" s="2369">
        <v>1</v>
      </c>
      <c r="AE25" s="2370"/>
      <c r="AF25" s="2370"/>
      <c r="AG25" s="2370"/>
      <c r="AH25" s="2371"/>
      <c r="AI25" s="2369">
        <v>1</v>
      </c>
      <c r="AJ25" s="2370"/>
      <c r="AK25" s="2370"/>
      <c r="AL25" s="2370"/>
      <c r="AM25" s="2371"/>
    </row>
    <row r="26" spans="1:40" ht="12.95" customHeight="1">
      <c r="B26" s="2343" t="s">
        <v>505</v>
      </c>
      <c r="C26" s="2344"/>
      <c r="D26" s="2344"/>
      <c r="E26" s="2344"/>
      <c r="F26" s="2344"/>
      <c r="G26" s="2344"/>
      <c r="H26" s="2344"/>
      <c r="I26" s="2344"/>
      <c r="J26" s="2344"/>
      <c r="K26" s="2344"/>
      <c r="L26" s="2344"/>
      <c r="M26" s="2344"/>
      <c r="N26" s="2344"/>
      <c r="O26" s="2344"/>
      <c r="P26" s="2344"/>
      <c r="Q26" s="2344"/>
      <c r="R26" s="2344"/>
      <c r="S26" s="2345"/>
      <c r="T26" s="2356">
        <f>T23*T25</f>
        <v>61172915.700000003</v>
      </c>
      <c r="U26" s="2337"/>
      <c r="V26" s="2337"/>
      <c r="W26" s="2337"/>
      <c r="X26" s="2337"/>
      <c r="Y26" s="2356">
        <f>Y23*Y25</f>
        <v>0</v>
      </c>
      <c r="Z26" s="2337"/>
      <c r="AA26" s="2337"/>
      <c r="AB26" s="2337"/>
      <c r="AC26" s="2337"/>
      <c r="AD26" s="2356">
        <f>AD23*AD25</f>
        <v>0</v>
      </c>
      <c r="AE26" s="2337"/>
      <c r="AF26" s="2337"/>
      <c r="AG26" s="2337"/>
      <c r="AH26" s="2337"/>
      <c r="AI26" s="2356">
        <f>AI23*AI25</f>
        <v>0</v>
      </c>
      <c r="AJ26" s="2337"/>
      <c r="AK26" s="2337"/>
      <c r="AL26" s="2337"/>
      <c r="AM26" s="2337"/>
    </row>
    <row r="27" spans="1:40" ht="12.95" customHeight="1">
      <c r="A27" s="410"/>
      <c r="B27" s="2390" t="s">
        <v>425</v>
      </c>
      <c r="C27" s="2391"/>
      <c r="D27" s="2391"/>
      <c r="E27" s="2391"/>
      <c r="F27" s="2391"/>
      <c r="G27" s="2391"/>
      <c r="H27" s="2391"/>
      <c r="I27" s="2391"/>
      <c r="J27" s="2391"/>
      <c r="K27" s="2391"/>
      <c r="L27" s="2391"/>
      <c r="M27" s="2391"/>
      <c r="N27" s="2391"/>
      <c r="O27" s="2391"/>
      <c r="P27" s="2391"/>
      <c r="Q27" s="2391"/>
      <c r="R27" s="2391"/>
      <c r="S27" s="2392"/>
      <c r="T27" s="2367">
        <f>Application!$AG$445</f>
        <v>1</v>
      </c>
      <c r="U27" s="2368"/>
      <c r="V27" s="2368"/>
      <c r="W27" s="2368"/>
      <c r="X27" s="2368"/>
      <c r="Y27" s="2367">
        <f>Application!$AG$445</f>
        <v>1</v>
      </c>
      <c r="Z27" s="2368"/>
      <c r="AA27" s="2368"/>
      <c r="AB27" s="2368"/>
      <c r="AC27" s="2368"/>
      <c r="AD27" s="2367">
        <f>Application!$AG$445</f>
        <v>1</v>
      </c>
      <c r="AE27" s="2368"/>
      <c r="AF27" s="2368"/>
      <c r="AG27" s="2368"/>
      <c r="AH27" s="2368"/>
      <c r="AI27" s="2367">
        <f>Application!$AG$445</f>
        <v>1</v>
      </c>
      <c r="AJ27" s="2368"/>
      <c r="AK27" s="2368"/>
      <c r="AL27" s="2368"/>
      <c r="AM27" s="2368"/>
    </row>
    <row r="28" spans="1:40" ht="12.95" customHeight="1">
      <c r="A28" s="404"/>
      <c r="B28" s="2343" t="s">
        <v>506</v>
      </c>
      <c r="C28" s="2344"/>
      <c r="D28" s="2344"/>
      <c r="E28" s="2344"/>
      <c r="F28" s="2344"/>
      <c r="G28" s="2344"/>
      <c r="H28" s="2344"/>
      <c r="I28" s="2344"/>
      <c r="J28" s="2344"/>
      <c r="K28" s="2344"/>
      <c r="L28" s="2344"/>
      <c r="M28" s="2344"/>
      <c r="N28" s="2344"/>
      <c r="O28" s="2344"/>
      <c r="P28" s="2344"/>
      <c r="Q28" s="2344"/>
      <c r="R28" s="2344"/>
      <c r="S28" s="2345"/>
      <c r="T28" s="2356">
        <f>IF(ISERROR((T26*T27)),0,(T26*T27))</f>
        <v>61172915.700000003</v>
      </c>
      <c r="U28" s="2337"/>
      <c r="V28" s="2337"/>
      <c r="W28" s="2337"/>
      <c r="X28" s="2337"/>
      <c r="Y28" s="2356">
        <f>IF(ISERROR((Y26*Y27)),0,(Y26*Y27))</f>
        <v>0</v>
      </c>
      <c r="Z28" s="2337"/>
      <c r="AA28" s="2337"/>
      <c r="AB28" s="2337"/>
      <c r="AC28" s="2337"/>
      <c r="AD28" s="2356">
        <f>IF(ISERROR((AD26*AD27)),0,(AD26*AD27))</f>
        <v>0</v>
      </c>
      <c r="AE28" s="2337"/>
      <c r="AF28" s="2337"/>
      <c r="AG28" s="2337"/>
      <c r="AH28" s="2337"/>
      <c r="AI28" s="2356">
        <f>IF(ISERROR((AI26*AI27)),0,(AI26*AI27))</f>
        <v>0</v>
      </c>
      <c r="AJ28" s="2337"/>
      <c r="AK28" s="2337"/>
      <c r="AL28" s="2337"/>
      <c r="AM28" s="2337"/>
    </row>
    <row r="29" spans="1:40" ht="12.95" customHeight="1">
      <c r="B29" s="2343" t="s">
        <v>523</v>
      </c>
      <c r="C29" s="2344"/>
      <c r="D29" s="2344"/>
      <c r="E29" s="2344"/>
      <c r="F29" s="2344"/>
      <c r="G29" s="2344"/>
      <c r="H29" s="2344"/>
      <c r="I29" s="2344"/>
      <c r="J29" s="2344"/>
      <c r="K29" s="2344"/>
      <c r="L29" s="2344"/>
      <c r="M29" s="2344"/>
      <c r="N29" s="2344"/>
      <c r="O29" s="2344"/>
      <c r="P29" s="2344"/>
      <c r="Q29" s="2344"/>
      <c r="R29" s="2344"/>
      <c r="S29" s="2345"/>
      <c r="T29" s="2347">
        <f>T28+Y28+AD28+AI28</f>
        <v>61172915.700000003</v>
      </c>
      <c r="U29" s="2355"/>
      <c r="V29" s="2355"/>
      <c r="W29" s="2355"/>
      <c r="X29" s="2355"/>
      <c r="Y29" s="2355"/>
      <c r="Z29" s="2355"/>
      <c r="AA29" s="2355"/>
      <c r="AB29" s="2355"/>
      <c r="AC29" s="2355"/>
      <c r="AD29" s="2355"/>
      <c r="AE29" s="2355"/>
      <c r="AF29" s="2355"/>
      <c r="AG29" s="2355"/>
      <c r="AH29" s="2355"/>
      <c r="AI29" s="2355"/>
      <c r="AJ29" s="2355"/>
      <c r="AK29" s="2355"/>
      <c r="AL29" s="2355"/>
      <c r="AM29" s="2356"/>
    </row>
    <row r="30" spans="1:40" ht="12.95" customHeight="1">
      <c r="B30" s="2360" t="s">
        <v>1266</v>
      </c>
      <c r="C30" s="2360"/>
      <c r="D30" s="2360"/>
      <c r="E30" s="2360"/>
      <c r="F30" s="2360"/>
      <c r="G30" s="2360"/>
      <c r="H30" s="2360"/>
      <c r="I30" s="2360"/>
      <c r="J30" s="2360"/>
      <c r="K30" s="2360"/>
      <c r="L30" s="2360"/>
      <c r="M30" s="2360"/>
      <c r="N30" s="2360"/>
      <c r="O30" s="2360"/>
      <c r="P30" s="2360"/>
      <c r="Q30" s="2360"/>
      <c r="R30" s="2360"/>
      <c r="S30" s="2360"/>
      <c r="T30" s="2360"/>
      <c r="U30" s="2360"/>
      <c r="V30" s="2360"/>
      <c r="W30" s="2360"/>
      <c r="X30" s="2360"/>
      <c r="Y30" s="2360"/>
      <c r="Z30" s="2360"/>
      <c r="AA30" s="2360"/>
      <c r="AB30" s="2360"/>
      <c r="AC30" s="2360"/>
      <c r="AD30" s="2360"/>
      <c r="AE30" s="2360"/>
      <c r="AF30" s="2360"/>
      <c r="AG30" s="2360"/>
      <c r="AH30" s="2360"/>
      <c r="AI30" s="2360"/>
      <c r="AJ30" s="2360"/>
      <c r="AK30" s="2360"/>
      <c r="AL30" s="2360"/>
      <c r="AM30" s="2360"/>
    </row>
    <row r="31" spans="1:40" ht="12.95" customHeight="1">
      <c r="B31" s="2360" t="s">
        <v>1265</v>
      </c>
      <c r="C31" s="2360"/>
      <c r="D31" s="2360"/>
      <c r="E31" s="2360"/>
      <c r="F31" s="2360"/>
      <c r="G31" s="2360"/>
      <c r="H31" s="2360"/>
      <c r="I31" s="2360"/>
      <c r="J31" s="2360"/>
      <c r="K31" s="2360"/>
      <c r="L31" s="2360"/>
      <c r="M31" s="2360"/>
      <c r="N31" s="2360"/>
      <c r="O31" s="2360"/>
      <c r="P31" s="2360"/>
      <c r="Q31" s="2360"/>
      <c r="R31" s="2360"/>
      <c r="S31" s="2360"/>
      <c r="T31" s="2360"/>
      <c r="U31" s="2360"/>
      <c r="V31" s="2360"/>
      <c r="W31" s="2360"/>
      <c r="X31" s="2360"/>
      <c r="Y31" s="2360"/>
      <c r="Z31" s="2360"/>
      <c r="AA31" s="2360"/>
      <c r="AB31" s="2360"/>
      <c r="AC31" s="2360"/>
      <c r="AD31" s="2360"/>
      <c r="AE31" s="2360"/>
      <c r="AF31" s="2360"/>
      <c r="AG31" s="2360"/>
      <c r="AH31" s="2360"/>
      <c r="AI31" s="2360"/>
      <c r="AJ31" s="2360"/>
      <c r="AK31" s="2360"/>
      <c r="AL31" s="2360"/>
      <c r="AM31" s="2360"/>
      <c r="AN31" s="518"/>
    </row>
    <row r="32" spans="1:40" ht="12.95" customHeight="1">
      <c r="B32" s="434"/>
      <c r="C32" s="511" t="s">
        <v>386</v>
      </c>
      <c r="D32" s="434"/>
      <c r="E32" s="434"/>
      <c r="F32" s="434"/>
      <c r="G32" s="434"/>
      <c r="H32" s="434"/>
      <c r="I32" s="434"/>
      <c r="J32" s="434"/>
      <c r="K32" s="434"/>
      <c r="L32" s="434"/>
      <c r="M32" s="434"/>
      <c r="N32" s="434"/>
      <c r="O32" s="434"/>
      <c r="P32" s="434"/>
      <c r="Q32" s="434"/>
      <c r="R32" s="434"/>
      <c r="S32" s="434"/>
      <c r="T32" s="434"/>
      <c r="U32" s="434"/>
      <c r="V32" s="434"/>
      <c r="W32" s="434"/>
      <c r="X32" s="434"/>
      <c r="Y32" s="434"/>
      <c r="Z32" s="434"/>
      <c r="AA32" s="434"/>
      <c r="AB32" s="434"/>
      <c r="AC32" s="434"/>
      <c r="AD32" s="434"/>
      <c r="AE32" s="434"/>
      <c r="AF32" s="434"/>
      <c r="AG32" s="434"/>
      <c r="AH32" s="434"/>
      <c r="AI32" s="434"/>
      <c r="AJ32" s="434"/>
      <c r="AK32" s="434"/>
      <c r="AL32" s="434"/>
      <c r="AM32" s="434"/>
    </row>
    <row r="34" spans="1:76" ht="12.95" customHeight="1">
      <c r="A34" s="404" t="s">
        <v>576</v>
      </c>
      <c r="C34" s="404" t="s">
        <v>568</v>
      </c>
    </row>
    <row r="35" spans="1:76" ht="12.95" customHeight="1">
      <c r="B35" s="405"/>
      <c r="C35" s="406"/>
      <c r="D35" s="406"/>
      <c r="E35" s="406"/>
      <c r="F35" s="406"/>
      <c r="G35" s="406"/>
      <c r="H35" s="406"/>
      <c r="I35" s="406"/>
      <c r="J35" s="406"/>
      <c r="K35" s="406"/>
      <c r="L35" s="406"/>
      <c r="M35" s="406"/>
      <c r="N35" s="406"/>
      <c r="O35" s="406"/>
      <c r="P35" s="406"/>
      <c r="Q35" s="406"/>
      <c r="R35" s="406"/>
      <c r="S35" s="406"/>
      <c r="T35" s="406"/>
      <c r="U35" s="406"/>
      <c r="V35" s="406"/>
      <c r="W35" s="406"/>
      <c r="X35" s="411"/>
      <c r="Y35" s="2357" t="s">
        <v>1154</v>
      </c>
      <c r="Z35" s="2357"/>
      <c r="AA35" s="2357"/>
      <c r="AB35" s="2357"/>
      <c r="AC35" s="2357"/>
      <c r="AD35" s="2358" t="s">
        <v>368</v>
      </c>
      <c r="AE35" s="2358"/>
      <c r="AF35" s="2358"/>
      <c r="AG35" s="2358"/>
      <c r="AH35" s="2358"/>
    </row>
    <row r="36" spans="1:76" ht="12.95" customHeight="1">
      <c r="B36" s="407"/>
      <c r="X36" s="412"/>
      <c r="Y36" s="2357"/>
      <c r="Z36" s="2357"/>
      <c r="AA36" s="2357"/>
      <c r="AB36" s="2357"/>
      <c r="AC36" s="2357"/>
      <c r="AD36" s="2358"/>
      <c r="AE36" s="2358"/>
      <c r="AF36" s="2358"/>
      <c r="AG36" s="2358"/>
      <c r="AH36" s="2358"/>
    </row>
    <row r="37" spans="1:76" ht="12.95" customHeight="1">
      <c r="B37" s="408"/>
      <c r="C37" s="409"/>
      <c r="D37" s="409"/>
      <c r="E37" s="409"/>
      <c r="F37" s="409"/>
      <c r="G37" s="409"/>
      <c r="H37" s="409"/>
      <c r="I37" s="409"/>
      <c r="J37" s="409"/>
      <c r="K37" s="409"/>
      <c r="L37" s="409"/>
      <c r="M37" s="409"/>
      <c r="N37" s="409"/>
      <c r="O37" s="409"/>
      <c r="P37" s="409"/>
      <c r="Q37" s="409"/>
      <c r="R37" s="409"/>
      <c r="S37" s="409"/>
      <c r="T37" s="409"/>
      <c r="U37" s="409"/>
      <c r="V37" s="409"/>
      <c r="W37" s="409"/>
      <c r="X37" s="413"/>
      <c r="Y37" s="2357"/>
      <c r="Z37" s="2357"/>
      <c r="AA37" s="2357"/>
      <c r="AB37" s="2357"/>
      <c r="AC37" s="2357"/>
      <c r="AD37" s="2358"/>
      <c r="AE37" s="2358"/>
      <c r="AF37" s="2358"/>
      <c r="AG37" s="2358"/>
      <c r="AH37" s="2358"/>
    </row>
    <row r="38" spans="1:76" ht="12.95" customHeight="1">
      <c r="A38" s="404"/>
      <c r="B38" s="2343" t="s">
        <v>506</v>
      </c>
      <c r="C38" s="2344"/>
      <c r="D38" s="2344"/>
      <c r="E38" s="2344"/>
      <c r="F38" s="2344"/>
      <c r="G38" s="2344"/>
      <c r="H38" s="2344"/>
      <c r="I38" s="2344"/>
      <c r="J38" s="2344"/>
      <c r="K38" s="2344"/>
      <c r="L38" s="2344"/>
      <c r="M38" s="2344"/>
      <c r="N38" s="2344"/>
      <c r="O38" s="2344"/>
      <c r="P38" s="2344"/>
      <c r="Q38" s="2344"/>
      <c r="R38" s="2344"/>
      <c r="S38" s="2344"/>
      <c r="T38" s="2344"/>
      <c r="U38" s="2344"/>
      <c r="V38" s="2344"/>
      <c r="W38" s="2344"/>
      <c r="X38" s="2345"/>
      <c r="Y38" s="2337">
        <f>IF(T24&gt;=(T23+Y23+AD23+AI23),T28+Y28,0)</f>
        <v>61172915.700000003</v>
      </c>
      <c r="Z38" s="2337"/>
      <c r="AA38" s="2337"/>
      <c r="AB38" s="2337"/>
      <c r="AC38" s="2337"/>
      <c r="AD38" s="2337">
        <f>IF(T24&gt;=(T23+Y23+AD23+AI23),AD28+AI28,0)</f>
        <v>0</v>
      </c>
      <c r="AE38" s="2337"/>
      <c r="AF38" s="2337"/>
      <c r="AG38" s="2337"/>
      <c r="AH38" s="2337"/>
    </row>
    <row r="39" spans="1:76" ht="12.95" customHeight="1">
      <c r="B39" s="2343" t="s">
        <v>1691</v>
      </c>
      <c r="C39" s="2344"/>
      <c r="D39" s="2344"/>
      <c r="E39" s="2344"/>
      <c r="F39" s="2344"/>
      <c r="G39" s="2344"/>
      <c r="H39" s="2344"/>
      <c r="I39" s="2344"/>
      <c r="J39" s="2344"/>
      <c r="K39" s="2344"/>
      <c r="L39" s="2344"/>
      <c r="M39" s="2344"/>
      <c r="N39" s="2344"/>
      <c r="O39" s="2344"/>
      <c r="P39" s="2344"/>
      <c r="Q39" s="2344"/>
      <c r="R39" s="2344"/>
      <c r="S39" s="2344"/>
      <c r="T39" s="2344"/>
      <c r="U39" s="2344"/>
      <c r="V39" s="2344"/>
      <c r="W39" s="2344"/>
      <c r="X39" s="2345"/>
      <c r="Y39" s="2359">
        <v>0.04</v>
      </c>
      <c r="Z39" s="2359"/>
      <c r="AA39" s="2359"/>
      <c r="AB39" s="2359"/>
      <c r="AC39" s="2359"/>
      <c r="AD39" s="2359">
        <v>0.04</v>
      </c>
      <c r="AE39" s="2359"/>
      <c r="AF39" s="2359"/>
      <c r="AG39" s="2359"/>
      <c r="AH39" s="2359"/>
    </row>
    <row r="40" spans="1:76" ht="12.95" customHeight="1">
      <c r="A40" s="404"/>
      <c r="B40" s="2343" t="s">
        <v>642</v>
      </c>
      <c r="C40" s="2344"/>
      <c r="D40" s="2344"/>
      <c r="E40" s="2344"/>
      <c r="F40" s="2344"/>
      <c r="G40" s="2344"/>
      <c r="H40" s="2344"/>
      <c r="I40" s="2344"/>
      <c r="J40" s="2344"/>
      <c r="K40" s="2344"/>
      <c r="L40" s="2344"/>
      <c r="M40" s="2344"/>
      <c r="N40" s="2344"/>
      <c r="O40" s="2344"/>
      <c r="P40" s="2344"/>
      <c r="Q40" s="2344"/>
      <c r="R40" s="2344"/>
      <c r="S40" s="2344"/>
      <c r="T40" s="2344"/>
      <c r="U40" s="2344"/>
      <c r="V40" s="2344"/>
      <c r="W40" s="2344"/>
      <c r="X40" s="2345"/>
      <c r="Y40" s="2337">
        <f>ROUND(Y38*Y39,0)</f>
        <v>2446917</v>
      </c>
      <c r="Z40" s="2337"/>
      <c r="AA40" s="2337"/>
      <c r="AB40" s="2337"/>
      <c r="AC40" s="2337"/>
      <c r="AD40" s="2356">
        <f>ROUND(AD38*AD39,0)</f>
        <v>0</v>
      </c>
      <c r="AE40" s="2337"/>
      <c r="AF40" s="2337"/>
      <c r="AG40" s="2337"/>
      <c r="AH40" s="2337"/>
    </row>
    <row r="41" spans="1:76" ht="12.95" customHeight="1">
      <c r="B41" s="2343" t="s">
        <v>643</v>
      </c>
      <c r="C41" s="2344"/>
      <c r="D41" s="2344"/>
      <c r="E41" s="2344"/>
      <c r="F41" s="2344"/>
      <c r="G41" s="2344"/>
      <c r="H41" s="2344"/>
      <c r="I41" s="2344"/>
      <c r="J41" s="2344"/>
      <c r="K41" s="2344"/>
      <c r="L41" s="2344"/>
      <c r="M41" s="2344"/>
      <c r="N41" s="2344"/>
      <c r="O41" s="2344"/>
      <c r="P41" s="2344"/>
      <c r="Q41" s="2344"/>
      <c r="R41" s="2344"/>
      <c r="S41" s="2344"/>
      <c r="T41" s="2344"/>
      <c r="U41" s="2344"/>
      <c r="V41" s="2344"/>
      <c r="W41" s="2344"/>
      <c r="X41" s="2345"/>
      <c r="Y41" s="2347">
        <f>Y40+AD40</f>
        <v>2446917</v>
      </c>
      <c r="Z41" s="2355"/>
      <c r="AA41" s="2355"/>
      <c r="AB41" s="2355"/>
      <c r="AC41" s="2355"/>
      <c r="AD41" s="2355"/>
      <c r="AE41" s="2355"/>
      <c r="AF41" s="2355"/>
      <c r="AG41" s="2355"/>
      <c r="AH41" s="2356"/>
    </row>
    <row r="42" spans="1:76" ht="12.95" customHeight="1">
      <c r="A42" s="404"/>
      <c r="B42" s="930"/>
      <c r="C42" s="930"/>
      <c r="D42" s="930"/>
      <c r="E42" s="930"/>
      <c r="F42" s="930"/>
      <c r="G42" s="930"/>
      <c r="H42" s="930"/>
      <c r="I42" s="930"/>
      <c r="J42" s="930"/>
      <c r="K42" s="930"/>
      <c r="L42" s="930"/>
      <c r="M42" s="930"/>
      <c r="N42" s="930"/>
      <c r="O42" s="930"/>
      <c r="P42" s="930"/>
      <c r="Q42" s="930"/>
      <c r="R42" s="930"/>
      <c r="S42" s="930"/>
      <c r="T42" s="930"/>
      <c r="U42" s="930"/>
      <c r="V42" s="930"/>
      <c r="W42" s="930"/>
      <c r="X42" s="930"/>
      <c r="Y42" s="930"/>
      <c r="Z42" s="930"/>
      <c r="AA42" s="930"/>
      <c r="AB42" s="930"/>
      <c r="AC42" s="930"/>
      <c r="AD42" s="930"/>
      <c r="AE42" s="930"/>
      <c r="AF42" s="930"/>
      <c r="AG42" s="930"/>
      <c r="AH42" s="930"/>
    </row>
    <row r="43" spans="1:76" ht="12.95" customHeight="1">
      <c r="B43" s="414"/>
      <c r="C43" s="414"/>
      <c r="D43" s="414"/>
      <c r="E43" s="414"/>
      <c r="F43" s="414"/>
      <c r="G43" s="414"/>
      <c r="H43" s="414"/>
      <c r="I43" s="414"/>
      <c r="J43" s="414"/>
      <c r="K43" s="414"/>
      <c r="L43" s="414"/>
      <c r="M43" s="414"/>
      <c r="N43" s="414"/>
      <c r="O43" s="414"/>
      <c r="P43" s="414"/>
      <c r="Q43" s="414"/>
      <c r="R43" s="414"/>
      <c r="S43" s="414"/>
      <c r="T43" s="414"/>
      <c r="U43" s="414"/>
      <c r="V43" s="414"/>
      <c r="W43" s="414"/>
      <c r="X43" s="414"/>
      <c r="Y43" s="414"/>
      <c r="Z43" s="414"/>
      <c r="AA43" s="414"/>
      <c r="AB43" s="414"/>
      <c r="AC43" s="414"/>
      <c r="AD43" s="414"/>
      <c r="AE43" s="414"/>
      <c r="AF43" s="414"/>
      <c r="AG43" s="414"/>
      <c r="AH43" s="414"/>
    </row>
    <row r="44" spans="1:76" s="204" customFormat="1" ht="12.95" customHeight="1" thickBot="1">
      <c r="A44" s="2354" t="s">
        <v>1276</v>
      </c>
      <c r="B44" s="2354"/>
      <c r="C44" s="2354"/>
      <c r="D44" s="2354"/>
      <c r="E44" s="2354"/>
      <c r="F44" s="2354"/>
      <c r="G44" s="2354"/>
      <c r="H44" s="2354"/>
      <c r="I44" s="2354"/>
      <c r="J44" s="2354"/>
      <c r="K44" s="2354"/>
      <c r="L44" s="2354"/>
      <c r="M44" s="2354"/>
      <c r="N44" s="2354"/>
      <c r="O44" s="2354"/>
      <c r="P44" s="2354"/>
      <c r="Q44" s="2354"/>
      <c r="R44" s="2354"/>
      <c r="S44" s="2354"/>
      <c r="T44" s="2354"/>
      <c r="U44" s="2354"/>
      <c r="V44" s="2354"/>
      <c r="W44" s="2354"/>
      <c r="X44" s="2354"/>
      <c r="Y44" s="2354"/>
      <c r="Z44" s="2354"/>
      <c r="AA44" s="2354"/>
      <c r="AB44" s="2354"/>
      <c r="AC44" s="2354"/>
      <c r="AD44" s="2354"/>
      <c r="AE44" s="2354"/>
      <c r="AF44" s="2354"/>
      <c r="AG44" s="2354"/>
      <c r="AH44" s="2354"/>
      <c r="AI44" s="2354"/>
      <c r="AJ44" s="2354"/>
      <c r="AK44" s="2354"/>
      <c r="AL44" s="2354"/>
      <c r="AM44" s="2354"/>
      <c r="AN44" s="2354"/>
      <c r="AO44" s="2354"/>
      <c r="AP44" s="2354"/>
      <c r="AQ44" s="2354"/>
      <c r="AR44" s="2354"/>
      <c r="AS44" s="2354"/>
      <c r="AT44" s="2354"/>
      <c r="AU44" s="2354"/>
      <c r="AV44" s="2354"/>
      <c r="AW44" s="2354"/>
      <c r="AX44" s="2354"/>
      <c r="AY44" s="2354"/>
      <c r="AZ44" s="2354"/>
      <c r="BA44" s="2354"/>
      <c r="BB44" s="2354"/>
      <c r="BC44" s="2354"/>
      <c r="BD44" s="2354"/>
      <c r="BE44" s="2354"/>
      <c r="BF44" s="2354"/>
      <c r="BG44" s="2354"/>
      <c r="BH44" s="2354"/>
      <c r="BI44" s="2354"/>
      <c r="BJ44" s="2354"/>
      <c r="BK44" s="2354"/>
      <c r="BL44" s="2354"/>
      <c r="BM44" s="2354"/>
      <c r="BN44" s="2354"/>
      <c r="BO44" s="2354"/>
      <c r="BP44" s="2354"/>
      <c r="BQ44" s="2354"/>
      <c r="BR44" s="2354"/>
      <c r="BS44" s="2354"/>
      <c r="BT44" s="2354"/>
      <c r="BU44" s="2354"/>
      <c r="BV44" s="2354"/>
      <c r="BW44" s="2354"/>
      <c r="BX44" s="2354"/>
    </row>
    <row r="45" spans="1:76" s="204" customFormat="1" ht="12.95" customHeight="1" thickTop="1"/>
    <row r="46" spans="1:76" ht="12.95" customHeight="1">
      <c r="A46" s="404" t="s">
        <v>586</v>
      </c>
      <c r="C46" s="404" t="s">
        <v>281</v>
      </c>
    </row>
    <row r="47" spans="1:76" ht="12.95" customHeight="1">
      <c r="D47" s="404" t="s">
        <v>282</v>
      </c>
      <c r="AB47" s="2351">
        <f>'Sources and Uses Budget'!B105-MAX(IF('Sources and Uses Budget'!B15="",0,'Sources and Uses Budget'!B15),IF(Application!AG394="",0,Application!AG394))</f>
        <v>50605110</v>
      </c>
      <c r="AC47" s="2352"/>
      <c r="AD47" s="2352"/>
      <c r="AE47" s="2352"/>
      <c r="AF47" s="2353"/>
    </row>
    <row r="48" spans="1:76" ht="12.95" customHeight="1">
      <c r="D48" s="404" t="s">
        <v>21</v>
      </c>
      <c r="AB48" s="2351">
        <f>Application!AO639-MAX(IF('Sources and Uses Budget'!B15="",0,'Sources and Uses Budget'!B15),IF(Application!AG394="",0,Application!AG394))</f>
        <v>28036820</v>
      </c>
      <c r="AC48" s="2352"/>
      <c r="AD48" s="2352"/>
      <c r="AE48" s="2352"/>
      <c r="AF48" s="2353"/>
    </row>
    <row r="49" spans="1:76" ht="12.95" customHeight="1">
      <c r="D49" s="404" t="s">
        <v>91</v>
      </c>
      <c r="AB49" s="2351">
        <f>AB47-AB48</f>
        <v>22568290</v>
      </c>
      <c r="AC49" s="2352"/>
      <c r="AD49" s="2352"/>
      <c r="AE49" s="2352"/>
      <c r="AF49" s="2353"/>
    </row>
    <row r="50" spans="1:76" ht="12.95" customHeight="1">
      <c r="D50" s="404" t="s">
        <v>681</v>
      </c>
      <c r="AA50" s="415"/>
      <c r="AB50" s="2339">
        <f>20307372/(Y41*10)</f>
        <v>0.82991666656449725</v>
      </c>
      <c r="AC50" s="2340"/>
      <c r="AD50" s="2340"/>
      <c r="AE50" s="2340"/>
      <c r="AF50" s="2341"/>
    </row>
    <row r="51" spans="1:76" s="417" customFormat="1" ht="12.95" customHeight="1">
      <c r="A51" s="402"/>
      <c r="B51" s="402"/>
      <c r="C51" s="402"/>
      <c r="D51" s="402"/>
      <c r="E51" s="2350" t="s">
        <v>1850</v>
      </c>
      <c r="F51" s="2350"/>
      <c r="G51" s="2350"/>
      <c r="H51" s="2350"/>
      <c r="I51" s="2350"/>
      <c r="J51" s="2350"/>
      <c r="K51" s="2350"/>
      <c r="L51" s="2350"/>
      <c r="M51" s="2350"/>
      <c r="N51" s="2350"/>
      <c r="O51" s="2350"/>
      <c r="P51" s="2350"/>
      <c r="Q51" s="2350"/>
      <c r="R51" s="2350"/>
      <c r="S51" s="2350"/>
      <c r="T51" s="2350"/>
      <c r="U51" s="2350"/>
      <c r="V51" s="2350"/>
      <c r="W51" s="2350"/>
      <c r="X51" s="2350"/>
      <c r="Y51" s="2350"/>
      <c r="Z51" s="2350"/>
      <c r="AA51" s="416"/>
      <c r="AB51" s="416"/>
      <c r="AC51" s="416"/>
      <c r="AD51" s="416"/>
      <c r="AE51" s="416"/>
      <c r="AF51" s="416"/>
      <c r="AG51" s="402"/>
      <c r="AH51" s="402"/>
      <c r="AI51" s="402"/>
      <c r="AJ51" s="402"/>
      <c r="AK51" s="402"/>
      <c r="AL51" s="402"/>
      <c r="AM51" s="402"/>
      <c r="AN51" s="402"/>
    </row>
    <row r="52" spans="1:76" s="417" customFormat="1" ht="12.95" customHeight="1">
      <c r="A52" s="402"/>
      <c r="B52" s="402"/>
      <c r="C52" s="402"/>
      <c r="D52" s="402"/>
      <c r="E52" s="2350"/>
      <c r="F52" s="2350"/>
      <c r="G52" s="2350"/>
      <c r="H52" s="2350"/>
      <c r="I52" s="2350"/>
      <c r="J52" s="2350"/>
      <c r="K52" s="2350"/>
      <c r="L52" s="2350"/>
      <c r="M52" s="2350"/>
      <c r="N52" s="2350"/>
      <c r="O52" s="2350"/>
      <c r="P52" s="2350"/>
      <c r="Q52" s="2350"/>
      <c r="R52" s="2350"/>
      <c r="S52" s="2350"/>
      <c r="T52" s="2350"/>
      <c r="U52" s="2350"/>
      <c r="V52" s="2350"/>
      <c r="W52" s="2350"/>
      <c r="X52" s="2350"/>
      <c r="Y52" s="2350"/>
      <c r="Z52" s="2350"/>
      <c r="AA52" s="418"/>
      <c r="AB52" s="418"/>
      <c r="AC52" s="418"/>
      <c r="AD52" s="418"/>
      <c r="AE52" s="418"/>
      <c r="AF52" s="418"/>
      <c r="AG52" s="419"/>
      <c r="AH52" s="402"/>
      <c r="AI52" s="402"/>
      <c r="AJ52" s="402"/>
      <c r="AK52" s="402"/>
      <c r="AL52" s="402"/>
      <c r="AM52" s="402"/>
      <c r="AN52" s="402"/>
    </row>
    <row r="53" spans="1:76" ht="12.95" customHeight="1">
      <c r="E53" s="416"/>
      <c r="F53" s="416"/>
      <c r="G53" s="416"/>
      <c r="H53" s="416"/>
      <c r="I53" s="416"/>
      <c r="J53" s="416"/>
      <c r="K53" s="416"/>
      <c r="L53" s="416"/>
      <c r="M53" s="416"/>
      <c r="N53" s="416"/>
      <c r="O53" s="416"/>
      <c r="P53" s="416"/>
      <c r="Q53" s="416"/>
      <c r="R53" s="416"/>
      <c r="S53" s="416"/>
      <c r="T53" s="416"/>
      <c r="U53" s="416"/>
      <c r="V53" s="416"/>
      <c r="W53" s="416"/>
      <c r="X53" s="416"/>
      <c r="Y53" s="416"/>
      <c r="Z53" s="416"/>
    </row>
    <row r="54" spans="1:76" ht="12.95" customHeight="1">
      <c r="D54" s="404" t="s">
        <v>331</v>
      </c>
      <c r="AB54" s="2351">
        <f>ROUND(IF(ISERROR((AB49/AB50)),0,(AB49/AB50)),0)</f>
        <v>27193441</v>
      </c>
      <c r="AC54" s="2352"/>
      <c r="AD54" s="2352"/>
      <c r="AE54" s="2352"/>
      <c r="AF54" s="2353"/>
    </row>
    <row r="55" spans="1:76" ht="12.95" customHeight="1">
      <c r="D55" s="404" t="s">
        <v>332</v>
      </c>
      <c r="AB55" s="2351">
        <f>(AB54/10)</f>
        <v>2719344.1</v>
      </c>
      <c r="AC55" s="2352"/>
      <c r="AD55" s="2352"/>
      <c r="AE55" s="2352"/>
      <c r="AF55" s="2353"/>
    </row>
    <row r="56" spans="1:76" ht="12.95" customHeight="1">
      <c r="D56" s="404" t="s">
        <v>756</v>
      </c>
      <c r="AB56" s="2351">
        <f>ROUND((IF((Y41&lt;AB55),Y41,AB55)),0)</f>
        <v>2446917</v>
      </c>
      <c r="AC56" s="2352"/>
      <c r="AD56" s="2352"/>
      <c r="AE56" s="2352"/>
      <c r="AF56" s="2353"/>
    </row>
    <row r="57" spans="1:76" ht="12.95" customHeight="1">
      <c r="D57" s="404" t="s">
        <v>755</v>
      </c>
      <c r="AB57" s="2351">
        <f>ROUND((10*AB56*AB50),0)</f>
        <v>20307372</v>
      </c>
      <c r="AC57" s="2352"/>
      <c r="AD57" s="2352"/>
      <c r="AE57" s="2352"/>
      <c r="AF57" s="2353"/>
    </row>
    <row r="58" spans="1:76" ht="12.95" customHeight="1">
      <c r="D58" s="404"/>
      <c r="AB58" s="423"/>
      <c r="AC58" s="423"/>
      <c r="AD58" s="423"/>
      <c r="AE58" s="423"/>
      <c r="AF58" s="423"/>
    </row>
    <row r="59" spans="1:76" ht="12.95" customHeight="1">
      <c r="D59" s="404" t="s">
        <v>754</v>
      </c>
      <c r="AB59" s="2335">
        <f>AB49-AB57</f>
        <v>2260918</v>
      </c>
      <c r="AC59" s="2335"/>
      <c r="AD59" s="2335"/>
      <c r="AE59" s="2335"/>
      <c r="AF59" s="2335"/>
    </row>
    <row r="60" spans="1:76" ht="12.95" customHeight="1">
      <c r="D60" s="404"/>
      <c r="AB60" s="423"/>
      <c r="AC60" s="423"/>
      <c r="AD60" s="423"/>
      <c r="AE60" s="423"/>
      <c r="AF60" s="423"/>
    </row>
    <row r="61" spans="1:76" s="204" customFormat="1" ht="12.95" customHeight="1" thickBot="1">
      <c r="A61" s="2354" t="str">
        <f>IF(Application!AP205="yes","Farmworker State Credit", "State Credit" )</f>
        <v>State Credit</v>
      </c>
      <c r="B61" s="2354"/>
      <c r="C61" s="2354"/>
      <c r="D61" s="2354"/>
      <c r="E61" s="2354"/>
      <c r="F61" s="2354"/>
      <c r="G61" s="2354"/>
      <c r="H61" s="2354"/>
      <c r="I61" s="2354"/>
      <c r="J61" s="2354"/>
      <c r="K61" s="2354"/>
      <c r="L61" s="2354"/>
      <c r="M61" s="2354"/>
      <c r="N61" s="2354"/>
      <c r="O61" s="2354"/>
      <c r="P61" s="2354"/>
      <c r="Q61" s="2354"/>
      <c r="R61" s="2354"/>
      <c r="S61" s="2354"/>
      <c r="T61" s="2354"/>
      <c r="U61" s="2354"/>
      <c r="V61" s="2354"/>
      <c r="W61" s="2354"/>
      <c r="X61" s="2354"/>
      <c r="Y61" s="2354"/>
      <c r="Z61" s="2354"/>
      <c r="AA61" s="2354"/>
      <c r="AB61" s="2354"/>
      <c r="AC61" s="2354"/>
      <c r="AD61" s="2354"/>
      <c r="AE61" s="2354"/>
      <c r="AF61" s="2354"/>
      <c r="AG61" s="2354"/>
      <c r="AH61" s="2354"/>
      <c r="AI61" s="2354"/>
      <c r="AJ61" s="2354"/>
      <c r="AK61" s="2354"/>
      <c r="AL61" s="2354"/>
      <c r="AM61" s="2354"/>
      <c r="AN61" s="2354"/>
      <c r="AO61" s="2354"/>
      <c r="AP61" s="2354"/>
      <c r="AQ61" s="2354"/>
      <c r="AR61" s="2354"/>
      <c r="AS61" s="2354"/>
      <c r="AT61" s="2354"/>
      <c r="AU61" s="2354"/>
      <c r="AV61" s="2354"/>
      <c r="AW61" s="2354"/>
      <c r="AX61" s="2354"/>
      <c r="AY61" s="2354"/>
      <c r="AZ61" s="2354"/>
      <c r="BA61" s="2354"/>
      <c r="BB61" s="2354"/>
      <c r="BC61" s="2354"/>
      <c r="BD61" s="2354"/>
      <c r="BE61" s="2354"/>
      <c r="BF61" s="2354"/>
      <c r="BG61" s="2354"/>
      <c r="BH61" s="2354"/>
      <c r="BI61" s="2354"/>
      <c r="BJ61" s="2354"/>
      <c r="BK61" s="2354"/>
      <c r="BL61" s="2354"/>
      <c r="BM61" s="2354"/>
      <c r="BN61" s="2354"/>
      <c r="BO61" s="2354"/>
      <c r="BP61" s="2354"/>
      <c r="BQ61" s="2354"/>
      <c r="BR61" s="2354"/>
      <c r="BS61" s="2354"/>
      <c r="BT61" s="2354"/>
      <c r="BU61" s="2354"/>
      <c r="BV61" s="2354"/>
      <c r="BW61" s="2354"/>
      <c r="BX61" s="2354"/>
    </row>
    <row r="62" spans="1:76" s="204" customFormat="1" ht="12.95" customHeight="1" thickTop="1"/>
    <row r="63" spans="1:76" ht="12.95" customHeight="1">
      <c r="A63" s="404" t="s">
        <v>589</v>
      </c>
      <c r="C63" s="205" t="s">
        <v>1248</v>
      </c>
      <c r="Y63" s="2346" t="s">
        <v>984</v>
      </c>
      <c r="Z63" s="2346"/>
      <c r="AA63" s="2346"/>
      <c r="AB63" s="2346"/>
      <c r="AC63" s="2346"/>
      <c r="AD63" s="2346" t="s">
        <v>368</v>
      </c>
      <c r="AE63" s="2346"/>
      <c r="AF63" s="2346"/>
      <c r="AG63" s="2346"/>
      <c r="AH63" s="2346"/>
    </row>
    <row r="64" spans="1:76" ht="12.95" customHeight="1">
      <c r="C64" s="404"/>
      <c r="D64" s="377" t="s">
        <v>1249</v>
      </c>
      <c r="E64" s="420"/>
      <c r="F64" s="420"/>
      <c r="G64" s="420"/>
      <c r="H64" s="420"/>
      <c r="I64" s="420"/>
      <c r="J64" s="420"/>
      <c r="K64" s="420"/>
      <c r="L64" s="420"/>
      <c r="M64" s="420"/>
      <c r="N64" s="420"/>
      <c r="O64" s="420"/>
      <c r="P64" s="420"/>
      <c r="Q64" s="420"/>
      <c r="R64" s="420"/>
      <c r="S64" s="420"/>
      <c r="T64" s="420"/>
      <c r="U64" s="420"/>
      <c r="V64" s="420"/>
      <c r="W64" s="420"/>
      <c r="X64" s="420"/>
      <c r="Y64" s="2347">
        <f>IF(Application!$Z$205="(select)",0,((T23*T27)+Y28))</f>
        <v>47056089</v>
      </c>
      <c r="Z64" s="2348"/>
      <c r="AA64" s="2348"/>
      <c r="AB64" s="2348"/>
      <c r="AC64" s="2349"/>
      <c r="AD64" s="2347">
        <f>IF(AND(OR(Application!D211="At-Risk",Application!D211="At-Risk and Special Needs"),Application!M358="yes"),AD28+AI28,0)</f>
        <v>0</v>
      </c>
      <c r="AE64" s="2348"/>
      <c r="AF64" s="2348"/>
      <c r="AG64" s="2348"/>
      <c r="AH64" s="2349"/>
    </row>
    <row r="65" spans="1:36" ht="12.95" customHeight="1">
      <c r="C65" s="404"/>
      <c r="E65" s="1017" t="s">
        <v>1848</v>
      </c>
      <c r="F65" s="439"/>
      <c r="G65" s="439"/>
      <c r="H65" s="439"/>
      <c r="I65" s="439"/>
      <c r="J65" s="439"/>
      <c r="K65" s="439"/>
      <c r="L65" s="439"/>
      <c r="M65" s="439"/>
      <c r="N65" s="439"/>
      <c r="O65" s="439"/>
      <c r="P65" s="439"/>
      <c r="Q65" s="439"/>
      <c r="R65" s="439"/>
      <c r="S65" s="439"/>
      <c r="T65" s="439"/>
      <c r="U65" s="439"/>
      <c r="V65" s="439"/>
      <c r="W65" s="439"/>
      <c r="X65" s="439"/>
      <c r="Y65" s="439"/>
      <c r="Z65" s="439"/>
      <c r="AA65" s="439"/>
      <c r="AB65" s="439"/>
      <c r="AC65" s="439"/>
      <c r="AD65" s="439"/>
      <c r="AE65" s="439"/>
      <c r="AF65" s="439"/>
      <c r="AG65" s="439"/>
      <c r="AH65" s="439"/>
      <c r="AI65" s="439"/>
      <c r="AJ65" s="439"/>
    </row>
    <row r="66" spans="1:36" ht="22.5" customHeight="1">
      <c r="C66" s="404"/>
      <c r="E66" s="1017" t="s">
        <v>1849</v>
      </c>
      <c r="F66" s="439"/>
      <c r="G66" s="439"/>
      <c r="H66" s="439"/>
      <c r="I66" s="439"/>
      <c r="J66" s="439"/>
      <c r="K66" s="439"/>
      <c r="L66" s="439"/>
      <c r="M66" s="439"/>
      <c r="N66" s="439"/>
      <c r="O66" s="439"/>
      <c r="P66" s="439"/>
      <c r="Q66" s="439"/>
      <c r="R66" s="439"/>
      <c r="S66" s="439"/>
      <c r="T66" s="439"/>
      <c r="U66" s="439"/>
      <c r="V66" s="439"/>
      <c r="W66" s="439"/>
      <c r="X66" s="439"/>
      <c r="Y66" s="439"/>
      <c r="Z66" s="439"/>
      <c r="AA66" s="439"/>
      <c r="AB66" s="439"/>
      <c r="AC66" s="439"/>
      <c r="AD66" s="439"/>
      <c r="AE66" s="439"/>
      <c r="AF66" s="439"/>
      <c r="AG66" s="439"/>
      <c r="AH66" s="439"/>
      <c r="AI66" s="439"/>
      <c r="AJ66" s="439"/>
    </row>
    <row r="67" spans="1:36" ht="12.95" customHeight="1">
      <c r="C67" s="404"/>
      <c r="D67" s="404" t="s">
        <v>269</v>
      </c>
      <c r="E67" s="421"/>
      <c r="F67" s="421"/>
      <c r="G67" s="421"/>
      <c r="H67" s="421"/>
      <c r="I67" s="421"/>
      <c r="J67" s="421"/>
      <c r="K67" s="421"/>
      <c r="L67" s="421"/>
      <c r="M67" s="421"/>
      <c r="N67" s="421"/>
      <c r="O67" s="421"/>
      <c r="P67" s="421"/>
      <c r="Q67" s="421"/>
      <c r="R67" s="421"/>
      <c r="S67" s="421"/>
      <c r="T67" s="421"/>
      <c r="U67" s="421"/>
      <c r="V67" s="421"/>
      <c r="W67" s="421"/>
      <c r="X67" s="421"/>
      <c r="Y67" s="2336" cm="1">
        <f t="array" ref="Y67">_xlfn.IFS(OR(Application!Z205="State Farmworker Credit",Application!Z205="$500M (Farmworker Housing)"),0.75,Application!Z205="15% set-aside",0.13,Application!Z205="15% set-aside with qualifying low value rehab",0.95,Application!Z205="$500M",0.3,TRUE,0)</f>
        <v>0.3</v>
      </c>
      <c r="Z67" s="2336"/>
      <c r="AA67" s="2336"/>
      <c r="AB67" s="2336"/>
      <c r="AC67" s="2336"/>
      <c r="AD67" s="2336" cm="1">
        <f t="array" ref="AD67">_xlfn.IFS(Application!Z205="15% set-aside with qualifying low value rehab", 0.95,OR(Application!D211="At-Risk",'Points System'!B13="Yes"),0.13,TRUE,0)</f>
        <v>0</v>
      </c>
      <c r="AE67" s="2336"/>
      <c r="AF67" s="2336"/>
      <c r="AG67" s="2336"/>
      <c r="AH67" s="2336"/>
    </row>
    <row r="68" spans="1:36" ht="12.95" customHeight="1">
      <c r="C68" s="404"/>
      <c r="D68" s="205" t="s">
        <v>2226</v>
      </c>
      <c r="Y68" s="2337">
        <f>ROUND(Y64*Y67,0)</f>
        <v>14116827</v>
      </c>
      <c r="Z68" s="2338"/>
      <c r="AA68" s="2338"/>
      <c r="AB68" s="2338"/>
      <c r="AC68" s="2338"/>
      <c r="AD68" s="2337">
        <f>ROUND(AD64*AD67,0)</f>
        <v>0</v>
      </c>
      <c r="AE68" s="2338"/>
      <c r="AF68" s="2338"/>
      <c r="AG68" s="2338"/>
      <c r="AH68" s="2338"/>
    </row>
    <row r="69" spans="1:36" ht="12.95" customHeight="1">
      <c r="C69" s="404"/>
      <c r="D69" s="205" t="s">
        <v>2227</v>
      </c>
      <c r="Y69" s="2337">
        <f>IF(OR(Application!Z205="State Farmworker Credit",Application!Z205="$500M (Farmworker Housing)"),Y68+AD68,MIN(Y68+AD68,200000*(Application!G753+Application!O777)))</f>
        <v>14116827</v>
      </c>
      <c r="Z69" s="2337"/>
      <c r="AA69" s="2337"/>
      <c r="AB69" s="2337"/>
      <c r="AC69" s="2337"/>
      <c r="AD69" s="2337"/>
      <c r="AE69" s="2337"/>
      <c r="AF69" s="2337"/>
      <c r="AG69" s="2337"/>
      <c r="AH69" s="2337"/>
    </row>
    <row r="70" spans="1:36" ht="12.95" customHeight="1">
      <c r="C70" s="404"/>
      <c r="E70" s="404"/>
      <c r="AB70" s="422"/>
      <c r="AC70" s="422"/>
      <c r="AD70" s="422"/>
      <c r="AE70" s="422"/>
      <c r="AF70" s="422"/>
    </row>
    <row r="71" spans="1:36" ht="12.95" customHeight="1">
      <c r="A71" s="404" t="s">
        <v>590</v>
      </c>
      <c r="C71" s="205" t="s">
        <v>283</v>
      </c>
    </row>
    <row r="72" spans="1:36" ht="12.95" customHeight="1">
      <c r="A72" s="404"/>
      <c r="C72" s="404"/>
      <c r="D72" s="205" t="s">
        <v>1250</v>
      </c>
      <c r="AB72" s="2339">
        <f>AB59/2724270</f>
        <v>0.82991700528949042</v>
      </c>
      <c r="AC72" s="2340"/>
      <c r="AD72" s="2340"/>
      <c r="AE72" s="2340"/>
      <c r="AF72" s="2341"/>
    </row>
    <row r="73" spans="1:36" ht="12.95" customHeight="1">
      <c r="A73" s="404"/>
      <c r="C73" s="404"/>
      <c r="D73" s="404"/>
      <c r="E73" s="2342" t="s">
        <v>1251</v>
      </c>
      <c r="F73" s="2342"/>
      <c r="G73" s="2342"/>
      <c r="H73" s="2342"/>
      <c r="I73" s="2342"/>
      <c r="J73" s="2342"/>
      <c r="K73" s="2342"/>
      <c r="L73" s="2342"/>
      <c r="M73" s="2342"/>
      <c r="N73" s="2342"/>
      <c r="O73" s="2342"/>
      <c r="P73" s="2342"/>
      <c r="Q73" s="2342"/>
      <c r="R73" s="2342"/>
      <c r="S73" s="2342"/>
      <c r="T73" s="2342"/>
      <c r="U73" s="2342"/>
      <c r="V73" s="2342"/>
      <c r="W73" s="2342"/>
      <c r="X73" s="2342"/>
      <c r="Y73" s="2342"/>
      <c r="Z73" s="2342"/>
      <c r="AA73" s="2342"/>
      <c r="AB73" s="438"/>
      <c r="AC73" s="438"/>
    </row>
    <row r="74" spans="1:36" ht="12.95" customHeight="1">
      <c r="A74" s="404"/>
      <c r="C74" s="404"/>
      <c r="D74" s="404"/>
      <c r="E74" s="2342"/>
      <c r="F74" s="2342"/>
      <c r="G74" s="2342"/>
      <c r="H74" s="2342"/>
      <c r="I74" s="2342"/>
      <c r="J74" s="2342"/>
      <c r="K74" s="2342"/>
      <c r="L74" s="2342"/>
      <c r="M74" s="2342"/>
      <c r="N74" s="2342"/>
      <c r="O74" s="2342"/>
      <c r="P74" s="2342"/>
      <c r="Q74" s="2342"/>
      <c r="R74" s="2342"/>
      <c r="S74" s="2342"/>
      <c r="T74" s="2342"/>
      <c r="U74" s="2342"/>
      <c r="V74" s="2342"/>
      <c r="W74" s="2342"/>
      <c r="X74" s="2342"/>
      <c r="Y74" s="2342"/>
      <c r="Z74" s="2342"/>
      <c r="AA74" s="2342"/>
      <c r="AB74" s="438"/>
      <c r="AC74" s="438"/>
    </row>
    <row r="75" spans="1:36" ht="12.95" customHeight="1">
      <c r="A75" s="404"/>
      <c r="C75" s="404"/>
      <c r="D75" s="404"/>
      <c r="E75" s="2342"/>
      <c r="F75" s="2342"/>
      <c r="G75" s="2342"/>
      <c r="H75" s="2342"/>
      <c r="I75" s="2342"/>
      <c r="J75" s="2342"/>
      <c r="K75" s="2342"/>
      <c r="L75" s="2342"/>
      <c r="M75" s="2342"/>
      <c r="N75" s="2342"/>
      <c r="O75" s="2342"/>
      <c r="P75" s="2342"/>
      <c r="Q75" s="2342"/>
      <c r="R75" s="2342"/>
      <c r="S75" s="2342"/>
      <c r="T75" s="2342"/>
      <c r="U75" s="2342"/>
      <c r="V75" s="2342"/>
      <c r="W75" s="2342"/>
      <c r="X75" s="2342"/>
      <c r="Y75" s="2342"/>
      <c r="Z75" s="2342"/>
      <c r="AA75" s="2342"/>
      <c r="AB75" s="438"/>
      <c r="AC75" s="438"/>
    </row>
    <row r="76" spans="1:36" ht="12.95" customHeight="1">
      <c r="A76" s="404"/>
      <c r="C76" s="404"/>
      <c r="D76" s="404"/>
      <c r="E76" s="424"/>
      <c r="F76" s="424"/>
      <c r="G76" s="424"/>
      <c r="H76" s="424"/>
      <c r="I76" s="424"/>
      <c r="J76" s="424"/>
      <c r="K76" s="424"/>
      <c r="L76" s="424"/>
      <c r="M76" s="424"/>
      <c r="N76" s="424"/>
      <c r="O76" s="424"/>
      <c r="P76" s="424"/>
      <c r="Q76" s="424"/>
      <c r="R76" s="424"/>
      <c r="S76" s="424"/>
      <c r="T76" s="424"/>
      <c r="U76" s="424"/>
      <c r="V76" s="424"/>
      <c r="W76" s="424"/>
      <c r="X76" s="424"/>
      <c r="Y76" s="424"/>
      <c r="Z76" s="424"/>
      <c r="AA76" s="360"/>
      <c r="AB76" s="360"/>
      <c r="AC76" s="360"/>
    </row>
    <row r="77" spans="1:36" ht="12.95" customHeight="1">
      <c r="C77" s="404"/>
      <c r="D77" s="205" t="s">
        <v>1252</v>
      </c>
      <c r="AB77" s="2330">
        <f>ROUND(IF(ISERROR((AB59/AB72)),0,(AB59/AB72)),0)</f>
        <v>2724270</v>
      </c>
      <c r="AC77" s="2330"/>
      <c r="AD77" s="2330"/>
      <c r="AE77" s="2330"/>
      <c r="AF77" s="2330"/>
    </row>
    <row r="78" spans="1:36" ht="12.95" customHeight="1">
      <c r="C78" s="404"/>
      <c r="D78" s="205" t="s">
        <v>1253</v>
      </c>
      <c r="AB78" s="2331">
        <f>ROUNDUP(MIN(Y69,AB77),0)</f>
        <v>2724270</v>
      </c>
      <c r="AC78" s="2332"/>
      <c r="AD78" s="2332"/>
      <c r="AE78" s="2332"/>
      <c r="AF78" s="2333"/>
    </row>
    <row r="79" spans="1:36" ht="12.95" customHeight="1">
      <c r="C79" s="404"/>
      <c r="D79" s="205" t="s">
        <v>1254</v>
      </c>
      <c r="AB79" s="2334">
        <f>AB78*AB72</f>
        <v>2260918</v>
      </c>
      <c r="AC79" s="2334"/>
      <c r="AD79" s="2334"/>
      <c r="AE79" s="2334"/>
      <c r="AF79" s="2334"/>
    </row>
    <row r="80" spans="1:36" ht="12.95" customHeight="1">
      <c r="C80" s="404"/>
      <c r="D80" s="404"/>
      <c r="AB80" s="425"/>
      <c r="AC80" s="425"/>
      <c r="AD80" s="425"/>
      <c r="AE80" s="425"/>
      <c r="AF80" s="425"/>
    </row>
    <row r="81" spans="1:78" ht="12.95" customHeight="1">
      <c r="D81" s="404" t="s">
        <v>754</v>
      </c>
      <c r="AB81" s="2335">
        <f>AB49-(AB57+AB79)</f>
        <v>0</v>
      </c>
      <c r="AC81" s="2335"/>
      <c r="AD81" s="2335"/>
      <c r="AE81" s="2335"/>
      <c r="AF81" s="2335"/>
    </row>
    <row r="82" spans="1:78" ht="12.95" customHeight="1">
      <c r="F82" s="522"/>
      <c r="J82" s="522" t="str">
        <f>IF(AB81&gt;0,"FUNDING GAP MUST NOT EXCEED ZERO","")</f>
        <v/>
      </c>
    </row>
    <row r="83" spans="1:78" ht="12.95" customHeight="1">
      <c r="D83" s="523"/>
    </row>
    <row r="84" spans="1:78" ht="12.95" customHeight="1" thickBot="1">
      <c r="A84" s="2354"/>
      <c r="B84" s="2354"/>
      <c r="C84" s="2354"/>
      <c r="D84" s="2354"/>
      <c r="E84" s="2354"/>
      <c r="F84" s="2354"/>
      <c r="G84" s="2354"/>
      <c r="H84" s="2354"/>
      <c r="I84" s="2354"/>
      <c r="J84" s="2354"/>
      <c r="K84" s="2354"/>
      <c r="L84" s="2354"/>
      <c r="M84" s="2354"/>
      <c r="N84" s="2354"/>
      <c r="O84" s="2354"/>
      <c r="P84" s="2354"/>
      <c r="Q84" s="2354"/>
      <c r="R84" s="2354"/>
      <c r="S84" s="2354"/>
      <c r="T84" s="2354"/>
      <c r="U84" s="2354"/>
      <c r="V84" s="2354"/>
      <c r="W84" s="2354"/>
      <c r="X84" s="2354"/>
      <c r="Y84" s="2354"/>
      <c r="Z84" s="2354"/>
      <c r="AA84" s="2354"/>
      <c r="AB84" s="2354"/>
      <c r="AC84" s="2354"/>
      <c r="AD84" s="2354"/>
      <c r="AE84" s="2354"/>
      <c r="AF84" s="2354"/>
      <c r="AG84" s="2354"/>
      <c r="AH84" s="2354"/>
      <c r="AI84" s="2354"/>
      <c r="AJ84" s="2354"/>
      <c r="AK84" s="2354"/>
      <c r="AL84" s="2354"/>
      <c r="AM84" s="2354"/>
      <c r="AN84" s="2354"/>
      <c r="AO84" s="2354"/>
      <c r="AP84" s="2354"/>
      <c r="AQ84" s="2354"/>
      <c r="AR84" s="2354"/>
      <c r="AS84" s="2354"/>
      <c r="AT84" s="2354"/>
      <c r="AU84" s="2354"/>
      <c r="AV84" s="2354"/>
      <c r="AW84" s="2354"/>
      <c r="AX84" s="2354"/>
      <c r="AY84" s="2354"/>
      <c r="AZ84" s="2354"/>
      <c r="BA84" s="2354"/>
      <c r="BB84" s="2354"/>
      <c r="BC84" s="2354"/>
      <c r="BD84" s="2354"/>
      <c r="BE84" s="2354"/>
      <c r="BF84" s="2354"/>
      <c r="BG84" s="2354"/>
      <c r="BH84" s="2354"/>
      <c r="BI84" s="2354"/>
      <c r="BJ84" s="2354"/>
      <c r="BK84" s="2354"/>
      <c r="BL84" s="2354"/>
      <c r="BM84" s="2354"/>
      <c r="BN84" s="2354"/>
      <c r="BO84" s="2354"/>
      <c r="BP84" s="2354"/>
      <c r="BQ84" s="2354"/>
      <c r="BR84" s="2354"/>
      <c r="BS84" s="2354"/>
      <c r="BT84" s="2354"/>
      <c r="BU84" s="2354"/>
      <c r="BV84" s="2354"/>
      <c r="BW84" s="2354"/>
      <c r="BX84" s="2354"/>
    </row>
    <row r="85" spans="1:78" ht="12.95" customHeight="1" thickTop="1"/>
    <row r="86" spans="1:78" ht="12.95" customHeight="1">
      <c r="A86" s="404"/>
      <c r="C86" s="205"/>
    </row>
    <row r="87" spans="1:78" ht="12.95" customHeight="1">
      <c r="D87" s="205"/>
      <c r="AB87" s="2386"/>
      <c r="AC87" s="2386"/>
      <c r="AD87" s="2386"/>
      <c r="AE87" s="2386"/>
      <c r="AF87" s="2386"/>
    </row>
    <row r="88" spans="1:78" ht="12.95" customHeight="1" thickBot="1">
      <c r="D88" s="205"/>
      <c r="AB88" s="2385"/>
      <c r="AC88" s="2385"/>
      <c r="AD88" s="2385"/>
      <c r="AE88" s="2385"/>
      <c r="AF88" s="2385"/>
      <c r="AO88" s="521"/>
      <c r="AP88" s="521"/>
      <c r="AQ88" s="521"/>
      <c r="AR88" s="521"/>
      <c r="AS88" s="521"/>
      <c r="AT88" s="521"/>
      <c r="AU88" s="521"/>
      <c r="AV88" s="521"/>
      <c r="AW88" s="521"/>
      <c r="AX88" s="521"/>
      <c r="AY88" s="521"/>
      <c r="AZ88" s="521"/>
      <c r="BA88" s="521"/>
      <c r="BB88" s="521"/>
      <c r="BC88" s="521"/>
      <c r="BD88" s="521"/>
      <c r="BE88" s="521"/>
      <c r="BF88" s="521"/>
      <c r="BG88" s="521"/>
      <c r="BH88" s="521"/>
      <c r="BI88" s="521"/>
      <c r="BJ88" s="521"/>
      <c r="BK88" s="521"/>
      <c r="BL88" s="521"/>
      <c r="BM88" s="521"/>
      <c r="BN88" s="521"/>
      <c r="BO88" s="521"/>
      <c r="BP88" s="521"/>
      <c r="BQ88" s="521"/>
      <c r="BR88" s="521"/>
      <c r="BS88" s="521"/>
      <c r="BT88" s="521"/>
      <c r="BU88" s="521"/>
      <c r="BV88" s="521"/>
      <c r="BW88" s="521"/>
      <c r="BX88" s="521"/>
      <c r="BY88" s="521"/>
      <c r="BZ88" s="521"/>
    </row>
    <row r="89" spans="1:78" ht="12.95" customHeight="1" thickTop="1"/>
  </sheetData>
  <sheetProtection algorithmName="SHA-512" hashValue="Ozp0JcLS8Ad+MKfIDKYwLzxgKer7KTR3Ibh34CcQ+GBsI2KA16dLqlCvW/JdYSPiMK3c0XBe2GNpB1jAf8ETrQ==" saltValue="OXZBnsgKaPChqpwQBRQHSw==" spinCount="100000" sheet="1" objects="1" scenarios="1"/>
  <mergeCells count="139">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7:AF77"/>
    <mergeCell ref="AB78:AF78"/>
    <mergeCell ref="AB79:AF79"/>
    <mergeCell ref="AB81:AF81"/>
    <mergeCell ref="Y67:AC67"/>
    <mergeCell ref="AD67:AH67"/>
    <mergeCell ref="Y68:AC68"/>
    <mergeCell ref="AD68:AH68"/>
    <mergeCell ref="AB72:AF72"/>
    <mergeCell ref="E73:AA75"/>
    <mergeCell ref="Y69:AH69"/>
  </mergeCells>
  <conditionalFormatting sqref="B18:B19">
    <cfRule type="expression" dxfId="17" priority="3">
      <formula>AND($T$18&gt;0,OR($C$18="",$C$18="Subtract (specify other ineligible amounts):"))</formula>
    </cfRule>
  </conditionalFormatting>
  <conditionalFormatting sqref="C18:S19">
    <cfRule type="expression" dxfId="16" priority="1">
      <formula>AND(T18&gt;0,OR(C18="",C18="Subtract (specify other ineligible amounts):"))</formula>
    </cfRule>
  </conditionalFormatting>
  <conditionalFormatting sqref="AB59:AF60 AB81:AF81">
    <cfRule type="cellIs" dxfId="15"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2"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27"/>
  <sheetViews>
    <sheetView showGridLines="0" topLeftCell="A187" zoomScale="85" zoomScaleNormal="85" workbookViewId="0">
      <selection activeCell="AD210" sqref="AD210:AJ210"/>
    </sheetView>
  </sheetViews>
  <sheetFormatPr defaultColWidth="0" defaultRowHeight="12.75" zeroHeight="1"/>
  <cols>
    <col min="1" max="1" width="2.7109375" style="14" customWidth="1"/>
    <col min="2" max="3" width="2.42578125" style="14" customWidth="1"/>
    <col min="4" max="4" width="3.140625" style="14" customWidth="1"/>
    <col min="5" max="5" width="3.42578125" style="14" customWidth="1"/>
    <col min="6" max="6" width="2.85546875" style="14" customWidth="1"/>
    <col min="7" max="14" width="2.42578125" style="14" customWidth="1"/>
    <col min="15" max="15" width="2.85546875" style="14" customWidth="1"/>
    <col min="16" max="16" width="2.42578125" style="14" customWidth="1"/>
    <col min="17" max="17" width="3.85546875" style="14" customWidth="1"/>
    <col min="18" max="18" width="4.5703125" style="14" customWidth="1"/>
    <col min="19" max="19" width="3.28515625" style="14" customWidth="1"/>
    <col min="20" max="26" width="2.42578125" style="14" customWidth="1"/>
    <col min="27" max="30" width="2.5703125" style="14" customWidth="1"/>
    <col min="31" max="32" width="2.42578125" style="14" customWidth="1"/>
    <col min="33" max="33" width="3.42578125" style="14" customWidth="1"/>
    <col min="34" max="36" width="2.42578125" style="14" customWidth="1"/>
    <col min="37" max="37" width="5.5703125" style="14" customWidth="1"/>
    <col min="38" max="38" width="2.42578125" style="14" customWidth="1"/>
    <col min="39" max="39" width="3.42578125" style="14" customWidth="1"/>
    <col min="40" max="40" width="5.5703125" style="534" customWidth="1"/>
    <col min="41" max="41" width="5.5703125" style="30" hidden="1" customWidth="1"/>
    <col min="42" max="45" width="5.5703125" style="14" hidden="1" customWidth="1"/>
    <col min="46" max="46" width="10.85546875" style="14" hidden="1" customWidth="1"/>
    <col min="47" max="48" width="5.5703125" style="14" hidden="1" customWidth="1"/>
    <col min="49" max="49" width="8.7109375" style="14" hidden="1" customWidth="1"/>
    <col min="50" max="50" width="7.42578125" style="14" hidden="1" customWidth="1"/>
    <col min="51" max="55" width="5.5703125" style="14" hidden="1" customWidth="1"/>
    <col min="56" max="60" width="5.5703125" style="32" hidden="1" customWidth="1"/>
    <col min="61" max="81" width="5.5703125" style="14" hidden="1" customWidth="1"/>
    <col min="82" max="16384" width="9.140625" style="14" hidden="1"/>
  </cols>
  <sheetData>
    <row r="1" spans="1:42" ht="15.75" customHeight="1">
      <c r="A1" s="2428" t="s">
        <v>1300</v>
      </c>
      <c r="B1" s="2428"/>
      <c r="C1" s="2428"/>
      <c r="D1" s="2428"/>
      <c r="E1" s="2428"/>
      <c r="F1" s="2428"/>
      <c r="G1" s="2428"/>
      <c r="H1" s="2428"/>
      <c r="I1" s="2428"/>
      <c r="J1" s="2428"/>
      <c r="K1" s="2428"/>
      <c r="L1" s="2428"/>
      <c r="M1" s="2428"/>
      <c r="N1" s="2428"/>
      <c r="O1" s="2428"/>
      <c r="P1" s="2428"/>
      <c r="Q1" s="2428"/>
      <c r="R1" s="2428"/>
      <c r="S1" s="2428"/>
      <c r="T1" s="2428"/>
      <c r="U1" s="2428"/>
      <c r="V1" s="2428"/>
      <c r="W1" s="2428"/>
      <c r="X1" s="2428"/>
      <c r="Y1" s="2428"/>
      <c r="Z1" s="2428"/>
      <c r="AA1" s="2428"/>
      <c r="AB1" s="2428"/>
      <c r="AC1" s="2428"/>
      <c r="AD1" s="2428"/>
      <c r="AE1" s="2428"/>
      <c r="AF1" s="2428"/>
      <c r="AG1" s="2428"/>
      <c r="AH1" s="2428"/>
      <c r="AI1" s="2428"/>
      <c r="AJ1" s="2428"/>
      <c r="AK1" s="2428"/>
      <c r="AL1" s="2428"/>
      <c r="AM1" s="2428"/>
    </row>
    <row r="2" spans="1:42" s="536" customFormat="1" ht="12.75" customHeight="1" thickBot="1">
      <c r="A2" s="2429"/>
      <c r="B2" s="2429"/>
      <c r="C2" s="2429"/>
      <c r="D2" s="2429"/>
      <c r="E2" s="2429"/>
      <c r="F2" s="2429"/>
      <c r="G2" s="2429"/>
      <c r="H2" s="2429"/>
      <c r="I2" s="2429"/>
      <c r="J2" s="2429"/>
      <c r="K2" s="2429"/>
      <c r="L2" s="2429"/>
      <c r="M2" s="2429"/>
      <c r="N2" s="2429"/>
      <c r="O2" s="2429"/>
      <c r="P2" s="2429"/>
      <c r="Q2" s="2429"/>
      <c r="R2" s="2429"/>
      <c r="S2" s="2429"/>
      <c r="T2" s="2429"/>
      <c r="U2" s="2429"/>
      <c r="V2" s="2429"/>
      <c r="W2" s="2429"/>
      <c r="X2" s="2429"/>
      <c r="Y2" s="2429"/>
      <c r="Z2" s="2429"/>
      <c r="AA2" s="2429"/>
      <c r="AB2" s="2429"/>
      <c r="AC2" s="2429"/>
      <c r="AD2" s="2429"/>
      <c r="AE2" s="2429"/>
      <c r="AF2" s="2429"/>
      <c r="AG2" s="2429"/>
      <c r="AH2" s="2429"/>
      <c r="AI2" s="2429"/>
      <c r="AJ2" s="2429"/>
      <c r="AK2" s="2429"/>
      <c r="AL2" s="2429"/>
      <c r="AM2" s="2429"/>
      <c r="AN2" s="535"/>
    </row>
    <row r="3" spans="1:42" s="536" customFormat="1" ht="12.75" customHeight="1" thickTop="1">
      <c r="A3" s="537"/>
      <c r="B3" s="537"/>
      <c r="C3" s="537"/>
      <c r="D3" s="537"/>
      <c r="E3" s="537"/>
      <c r="F3" s="537"/>
      <c r="G3" s="537"/>
      <c r="H3" s="537"/>
      <c r="I3" s="537"/>
      <c r="J3" s="537"/>
      <c r="K3" s="537"/>
      <c r="L3" s="537"/>
      <c r="M3" s="537"/>
      <c r="N3" s="537"/>
      <c r="O3" s="537"/>
      <c r="P3" s="537"/>
      <c r="Q3" s="537"/>
      <c r="R3" s="537"/>
      <c r="S3" s="537"/>
      <c r="T3" s="537"/>
      <c r="U3" s="537"/>
      <c r="V3" s="537"/>
      <c r="W3" s="537"/>
      <c r="X3" s="537"/>
      <c r="Y3" s="537"/>
      <c r="Z3" s="537"/>
      <c r="AA3" s="537"/>
      <c r="AB3" s="537"/>
      <c r="AC3" s="537"/>
      <c r="AD3" s="537"/>
      <c r="AE3" s="537"/>
      <c r="AF3" s="537"/>
      <c r="AG3" s="537"/>
      <c r="AH3" s="537"/>
      <c r="AI3" s="537"/>
      <c r="AJ3" s="537"/>
      <c r="AK3" s="537"/>
      <c r="AL3" s="537"/>
      <c r="AM3" s="537"/>
      <c r="AN3" s="535"/>
    </row>
    <row r="4" spans="1:42" s="536" customFormat="1" ht="12.75" customHeight="1">
      <c r="A4" s="538" t="s">
        <v>1301</v>
      </c>
      <c r="B4" s="539" t="s">
        <v>1302</v>
      </c>
      <c r="C4" s="540"/>
      <c r="D4" s="540"/>
      <c r="E4" s="540"/>
      <c r="F4" s="540"/>
      <c r="G4" s="540"/>
      <c r="H4" s="540"/>
      <c r="I4" s="540"/>
      <c r="J4" s="540"/>
      <c r="K4" s="540"/>
      <c r="L4" s="540"/>
      <c r="M4" s="540"/>
      <c r="N4" s="540"/>
      <c r="O4" s="540"/>
      <c r="P4" s="540"/>
      <c r="Q4" s="540"/>
      <c r="R4" s="540"/>
      <c r="S4" s="540"/>
      <c r="T4" s="540"/>
      <c r="U4" s="540"/>
      <c r="V4" s="540"/>
      <c r="W4" s="540"/>
      <c r="X4" s="540"/>
      <c r="Y4" s="540"/>
      <c r="Z4" s="540"/>
      <c r="AA4" s="540"/>
      <c r="AB4" s="540"/>
      <c r="AC4" s="540"/>
      <c r="AD4" s="540"/>
      <c r="AE4" s="540"/>
      <c r="AF4" s="540"/>
      <c r="AG4" s="540"/>
      <c r="AH4" s="540"/>
      <c r="AI4" s="540"/>
      <c r="AJ4" s="540"/>
      <c r="AK4" s="540"/>
      <c r="AL4" s="540"/>
      <c r="AM4" s="540"/>
      <c r="AN4" s="535"/>
    </row>
    <row r="5" spans="1:42" s="536" customFormat="1" ht="12.75" customHeight="1" thickBot="1">
      <c r="A5" s="538"/>
      <c r="B5" s="539"/>
      <c r="C5" s="540"/>
      <c r="D5" s="540"/>
      <c r="E5" s="540"/>
      <c r="F5" s="540"/>
      <c r="G5" s="540"/>
      <c r="H5" s="540"/>
      <c r="I5" s="540"/>
      <c r="J5" s="540"/>
      <c r="K5" s="540"/>
      <c r="L5" s="540"/>
      <c r="M5" s="540"/>
      <c r="N5" s="540"/>
      <c r="O5" s="540"/>
      <c r="P5" s="540"/>
      <c r="Q5" s="540"/>
      <c r="R5" s="540"/>
      <c r="S5" s="540"/>
      <c r="T5" s="540"/>
      <c r="U5" s="540"/>
      <c r="V5" s="540"/>
      <c r="W5" s="540"/>
      <c r="X5" s="540"/>
      <c r="Y5" s="540"/>
      <c r="Z5" s="540"/>
      <c r="AA5" s="540"/>
      <c r="AB5" s="540"/>
      <c r="AC5" s="540"/>
      <c r="AD5" s="540"/>
      <c r="AE5" s="540"/>
      <c r="AF5" s="540"/>
      <c r="AG5" s="540"/>
      <c r="AH5" s="540"/>
      <c r="AI5" s="540"/>
      <c r="AJ5" s="540"/>
      <c r="AK5" s="540"/>
      <c r="AL5" s="540"/>
      <c r="AM5" s="540"/>
      <c r="AN5" s="535"/>
    </row>
    <row r="6" spans="1:42" s="536" customFormat="1" ht="12.75" customHeight="1" thickTop="1">
      <c r="A6" s="541"/>
      <c r="B6" s="541"/>
      <c r="C6" s="541"/>
      <c r="D6" s="541"/>
      <c r="E6" s="541"/>
      <c r="F6" s="541"/>
      <c r="G6" s="541"/>
      <c r="H6" s="541"/>
      <c r="I6" s="541"/>
      <c r="J6" s="541"/>
      <c r="K6" s="541"/>
      <c r="L6" s="541"/>
      <c r="M6" s="541"/>
      <c r="N6" s="541"/>
      <c r="O6" s="541"/>
      <c r="P6" s="541"/>
      <c r="Q6" s="541"/>
      <c r="R6" s="541"/>
      <c r="S6" s="541"/>
      <c r="T6" s="541"/>
      <c r="U6" s="541"/>
      <c r="V6" s="541"/>
      <c r="W6" s="541"/>
      <c r="X6" s="541"/>
      <c r="Y6" s="541"/>
      <c r="Z6" s="541"/>
      <c r="AA6" s="541"/>
      <c r="AB6" s="541"/>
      <c r="AC6" s="541"/>
      <c r="AD6" s="541"/>
      <c r="AE6" s="541"/>
      <c r="AF6" s="541"/>
      <c r="AG6" s="541"/>
      <c r="AH6" s="541"/>
      <c r="AI6" s="541"/>
      <c r="AJ6" s="541"/>
      <c r="AK6" s="541"/>
      <c r="AL6" s="541"/>
      <c r="AM6" s="542"/>
      <c r="AN6" s="535"/>
    </row>
    <row r="7" spans="1:42" s="536" customFormat="1" ht="12.75" customHeight="1">
      <c r="A7" s="538" t="s">
        <v>1303</v>
      </c>
      <c r="B7" s="539" t="s">
        <v>1304</v>
      </c>
      <c r="C7" s="539"/>
      <c r="D7" s="539"/>
      <c r="E7" s="539"/>
      <c r="F7" s="539"/>
      <c r="G7" s="539"/>
      <c r="H7" s="539"/>
      <c r="I7" s="539"/>
      <c r="J7" s="539"/>
      <c r="K7" s="539"/>
      <c r="L7" s="539"/>
      <c r="M7" s="539"/>
      <c r="N7" s="539"/>
      <c r="O7" s="539"/>
      <c r="P7" s="539"/>
      <c r="Q7" s="539"/>
      <c r="R7" s="539"/>
      <c r="S7" s="539"/>
      <c r="T7" s="539"/>
      <c r="U7" s="539"/>
      <c r="V7" s="539"/>
      <c r="W7" s="539"/>
      <c r="X7" s="539"/>
      <c r="Y7" s="539"/>
      <c r="Z7" s="539"/>
      <c r="AA7" s="539"/>
      <c r="AB7" s="539"/>
      <c r="AC7" s="539"/>
      <c r="AD7" s="539"/>
      <c r="AE7" s="2409" t="s">
        <v>1305</v>
      </c>
      <c r="AF7" s="2409"/>
      <c r="AG7" s="2409"/>
      <c r="AH7" s="2409"/>
      <c r="AI7" s="2409"/>
      <c r="AJ7" s="2409"/>
      <c r="AK7" s="2409"/>
      <c r="AL7" s="540"/>
      <c r="AM7" s="540"/>
      <c r="AN7" s="535"/>
    </row>
    <row r="8" spans="1:42" s="536" customFormat="1" ht="12.75" customHeight="1">
      <c r="A8" s="538"/>
      <c r="B8" s="539" t="s">
        <v>1729</v>
      </c>
      <c r="C8" s="539"/>
      <c r="D8" s="539"/>
      <c r="E8" s="539"/>
      <c r="F8" s="539"/>
      <c r="G8" s="539"/>
      <c r="H8" s="539"/>
      <c r="I8" s="539"/>
      <c r="J8" s="539"/>
      <c r="K8" s="539"/>
      <c r="L8" s="539"/>
      <c r="M8" s="539"/>
      <c r="N8" s="539"/>
      <c r="O8" s="539"/>
      <c r="P8" s="539"/>
      <c r="Q8" s="539"/>
      <c r="R8" s="539"/>
      <c r="S8" s="539"/>
      <c r="T8" s="539"/>
      <c r="U8" s="539"/>
      <c r="V8" s="539"/>
      <c r="W8" s="539"/>
      <c r="X8" s="539"/>
      <c r="Y8" s="539"/>
      <c r="Z8" s="539"/>
      <c r="AA8" s="539"/>
      <c r="AB8" s="539"/>
      <c r="AC8" s="539"/>
      <c r="AD8" s="539"/>
      <c r="AE8" s="543"/>
      <c r="AF8" s="543"/>
      <c r="AG8" s="543"/>
      <c r="AH8" s="543"/>
      <c r="AI8" s="543"/>
      <c r="AJ8" s="543"/>
      <c r="AK8" s="543"/>
      <c r="AL8" s="540"/>
      <c r="AM8" s="540"/>
      <c r="AN8" s="535"/>
    </row>
    <row r="9" spans="1:42" s="536" customFormat="1" ht="12.75" customHeight="1">
      <c r="A9" s="538"/>
      <c r="B9" s="539"/>
      <c r="C9" s="539"/>
      <c r="D9" s="539"/>
      <c r="E9" s="539"/>
      <c r="F9" s="539"/>
      <c r="G9" s="539"/>
      <c r="H9" s="539"/>
      <c r="I9" s="539"/>
      <c r="J9" s="539"/>
      <c r="K9" s="539"/>
      <c r="L9" s="539"/>
      <c r="M9" s="539"/>
      <c r="N9" s="539"/>
      <c r="O9" s="539"/>
      <c r="P9" s="539"/>
      <c r="Q9" s="539"/>
      <c r="R9" s="539"/>
      <c r="S9" s="539"/>
      <c r="T9" s="539"/>
      <c r="U9" s="539"/>
      <c r="V9" s="539"/>
      <c r="W9" s="539"/>
      <c r="X9" s="539"/>
      <c r="Y9" s="539"/>
      <c r="Z9" s="539"/>
      <c r="AA9" s="539"/>
      <c r="AB9" s="539"/>
      <c r="AC9" s="539"/>
      <c r="AD9" s="539"/>
      <c r="AE9" s="543"/>
      <c r="AF9" s="543"/>
      <c r="AG9" s="543"/>
      <c r="AH9" s="543"/>
      <c r="AI9" s="543"/>
      <c r="AJ9" s="543"/>
      <c r="AK9" s="543"/>
      <c r="AL9" s="540"/>
      <c r="AM9" s="540"/>
      <c r="AN9" s="535"/>
    </row>
    <row r="10" spans="1:42" s="536" customFormat="1" ht="12.75" customHeight="1">
      <c r="A10" s="538"/>
      <c r="B10" s="539" t="s">
        <v>2011</v>
      </c>
      <c r="C10" s="539"/>
      <c r="D10" s="539"/>
      <c r="E10" s="539"/>
      <c r="F10" s="539"/>
      <c r="G10" s="539"/>
      <c r="H10" s="539"/>
      <c r="I10" s="539"/>
      <c r="J10" s="539"/>
      <c r="K10" s="539"/>
      <c r="L10" s="539"/>
      <c r="M10" s="539"/>
      <c r="N10" s="539"/>
      <c r="O10" s="539"/>
      <c r="P10" s="539"/>
      <c r="Q10" s="539"/>
      <c r="R10" s="539"/>
      <c r="S10" s="539"/>
      <c r="T10" s="539"/>
      <c r="U10" s="539"/>
      <c r="V10" s="539"/>
      <c r="W10" s="539"/>
      <c r="X10" s="539"/>
      <c r="Y10" s="539"/>
      <c r="Z10" s="539"/>
      <c r="AA10" s="539"/>
      <c r="AB10" s="539"/>
      <c r="AC10" s="539"/>
      <c r="AD10" s="539"/>
      <c r="AE10" s="543"/>
      <c r="AF10" s="543"/>
      <c r="AG10" s="543"/>
      <c r="AH10" s="543"/>
      <c r="AI10" s="543"/>
      <c r="AJ10" s="543"/>
      <c r="AK10" s="543"/>
      <c r="AL10" s="540"/>
      <c r="AM10" s="540"/>
      <c r="AN10" s="535"/>
    </row>
    <row r="11" spans="1:42" s="536" customFormat="1" ht="12.75" customHeight="1">
      <c r="A11" s="540"/>
      <c r="C11" s="1141" t="s">
        <v>2007</v>
      </c>
      <c r="D11" s="1141"/>
      <c r="E11" s="1141"/>
      <c r="F11" s="1141"/>
      <c r="G11" s="1141"/>
      <c r="H11" s="1141"/>
      <c r="I11" s="1141"/>
      <c r="J11" s="1141"/>
      <c r="K11" s="1141"/>
      <c r="L11" s="1141"/>
      <c r="M11" s="1141"/>
      <c r="N11" s="1141"/>
      <c r="O11" s="1141"/>
      <c r="P11" s="1141"/>
      <c r="Q11" s="1141"/>
      <c r="R11" s="1141"/>
      <c r="S11" s="1141"/>
      <c r="T11" s="1141"/>
      <c r="U11" s="1141"/>
      <c r="V11" s="1141"/>
      <c r="W11" s="1141"/>
      <c r="X11" s="1141"/>
      <c r="Y11" s="1141"/>
      <c r="Z11" s="1141"/>
      <c r="AA11" s="1141"/>
      <c r="AB11" s="1141"/>
      <c r="AC11" s="1141"/>
      <c r="AD11" s="1141"/>
      <c r="AE11" s="1141"/>
      <c r="AF11" s="1141"/>
      <c r="AG11" s="1141"/>
      <c r="AH11" s="1141"/>
      <c r="AI11" s="1141"/>
      <c r="AJ11" s="1141"/>
      <c r="AK11" s="540"/>
      <c r="AL11" s="540"/>
      <c r="AM11" s="540"/>
      <c r="AN11" s="535"/>
      <c r="AO11" s="447"/>
      <c r="AP11" s="545"/>
    </row>
    <row r="12" spans="1:42" s="536" customFormat="1" ht="12.75" customHeight="1">
      <c r="A12" s="540"/>
      <c r="B12" s="546"/>
      <c r="C12" s="540"/>
      <c r="D12" s="540"/>
      <c r="E12" s="540"/>
      <c r="F12" s="540"/>
      <c r="G12" s="540"/>
      <c r="H12" s="540"/>
      <c r="I12" s="540"/>
      <c r="J12" s="540"/>
      <c r="K12" s="540"/>
      <c r="L12" s="540"/>
      <c r="M12" s="540"/>
      <c r="N12" s="540"/>
      <c r="O12" s="540"/>
      <c r="P12" s="540"/>
      <c r="Q12" s="540"/>
      <c r="R12" s="540"/>
      <c r="S12" s="540"/>
      <c r="T12" s="540"/>
      <c r="U12" s="540"/>
      <c r="V12" s="540"/>
      <c r="W12" s="540"/>
      <c r="X12" s="540"/>
      <c r="Y12" s="540"/>
      <c r="Z12" s="540"/>
      <c r="AA12" s="540"/>
      <c r="AB12" s="540"/>
      <c r="AC12" s="540"/>
      <c r="AD12" s="540"/>
      <c r="AE12" s="540"/>
      <c r="AF12" s="540"/>
      <c r="AG12" s="540"/>
      <c r="AH12" s="540"/>
      <c r="AI12" s="540"/>
      <c r="AJ12" s="540"/>
      <c r="AK12" s="540"/>
      <c r="AL12" s="540"/>
      <c r="AM12" s="540"/>
      <c r="AN12" s="535"/>
      <c r="AP12" s="14"/>
    </row>
    <row r="13" spans="1:42" s="536" customFormat="1" ht="12.75" customHeight="1">
      <c r="A13" s="540"/>
      <c r="B13" s="2399" t="s">
        <v>591</v>
      </c>
      <c r="C13" s="2399"/>
      <c r="D13" s="547"/>
      <c r="E13" s="548" t="s">
        <v>1306</v>
      </c>
      <c r="F13" s="549"/>
      <c r="G13" s="549"/>
      <c r="H13" s="549"/>
      <c r="I13" s="549"/>
      <c r="J13" s="549"/>
      <c r="K13" s="549"/>
      <c r="L13" s="549"/>
      <c r="M13" s="549"/>
      <c r="N13" s="549"/>
      <c r="O13" s="549"/>
      <c r="P13" s="549"/>
      <c r="Q13" s="549"/>
      <c r="R13" s="549"/>
      <c r="S13" s="549"/>
      <c r="T13" s="549"/>
      <c r="U13" s="549"/>
      <c r="V13" s="549"/>
      <c r="W13" s="549"/>
      <c r="X13" s="549"/>
      <c r="Y13" s="549"/>
      <c r="Z13" s="549"/>
      <c r="AA13" s="549"/>
      <c r="AB13" s="549"/>
      <c r="AC13" s="549"/>
      <c r="AD13" s="549"/>
      <c r="AE13" s="549"/>
      <c r="AF13" s="549"/>
      <c r="AG13" s="2430"/>
      <c r="AH13" s="2430"/>
      <c r="AI13" s="2430"/>
      <c r="AJ13" s="2431"/>
      <c r="AK13" s="540"/>
      <c r="AL13" s="540"/>
      <c r="AM13" s="540"/>
      <c r="AN13" s="535"/>
      <c r="AO13" s="550">
        <f>IF($B13="yes",20,0)</f>
        <v>0</v>
      </c>
      <c r="AP13" s="14"/>
    </row>
    <row r="14" spans="1:42" s="536" customFormat="1" ht="12.75" customHeight="1">
      <c r="A14" s="540"/>
      <c r="B14" s="540"/>
      <c r="C14" s="540"/>
      <c r="D14" s="14"/>
      <c r="E14" s="540"/>
      <c r="F14" s="540"/>
      <c r="G14" s="540"/>
      <c r="H14" s="540"/>
      <c r="I14" s="540"/>
      <c r="J14" s="540"/>
      <c r="K14" s="540"/>
      <c r="L14" s="540"/>
      <c r="M14" s="540"/>
      <c r="N14" s="540"/>
      <c r="O14" s="540"/>
      <c r="P14" s="540"/>
      <c r="Q14" s="540"/>
      <c r="R14" s="540"/>
      <c r="S14" s="540"/>
      <c r="T14" s="540"/>
      <c r="U14" s="540"/>
      <c r="V14" s="540"/>
      <c r="W14" s="540"/>
      <c r="X14" s="540"/>
      <c r="Y14" s="540"/>
      <c r="Z14" s="540"/>
      <c r="AA14" s="540"/>
      <c r="AB14" s="540"/>
      <c r="AC14" s="540"/>
      <c r="AD14" s="540"/>
      <c r="AE14" s="540"/>
      <c r="AF14" s="540"/>
      <c r="AG14" s="540"/>
      <c r="AH14" s="540"/>
      <c r="AI14" s="540"/>
      <c r="AJ14" s="540"/>
      <c r="AK14" s="540"/>
      <c r="AL14" s="540"/>
      <c r="AM14" s="540"/>
      <c r="AN14" s="535"/>
      <c r="AO14" s="550">
        <f>IF(AND($B16="yes",E20&gt;0),20,0)</f>
        <v>0</v>
      </c>
      <c r="AP14" s="14"/>
    </row>
    <row r="15" spans="1:42" s="536" customFormat="1" ht="12.75" customHeight="1">
      <c r="A15" s="540"/>
      <c r="B15" s="540"/>
      <c r="C15" s="540"/>
      <c r="D15" s="550"/>
      <c r="E15" s="540"/>
      <c r="F15" s="540"/>
      <c r="G15" s="540"/>
      <c r="H15" s="540"/>
      <c r="I15" s="540"/>
      <c r="J15" s="540"/>
      <c r="K15" s="540"/>
      <c r="L15" s="540"/>
      <c r="M15" s="540"/>
      <c r="N15" s="540"/>
      <c r="O15" s="540"/>
      <c r="P15" s="540"/>
      <c r="Q15" s="540"/>
      <c r="R15" s="540"/>
      <c r="S15" s="540"/>
      <c r="T15" s="540"/>
      <c r="U15" s="540"/>
      <c r="V15" s="540"/>
      <c r="W15" s="540"/>
      <c r="X15" s="540"/>
      <c r="Y15" s="540"/>
      <c r="Z15" s="540"/>
      <c r="AA15" s="540"/>
      <c r="AB15" s="540"/>
      <c r="AC15" s="540"/>
      <c r="AD15" s="540"/>
      <c r="AE15" s="540"/>
      <c r="AF15" s="540"/>
      <c r="AG15" s="540"/>
      <c r="AH15" s="540"/>
      <c r="AI15" s="540"/>
      <c r="AJ15" s="540"/>
      <c r="AK15" s="540"/>
      <c r="AL15" s="540"/>
      <c r="AM15" s="540"/>
      <c r="AN15" s="535"/>
      <c r="AO15" s="550">
        <f>IF($B22="yes",20,0)</f>
        <v>0</v>
      </c>
      <c r="AP15" s="14"/>
    </row>
    <row r="16" spans="1:42" s="536" customFormat="1" ht="12.75" customHeight="1">
      <c r="A16" s="540"/>
      <c r="B16" s="2399" t="s">
        <v>591</v>
      </c>
      <c r="C16" s="2399"/>
      <c r="D16" s="547"/>
      <c r="E16" s="2410" t="s">
        <v>1307</v>
      </c>
      <c r="F16" s="2411"/>
      <c r="G16" s="2411"/>
      <c r="H16" s="2411"/>
      <c r="I16" s="2411"/>
      <c r="J16" s="2411"/>
      <c r="K16" s="2411"/>
      <c r="L16" s="2411"/>
      <c r="M16" s="2411"/>
      <c r="N16" s="2411"/>
      <c r="O16" s="2411"/>
      <c r="P16" s="2411"/>
      <c r="Q16" s="2411"/>
      <c r="R16" s="2411"/>
      <c r="S16" s="2411"/>
      <c r="T16" s="2411"/>
      <c r="U16" s="2411"/>
      <c r="V16" s="2411"/>
      <c r="W16" s="2411"/>
      <c r="X16" s="2411"/>
      <c r="Y16" s="2411"/>
      <c r="Z16" s="2411"/>
      <c r="AA16" s="2411"/>
      <c r="AB16" s="2411"/>
      <c r="AC16" s="2411"/>
      <c r="AD16" s="2411"/>
      <c r="AE16" s="2411"/>
      <c r="AF16" s="2411"/>
      <c r="AG16" s="2411"/>
      <c r="AH16" s="2411"/>
      <c r="AI16" s="2411"/>
      <c r="AJ16" s="2412"/>
      <c r="AK16" s="540"/>
      <c r="AL16" s="540"/>
      <c r="AM16" s="540"/>
      <c r="AN16" s="535"/>
      <c r="AO16" s="550">
        <f>IF($B25="yes",20,0)</f>
        <v>0</v>
      </c>
      <c r="AP16" s="14"/>
    </row>
    <row r="17" spans="1:42" s="536" customFormat="1" ht="12.75" customHeight="1">
      <c r="A17" s="540"/>
      <c r="B17" s="540"/>
      <c r="C17" s="540"/>
      <c r="D17" s="551"/>
      <c r="E17" s="2413"/>
      <c r="F17" s="2414"/>
      <c r="G17" s="2414"/>
      <c r="H17" s="2414"/>
      <c r="I17" s="2414"/>
      <c r="J17" s="2414"/>
      <c r="K17" s="2414"/>
      <c r="L17" s="2414"/>
      <c r="M17" s="2414"/>
      <c r="N17" s="2414"/>
      <c r="O17" s="2414"/>
      <c r="P17" s="2414"/>
      <c r="Q17" s="2414"/>
      <c r="R17" s="2414"/>
      <c r="S17" s="2414"/>
      <c r="T17" s="2414"/>
      <c r="U17" s="2414"/>
      <c r="V17" s="2414"/>
      <c r="W17" s="2414"/>
      <c r="X17" s="2414"/>
      <c r="Y17" s="2414"/>
      <c r="Z17" s="2414"/>
      <c r="AA17" s="2414"/>
      <c r="AB17" s="2414"/>
      <c r="AC17" s="2414"/>
      <c r="AD17" s="2414"/>
      <c r="AE17" s="2414"/>
      <c r="AF17" s="2414"/>
      <c r="AG17" s="2414"/>
      <c r="AH17" s="2414"/>
      <c r="AI17" s="2414"/>
      <c r="AJ17" s="2415"/>
      <c r="AK17" s="540"/>
      <c r="AL17" s="540"/>
      <c r="AM17" s="540"/>
      <c r="AN17" s="535"/>
      <c r="AO17" s="550">
        <f>IF($B28="yes",20,0)</f>
        <v>0</v>
      </c>
    </row>
    <row r="18" spans="1:42" s="536" customFormat="1" ht="12.75" customHeight="1">
      <c r="A18" s="540"/>
      <c r="B18" s="540"/>
      <c r="C18" s="540"/>
      <c r="D18" s="551"/>
      <c r="E18" s="2413"/>
      <c r="F18" s="2414"/>
      <c r="G18" s="2414"/>
      <c r="H18" s="2414"/>
      <c r="I18" s="2414"/>
      <c r="J18" s="2414"/>
      <c r="K18" s="2414"/>
      <c r="L18" s="2414"/>
      <c r="M18" s="2414"/>
      <c r="N18" s="2414"/>
      <c r="O18" s="2414"/>
      <c r="P18" s="2414"/>
      <c r="Q18" s="2414"/>
      <c r="R18" s="2414"/>
      <c r="S18" s="2414"/>
      <c r="T18" s="2414"/>
      <c r="U18" s="2414"/>
      <c r="V18" s="2414"/>
      <c r="W18" s="2414"/>
      <c r="X18" s="2414"/>
      <c r="Y18" s="2414"/>
      <c r="Z18" s="2414"/>
      <c r="AA18" s="2414"/>
      <c r="AB18" s="2414"/>
      <c r="AC18" s="2414"/>
      <c r="AD18" s="2414"/>
      <c r="AE18" s="2414"/>
      <c r="AF18" s="2414"/>
      <c r="AG18" s="2414"/>
      <c r="AH18" s="2414"/>
      <c r="AI18" s="2414"/>
      <c r="AJ18" s="2415"/>
      <c r="AK18" s="540"/>
      <c r="AL18" s="540"/>
      <c r="AM18" s="540"/>
      <c r="AN18" s="535"/>
      <c r="AO18" s="536">
        <f>IF(SUM(AO13:AO16)&gt;20,20,(SUM(AO13:AO16)))</f>
        <v>0</v>
      </c>
      <c r="AP18" s="536" t="s">
        <v>1308</v>
      </c>
    </row>
    <row r="19" spans="1:42" s="536" customFormat="1" ht="12.75" customHeight="1">
      <c r="A19" s="540"/>
      <c r="B19" s="540"/>
      <c r="C19" s="540"/>
      <c r="D19" s="551"/>
      <c r="E19" s="552" t="s">
        <v>1309</v>
      </c>
      <c r="F19" s="553"/>
      <c r="G19" s="553"/>
      <c r="H19" s="553"/>
      <c r="I19" s="553"/>
      <c r="J19" s="553"/>
      <c r="K19" s="553"/>
      <c r="L19" s="553"/>
      <c r="M19" s="553"/>
      <c r="N19" s="553"/>
      <c r="O19" s="553"/>
      <c r="P19" s="553"/>
      <c r="Q19" s="553"/>
      <c r="R19" s="553"/>
      <c r="S19" s="553"/>
      <c r="T19" s="553"/>
      <c r="U19" s="553"/>
      <c r="V19" s="553"/>
      <c r="W19" s="553"/>
      <c r="X19" s="553"/>
      <c r="Y19" s="553"/>
      <c r="Z19" s="553"/>
      <c r="AA19" s="553"/>
      <c r="AB19" s="553"/>
      <c r="AC19" s="553"/>
      <c r="AD19" s="553"/>
      <c r="AE19" s="553"/>
      <c r="AF19" s="553"/>
      <c r="AG19" s="553"/>
      <c r="AH19" s="553"/>
      <c r="AI19" s="553"/>
      <c r="AJ19" s="554"/>
      <c r="AK19" s="540"/>
      <c r="AL19" s="540"/>
      <c r="AM19" s="540"/>
      <c r="AN19" s="535"/>
    </row>
    <row r="20" spans="1:42" s="536" customFormat="1" ht="12.75" customHeight="1">
      <c r="A20" s="540"/>
      <c r="B20" s="540"/>
      <c r="C20" s="540"/>
      <c r="D20" s="551"/>
      <c r="E20" s="2441"/>
      <c r="F20" s="2442"/>
      <c r="G20" s="2442"/>
      <c r="H20" s="2442"/>
      <c r="I20" s="2442"/>
      <c r="J20" s="2442"/>
      <c r="K20" s="2442"/>
      <c r="L20" s="2442"/>
      <c r="M20" s="2442"/>
      <c r="N20" s="2442"/>
      <c r="O20" s="2442"/>
      <c r="P20" s="2442"/>
      <c r="Q20" s="2442"/>
      <c r="R20" s="2442"/>
      <c r="S20" s="2442"/>
      <c r="T20" s="2442"/>
      <c r="U20" s="2442"/>
      <c r="V20" s="2442"/>
      <c r="W20" s="2442"/>
      <c r="X20" s="2442"/>
      <c r="Y20" s="2442"/>
      <c r="Z20" s="2442"/>
      <c r="AA20" s="2442"/>
      <c r="AB20" s="2442"/>
      <c r="AC20" s="2442"/>
      <c r="AD20" s="2442"/>
      <c r="AE20" s="2442"/>
      <c r="AF20" s="2442"/>
      <c r="AG20" s="2442"/>
      <c r="AH20" s="2442"/>
      <c r="AI20" s="2442"/>
      <c r="AJ20" s="2443"/>
      <c r="AK20" s="540"/>
      <c r="AL20" s="540"/>
      <c r="AM20" s="540"/>
      <c r="AN20" s="535"/>
      <c r="AO20" s="550">
        <f>IF($B33="yes",14,0)</f>
        <v>0</v>
      </c>
    </row>
    <row r="21" spans="1:42" s="536" customFormat="1" ht="12.75" customHeight="1">
      <c r="A21" s="540"/>
      <c r="B21" s="540"/>
      <c r="C21" s="540"/>
      <c r="E21" s="540"/>
      <c r="F21" s="540"/>
      <c r="G21" s="540"/>
      <c r="H21" s="540"/>
      <c r="I21" s="540"/>
      <c r="J21" s="540"/>
      <c r="K21" s="540"/>
      <c r="L21" s="540"/>
      <c r="M21" s="540"/>
      <c r="N21" s="540"/>
      <c r="O21" s="540"/>
      <c r="P21" s="540"/>
      <c r="Q21" s="540"/>
      <c r="R21" s="540"/>
      <c r="S21" s="540"/>
      <c r="T21" s="540"/>
      <c r="U21" s="540"/>
      <c r="V21" s="540"/>
      <c r="W21" s="540"/>
      <c r="X21" s="540"/>
      <c r="Y21" s="540"/>
      <c r="Z21" s="540"/>
      <c r="AA21" s="540"/>
      <c r="AB21" s="540"/>
      <c r="AC21" s="540"/>
      <c r="AD21" s="540"/>
      <c r="AE21" s="540"/>
      <c r="AF21" s="540"/>
      <c r="AG21" s="540"/>
      <c r="AH21" s="540"/>
      <c r="AI21" s="540"/>
      <c r="AJ21" s="540"/>
      <c r="AK21" s="540"/>
      <c r="AL21" s="540"/>
      <c r="AM21" s="540"/>
      <c r="AN21" s="535"/>
      <c r="AO21" s="550">
        <f>IF($B36="yes",14,0)</f>
        <v>0</v>
      </c>
      <c r="AP21" s="14"/>
    </row>
    <row r="22" spans="1:42" s="536" customFormat="1" ht="12.75" customHeight="1">
      <c r="A22" s="540"/>
      <c r="B22" s="2399" t="s">
        <v>591</v>
      </c>
      <c r="C22" s="2399"/>
      <c r="D22" s="547"/>
      <c r="E22" s="2435" t="s">
        <v>1310</v>
      </c>
      <c r="F22" s="2436"/>
      <c r="G22" s="2436"/>
      <c r="H22" s="2436"/>
      <c r="I22" s="2436"/>
      <c r="J22" s="2436"/>
      <c r="K22" s="2436"/>
      <c r="L22" s="2436"/>
      <c r="M22" s="2436"/>
      <c r="N22" s="2436"/>
      <c r="O22" s="2436"/>
      <c r="P22" s="2436"/>
      <c r="Q22" s="2436"/>
      <c r="R22" s="2436"/>
      <c r="S22" s="2436"/>
      <c r="T22" s="2436"/>
      <c r="U22" s="2436"/>
      <c r="V22" s="2436"/>
      <c r="W22" s="2436"/>
      <c r="X22" s="2436"/>
      <c r="Y22" s="2436"/>
      <c r="Z22" s="2436"/>
      <c r="AA22" s="2436"/>
      <c r="AB22" s="2436"/>
      <c r="AC22" s="2436"/>
      <c r="AD22" s="2436"/>
      <c r="AE22" s="2436"/>
      <c r="AF22" s="2436"/>
      <c r="AG22" s="2436"/>
      <c r="AH22" s="2436"/>
      <c r="AI22" s="2436"/>
      <c r="AJ22" s="2437"/>
      <c r="AK22" s="540"/>
      <c r="AL22" s="540"/>
      <c r="AM22" s="540"/>
      <c r="AN22" s="535"/>
      <c r="AO22" s="550">
        <f>IF($B40="yes",14,0)</f>
        <v>0</v>
      </c>
    </row>
    <row r="23" spans="1:42" s="536" customFormat="1" ht="12.75" customHeight="1">
      <c r="A23" s="540"/>
      <c r="B23" s="540"/>
      <c r="C23" s="540"/>
      <c r="D23" s="550"/>
      <c r="E23" s="2438"/>
      <c r="F23" s="2439"/>
      <c r="G23" s="2439"/>
      <c r="H23" s="2439"/>
      <c r="I23" s="2439"/>
      <c r="J23" s="2439"/>
      <c r="K23" s="2439"/>
      <c r="L23" s="2439"/>
      <c r="M23" s="2439"/>
      <c r="N23" s="2439"/>
      <c r="O23" s="2439"/>
      <c r="P23" s="2439"/>
      <c r="Q23" s="2439"/>
      <c r="R23" s="2439"/>
      <c r="S23" s="2439"/>
      <c r="T23" s="2439"/>
      <c r="U23" s="2439"/>
      <c r="V23" s="2439"/>
      <c r="W23" s="2439"/>
      <c r="X23" s="2439"/>
      <c r="Y23" s="2439"/>
      <c r="Z23" s="2439"/>
      <c r="AA23" s="2439"/>
      <c r="AB23" s="2439"/>
      <c r="AC23" s="2439"/>
      <c r="AD23" s="2439"/>
      <c r="AE23" s="2439"/>
      <c r="AF23" s="2439"/>
      <c r="AG23" s="2439"/>
      <c r="AH23" s="2439"/>
      <c r="AI23" s="2439"/>
      <c r="AJ23" s="2440"/>
      <c r="AK23" s="540"/>
      <c r="AL23" s="540"/>
      <c r="AM23" s="540"/>
      <c r="AN23" s="535"/>
      <c r="AO23" s="536">
        <f>IF(SUM(AO20:AO21)&gt;14,14,SUM(AO20:AO21))</f>
        <v>0</v>
      </c>
      <c r="AP23" s="536" t="s">
        <v>1308</v>
      </c>
    </row>
    <row r="24" spans="1:42" s="536" customFormat="1" ht="12.75" customHeight="1">
      <c r="A24" s="540"/>
      <c r="B24" s="540"/>
      <c r="C24" s="540"/>
      <c r="D24" s="551"/>
      <c r="E24" s="540"/>
      <c r="F24" s="540"/>
      <c r="G24" s="540"/>
      <c r="H24" s="540"/>
      <c r="I24" s="540"/>
      <c r="J24" s="540"/>
      <c r="K24" s="540"/>
      <c r="L24" s="540"/>
      <c r="M24" s="540"/>
      <c r="N24" s="540"/>
      <c r="O24" s="540"/>
      <c r="P24" s="540"/>
      <c r="Q24" s="540"/>
      <c r="R24" s="540"/>
      <c r="S24" s="540"/>
      <c r="T24" s="540"/>
      <c r="U24" s="540"/>
      <c r="V24" s="540"/>
      <c r="W24" s="540"/>
      <c r="X24" s="540"/>
      <c r="Y24" s="540"/>
      <c r="Z24" s="540"/>
      <c r="AA24" s="540"/>
      <c r="AB24" s="540"/>
      <c r="AC24" s="540"/>
      <c r="AD24" s="540"/>
      <c r="AE24" s="540"/>
      <c r="AF24" s="540"/>
      <c r="AG24" s="540"/>
      <c r="AH24" s="540"/>
      <c r="AI24" s="540"/>
      <c r="AJ24" s="540"/>
      <c r="AK24" s="540"/>
      <c r="AL24" s="540"/>
      <c r="AM24" s="540"/>
      <c r="AN24" s="535"/>
    </row>
    <row r="25" spans="1:42" s="536" customFormat="1" ht="12.75" customHeight="1">
      <c r="A25" s="540"/>
      <c r="B25" s="2399" t="s">
        <v>591</v>
      </c>
      <c r="C25" s="2399"/>
      <c r="D25" s="547"/>
      <c r="E25" s="2400" t="s">
        <v>2034</v>
      </c>
      <c r="F25" s="2401"/>
      <c r="G25" s="2401"/>
      <c r="H25" s="2401"/>
      <c r="I25" s="2401"/>
      <c r="J25" s="2401"/>
      <c r="K25" s="2401"/>
      <c r="L25" s="2401"/>
      <c r="M25" s="2401"/>
      <c r="N25" s="2401"/>
      <c r="O25" s="2401"/>
      <c r="P25" s="2401"/>
      <c r="Q25" s="2401"/>
      <c r="R25" s="2401"/>
      <c r="S25" s="2401"/>
      <c r="T25" s="2401"/>
      <c r="U25" s="2401"/>
      <c r="V25" s="2401"/>
      <c r="W25" s="2401"/>
      <c r="X25" s="2401"/>
      <c r="Y25" s="2401"/>
      <c r="Z25" s="2401"/>
      <c r="AA25" s="2401"/>
      <c r="AB25" s="2401"/>
      <c r="AC25" s="2401"/>
      <c r="AD25" s="2401"/>
      <c r="AE25" s="2401"/>
      <c r="AF25" s="2401"/>
      <c r="AG25" s="2401"/>
      <c r="AH25" s="2401"/>
      <c r="AI25" s="2401"/>
      <c r="AJ25" s="2402"/>
      <c r="AK25" s="540"/>
      <c r="AL25" s="540"/>
      <c r="AM25" s="540"/>
      <c r="AN25" s="535"/>
      <c r="AO25" s="550">
        <f>IF($B45="yes",6,0)</f>
        <v>0</v>
      </c>
    </row>
    <row r="26" spans="1:42" s="536" customFormat="1" ht="12.75" customHeight="1">
      <c r="A26" s="540"/>
      <c r="B26" s="540"/>
      <c r="C26" s="540"/>
      <c r="D26" s="550"/>
      <c r="E26" s="2403"/>
      <c r="F26" s="2404"/>
      <c r="G26" s="2404"/>
      <c r="H26" s="2404"/>
      <c r="I26" s="2404"/>
      <c r="J26" s="2404"/>
      <c r="K26" s="2404"/>
      <c r="L26" s="2404"/>
      <c r="M26" s="2404"/>
      <c r="N26" s="2404"/>
      <c r="O26" s="2404"/>
      <c r="P26" s="2404"/>
      <c r="Q26" s="2404"/>
      <c r="R26" s="2404"/>
      <c r="S26" s="2404"/>
      <c r="T26" s="2404"/>
      <c r="U26" s="2404"/>
      <c r="V26" s="2404"/>
      <c r="W26" s="2404"/>
      <c r="X26" s="2404"/>
      <c r="Y26" s="2404"/>
      <c r="Z26" s="2404"/>
      <c r="AA26" s="2404"/>
      <c r="AB26" s="2404"/>
      <c r="AC26" s="2404"/>
      <c r="AD26" s="2404"/>
      <c r="AE26" s="2404"/>
      <c r="AF26" s="2404"/>
      <c r="AG26" s="2404"/>
      <c r="AH26" s="2404"/>
      <c r="AI26" s="2404"/>
      <c r="AJ26" s="2405"/>
      <c r="AK26" s="540"/>
      <c r="AL26" s="540"/>
      <c r="AM26" s="540"/>
      <c r="AN26" s="535"/>
      <c r="AO26" s="536">
        <f>IF(AO25&gt;6,6,AO25)</f>
        <v>0</v>
      </c>
      <c r="AP26" s="536" t="s">
        <v>1308</v>
      </c>
    </row>
    <row r="27" spans="1:42" s="536" customFormat="1" ht="12.75" customHeight="1">
      <c r="A27" s="540"/>
      <c r="B27" s="540"/>
      <c r="C27" s="540"/>
      <c r="D27" s="550"/>
      <c r="E27" s="540"/>
      <c r="F27" s="540"/>
      <c r="G27" s="540"/>
      <c r="H27" s="540"/>
      <c r="I27" s="540"/>
      <c r="J27" s="540"/>
      <c r="K27" s="540"/>
      <c r="L27" s="540"/>
      <c r="M27" s="540"/>
      <c r="N27" s="540"/>
      <c r="O27" s="540"/>
      <c r="P27" s="540"/>
      <c r="Q27" s="540"/>
      <c r="R27" s="540"/>
      <c r="S27" s="540"/>
      <c r="T27" s="540"/>
      <c r="U27" s="540"/>
      <c r="V27" s="540"/>
      <c r="W27" s="540"/>
      <c r="X27" s="540"/>
      <c r="Y27" s="540"/>
      <c r="Z27" s="540"/>
      <c r="AA27" s="540"/>
      <c r="AB27" s="540"/>
      <c r="AC27" s="540"/>
      <c r="AD27" s="540"/>
      <c r="AE27" s="540"/>
      <c r="AF27" s="540"/>
      <c r="AG27" s="540"/>
      <c r="AH27" s="540"/>
      <c r="AI27" s="540"/>
      <c r="AJ27" s="540"/>
      <c r="AK27" s="540"/>
      <c r="AL27" s="540"/>
      <c r="AM27" s="540"/>
      <c r="AN27" s="535"/>
      <c r="AO27" s="550"/>
    </row>
    <row r="28" spans="1:42" s="536" customFormat="1" ht="12.75" customHeight="1">
      <c r="A28" s="540"/>
      <c r="B28" s="2399" t="s">
        <v>591</v>
      </c>
      <c r="C28" s="2399"/>
      <c r="D28" s="547"/>
      <c r="E28" s="2423" t="s">
        <v>2250</v>
      </c>
      <c r="F28" s="2424"/>
      <c r="G28" s="2424"/>
      <c r="H28" s="2424"/>
      <c r="I28" s="2424"/>
      <c r="J28" s="2424"/>
      <c r="K28" s="2424"/>
      <c r="L28" s="2424"/>
      <c r="M28" s="2424"/>
      <c r="N28" s="2424"/>
      <c r="O28" s="2424"/>
      <c r="P28" s="2424"/>
      <c r="Q28" s="2424"/>
      <c r="R28" s="2424"/>
      <c r="S28" s="2424"/>
      <c r="T28" s="2424"/>
      <c r="U28" s="2424"/>
      <c r="V28" s="2424"/>
      <c r="W28" s="2424"/>
      <c r="X28" s="2424"/>
      <c r="Y28" s="2424"/>
      <c r="Z28" s="2424"/>
      <c r="AA28" s="2424"/>
      <c r="AB28" s="2424"/>
      <c r="AC28" s="2424"/>
      <c r="AD28" s="2424"/>
      <c r="AE28" s="2424"/>
      <c r="AF28" s="2424"/>
      <c r="AG28" s="2424"/>
      <c r="AH28" s="2424"/>
      <c r="AI28" s="2424"/>
      <c r="AJ28" s="2425"/>
      <c r="AK28" s="540"/>
      <c r="AL28" s="540"/>
      <c r="AM28" s="540"/>
      <c r="AN28" s="535"/>
      <c r="AO28" s="550"/>
    </row>
    <row r="29" spans="1:42" s="536" customFormat="1" ht="12.75" customHeight="1">
      <c r="A29" s="540"/>
      <c r="B29" s="540"/>
      <c r="C29" s="540"/>
      <c r="D29" s="550"/>
      <c r="E29" s="540"/>
      <c r="F29" s="540"/>
      <c r="G29" s="540"/>
      <c r="H29" s="540"/>
      <c r="I29" s="540"/>
      <c r="J29" s="540"/>
      <c r="K29" s="540"/>
      <c r="L29" s="540"/>
      <c r="M29" s="540"/>
      <c r="N29" s="540"/>
      <c r="O29" s="540"/>
      <c r="P29" s="540"/>
      <c r="Q29" s="540"/>
      <c r="R29" s="540"/>
      <c r="S29" s="540"/>
      <c r="T29" s="540"/>
      <c r="U29" s="540"/>
      <c r="V29" s="540"/>
      <c r="W29" s="540"/>
      <c r="X29" s="540"/>
      <c r="Y29" s="540"/>
      <c r="Z29" s="540"/>
      <c r="AA29" s="540"/>
      <c r="AB29" s="540"/>
      <c r="AC29" s="540"/>
      <c r="AD29" s="540"/>
      <c r="AE29" s="540"/>
      <c r="AF29" s="540"/>
      <c r="AG29" s="540"/>
      <c r="AH29" s="540"/>
      <c r="AI29" s="540"/>
      <c r="AJ29" s="540"/>
      <c r="AK29" s="540"/>
      <c r="AL29" s="540"/>
      <c r="AM29" s="540"/>
      <c r="AN29" s="535"/>
      <c r="AO29" s="550"/>
    </row>
    <row r="30" spans="1:42" s="536" customFormat="1" ht="12.75" customHeight="1">
      <c r="A30" s="540"/>
      <c r="B30" s="540"/>
      <c r="C30" s="540"/>
      <c r="D30" s="550"/>
      <c r="E30" s="540"/>
      <c r="F30" s="540"/>
      <c r="G30" s="540"/>
      <c r="H30" s="540"/>
      <c r="I30" s="540"/>
      <c r="J30" s="540"/>
      <c r="K30" s="540"/>
      <c r="L30" s="540"/>
      <c r="M30" s="540"/>
      <c r="N30" s="540"/>
      <c r="O30" s="540"/>
      <c r="P30" s="540"/>
      <c r="Q30" s="540"/>
      <c r="R30" s="540"/>
      <c r="S30" s="540"/>
      <c r="T30" s="540"/>
      <c r="U30" s="540"/>
      <c r="V30" s="540"/>
      <c r="W30" s="540"/>
      <c r="X30" s="540"/>
      <c r="Y30" s="540"/>
      <c r="Z30" s="540"/>
      <c r="AA30" s="540"/>
      <c r="AB30" s="540"/>
      <c r="AC30" s="540"/>
      <c r="AD30" s="540"/>
      <c r="AE30" s="540"/>
      <c r="AF30" s="540"/>
      <c r="AG30" s="540"/>
      <c r="AH30" s="540"/>
      <c r="AI30" s="540"/>
      <c r="AJ30" s="540"/>
      <c r="AK30" s="540"/>
      <c r="AL30" s="540"/>
      <c r="AM30" s="540"/>
      <c r="AN30" s="535"/>
      <c r="AO30" s="550"/>
    </row>
    <row r="31" spans="1:42" s="536" customFormat="1" ht="12.75" customHeight="1">
      <c r="A31" s="540"/>
      <c r="C31" s="544" t="s">
        <v>2008</v>
      </c>
      <c r="E31" s="540"/>
      <c r="F31" s="540"/>
      <c r="G31" s="540"/>
      <c r="H31" s="540"/>
      <c r="I31" s="540"/>
      <c r="J31" s="540"/>
      <c r="K31" s="540"/>
      <c r="L31" s="540"/>
      <c r="M31" s="540"/>
      <c r="N31" s="540"/>
      <c r="O31" s="540"/>
      <c r="P31" s="540"/>
      <c r="Q31" s="540"/>
      <c r="R31" s="540"/>
      <c r="S31" s="540"/>
      <c r="T31" s="540"/>
      <c r="U31" s="540"/>
      <c r="V31" s="540"/>
      <c r="W31" s="540"/>
      <c r="X31" s="540"/>
      <c r="Y31" s="540"/>
      <c r="Z31" s="540"/>
      <c r="AA31" s="540"/>
      <c r="AB31" s="540"/>
      <c r="AC31" s="540"/>
      <c r="AD31" s="540"/>
      <c r="AE31" s="540"/>
      <c r="AF31" s="540"/>
      <c r="AG31" s="540"/>
      <c r="AH31" s="540"/>
      <c r="AI31" s="540"/>
      <c r="AJ31" s="540"/>
      <c r="AK31" s="540"/>
      <c r="AL31" s="540"/>
      <c r="AM31" s="540"/>
      <c r="AN31" s="535"/>
      <c r="AO31" s="550">
        <f>IF(AND(B52="Yes",B56="Yes",B58="Yes"),20,0)</f>
        <v>0</v>
      </c>
    </row>
    <row r="32" spans="1:42" s="536" customFormat="1" ht="12.75" customHeight="1">
      <c r="A32" s="540"/>
      <c r="B32" s="540"/>
      <c r="C32" s="540"/>
      <c r="E32" s="540"/>
      <c r="F32" s="540"/>
      <c r="G32" s="540"/>
      <c r="H32" s="540"/>
      <c r="I32" s="540"/>
      <c r="J32" s="540"/>
      <c r="K32" s="540"/>
      <c r="L32" s="540"/>
      <c r="M32" s="540"/>
      <c r="N32" s="540"/>
      <c r="O32" s="540"/>
      <c r="P32" s="540"/>
      <c r="Q32" s="540"/>
      <c r="R32" s="540"/>
      <c r="S32" s="540"/>
      <c r="T32" s="540"/>
      <c r="U32" s="540"/>
      <c r="V32" s="540"/>
      <c r="W32" s="540"/>
      <c r="X32" s="540"/>
      <c r="Y32" s="540"/>
      <c r="Z32" s="540"/>
      <c r="AA32" s="540"/>
      <c r="AB32" s="540"/>
      <c r="AC32" s="540"/>
      <c r="AD32" s="540"/>
      <c r="AE32" s="540"/>
      <c r="AF32" s="540"/>
      <c r="AG32" s="540"/>
      <c r="AH32" s="540"/>
      <c r="AI32" s="540"/>
      <c r="AJ32" s="540"/>
      <c r="AK32" s="540"/>
      <c r="AL32" s="540"/>
      <c r="AM32" s="540"/>
      <c r="AN32" s="535"/>
      <c r="AO32" s="536">
        <f>IF(AO31&gt;20,20,AO31)</f>
        <v>0</v>
      </c>
      <c r="AP32" s="536" t="s">
        <v>1308</v>
      </c>
    </row>
    <row r="33" spans="1:41" s="536" customFormat="1" ht="12.75" customHeight="1">
      <c r="A33" s="540"/>
      <c r="B33" s="2399" t="s">
        <v>591</v>
      </c>
      <c r="C33" s="2399"/>
      <c r="D33" s="547"/>
      <c r="E33" s="2435" t="s">
        <v>2252</v>
      </c>
      <c r="F33" s="2436"/>
      <c r="G33" s="2436"/>
      <c r="H33" s="2436"/>
      <c r="I33" s="2436"/>
      <c r="J33" s="2436"/>
      <c r="K33" s="2436"/>
      <c r="L33" s="2436"/>
      <c r="M33" s="2436"/>
      <c r="N33" s="2436"/>
      <c r="O33" s="2436"/>
      <c r="P33" s="2436"/>
      <c r="Q33" s="2436"/>
      <c r="R33" s="2436"/>
      <c r="S33" s="2436"/>
      <c r="T33" s="2436"/>
      <c r="U33" s="2436"/>
      <c r="V33" s="2436"/>
      <c r="W33" s="2436"/>
      <c r="X33" s="2436"/>
      <c r="Y33" s="2436"/>
      <c r="Z33" s="2436"/>
      <c r="AA33" s="2436"/>
      <c r="AB33" s="2436"/>
      <c r="AC33" s="2436"/>
      <c r="AD33" s="2436"/>
      <c r="AE33" s="2436"/>
      <c r="AF33" s="2436"/>
      <c r="AG33" s="2436"/>
      <c r="AH33" s="2436"/>
      <c r="AI33" s="2436"/>
      <c r="AJ33" s="2437"/>
      <c r="AK33" s="540"/>
      <c r="AL33" s="540"/>
      <c r="AM33" s="540"/>
      <c r="AN33" s="535"/>
      <c r="AO33" s="550"/>
    </row>
    <row r="34" spans="1:41" s="536" customFormat="1" ht="12.75" customHeight="1">
      <c r="A34" s="540"/>
      <c r="B34" s="540"/>
      <c r="C34" s="540"/>
      <c r="E34" s="2438"/>
      <c r="F34" s="2439"/>
      <c r="G34" s="2439"/>
      <c r="H34" s="2439"/>
      <c r="I34" s="2439"/>
      <c r="J34" s="2439"/>
      <c r="K34" s="2439"/>
      <c r="L34" s="2439"/>
      <c r="M34" s="2439"/>
      <c r="N34" s="2439"/>
      <c r="O34" s="2439"/>
      <c r="P34" s="2439"/>
      <c r="Q34" s="2439"/>
      <c r="R34" s="2439"/>
      <c r="S34" s="2439"/>
      <c r="T34" s="2439"/>
      <c r="U34" s="2439"/>
      <c r="V34" s="2439"/>
      <c r="W34" s="2439"/>
      <c r="X34" s="2439"/>
      <c r="Y34" s="2439"/>
      <c r="Z34" s="2439"/>
      <c r="AA34" s="2439"/>
      <c r="AB34" s="2439"/>
      <c r="AC34" s="2439"/>
      <c r="AD34" s="2439"/>
      <c r="AE34" s="2439"/>
      <c r="AF34" s="2439"/>
      <c r="AG34" s="2439"/>
      <c r="AH34" s="2439"/>
      <c r="AI34" s="2439"/>
      <c r="AJ34" s="2440"/>
      <c r="AK34" s="540"/>
      <c r="AL34" s="540"/>
      <c r="AM34" s="540"/>
      <c r="AN34" s="535"/>
    </row>
    <row r="35" spans="1:41" s="536" customFormat="1" ht="12.75" customHeight="1">
      <c r="A35" s="540"/>
      <c r="B35" s="540"/>
      <c r="C35" s="540"/>
      <c r="F35" s="906"/>
      <c r="G35" s="906"/>
      <c r="H35" s="906"/>
      <c r="I35" s="906"/>
      <c r="J35" s="906"/>
      <c r="K35" s="906"/>
      <c r="L35" s="906"/>
      <c r="M35" s="906"/>
      <c r="N35" s="906"/>
      <c r="O35" s="906"/>
      <c r="P35" s="906"/>
      <c r="Q35" s="906"/>
      <c r="R35" s="906"/>
      <c r="S35" s="906"/>
      <c r="T35" s="906"/>
      <c r="U35" s="906"/>
      <c r="V35" s="906"/>
      <c r="W35" s="906"/>
      <c r="X35" s="906"/>
      <c r="Y35" s="906"/>
      <c r="Z35" s="906"/>
      <c r="AA35" s="906"/>
      <c r="AB35" s="906"/>
      <c r="AC35" s="906"/>
      <c r="AD35" s="906"/>
      <c r="AE35" s="906"/>
      <c r="AF35" s="906"/>
      <c r="AG35" s="906"/>
      <c r="AH35" s="906"/>
      <c r="AI35" s="906"/>
      <c r="AJ35" s="906"/>
      <c r="AK35" s="540"/>
      <c r="AL35" s="540"/>
      <c r="AM35" s="540"/>
      <c r="AN35" s="535"/>
    </row>
    <row r="36" spans="1:41" s="536" customFormat="1" ht="12.75" customHeight="1">
      <c r="A36" s="540"/>
      <c r="B36" s="2399" t="s">
        <v>591</v>
      </c>
      <c r="C36" s="2399"/>
      <c r="D36" s="547"/>
      <c r="E36" s="2400" t="s">
        <v>2253</v>
      </c>
      <c r="F36" s="2401"/>
      <c r="G36" s="2401"/>
      <c r="H36" s="2401"/>
      <c r="I36" s="2401"/>
      <c r="J36" s="2401"/>
      <c r="K36" s="2401"/>
      <c r="L36" s="2401"/>
      <c r="M36" s="2401"/>
      <c r="N36" s="2401"/>
      <c r="O36" s="2401"/>
      <c r="P36" s="2401"/>
      <c r="Q36" s="2401"/>
      <c r="R36" s="2401"/>
      <c r="S36" s="2401"/>
      <c r="T36" s="2401"/>
      <c r="U36" s="2401"/>
      <c r="V36" s="2401"/>
      <c r="W36" s="2401"/>
      <c r="X36" s="2401"/>
      <c r="Y36" s="2401"/>
      <c r="Z36" s="2401"/>
      <c r="AA36" s="2401"/>
      <c r="AB36" s="2401"/>
      <c r="AC36" s="2401"/>
      <c r="AD36" s="2401"/>
      <c r="AE36" s="2401"/>
      <c r="AF36" s="2401"/>
      <c r="AG36" s="2401"/>
      <c r="AH36" s="2401"/>
      <c r="AI36" s="2401"/>
      <c r="AJ36" s="2402"/>
      <c r="AK36" s="540"/>
      <c r="AL36" s="540"/>
      <c r="AM36" s="540"/>
      <c r="AN36" s="535"/>
    </row>
    <row r="37" spans="1:41" s="536" customFormat="1" ht="12.75" customHeight="1">
      <c r="A37" s="540"/>
      <c r="B37" s="540"/>
      <c r="C37" s="540"/>
      <c r="E37" s="2406"/>
      <c r="F37" s="2407"/>
      <c r="G37" s="2407"/>
      <c r="H37" s="2407"/>
      <c r="I37" s="2407"/>
      <c r="J37" s="2407"/>
      <c r="K37" s="2407"/>
      <c r="L37" s="2407"/>
      <c r="M37" s="2407"/>
      <c r="N37" s="2407"/>
      <c r="O37" s="2407"/>
      <c r="P37" s="2407"/>
      <c r="Q37" s="2407"/>
      <c r="R37" s="2407"/>
      <c r="S37" s="2407"/>
      <c r="T37" s="2407"/>
      <c r="U37" s="2407"/>
      <c r="V37" s="2407"/>
      <c r="W37" s="2407"/>
      <c r="X37" s="2407"/>
      <c r="Y37" s="2407"/>
      <c r="Z37" s="2407"/>
      <c r="AA37" s="2407"/>
      <c r="AB37" s="2407"/>
      <c r="AC37" s="2407"/>
      <c r="AD37" s="2407"/>
      <c r="AE37" s="2407"/>
      <c r="AF37" s="2407"/>
      <c r="AG37" s="2407"/>
      <c r="AH37" s="2407"/>
      <c r="AI37" s="2407"/>
      <c r="AJ37" s="2408"/>
      <c r="AK37" s="540"/>
      <c r="AL37" s="540"/>
      <c r="AM37" s="540"/>
      <c r="AN37" s="535"/>
    </row>
    <row r="38" spans="1:41" s="536" customFormat="1" ht="12.75" customHeight="1">
      <c r="A38" s="540"/>
      <c r="B38" s="540"/>
      <c r="C38" s="540"/>
      <c r="E38" s="2403"/>
      <c r="F38" s="2404"/>
      <c r="G38" s="2404"/>
      <c r="H38" s="2404"/>
      <c r="I38" s="2404"/>
      <c r="J38" s="2404"/>
      <c r="K38" s="2404"/>
      <c r="L38" s="2404"/>
      <c r="M38" s="2404"/>
      <c r="N38" s="2404"/>
      <c r="O38" s="2404"/>
      <c r="P38" s="2404"/>
      <c r="Q38" s="2404"/>
      <c r="R38" s="2404"/>
      <c r="S38" s="2404"/>
      <c r="T38" s="2404"/>
      <c r="U38" s="2404"/>
      <c r="V38" s="2404"/>
      <c r="W38" s="2404"/>
      <c r="X38" s="2404"/>
      <c r="Y38" s="2404"/>
      <c r="Z38" s="2404"/>
      <c r="AA38" s="2404"/>
      <c r="AB38" s="2404"/>
      <c r="AC38" s="2404"/>
      <c r="AD38" s="2404"/>
      <c r="AE38" s="2404"/>
      <c r="AF38" s="2404"/>
      <c r="AG38" s="2404"/>
      <c r="AH38" s="2404"/>
      <c r="AI38" s="2404"/>
      <c r="AJ38" s="2405"/>
      <c r="AK38" s="540"/>
      <c r="AL38" s="540"/>
      <c r="AM38" s="540"/>
      <c r="AN38" s="535"/>
    </row>
    <row r="39" spans="1:41" s="536" customFormat="1" ht="12.75" customHeight="1">
      <c r="A39" s="540"/>
      <c r="B39" s="540"/>
      <c r="C39" s="540"/>
      <c r="E39" s="540"/>
      <c r="F39" s="540"/>
      <c r="G39" s="540"/>
      <c r="H39" s="540"/>
      <c r="I39" s="540"/>
      <c r="J39" s="540"/>
      <c r="K39" s="540"/>
      <c r="L39" s="540"/>
      <c r="M39" s="540"/>
      <c r="N39" s="540"/>
      <c r="O39" s="540"/>
      <c r="P39" s="540"/>
      <c r="Q39" s="540"/>
      <c r="R39" s="540"/>
      <c r="S39" s="540"/>
      <c r="T39" s="540"/>
      <c r="U39" s="540"/>
      <c r="V39" s="540"/>
      <c r="W39" s="540"/>
      <c r="X39" s="540"/>
      <c r="Y39" s="540"/>
      <c r="Z39" s="540"/>
      <c r="AA39" s="540"/>
      <c r="AB39" s="540"/>
      <c r="AC39" s="540"/>
      <c r="AD39" s="540"/>
      <c r="AE39" s="540"/>
      <c r="AF39" s="540"/>
      <c r="AG39" s="540"/>
      <c r="AH39" s="540"/>
      <c r="AI39" s="540"/>
      <c r="AJ39" s="540"/>
      <c r="AK39" s="540"/>
      <c r="AL39" s="540"/>
      <c r="AM39" s="540"/>
      <c r="AN39" s="535"/>
      <c r="AO39" s="536">
        <f>MAX(AO18,AO23,AO26,AO32)</f>
        <v>0</v>
      </c>
    </row>
    <row r="40" spans="1:41" s="536" customFormat="1" ht="12.75" customHeight="1">
      <c r="A40" s="540"/>
      <c r="B40" s="2399" t="s">
        <v>591</v>
      </c>
      <c r="C40" s="2399"/>
      <c r="D40" s="547"/>
      <c r="E40" s="2400" t="s">
        <v>2251</v>
      </c>
      <c r="F40" s="2401"/>
      <c r="G40" s="2401"/>
      <c r="H40" s="2401"/>
      <c r="I40" s="2401"/>
      <c r="J40" s="2401"/>
      <c r="K40" s="2401"/>
      <c r="L40" s="2401"/>
      <c r="M40" s="2401"/>
      <c r="N40" s="2401"/>
      <c r="O40" s="2401"/>
      <c r="P40" s="2401"/>
      <c r="Q40" s="2401"/>
      <c r="R40" s="2401"/>
      <c r="S40" s="2401"/>
      <c r="T40" s="2401"/>
      <c r="U40" s="2401"/>
      <c r="V40" s="2401"/>
      <c r="W40" s="2401"/>
      <c r="X40" s="2401"/>
      <c r="Y40" s="2401"/>
      <c r="Z40" s="2401"/>
      <c r="AA40" s="2401"/>
      <c r="AB40" s="2401"/>
      <c r="AC40" s="2401"/>
      <c r="AD40" s="2401"/>
      <c r="AE40" s="2401"/>
      <c r="AF40" s="2401"/>
      <c r="AG40" s="2401"/>
      <c r="AH40" s="2401"/>
      <c r="AI40" s="2401"/>
      <c r="AJ40" s="2402"/>
      <c r="AK40" s="540"/>
      <c r="AL40" s="540"/>
      <c r="AM40" s="540"/>
      <c r="AN40" s="535"/>
    </row>
    <row r="41" spans="1:41" s="536" customFormat="1" ht="12.75" customHeight="1">
      <c r="A41" s="540"/>
      <c r="B41" s="540"/>
      <c r="C41" s="540"/>
      <c r="E41" s="2403"/>
      <c r="F41" s="2404"/>
      <c r="G41" s="2404"/>
      <c r="H41" s="2404"/>
      <c r="I41" s="2404"/>
      <c r="J41" s="2404"/>
      <c r="K41" s="2404"/>
      <c r="L41" s="2404"/>
      <c r="M41" s="2404"/>
      <c r="N41" s="2404"/>
      <c r="O41" s="2404"/>
      <c r="P41" s="2404"/>
      <c r="Q41" s="2404"/>
      <c r="R41" s="2404"/>
      <c r="S41" s="2404"/>
      <c r="T41" s="2404"/>
      <c r="U41" s="2404"/>
      <c r="V41" s="2404"/>
      <c r="W41" s="2404"/>
      <c r="X41" s="2404"/>
      <c r="Y41" s="2404"/>
      <c r="Z41" s="2404"/>
      <c r="AA41" s="2404"/>
      <c r="AB41" s="2404"/>
      <c r="AC41" s="2404"/>
      <c r="AD41" s="2404"/>
      <c r="AE41" s="2404"/>
      <c r="AF41" s="2404"/>
      <c r="AG41" s="2404"/>
      <c r="AH41" s="2404"/>
      <c r="AI41" s="2404"/>
      <c r="AJ41" s="2405"/>
      <c r="AK41" s="540"/>
      <c r="AL41" s="540"/>
      <c r="AM41" s="540"/>
      <c r="AN41" s="535"/>
    </row>
    <row r="42" spans="1:41" s="536" customFormat="1" ht="12.75" customHeight="1">
      <c r="A42" s="540"/>
      <c r="B42" s="540"/>
      <c r="C42" s="540"/>
      <c r="E42" s="540"/>
      <c r="F42" s="540"/>
      <c r="G42" s="540"/>
      <c r="H42" s="540"/>
      <c r="I42" s="540"/>
      <c r="J42" s="540"/>
      <c r="K42" s="540"/>
      <c r="L42" s="540"/>
      <c r="M42" s="540"/>
      <c r="N42" s="540"/>
      <c r="O42" s="540"/>
      <c r="P42" s="540"/>
      <c r="Q42" s="540"/>
      <c r="R42" s="540"/>
      <c r="S42" s="540"/>
      <c r="T42" s="540"/>
      <c r="U42" s="540"/>
      <c r="V42" s="540"/>
      <c r="W42" s="540"/>
      <c r="X42" s="540"/>
      <c r="Y42" s="540"/>
      <c r="Z42" s="540"/>
      <c r="AA42" s="540"/>
      <c r="AB42" s="540"/>
      <c r="AC42" s="540"/>
      <c r="AD42" s="540"/>
      <c r="AE42" s="540"/>
      <c r="AF42" s="540"/>
      <c r="AG42" s="540"/>
      <c r="AH42" s="540"/>
      <c r="AI42" s="540"/>
      <c r="AJ42" s="540"/>
      <c r="AK42" s="540"/>
      <c r="AL42" s="540"/>
      <c r="AM42" s="540"/>
      <c r="AN42" s="535"/>
      <c r="AO42" s="536">
        <f>MAX(AO18,AO23,AO26,AO32)</f>
        <v>0</v>
      </c>
    </row>
    <row r="43" spans="1:41" s="536" customFormat="1" ht="12.75" customHeight="1">
      <c r="A43" s="540"/>
      <c r="C43" s="544" t="s">
        <v>2010</v>
      </c>
      <c r="E43" s="540"/>
      <c r="F43" s="540"/>
      <c r="G43" s="540"/>
      <c r="H43" s="540"/>
      <c r="I43" s="540"/>
      <c r="J43" s="540"/>
      <c r="K43" s="540"/>
      <c r="L43" s="540"/>
      <c r="M43" s="540"/>
      <c r="N43" s="540"/>
      <c r="O43" s="540"/>
      <c r="P43" s="540"/>
      <c r="Q43" s="540"/>
      <c r="R43" s="540"/>
      <c r="S43" s="540"/>
      <c r="T43" s="540"/>
      <c r="U43" s="540"/>
      <c r="V43" s="540"/>
      <c r="W43" s="540"/>
      <c r="X43" s="540"/>
      <c r="Y43" s="540"/>
      <c r="Z43" s="540"/>
      <c r="AA43" s="540"/>
      <c r="AB43" s="540"/>
      <c r="AC43" s="540"/>
      <c r="AD43" s="540"/>
      <c r="AE43" s="540"/>
      <c r="AF43" s="540"/>
      <c r="AG43" s="540"/>
      <c r="AH43" s="540"/>
      <c r="AI43" s="540"/>
      <c r="AJ43" s="540"/>
      <c r="AK43" s="540"/>
      <c r="AL43" s="540"/>
      <c r="AM43" s="540"/>
      <c r="AN43" s="535"/>
    </row>
    <row r="44" spans="1:41" s="536" customFormat="1" ht="12.75" customHeight="1">
      <c r="A44" s="540"/>
      <c r="C44" s="1142"/>
      <c r="D44" s="1142"/>
      <c r="E44" s="1142"/>
      <c r="F44" s="1142"/>
      <c r="G44" s="1142"/>
      <c r="H44" s="1142"/>
      <c r="I44" s="1142"/>
      <c r="J44" s="1142"/>
      <c r="K44" s="1142"/>
      <c r="L44" s="1142"/>
      <c r="M44" s="1142"/>
      <c r="N44" s="1142"/>
      <c r="O44" s="1142"/>
      <c r="P44" s="1142"/>
      <c r="Q44" s="1142"/>
      <c r="R44" s="1142"/>
      <c r="S44" s="1142"/>
      <c r="T44" s="1142"/>
      <c r="U44" s="1142"/>
      <c r="V44" s="1142"/>
      <c r="W44" s="1142"/>
      <c r="X44" s="1142"/>
      <c r="Y44" s="1142"/>
      <c r="Z44" s="1142"/>
      <c r="AA44" s="1142"/>
      <c r="AB44" s="1142"/>
      <c r="AC44" s="1142"/>
      <c r="AD44" s="1142"/>
      <c r="AE44" s="1142"/>
      <c r="AF44" s="1142"/>
      <c r="AG44" s="1142"/>
      <c r="AH44" s="1142"/>
      <c r="AI44" s="1142"/>
      <c r="AJ44" s="1142"/>
      <c r="AK44" s="1142"/>
      <c r="AL44" s="540"/>
      <c r="AM44" s="540"/>
      <c r="AN44" s="535"/>
    </row>
    <row r="45" spans="1:41" s="536" customFormat="1" ht="12.75" customHeight="1">
      <c r="A45" s="540"/>
      <c r="B45" s="2399" t="s">
        <v>591</v>
      </c>
      <c r="C45" s="2399"/>
      <c r="D45" s="1142"/>
      <c r="E45" s="2400" t="s">
        <v>2009</v>
      </c>
      <c r="F45" s="2401"/>
      <c r="G45" s="2401"/>
      <c r="H45" s="2401"/>
      <c r="I45" s="2401"/>
      <c r="J45" s="2401"/>
      <c r="K45" s="2401"/>
      <c r="L45" s="2401"/>
      <c r="M45" s="2401"/>
      <c r="N45" s="2401"/>
      <c r="O45" s="2401"/>
      <c r="P45" s="2401"/>
      <c r="Q45" s="2401"/>
      <c r="R45" s="2401"/>
      <c r="S45" s="2401"/>
      <c r="T45" s="2401"/>
      <c r="U45" s="2401"/>
      <c r="V45" s="2401"/>
      <c r="W45" s="2401"/>
      <c r="X45" s="2401"/>
      <c r="Y45" s="2401"/>
      <c r="Z45" s="2401"/>
      <c r="AA45" s="2401"/>
      <c r="AB45" s="2401"/>
      <c r="AC45" s="2401"/>
      <c r="AD45" s="2401"/>
      <c r="AE45" s="2401"/>
      <c r="AF45" s="2401"/>
      <c r="AG45" s="2401"/>
      <c r="AH45" s="2401"/>
      <c r="AI45" s="2401"/>
      <c r="AJ45" s="2402"/>
      <c r="AK45" s="1142"/>
      <c r="AL45" s="540"/>
      <c r="AM45" s="540"/>
      <c r="AN45" s="535"/>
    </row>
    <row r="46" spans="1:41" s="536" customFormat="1" ht="12.75" customHeight="1">
      <c r="A46" s="540"/>
      <c r="B46" s="540"/>
      <c r="C46" s="540"/>
      <c r="E46" s="2406"/>
      <c r="F46" s="2407"/>
      <c r="G46" s="2407"/>
      <c r="H46" s="2407"/>
      <c r="I46" s="2407"/>
      <c r="J46" s="2407"/>
      <c r="K46" s="2407"/>
      <c r="L46" s="2407"/>
      <c r="M46" s="2407"/>
      <c r="N46" s="2407"/>
      <c r="O46" s="2407"/>
      <c r="P46" s="2407"/>
      <c r="Q46" s="2407"/>
      <c r="R46" s="2407"/>
      <c r="S46" s="2407"/>
      <c r="T46" s="2407"/>
      <c r="U46" s="2407"/>
      <c r="V46" s="2407"/>
      <c r="W46" s="2407"/>
      <c r="X46" s="2407"/>
      <c r="Y46" s="2407"/>
      <c r="Z46" s="2407"/>
      <c r="AA46" s="2407"/>
      <c r="AB46" s="2407"/>
      <c r="AC46" s="2407"/>
      <c r="AD46" s="2407"/>
      <c r="AE46" s="2407"/>
      <c r="AF46" s="2407"/>
      <c r="AG46" s="2407"/>
      <c r="AH46" s="2407"/>
      <c r="AI46" s="2407"/>
      <c r="AJ46" s="2408"/>
      <c r="AK46" s="540"/>
      <c r="AL46" s="540"/>
      <c r="AM46" s="540"/>
      <c r="AN46" s="535"/>
    </row>
    <row r="47" spans="1:41" s="536" customFormat="1" ht="12.75" customHeight="1">
      <c r="A47" s="540"/>
      <c r="D47" s="547"/>
      <c r="E47" s="2403"/>
      <c r="F47" s="2404"/>
      <c r="G47" s="2404"/>
      <c r="H47" s="2404"/>
      <c r="I47" s="2404"/>
      <c r="J47" s="2404"/>
      <c r="K47" s="2404"/>
      <c r="L47" s="2404"/>
      <c r="M47" s="2404"/>
      <c r="N47" s="2404"/>
      <c r="O47" s="2404"/>
      <c r="P47" s="2404"/>
      <c r="Q47" s="2404"/>
      <c r="R47" s="2404"/>
      <c r="S47" s="2404"/>
      <c r="T47" s="2404"/>
      <c r="U47" s="2404"/>
      <c r="V47" s="2404"/>
      <c r="W47" s="2404"/>
      <c r="X47" s="2404"/>
      <c r="Y47" s="2404"/>
      <c r="Z47" s="2404"/>
      <c r="AA47" s="2404"/>
      <c r="AB47" s="2404"/>
      <c r="AC47" s="2404"/>
      <c r="AD47" s="2404"/>
      <c r="AE47" s="2404"/>
      <c r="AF47" s="2404"/>
      <c r="AG47" s="2404"/>
      <c r="AH47" s="2404"/>
      <c r="AI47" s="2404"/>
      <c r="AJ47" s="2405"/>
      <c r="AK47" s="540"/>
      <c r="AL47" s="540"/>
      <c r="AM47" s="540"/>
      <c r="AN47" s="535"/>
      <c r="AO47" s="556"/>
    </row>
    <row r="48" spans="1:41" s="536" customFormat="1" ht="12.75" customHeight="1">
      <c r="A48" s="540"/>
      <c r="B48" s="540"/>
      <c r="C48" s="540"/>
      <c r="E48" s="540"/>
      <c r="F48" s="540"/>
      <c r="G48" s="540"/>
      <c r="H48" s="540"/>
      <c r="I48" s="540"/>
      <c r="J48" s="540"/>
      <c r="K48" s="540"/>
      <c r="L48" s="540"/>
      <c r="M48" s="540"/>
      <c r="N48" s="540"/>
      <c r="O48" s="540"/>
      <c r="P48" s="540"/>
      <c r="Q48" s="540"/>
      <c r="R48" s="540"/>
      <c r="S48" s="540"/>
      <c r="T48" s="540"/>
      <c r="U48" s="540"/>
      <c r="V48" s="540"/>
      <c r="W48" s="540"/>
      <c r="X48" s="540"/>
      <c r="Y48" s="540"/>
      <c r="Z48" s="540"/>
      <c r="AA48" s="540"/>
      <c r="AB48" s="540"/>
      <c r="AC48" s="540"/>
      <c r="AD48" s="540"/>
      <c r="AE48" s="540"/>
      <c r="AF48" s="540"/>
      <c r="AG48" s="540"/>
      <c r="AH48" s="540"/>
      <c r="AI48" s="540"/>
      <c r="AJ48" s="540"/>
      <c r="AK48" s="540"/>
      <c r="AL48" s="540"/>
      <c r="AM48" s="540"/>
      <c r="AN48" s="535"/>
      <c r="AO48" s="556"/>
    </row>
    <row r="49" spans="1:50" s="536" customFormat="1" ht="12.75" customHeight="1">
      <c r="A49" s="539"/>
      <c r="B49" s="539" t="s">
        <v>2012</v>
      </c>
      <c r="C49" s="547"/>
      <c r="D49" s="547"/>
      <c r="E49" s="557"/>
      <c r="F49" s="540"/>
      <c r="G49" s="540"/>
      <c r="H49" s="540"/>
      <c r="I49" s="540"/>
      <c r="J49" s="540"/>
      <c r="K49" s="540"/>
      <c r="L49" s="540"/>
      <c r="M49" s="540"/>
      <c r="N49" s="540"/>
      <c r="O49" s="540"/>
      <c r="P49" s="540"/>
      <c r="Q49" s="540"/>
      <c r="R49" s="540"/>
      <c r="S49" s="540"/>
      <c r="T49" s="540"/>
      <c r="U49" s="540"/>
      <c r="V49" s="540"/>
      <c r="W49" s="540"/>
      <c r="X49" s="540"/>
      <c r="Y49" s="540"/>
      <c r="Z49" s="540"/>
      <c r="AA49" s="540"/>
      <c r="AB49" s="540"/>
      <c r="AC49" s="540"/>
      <c r="AD49" s="540"/>
      <c r="AE49" s="540"/>
      <c r="AF49" s="540"/>
      <c r="AG49" s="540"/>
      <c r="AH49" s="540"/>
      <c r="AI49" s="540"/>
      <c r="AJ49" s="540"/>
      <c r="AK49" s="540"/>
      <c r="AL49" s="540"/>
      <c r="AM49" s="540"/>
      <c r="AN49" s="535"/>
      <c r="AO49" s="556"/>
    </row>
    <row r="50" spans="1:50" s="536" customFormat="1" ht="12.75" customHeight="1">
      <c r="A50" s="540"/>
      <c r="B50" s="540"/>
      <c r="C50" s="1141" t="s">
        <v>2013</v>
      </c>
      <c r="D50" s="540"/>
      <c r="E50" s="540"/>
      <c r="F50" s="540"/>
      <c r="G50" s="540"/>
      <c r="H50" s="540"/>
      <c r="I50" s="540"/>
      <c r="J50" s="540"/>
      <c r="K50" s="540"/>
      <c r="L50" s="540"/>
      <c r="M50" s="540"/>
      <c r="N50" s="540"/>
      <c r="O50" s="540"/>
      <c r="P50" s="540"/>
      <c r="Q50" s="540"/>
      <c r="R50" s="540"/>
      <c r="S50" s="540"/>
      <c r="T50" s="540"/>
      <c r="U50" s="540"/>
      <c r="V50" s="540"/>
      <c r="W50" s="540"/>
      <c r="X50" s="540"/>
      <c r="Y50" s="540"/>
      <c r="Z50" s="540"/>
      <c r="AA50" s="540"/>
      <c r="AB50" s="540"/>
      <c r="AC50" s="540"/>
      <c r="AD50" s="540"/>
      <c r="AE50" s="540"/>
      <c r="AF50" s="540"/>
      <c r="AG50" s="540"/>
      <c r="AH50" s="540"/>
      <c r="AI50" s="540"/>
      <c r="AJ50" s="540"/>
      <c r="AK50" s="540"/>
      <c r="AL50" s="540"/>
      <c r="AM50" s="540"/>
      <c r="AN50" s="535"/>
      <c r="AO50" s="556"/>
    </row>
    <row r="51" spans="1:50" s="536" customFormat="1" ht="12.75" customHeight="1">
      <c r="A51" s="547"/>
      <c r="B51" s="547"/>
      <c r="C51" s="547"/>
      <c r="D51" s="547"/>
      <c r="E51" s="558"/>
      <c r="F51" s="540"/>
      <c r="G51" s="540"/>
      <c r="H51" s="540"/>
      <c r="I51" s="540"/>
      <c r="J51" s="540"/>
      <c r="K51" s="540"/>
      <c r="L51" s="540"/>
      <c r="M51" s="540"/>
      <c r="N51" s="540"/>
      <c r="O51" s="540"/>
      <c r="P51" s="540"/>
      <c r="Q51" s="540"/>
      <c r="R51" s="540"/>
      <c r="S51" s="540"/>
      <c r="T51" s="540"/>
      <c r="U51" s="540"/>
      <c r="V51" s="540"/>
      <c r="W51" s="540"/>
      <c r="X51" s="540"/>
      <c r="Y51" s="540"/>
      <c r="Z51" s="540"/>
      <c r="AA51" s="540"/>
      <c r="AB51" s="540"/>
      <c r="AC51" s="540"/>
      <c r="AD51" s="540"/>
      <c r="AE51" s="540"/>
      <c r="AF51" s="540"/>
      <c r="AG51" s="540"/>
      <c r="AH51" s="540"/>
      <c r="AI51" s="540"/>
      <c r="AJ51" s="540"/>
      <c r="AK51" s="540"/>
      <c r="AL51" s="540"/>
      <c r="AM51" s="540"/>
      <c r="AN51" s="535"/>
      <c r="AO51" s="556"/>
    </row>
    <row r="52" spans="1:50" s="536" customFormat="1" ht="12.75" customHeight="1">
      <c r="A52" s="540"/>
      <c r="B52" s="2399" t="s">
        <v>591</v>
      </c>
      <c r="C52" s="2399"/>
      <c r="D52" s="540"/>
      <c r="E52" s="2400" t="s">
        <v>2014</v>
      </c>
      <c r="F52" s="2401"/>
      <c r="G52" s="2401"/>
      <c r="H52" s="2401"/>
      <c r="I52" s="2401"/>
      <c r="J52" s="2401"/>
      <c r="K52" s="2401"/>
      <c r="L52" s="2401"/>
      <c r="M52" s="2401"/>
      <c r="N52" s="2401"/>
      <c r="O52" s="2401"/>
      <c r="P52" s="2401"/>
      <c r="Q52" s="2401"/>
      <c r="R52" s="2401"/>
      <c r="S52" s="2401"/>
      <c r="T52" s="2401"/>
      <c r="U52" s="2401"/>
      <c r="V52" s="2401"/>
      <c r="W52" s="2401"/>
      <c r="X52" s="2401"/>
      <c r="Y52" s="2401"/>
      <c r="Z52" s="2401"/>
      <c r="AA52" s="2401"/>
      <c r="AB52" s="2401"/>
      <c r="AC52" s="2401"/>
      <c r="AD52" s="2401"/>
      <c r="AE52" s="2401"/>
      <c r="AF52" s="2401"/>
      <c r="AG52" s="2401"/>
      <c r="AH52" s="2401"/>
      <c r="AI52" s="2401"/>
      <c r="AJ52" s="2402"/>
      <c r="AK52" s="540"/>
      <c r="AL52" s="540"/>
      <c r="AM52" s="540"/>
      <c r="AN52" s="535"/>
      <c r="AO52" s="559"/>
    </row>
    <row r="53" spans="1:50" s="536" customFormat="1" ht="12.75" customHeight="1">
      <c r="A53" s="540"/>
      <c r="D53" s="547"/>
      <c r="E53" s="2406"/>
      <c r="F53" s="2407"/>
      <c r="G53" s="2407"/>
      <c r="H53" s="2407"/>
      <c r="I53" s="2407"/>
      <c r="J53" s="2407"/>
      <c r="K53" s="2407"/>
      <c r="L53" s="2407"/>
      <c r="M53" s="2407"/>
      <c r="N53" s="2407"/>
      <c r="O53" s="2407"/>
      <c r="P53" s="2407"/>
      <c r="Q53" s="2407"/>
      <c r="R53" s="2407"/>
      <c r="S53" s="2407"/>
      <c r="T53" s="2407"/>
      <c r="U53" s="2407"/>
      <c r="V53" s="2407"/>
      <c r="W53" s="2407"/>
      <c r="X53" s="2407"/>
      <c r="Y53" s="2407"/>
      <c r="Z53" s="2407"/>
      <c r="AA53" s="2407"/>
      <c r="AB53" s="2407"/>
      <c r="AC53" s="2407"/>
      <c r="AD53" s="2407"/>
      <c r="AE53" s="2407"/>
      <c r="AF53" s="2407"/>
      <c r="AG53" s="2407"/>
      <c r="AH53" s="2407"/>
      <c r="AI53" s="2407"/>
      <c r="AJ53" s="2408"/>
      <c r="AK53" s="540"/>
      <c r="AL53" s="540"/>
      <c r="AM53" s="540"/>
      <c r="AN53" s="535"/>
      <c r="AO53" s="559"/>
    </row>
    <row r="54" spans="1:50" s="536" customFormat="1" ht="12.75" customHeight="1">
      <c r="A54" s="540"/>
      <c r="D54" s="540"/>
      <c r="E54" s="2403"/>
      <c r="F54" s="2404"/>
      <c r="G54" s="2404"/>
      <c r="H54" s="2404"/>
      <c r="I54" s="2404"/>
      <c r="J54" s="2404"/>
      <c r="K54" s="2404"/>
      <c r="L54" s="2404"/>
      <c r="M54" s="2404"/>
      <c r="N54" s="2404"/>
      <c r="O54" s="2404"/>
      <c r="P54" s="2404"/>
      <c r="Q54" s="2404"/>
      <c r="R54" s="2404"/>
      <c r="S54" s="2404"/>
      <c r="T54" s="2404"/>
      <c r="U54" s="2404"/>
      <c r="V54" s="2404"/>
      <c r="W54" s="2404"/>
      <c r="X54" s="2404"/>
      <c r="Y54" s="2404"/>
      <c r="Z54" s="2404"/>
      <c r="AA54" s="2404"/>
      <c r="AB54" s="2404"/>
      <c r="AC54" s="2404"/>
      <c r="AD54" s="2404"/>
      <c r="AE54" s="2404"/>
      <c r="AF54" s="2404"/>
      <c r="AG54" s="2404"/>
      <c r="AH54" s="2404"/>
      <c r="AI54" s="2404"/>
      <c r="AJ54" s="2405"/>
      <c r="AK54" s="540"/>
      <c r="AL54" s="540"/>
      <c r="AM54" s="540"/>
      <c r="AN54" s="535"/>
    </row>
    <row r="55" spans="1:50" s="536" customFormat="1" ht="12.75" customHeight="1">
      <c r="A55" s="540"/>
      <c r="B55" s="540"/>
      <c r="C55" s="540"/>
      <c r="D55" s="547"/>
      <c r="E55" s="558"/>
      <c r="F55" s="556"/>
      <c r="G55" s="556"/>
      <c r="H55" s="540"/>
      <c r="I55" s="540"/>
      <c r="J55" s="540"/>
      <c r="K55" s="540"/>
      <c r="L55" s="540"/>
      <c r="M55" s="540"/>
      <c r="N55" s="540"/>
      <c r="O55" s="540"/>
      <c r="P55" s="540"/>
      <c r="Q55" s="540"/>
      <c r="R55" s="540"/>
      <c r="S55" s="540"/>
      <c r="T55" s="540"/>
      <c r="U55" s="540"/>
      <c r="V55" s="540"/>
      <c r="W55" s="540"/>
      <c r="X55" s="540"/>
      <c r="Y55" s="540"/>
      <c r="Z55" s="540"/>
      <c r="AA55" s="540"/>
      <c r="AB55" s="540"/>
      <c r="AC55" s="540"/>
      <c r="AD55" s="540"/>
      <c r="AE55" s="540"/>
      <c r="AF55" s="540"/>
      <c r="AG55" s="540"/>
      <c r="AH55" s="540"/>
      <c r="AI55" s="540"/>
      <c r="AJ55" s="540"/>
      <c r="AK55" s="540"/>
      <c r="AL55" s="540"/>
      <c r="AM55" s="540"/>
      <c r="AN55" s="535"/>
    </row>
    <row r="56" spans="1:50" s="536" customFormat="1" ht="12.75" customHeight="1">
      <c r="A56" s="540"/>
      <c r="B56" s="2399" t="s">
        <v>591</v>
      </c>
      <c r="C56" s="2399"/>
      <c r="D56" s="540"/>
      <c r="E56" s="2420" t="s">
        <v>2015</v>
      </c>
      <c r="F56" s="2421"/>
      <c r="G56" s="2421"/>
      <c r="H56" s="2421"/>
      <c r="I56" s="2421"/>
      <c r="J56" s="2421"/>
      <c r="K56" s="2421"/>
      <c r="L56" s="2421"/>
      <c r="M56" s="2421"/>
      <c r="N56" s="2421"/>
      <c r="O56" s="2421"/>
      <c r="P56" s="2421"/>
      <c r="Q56" s="2421"/>
      <c r="R56" s="2421"/>
      <c r="S56" s="2421"/>
      <c r="T56" s="2421"/>
      <c r="U56" s="2421"/>
      <c r="V56" s="2421"/>
      <c r="W56" s="2421"/>
      <c r="X56" s="2421"/>
      <c r="Y56" s="2421"/>
      <c r="Z56" s="2421"/>
      <c r="AA56" s="2421"/>
      <c r="AB56" s="2421"/>
      <c r="AC56" s="2421"/>
      <c r="AD56" s="2421"/>
      <c r="AE56" s="2421"/>
      <c r="AF56" s="2421"/>
      <c r="AG56" s="2421"/>
      <c r="AH56" s="2421"/>
      <c r="AI56" s="2421"/>
      <c r="AJ56" s="2422"/>
      <c r="AK56" s="540"/>
      <c r="AL56" s="540"/>
      <c r="AM56" s="540"/>
      <c r="AN56" s="535"/>
    </row>
    <row r="57" spans="1:50" s="536" customFormat="1" ht="12.75" customHeight="1">
      <c r="A57" s="540"/>
      <c r="B57" s="540"/>
      <c r="C57" s="540"/>
      <c r="D57" s="547"/>
      <c r="E57" s="560"/>
      <c r="F57" s="556"/>
      <c r="G57" s="556"/>
      <c r="H57" s="540"/>
      <c r="I57" s="540"/>
      <c r="J57" s="540"/>
      <c r="K57" s="540"/>
      <c r="L57" s="540"/>
      <c r="M57" s="540"/>
      <c r="N57" s="540"/>
      <c r="O57" s="540"/>
      <c r="P57" s="540"/>
      <c r="Q57" s="540"/>
      <c r="R57" s="540"/>
      <c r="S57" s="540"/>
      <c r="T57" s="540"/>
      <c r="U57" s="540"/>
      <c r="V57" s="540"/>
      <c r="W57" s="540"/>
      <c r="X57" s="540"/>
      <c r="Y57" s="540"/>
      <c r="Z57" s="540"/>
      <c r="AA57" s="540"/>
      <c r="AB57" s="540"/>
      <c r="AC57" s="540"/>
      <c r="AD57" s="540"/>
      <c r="AE57" s="540"/>
      <c r="AF57" s="540"/>
      <c r="AG57" s="540"/>
      <c r="AH57" s="540"/>
      <c r="AI57" s="540"/>
      <c r="AJ57" s="540"/>
      <c r="AK57" s="540"/>
      <c r="AL57" s="540"/>
      <c r="AM57" s="540"/>
      <c r="AN57" s="535"/>
    </row>
    <row r="58" spans="1:50" s="536" customFormat="1" ht="12.75" customHeight="1">
      <c r="A58" s="540"/>
      <c r="B58" s="2399" t="s">
        <v>591</v>
      </c>
      <c r="C58" s="2399"/>
      <c r="D58" s="540"/>
      <c r="E58" s="2400" t="s">
        <v>2016</v>
      </c>
      <c r="F58" s="2401"/>
      <c r="G58" s="2401"/>
      <c r="H58" s="2401"/>
      <c r="I58" s="2401"/>
      <c r="J58" s="2401"/>
      <c r="K58" s="2401"/>
      <c r="L58" s="2401"/>
      <c r="M58" s="2401"/>
      <c r="N58" s="2401"/>
      <c r="O58" s="2401"/>
      <c r="P58" s="2401"/>
      <c r="Q58" s="2401"/>
      <c r="R58" s="2401"/>
      <c r="S58" s="2401"/>
      <c r="T58" s="2401"/>
      <c r="U58" s="2401"/>
      <c r="V58" s="2401"/>
      <c r="W58" s="2401"/>
      <c r="X58" s="2401"/>
      <c r="Y58" s="2401"/>
      <c r="Z58" s="2401"/>
      <c r="AA58" s="2401"/>
      <c r="AB58" s="2401"/>
      <c r="AC58" s="2401"/>
      <c r="AD58" s="2401"/>
      <c r="AE58" s="2401"/>
      <c r="AF58" s="2401"/>
      <c r="AG58" s="2401"/>
      <c r="AH58" s="2401"/>
      <c r="AI58" s="2401"/>
      <c r="AJ58" s="2402"/>
      <c r="AK58" s="540"/>
      <c r="AL58" s="540"/>
      <c r="AM58" s="540"/>
      <c r="AN58" s="535"/>
    </row>
    <row r="59" spans="1:50" s="536" customFormat="1" ht="12.75" customHeight="1">
      <c r="A59" s="540"/>
      <c r="B59" s="547"/>
      <c r="C59" s="547"/>
      <c r="D59" s="547"/>
      <c r="E59" s="2403"/>
      <c r="F59" s="2404"/>
      <c r="G59" s="2404"/>
      <c r="H59" s="2404"/>
      <c r="I59" s="2404"/>
      <c r="J59" s="2404"/>
      <c r="K59" s="2404"/>
      <c r="L59" s="2404"/>
      <c r="M59" s="2404"/>
      <c r="N59" s="2404"/>
      <c r="O59" s="2404"/>
      <c r="P59" s="2404"/>
      <c r="Q59" s="2404"/>
      <c r="R59" s="2404"/>
      <c r="S59" s="2404"/>
      <c r="T59" s="2404"/>
      <c r="U59" s="2404"/>
      <c r="V59" s="2404"/>
      <c r="W59" s="2404"/>
      <c r="X59" s="2404"/>
      <c r="Y59" s="2404"/>
      <c r="Z59" s="2404"/>
      <c r="AA59" s="2404"/>
      <c r="AB59" s="2404"/>
      <c r="AC59" s="2404"/>
      <c r="AD59" s="2404"/>
      <c r="AE59" s="2404"/>
      <c r="AF59" s="2404"/>
      <c r="AG59" s="2404"/>
      <c r="AH59" s="2404"/>
      <c r="AI59" s="2404"/>
      <c r="AJ59" s="2405"/>
      <c r="AK59" s="540"/>
      <c r="AL59" s="540"/>
      <c r="AM59" s="540"/>
      <c r="AN59" s="535"/>
      <c r="AX59" s="539"/>
    </row>
    <row r="60" spans="1:50" s="536" customFormat="1" ht="12.75" customHeight="1">
      <c r="A60" s="540"/>
      <c r="B60" s="547"/>
      <c r="C60" s="547"/>
      <c r="D60" s="547"/>
      <c r="E60" s="560"/>
      <c r="F60" s="540"/>
      <c r="G60" s="540"/>
      <c r="H60" s="540"/>
      <c r="I60" s="540"/>
      <c r="J60" s="540"/>
      <c r="K60" s="540"/>
      <c r="L60" s="540"/>
      <c r="M60" s="540"/>
      <c r="N60" s="540"/>
      <c r="O60" s="540"/>
      <c r="P60" s="540"/>
      <c r="Q60" s="540"/>
      <c r="R60" s="540"/>
      <c r="S60" s="540"/>
      <c r="T60" s="540"/>
      <c r="U60" s="540"/>
      <c r="V60" s="540"/>
      <c r="W60" s="540"/>
      <c r="X60" s="540"/>
      <c r="Y60" s="540"/>
      <c r="Z60" s="540"/>
      <c r="AA60" s="540"/>
      <c r="AB60" s="540"/>
      <c r="AC60" s="540"/>
      <c r="AD60" s="540"/>
      <c r="AE60" s="540"/>
      <c r="AF60" s="540"/>
      <c r="AG60" s="540"/>
      <c r="AH60" s="540"/>
      <c r="AI60" s="540"/>
      <c r="AJ60" s="540"/>
      <c r="AK60" s="540"/>
      <c r="AL60" s="540"/>
      <c r="AM60" s="540"/>
      <c r="AN60" s="535"/>
      <c r="AX60" s="539"/>
    </row>
    <row r="61" spans="1:50" s="536" customFormat="1" ht="12.75" customHeight="1">
      <c r="A61" s="540"/>
      <c r="B61" s="540"/>
      <c r="C61" s="540"/>
      <c r="D61" s="540"/>
      <c r="E61" s="540"/>
      <c r="F61" s="540"/>
      <c r="G61" s="540"/>
      <c r="H61" s="540"/>
      <c r="I61" s="540"/>
      <c r="J61" s="540"/>
      <c r="K61" s="540"/>
      <c r="L61" s="540"/>
      <c r="M61" s="540"/>
      <c r="N61" s="540"/>
      <c r="O61" s="540"/>
      <c r="P61" s="540"/>
      <c r="Q61" s="540"/>
      <c r="R61" s="540"/>
      <c r="S61" s="540"/>
      <c r="T61" s="540"/>
      <c r="U61" s="540"/>
      <c r="V61" s="540"/>
      <c r="W61" s="540"/>
      <c r="X61" s="540"/>
      <c r="Y61" s="540"/>
      <c r="Z61" s="540"/>
      <c r="AA61" s="540"/>
      <c r="AB61" s="540"/>
      <c r="AC61" s="540"/>
      <c r="AD61" s="540"/>
      <c r="AE61" s="540"/>
      <c r="AF61" s="540"/>
      <c r="AG61" s="540"/>
      <c r="AH61" s="540"/>
      <c r="AI61" s="540"/>
      <c r="AJ61" s="540"/>
      <c r="AK61" s="540"/>
      <c r="AL61" s="540"/>
      <c r="AM61" s="540"/>
      <c r="AN61" s="535"/>
    </row>
    <row r="62" spans="1:50" s="536" customFormat="1" ht="12.75" customHeight="1">
      <c r="A62" s="561"/>
      <c r="B62" s="562"/>
      <c r="C62" s="562"/>
      <c r="D62" s="562"/>
      <c r="E62" s="562"/>
      <c r="F62" s="562"/>
      <c r="G62" s="563"/>
      <c r="H62" s="564"/>
      <c r="I62" s="564"/>
      <c r="J62" s="564"/>
      <c r="K62" s="564"/>
      <c r="L62" s="564"/>
      <c r="M62" s="564"/>
      <c r="N62" s="564"/>
      <c r="O62" s="564"/>
      <c r="P62" s="564"/>
      <c r="Q62" s="564"/>
      <c r="R62" s="564"/>
      <c r="S62" s="564"/>
      <c r="T62" s="564"/>
      <c r="U62" s="564"/>
      <c r="V62" s="564"/>
      <c r="W62" s="564"/>
      <c r="X62" s="564"/>
      <c r="Y62" s="564"/>
      <c r="Z62" s="564"/>
      <c r="AA62" s="564"/>
      <c r="AB62" s="564"/>
      <c r="AC62" s="564"/>
      <c r="AD62" s="564"/>
      <c r="AE62" s="564"/>
      <c r="AF62" s="564"/>
      <c r="AG62" s="564"/>
      <c r="AH62" s="564"/>
      <c r="AI62" s="565"/>
      <c r="AJ62" s="565" t="s">
        <v>1311</v>
      </c>
      <c r="AK62" s="2432">
        <f>AO39</f>
        <v>0</v>
      </c>
      <c r="AL62" s="2433"/>
      <c r="AM62" s="2434"/>
      <c r="AN62" s="535"/>
    </row>
    <row r="63" spans="1:50" s="536" customFormat="1" ht="12.75" customHeight="1" thickBot="1">
      <c r="A63" s="566"/>
      <c r="B63" s="567"/>
      <c r="C63" s="568"/>
      <c r="D63" s="568"/>
      <c r="E63" s="568"/>
      <c r="F63" s="568"/>
      <c r="G63" s="568"/>
      <c r="H63" s="568"/>
      <c r="I63" s="568"/>
      <c r="J63" s="568"/>
      <c r="K63" s="568"/>
      <c r="L63" s="568"/>
      <c r="M63" s="568"/>
      <c r="N63" s="568"/>
      <c r="O63" s="568"/>
      <c r="P63" s="568"/>
      <c r="Q63" s="568"/>
      <c r="R63" s="568"/>
      <c r="S63" s="568"/>
      <c r="T63" s="568"/>
      <c r="U63" s="568"/>
      <c r="V63" s="568"/>
      <c r="W63" s="568"/>
      <c r="X63" s="568"/>
      <c r="Y63" s="568"/>
      <c r="Z63" s="568"/>
      <c r="AA63" s="568"/>
      <c r="AB63" s="568"/>
      <c r="AC63" s="568"/>
      <c r="AD63" s="568"/>
      <c r="AE63" s="568"/>
      <c r="AF63" s="568"/>
      <c r="AG63" s="568"/>
      <c r="AH63" s="568"/>
      <c r="AI63" s="568"/>
      <c r="AJ63" s="568"/>
      <c r="AK63" s="568"/>
      <c r="AL63" s="568"/>
      <c r="AM63" s="569"/>
      <c r="AN63" s="535"/>
    </row>
    <row r="64" spans="1:50" s="536" customFormat="1" ht="12.75" customHeight="1" thickTop="1">
      <c r="A64" s="570"/>
      <c r="B64" s="571"/>
      <c r="C64" s="572"/>
      <c r="D64" s="572"/>
      <c r="E64" s="572"/>
      <c r="F64" s="572"/>
      <c r="G64" s="572"/>
      <c r="H64" s="572"/>
      <c r="I64" s="573"/>
      <c r="J64" s="573"/>
      <c r="K64" s="573"/>
      <c r="L64" s="573"/>
      <c r="M64" s="573"/>
      <c r="N64" s="573"/>
      <c r="O64" s="573"/>
      <c r="P64" s="573"/>
      <c r="Q64" s="573"/>
      <c r="R64" s="570"/>
      <c r="S64" s="539"/>
      <c r="T64" s="539"/>
      <c r="U64" s="539"/>
      <c r="V64" s="539"/>
      <c r="W64" s="539"/>
      <c r="X64" s="539"/>
      <c r="Y64" s="539"/>
      <c r="Z64" s="539"/>
      <c r="AA64" s="539"/>
      <c r="AB64" s="539"/>
      <c r="AC64" s="539"/>
      <c r="AD64" s="539"/>
      <c r="AE64" s="539"/>
      <c r="AF64" s="570"/>
      <c r="AG64" s="539"/>
      <c r="AH64" s="539"/>
      <c r="AI64" s="539"/>
      <c r="AJ64" s="539"/>
      <c r="AK64" s="550"/>
      <c r="AL64" s="550"/>
      <c r="AM64" s="550"/>
      <c r="AN64" s="535"/>
    </row>
    <row r="65" spans="1:42" s="536" customFormat="1" ht="12.75" customHeight="1">
      <c r="A65" s="538" t="s">
        <v>1312</v>
      </c>
      <c r="B65" s="539" t="s">
        <v>1313</v>
      </c>
      <c r="C65" s="539"/>
      <c r="D65" s="539"/>
      <c r="E65" s="539"/>
      <c r="F65" s="539"/>
      <c r="G65" s="539"/>
      <c r="H65" s="539"/>
      <c r="I65" s="539"/>
      <c r="J65" s="539"/>
      <c r="K65" s="539"/>
      <c r="L65" s="539"/>
      <c r="M65" s="539"/>
      <c r="N65" s="539"/>
      <c r="O65" s="539"/>
      <c r="P65" s="539"/>
      <c r="Q65" s="539"/>
      <c r="R65" s="539"/>
      <c r="S65" s="539"/>
      <c r="T65" s="539"/>
      <c r="U65" s="539"/>
      <c r="V65" s="539"/>
      <c r="W65" s="539"/>
      <c r="X65" s="539"/>
      <c r="Y65" s="539"/>
      <c r="Z65" s="539"/>
      <c r="AA65" s="539"/>
      <c r="AB65" s="539"/>
      <c r="AC65" s="539"/>
      <c r="AD65" s="539"/>
      <c r="AE65" s="2409" t="s">
        <v>1314</v>
      </c>
      <c r="AF65" s="2409"/>
      <c r="AG65" s="2409"/>
      <c r="AH65" s="2409"/>
      <c r="AI65" s="2409"/>
      <c r="AJ65" s="2409"/>
      <c r="AK65" s="2409"/>
      <c r="AL65" s="540"/>
      <c r="AM65" s="540"/>
      <c r="AN65" s="535"/>
    </row>
    <row r="66" spans="1:42" s="536" customFormat="1" ht="12.75" customHeight="1">
      <c r="A66" s="538"/>
      <c r="B66" s="539" t="s">
        <v>1728</v>
      </c>
      <c r="C66" s="539"/>
      <c r="D66" s="539"/>
      <c r="E66" s="539"/>
      <c r="F66" s="539"/>
      <c r="G66" s="539"/>
      <c r="H66" s="539"/>
      <c r="I66" s="539"/>
      <c r="J66" s="539"/>
      <c r="K66" s="539"/>
      <c r="L66" s="539"/>
      <c r="M66" s="539"/>
      <c r="N66" s="539"/>
      <c r="O66" s="539"/>
      <c r="P66" s="539"/>
      <c r="Q66" s="539"/>
      <c r="R66" s="539"/>
      <c r="S66" s="539"/>
      <c r="T66" s="539"/>
      <c r="U66" s="539"/>
      <c r="V66" s="539"/>
      <c r="W66" s="539"/>
      <c r="X66" s="539"/>
      <c r="Y66" s="539"/>
      <c r="Z66" s="539"/>
      <c r="AA66" s="539"/>
      <c r="AB66" s="539"/>
      <c r="AC66" s="539"/>
      <c r="AD66" s="539"/>
      <c r="AE66" s="543"/>
      <c r="AF66" s="543"/>
      <c r="AG66" s="543"/>
      <c r="AH66" s="543"/>
      <c r="AI66" s="543"/>
      <c r="AJ66" s="543"/>
      <c r="AK66" s="543"/>
      <c r="AL66" s="540"/>
      <c r="AM66" s="540"/>
      <c r="AN66" s="535"/>
    </row>
    <row r="67" spans="1:42" s="536" customFormat="1" ht="12.75" customHeight="1">
      <c r="A67" s="538"/>
      <c r="B67" s="539"/>
      <c r="C67" s="539"/>
      <c r="D67" s="539"/>
      <c r="E67" s="539"/>
      <c r="F67" s="539"/>
      <c r="G67" s="539"/>
      <c r="H67" s="539"/>
      <c r="I67" s="539"/>
      <c r="J67" s="539"/>
      <c r="K67" s="539"/>
      <c r="L67" s="539"/>
      <c r="M67" s="539"/>
      <c r="N67" s="539"/>
      <c r="O67" s="539"/>
      <c r="P67" s="539"/>
      <c r="Q67" s="539"/>
      <c r="R67" s="539"/>
      <c r="S67" s="539"/>
      <c r="T67" s="539"/>
      <c r="U67" s="539"/>
      <c r="V67" s="539"/>
      <c r="W67" s="539"/>
      <c r="X67" s="539"/>
      <c r="Y67" s="539"/>
      <c r="Z67" s="539"/>
      <c r="AA67" s="539"/>
      <c r="AB67" s="539"/>
      <c r="AC67" s="539"/>
      <c r="AD67" s="539"/>
      <c r="AE67" s="543"/>
      <c r="AF67" s="543"/>
      <c r="AG67" s="543"/>
      <c r="AH67" s="543"/>
      <c r="AI67" s="543"/>
      <c r="AJ67" s="543"/>
      <c r="AK67" s="543"/>
      <c r="AL67" s="540"/>
      <c r="AM67" s="540"/>
      <c r="AN67" s="535"/>
    </row>
    <row r="68" spans="1:42" s="536" customFormat="1" ht="12.75" customHeight="1">
      <c r="A68" s="538"/>
      <c r="B68" s="2399" t="s">
        <v>545</v>
      </c>
      <c r="C68" s="2399"/>
      <c r="D68" s="547" t="s">
        <v>1315</v>
      </c>
      <c r="E68" s="2410" t="s">
        <v>2017</v>
      </c>
      <c r="F68" s="2411"/>
      <c r="G68" s="2411"/>
      <c r="H68" s="2411"/>
      <c r="I68" s="2411"/>
      <c r="J68" s="2411"/>
      <c r="K68" s="2411"/>
      <c r="L68" s="2411"/>
      <c r="M68" s="2411"/>
      <c r="N68" s="2411"/>
      <c r="O68" s="2411"/>
      <c r="P68" s="2411"/>
      <c r="Q68" s="2411"/>
      <c r="R68" s="2411"/>
      <c r="S68" s="2411"/>
      <c r="T68" s="2411"/>
      <c r="U68" s="2411"/>
      <c r="V68" s="2411"/>
      <c r="W68" s="2411"/>
      <c r="X68" s="2411"/>
      <c r="Y68" s="2411"/>
      <c r="Z68" s="2411"/>
      <c r="AA68" s="2411"/>
      <c r="AB68" s="2411"/>
      <c r="AC68" s="2411"/>
      <c r="AD68" s="2411"/>
      <c r="AE68" s="2411"/>
      <c r="AF68" s="2411"/>
      <c r="AG68" s="2411"/>
      <c r="AH68" s="2411"/>
      <c r="AI68" s="2411"/>
      <c r="AJ68" s="2412"/>
      <c r="AK68" s="543"/>
      <c r="AL68" s="540"/>
      <c r="AM68" s="540"/>
      <c r="AN68" s="535"/>
      <c r="AO68" s="550">
        <f>IF($B68="yes",10,0)</f>
        <v>10</v>
      </c>
    </row>
    <row r="69" spans="1:42" s="536" customFormat="1" ht="12.75" customHeight="1">
      <c r="A69" s="538"/>
      <c r="B69" s="540"/>
      <c r="C69" s="540"/>
      <c r="D69" s="551"/>
      <c r="E69" s="2413"/>
      <c r="F69" s="2414"/>
      <c r="G69" s="2414"/>
      <c r="H69" s="2414"/>
      <c r="I69" s="2414"/>
      <c r="J69" s="2414"/>
      <c r="K69" s="2414"/>
      <c r="L69" s="2414"/>
      <c r="M69" s="2414"/>
      <c r="N69" s="2414"/>
      <c r="O69" s="2414"/>
      <c r="P69" s="2414"/>
      <c r="Q69" s="2414"/>
      <c r="R69" s="2414"/>
      <c r="S69" s="2414"/>
      <c r="T69" s="2414"/>
      <c r="U69" s="2414"/>
      <c r="V69" s="2414"/>
      <c r="W69" s="2414"/>
      <c r="X69" s="2414"/>
      <c r="Y69" s="2414"/>
      <c r="Z69" s="2414"/>
      <c r="AA69" s="2414"/>
      <c r="AB69" s="2414"/>
      <c r="AC69" s="2414"/>
      <c r="AD69" s="2414"/>
      <c r="AE69" s="2414"/>
      <c r="AF69" s="2414"/>
      <c r="AG69" s="2414"/>
      <c r="AH69" s="2414"/>
      <c r="AI69" s="2414"/>
      <c r="AJ69" s="2415"/>
      <c r="AK69" s="543"/>
      <c r="AL69" s="540"/>
      <c r="AM69" s="540"/>
      <c r="AN69" s="535"/>
      <c r="AO69" s="550">
        <f>IF($B74="yes",10,0)</f>
        <v>0</v>
      </c>
    </row>
    <row r="70" spans="1:42" s="536" customFormat="1" ht="12.75" customHeight="1">
      <c r="A70" s="538"/>
      <c r="B70" s="540"/>
      <c r="C70" s="540"/>
      <c r="D70" s="551"/>
      <c r="E70" s="2413"/>
      <c r="F70" s="2414"/>
      <c r="G70" s="2414"/>
      <c r="H70" s="2414"/>
      <c r="I70" s="2414"/>
      <c r="J70" s="2414"/>
      <c r="K70" s="2414"/>
      <c r="L70" s="2414"/>
      <c r="M70" s="2414"/>
      <c r="N70" s="2414"/>
      <c r="O70" s="2414"/>
      <c r="P70" s="2414"/>
      <c r="Q70" s="2414"/>
      <c r="R70" s="2414"/>
      <c r="S70" s="2414"/>
      <c r="T70" s="2414"/>
      <c r="U70" s="2414"/>
      <c r="V70" s="2414"/>
      <c r="W70" s="2414"/>
      <c r="X70" s="2414"/>
      <c r="Y70" s="2414"/>
      <c r="Z70" s="2414"/>
      <c r="AA70" s="2414"/>
      <c r="AB70" s="2414"/>
      <c r="AC70" s="2414"/>
      <c r="AD70" s="2414"/>
      <c r="AE70" s="2414"/>
      <c r="AF70" s="2414"/>
      <c r="AG70" s="2414"/>
      <c r="AH70" s="2414"/>
      <c r="AI70" s="2414"/>
      <c r="AJ70" s="2415"/>
      <c r="AK70" s="543"/>
      <c r="AL70" s="540"/>
      <c r="AM70" s="540"/>
      <c r="AN70" s="535"/>
      <c r="AO70" s="550">
        <f>IF($B81="yes",10,0)</f>
        <v>0</v>
      </c>
    </row>
    <row r="71" spans="1:42" s="536" customFormat="1" ht="12.75" customHeight="1">
      <c r="A71" s="538"/>
      <c r="B71" s="540"/>
      <c r="C71" s="540"/>
      <c r="D71" s="551"/>
      <c r="E71" s="2413"/>
      <c r="F71" s="2414"/>
      <c r="G71" s="2414"/>
      <c r="H71" s="2414"/>
      <c r="I71" s="2414"/>
      <c r="J71" s="2414"/>
      <c r="K71" s="2414"/>
      <c r="L71" s="2414"/>
      <c r="M71" s="2414"/>
      <c r="N71" s="2414"/>
      <c r="O71" s="2414"/>
      <c r="P71" s="2414"/>
      <c r="Q71" s="2414"/>
      <c r="R71" s="2414"/>
      <c r="S71" s="2414"/>
      <c r="T71" s="2414"/>
      <c r="U71" s="2414"/>
      <c r="V71" s="2414"/>
      <c r="W71" s="2414"/>
      <c r="X71" s="2414"/>
      <c r="Y71" s="2414"/>
      <c r="Z71" s="2414"/>
      <c r="AA71" s="2414"/>
      <c r="AB71" s="2414"/>
      <c r="AC71" s="2414"/>
      <c r="AD71" s="2414"/>
      <c r="AE71" s="2414"/>
      <c r="AF71" s="2414"/>
      <c r="AG71" s="2414"/>
      <c r="AH71" s="2414"/>
      <c r="AI71" s="2414"/>
      <c r="AJ71" s="2415"/>
      <c r="AK71" s="543"/>
      <c r="AL71" s="540"/>
      <c r="AM71" s="540"/>
      <c r="AN71" s="535"/>
      <c r="AO71" s="536">
        <f>IF(SUM(AO68:AO70)&gt;10,10,(SUM(AO68:AO70)))</f>
        <v>10</v>
      </c>
      <c r="AP71" s="574" t="s">
        <v>1316</v>
      </c>
    </row>
    <row r="72" spans="1:42" s="536" customFormat="1" ht="12.75" customHeight="1">
      <c r="A72" s="538"/>
      <c r="B72" s="540"/>
      <c r="C72" s="540"/>
      <c r="D72" s="551"/>
      <c r="E72" s="2416"/>
      <c r="F72" s="2417"/>
      <c r="G72" s="2417"/>
      <c r="H72" s="2417"/>
      <c r="I72" s="2417"/>
      <c r="J72" s="2417"/>
      <c r="K72" s="2417"/>
      <c r="L72" s="2417"/>
      <c r="M72" s="2417"/>
      <c r="N72" s="2417"/>
      <c r="O72" s="2417"/>
      <c r="P72" s="2417"/>
      <c r="Q72" s="2417"/>
      <c r="R72" s="2417"/>
      <c r="S72" s="2417"/>
      <c r="T72" s="2417"/>
      <c r="U72" s="2417"/>
      <c r="V72" s="2417"/>
      <c r="W72" s="2417"/>
      <c r="X72" s="2417"/>
      <c r="Y72" s="2417"/>
      <c r="Z72" s="2417"/>
      <c r="AA72" s="2417"/>
      <c r="AB72" s="2417"/>
      <c r="AC72" s="2417"/>
      <c r="AD72" s="2417"/>
      <c r="AE72" s="2417"/>
      <c r="AF72" s="2417"/>
      <c r="AG72" s="2417"/>
      <c r="AH72" s="2417"/>
      <c r="AI72" s="2417"/>
      <c r="AJ72" s="2418"/>
      <c r="AK72" s="543"/>
      <c r="AL72" s="540"/>
      <c r="AM72" s="540"/>
      <c r="AN72" s="535"/>
    </row>
    <row r="73" spans="1:42" s="536" customFormat="1" ht="12.75" customHeight="1">
      <c r="A73" s="538"/>
      <c r="B73" s="540"/>
      <c r="C73" s="540"/>
      <c r="E73" s="540"/>
      <c r="F73" s="540"/>
      <c r="G73" s="540"/>
      <c r="H73" s="540"/>
      <c r="I73" s="540"/>
      <c r="J73" s="540"/>
      <c r="K73" s="540"/>
      <c r="L73" s="540"/>
      <c r="M73" s="540"/>
      <c r="N73" s="540"/>
      <c r="O73" s="540"/>
      <c r="P73" s="540"/>
      <c r="Q73" s="540"/>
      <c r="R73" s="540"/>
      <c r="S73" s="540"/>
      <c r="T73" s="540"/>
      <c r="U73" s="540"/>
      <c r="V73" s="540"/>
      <c r="W73" s="540"/>
      <c r="X73" s="540"/>
      <c r="Y73" s="540"/>
      <c r="Z73" s="540"/>
      <c r="AA73" s="540"/>
      <c r="AB73" s="540"/>
      <c r="AC73" s="540"/>
      <c r="AD73" s="540"/>
      <c r="AE73" s="540"/>
      <c r="AF73" s="540"/>
      <c r="AG73" s="540"/>
      <c r="AH73" s="540"/>
      <c r="AI73" s="540"/>
      <c r="AJ73" s="540"/>
      <c r="AK73" s="543"/>
      <c r="AL73" s="540"/>
      <c r="AM73" s="540"/>
      <c r="AN73" s="535"/>
    </row>
    <row r="74" spans="1:42" s="536" customFormat="1" ht="12.75" customHeight="1">
      <c r="A74" s="538"/>
      <c r="B74" s="2399" t="s">
        <v>591</v>
      </c>
      <c r="C74" s="2399"/>
      <c r="D74" s="547" t="s">
        <v>1317</v>
      </c>
      <c r="E74" s="971" t="s">
        <v>1724</v>
      </c>
      <c r="F74" s="972"/>
      <c r="G74" s="972"/>
      <c r="H74" s="972"/>
      <c r="I74" s="972"/>
      <c r="J74" s="972"/>
      <c r="K74" s="972"/>
      <c r="L74" s="972"/>
      <c r="M74" s="972"/>
      <c r="N74" s="972"/>
      <c r="O74" s="972"/>
      <c r="P74" s="972"/>
      <c r="Q74" s="972"/>
      <c r="R74" s="972"/>
      <c r="S74" s="972"/>
      <c r="T74" s="972"/>
      <c r="U74" s="972"/>
      <c r="V74" s="972"/>
      <c r="W74" s="972"/>
      <c r="X74" s="972"/>
      <c r="Y74" s="972"/>
      <c r="Z74" s="972"/>
      <c r="AA74" s="972"/>
      <c r="AB74" s="972"/>
      <c r="AC74" s="972"/>
      <c r="AD74" s="972"/>
      <c r="AE74" s="972"/>
      <c r="AF74" s="972"/>
      <c r="AG74" s="972"/>
      <c r="AH74" s="972"/>
      <c r="AI74" s="972"/>
      <c r="AJ74" s="973"/>
      <c r="AK74" s="543"/>
      <c r="AL74" s="540"/>
      <c r="AM74" s="540"/>
      <c r="AN74" s="535"/>
    </row>
    <row r="75" spans="1:42" s="536" customFormat="1" ht="12.75" customHeight="1">
      <c r="A75" s="538"/>
      <c r="B75" s="540"/>
      <c r="C75" s="540"/>
      <c r="D75" s="550"/>
      <c r="E75" s="2419" t="s">
        <v>591</v>
      </c>
      <c r="F75" s="2399"/>
      <c r="G75" s="575"/>
      <c r="H75" s="558" t="s">
        <v>1318</v>
      </c>
      <c r="I75" s="908"/>
      <c r="J75" s="575"/>
      <c r="K75" s="575"/>
      <c r="L75" s="575"/>
      <c r="M75" s="575"/>
      <c r="N75" s="575"/>
      <c r="O75" s="575"/>
      <c r="P75" s="575"/>
      <c r="Q75" s="575"/>
      <c r="R75" s="575"/>
      <c r="S75" s="575"/>
      <c r="T75" s="575"/>
      <c r="U75" s="575"/>
      <c r="V75" s="575"/>
      <c r="W75" s="575"/>
      <c r="X75" s="575"/>
      <c r="Y75" s="575"/>
      <c r="Z75" s="575"/>
      <c r="AA75" s="575"/>
      <c r="AB75" s="575"/>
      <c r="AC75" s="575"/>
      <c r="AD75" s="575"/>
      <c r="AE75" s="575"/>
      <c r="AF75" s="575"/>
      <c r="AG75" s="575"/>
      <c r="AH75" s="575"/>
      <c r="AI75" s="575"/>
      <c r="AJ75" s="974"/>
      <c r="AK75" s="543"/>
      <c r="AL75" s="540"/>
      <c r="AM75" s="540"/>
      <c r="AN75" s="535"/>
    </row>
    <row r="76" spans="1:42" s="536" customFormat="1" ht="12.75" customHeight="1">
      <c r="A76" s="538"/>
      <c r="B76" s="540"/>
      <c r="C76" s="540"/>
      <c r="D76" s="550"/>
      <c r="E76" s="2397" t="s">
        <v>591</v>
      </c>
      <c r="F76" s="2398"/>
      <c r="G76" s="575"/>
      <c r="H76" s="558" t="s">
        <v>1319</v>
      </c>
      <c r="I76" s="575"/>
      <c r="J76" s="575"/>
      <c r="K76" s="575"/>
      <c r="L76" s="575"/>
      <c r="M76" s="575"/>
      <c r="N76" s="575"/>
      <c r="O76" s="575"/>
      <c r="P76" s="575"/>
      <c r="Q76" s="575"/>
      <c r="R76" s="575"/>
      <c r="S76" s="575"/>
      <c r="T76" s="575"/>
      <c r="U76" s="575"/>
      <c r="V76" s="575"/>
      <c r="W76" s="575"/>
      <c r="X76" s="575"/>
      <c r="Y76" s="575"/>
      <c r="Z76" s="575"/>
      <c r="AA76" s="575"/>
      <c r="AB76" s="575"/>
      <c r="AC76" s="575"/>
      <c r="AD76" s="575"/>
      <c r="AE76" s="575"/>
      <c r="AF76" s="575"/>
      <c r="AG76" s="575"/>
      <c r="AH76" s="575"/>
      <c r="AI76" s="575"/>
      <c r="AJ76" s="974"/>
      <c r="AK76" s="543"/>
      <c r="AL76" s="540"/>
      <c r="AM76" s="540"/>
      <c r="AN76" s="535"/>
    </row>
    <row r="77" spans="1:42" s="536" customFormat="1" ht="12.75" customHeight="1">
      <c r="A77" s="538"/>
      <c r="B77" s="540"/>
      <c r="C77" s="540"/>
      <c r="D77" s="550"/>
      <c r="E77" s="2397" t="s">
        <v>591</v>
      </c>
      <c r="F77" s="2398"/>
      <c r="G77" s="575"/>
      <c r="H77" s="558" t="s">
        <v>1739</v>
      </c>
      <c r="I77" s="575"/>
      <c r="J77" s="575"/>
      <c r="K77" s="575"/>
      <c r="L77" s="575"/>
      <c r="M77" s="575"/>
      <c r="N77" s="575"/>
      <c r="O77" s="575"/>
      <c r="P77" s="575"/>
      <c r="Q77" s="575"/>
      <c r="R77" s="575"/>
      <c r="S77" s="575"/>
      <c r="T77" s="575"/>
      <c r="U77" s="575"/>
      <c r="V77" s="575"/>
      <c r="W77" s="575"/>
      <c r="X77" s="575"/>
      <c r="Y77" s="575"/>
      <c r="Z77" s="575"/>
      <c r="AA77" s="575"/>
      <c r="AB77" s="575"/>
      <c r="AC77" s="575"/>
      <c r="AD77" s="575"/>
      <c r="AE77" s="575"/>
      <c r="AF77" s="575"/>
      <c r="AG77" s="575"/>
      <c r="AH77" s="575"/>
      <c r="AI77" s="575"/>
      <c r="AJ77" s="974"/>
      <c r="AK77" s="543"/>
      <c r="AL77" s="540"/>
      <c r="AM77" s="540"/>
      <c r="AN77" s="535"/>
    </row>
    <row r="78" spans="1:42" s="536" customFormat="1" ht="12.75" customHeight="1">
      <c r="A78" s="538"/>
      <c r="B78" s="540"/>
      <c r="C78" s="540"/>
      <c r="D78" s="550"/>
      <c r="E78" s="656"/>
      <c r="F78" s="575"/>
      <c r="G78" s="575"/>
      <c r="H78" s="575"/>
      <c r="I78" s="575"/>
      <c r="J78" s="575"/>
      <c r="K78" s="575"/>
      <c r="L78" s="575"/>
      <c r="M78" s="575"/>
      <c r="N78" s="575"/>
      <c r="O78" s="575"/>
      <c r="P78" s="575"/>
      <c r="Q78" s="575"/>
      <c r="R78" s="575"/>
      <c r="S78" s="575"/>
      <c r="T78" s="575"/>
      <c r="U78" s="575"/>
      <c r="V78" s="575"/>
      <c r="W78" s="575"/>
      <c r="X78" s="575"/>
      <c r="Y78" s="575"/>
      <c r="Z78" s="575"/>
      <c r="AA78" s="575"/>
      <c r="AB78" s="575"/>
      <c r="AC78" s="575"/>
      <c r="AD78" s="575"/>
      <c r="AE78" s="575"/>
      <c r="AF78" s="575"/>
      <c r="AG78" s="575"/>
      <c r="AH78" s="575"/>
      <c r="AI78" s="575"/>
      <c r="AJ78" s="974"/>
      <c r="AK78" s="543"/>
      <c r="AL78" s="540"/>
      <c r="AM78" s="540"/>
      <c r="AN78" s="535"/>
    </row>
    <row r="79" spans="1:42" s="536" customFormat="1" ht="12.75" customHeight="1">
      <c r="A79" s="538"/>
      <c r="B79" s="540"/>
      <c r="C79" s="540"/>
      <c r="D79" s="550"/>
      <c r="E79" s="2419" t="s">
        <v>591</v>
      </c>
      <c r="F79" s="2399"/>
      <c r="G79" s="906"/>
      <c r="H79" s="976" t="s">
        <v>1738</v>
      </c>
      <c r="I79" s="906"/>
      <c r="J79" s="906"/>
      <c r="K79" s="906"/>
      <c r="L79" s="906"/>
      <c r="M79" s="906"/>
      <c r="N79" s="906"/>
      <c r="O79" s="906"/>
      <c r="P79" s="906"/>
      <c r="Q79" s="906"/>
      <c r="R79" s="906"/>
      <c r="S79" s="906"/>
      <c r="T79" s="906"/>
      <c r="U79" s="906"/>
      <c r="V79" s="906"/>
      <c r="W79" s="906"/>
      <c r="X79" s="906"/>
      <c r="Y79" s="906"/>
      <c r="Z79" s="906"/>
      <c r="AA79" s="906"/>
      <c r="AB79" s="906"/>
      <c r="AC79" s="906"/>
      <c r="AD79" s="906"/>
      <c r="AE79" s="906"/>
      <c r="AF79" s="906"/>
      <c r="AG79" s="906"/>
      <c r="AH79" s="906"/>
      <c r="AI79" s="906"/>
      <c r="AJ79" s="907"/>
      <c r="AK79" s="543"/>
      <c r="AL79" s="540"/>
      <c r="AM79" s="540"/>
      <c r="AN79" s="535"/>
    </row>
    <row r="80" spans="1:42" s="536" customFormat="1" ht="12.75" customHeight="1">
      <c r="A80" s="538"/>
      <c r="B80" s="540"/>
      <c r="C80" s="540"/>
      <c r="D80" s="551"/>
      <c r="E80" s="540"/>
      <c r="F80" s="540"/>
      <c r="G80" s="540"/>
      <c r="H80" s="540"/>
      <c r="I80" s="540"/>
      <c r="J80" s="540"/>
      <c r="K80" s="540"/>
      <c r="L80" s="540"/>
      <c r="M80" s="540"/>
      <c r="N80" s="540"/>
      <c r="O80" s="540"/>
      <c r="P80" s="540"/>
      <c r="Q80" s="540"/>
      <c r="R80" s="540"/>
      <c r="S80" s="540"/>
      <c r="T80" s="540"/>
      <c r="U80" s="540"/>
      <c r="V80" s="540"/>
      <c r="W80" s="540"/>
      <c r="X80" s="540"/>
      <c r="Y80" s="540"/>
      <c r="Z80" s="540"/>
      <c r="AA80" s="540"/>
      <c r="AB80" s="540"/>
      <c r="AC80" s="540"/>
      <c r="AD80" s="540"/>
      <c r="AE80" s="540"/>
      <c r="AF80" s="540"/>
      <c r="AG80" s="540"/>
      <c r="AH80" s="540"/>
      <c r="AI80" s="540"/>
      <c r="AJ80" s="540"/>
      <c r="AK80" s="543"/>
      <c r="AL80" s="540"/>
      <c r="AM80" s="540"/>
      <c r="AN80" s="535"/>
    </row>
    <row r="81" spans="1:43" s="536" customFormat="1" ht="12.75" customHeight="1">
      <c r="A81" s="538"/>
      <c r="B81" s="2399" t="s">
        <v>591</v>
      </c>
      <c r="C81" s="2399"/>
      <c r="D81" s="547" t="s">
        <v>1320</v>
      </c>
      <c r="E81" s="2400" t="s">
        <v>1740</v>
      </c>
      <c r="F81" s="2401"/>
      <c r="G81" s="2401"/>
      <c r="H81" s="2401"/>
      <c r="I81" s="2401"/>
      <c r="J81" s="2401"/>
      <c r="K81" s="2401"/>
      <c r="L81" s="2401"/>
      <c r="M81" s="2401"/>
      <c r="N81" s="2401"/>
      <c r="O81" s="2401"/>
      <c r="P81" s="2401"/>
      <c r="Q81" s="2401"/>
      <c r="R81" s="2401"/>
      <c r="S81" s="2401"/>
      <c r="T81" s="2401"/>
      <c r="U81" s="2401"/>
      <c r="V81" s="2401"/>
      <c r="W81" s="2401"/>
      <c r="X81" s="2401"/>
      <c r="Y81" s="2401"/>
      <c r="Z81" s="2401"/>
      <c r="AA81" s="2401"/>
      <c r="AB81" s="2401"/>
      <c r="AC81" s="2401"/>
      <c r="AD81" s="2401"/>
      <c r="AE81" s="2401"/>
      <c r="AF81" s="2401"/>
      <c r="AG81" s="2401"/>
      <c r="AH81" s="2401"/>
      <c r="AI81" s="2401"/>
      <c r="AJ81" s="2402"/>
      <c r="AK81" s="543"/>
      <c r="AL81" s="540"/>
      <c r="AM81" s="540"/>
      <c r="AN81" s="535"/>
    </row>
    <row r="82" spans="1:43" s="536" customFormat="1" ht="12.75" customHeight="1">
      <c r="A82" s="538"/>
      <c r="B82" s="540"/>
      <c r="C82" s="540"/>
      <c r="D82" s="550"/>
      <c r="E82" s="2403"/>
      <c r="F82" s="2404"/>
      <c r="G82" s="2404"/>
      <c r="H82" s="2404"/>
      <c r="I82" s="2404"/>
      <c r="J82" s="2404"/>
      <c r="K82" s="2404"/>
      <c r="L82" s="2404"/>
      <c r="M82" s="2404"/>
      <c r="N82" s="2404"/>
      <c r="O82" s="2404"/>
      <c r="P82" s="2404"/>
      <c r="Q82" s="2404"/>
      <c r="R82" s="2404"/>
      <c r="S82" s="2404"/>
      <c r="T82" s="2404"/>
      <c r="U82" s="2404"/>
      <c r="V82" s="2404"/>
      <c r="W82" s="2404"/>
      <c r="X82" s="2404"/>
      <c r="Y82" s="2404"/>
      <c r="Z82" s="2404"/>
      <c r="AA82" s="2404"/>
      <c r="AB82" s="2404"/>
      <c r="AC82" s="2404"/>
      <c r="AD82" s="2404"/>
      <c r="AE82" s="2404"/>
      <c r="AF82" s="2404"/>
      <c r="AG82" s="2404"/>
      <c r="AH82" s="2404"/>
      <c r="AI82" s="2404"/>
      <c r="AJ82" s="2405"/>
      <c r="AK82" s="543"/>
      <c r="AL82" s="540"/>
      <c r="AM82" s="540"/>
      <c r="AN82" s="535"/>
    </row>
    <row r="83" spans="1:43" s="536" customFormat="1" ht="12.75" customHeight="1">
      <c r="A83" s="538"/>
      <c r="B83" s="540"/>
      <c r="C83" s="540"/>
      <c r="D83" s="550"/>
      <c r="E83" s="540"/>
      <c r="F83" s="540"/>
      <c r="G83" s="540"/>
      <c r="H83" s="540"/>
      <c r="I83" s="540"/>
      <c r="J83" s="540"/>
      <c r="K83" s="540"/>
      <c r="L83" s="540"/>
      <c r="M83" s="540"/>
      <c r="N83" s="540"/>
      <c r="O83" s="540"/>
      <c r="P83" s="540"/>
      <c r="Q83" s="540"/>
      <c r="R83" s="540"/>
      <c r="S83" s="540"/>
      <c r="T83" s="540"/>
      <c r="U83" s="540"/>
      <c r="V83" s="540"/>
      <c r="W83" s="540"/>
      <c r="X83" s="540"/>
      <c r="Y83" s="540"/>
      <c r="Z83" s="540"/>
      <c r="AA83" s="540"/>
      <c r="AB83" s="540"/>
      <c r="AC83" s="540"/>
      <c r="AD83" s="540"/>
      <c r="AE83" s="540"/>
      <c r="AF83" s="540"/>
      <c r="AG83" s="540"/>
      <c r="AH83" s="540"/>
      <c r="AI83" s="540"/>
      <c r="AJ83" s="540"/>
      <c r="AK83" s="543"/>
      <c r="AL83" s="540"/>
      <c r="AM83" s="540"/>
      <c r="AN83" s="535"/>
    </row>
    <row r="84" spans="1:43" s="536" customFormat="1" ht="12.75" customHeight="1">
      <c r="A84" s="561"/>
      <c r="B84" s="562"/>
      <c r="C84" s="562"/>
      <c r="D84" s="562"/>
      <c r="E84" s="562"/>
      <c r="F84" s="562"/>
      <c r="G84" s="563"/>
      <c r="H84" s="564"/>
      <c r="I84" s="564"/>
      <c r="J84" s="564"/>
      <c r="K84" s="564"/>
      <c r="L84" s="564"/>
      <c r="M84" s="564"/>
      <c r="N84" s="564"/>
      <c r="O84" s="564"/>
      <c r="P84" s="564"/>
      <c r="Q84" s="564"/>
      <c r="R84" s="564"/>
      <c r="S84" s="564"/>
      <c r="T84" s="564"/>
      <c r="U84" s="564"/>
      <c r="V84" s="564"/>
      <c r="W84" s="564"/>
      <c r="X84" s="564"/>
      <c r="Y84" s="564"/>
      <c r="Z84" s="564"/>
      <c r="AA84" s="564"/>
      <c r="AB84" s="564"/>
      <c r="AC84" s="564"/>
      <c r="AD84" s="564"/>
      <c r="AE84" s="564"/>
      <c r="AF84" s="564"/>
      <c r="AG84" s="564"/>
      <c r="AH84" s="564"/>
      <c r="AI84" s="565"/>
      <c r="AJ84" s="565" t="s">
        <v>1321</v>
      </c>
      <c r="AK84" s="2432">
        <f>IF(AK62&gt;0,0,AO71)</f>
        <v>10</v>
      </c>
      <c r="AL84" s="2433"/>
      <c r="AM84" s="2434"/>
      <c r="AN84" s="535"/>
    </row>
    <row r="85" spans="1:43" s="536" customFormat="1" ht="12.75" customHeight="1" thickBot="1">
      <c r="A85" s="566"/>
      <c r="B85" s="567"/>
      <c r="C85" s="568"/>
      <c r="D85" s="568"/>
      <c r="E85" s="568"/>
      <c r="F85" s="568"/>
      <c r="G85" s="568"/>
      <c r="H85" s="568"/>
      <c r="I85" s="568"/>
      <c r="J85" s="568"/>
      <c r="K85" s="568"/>
      <c r="L85" s="568"/>
      <c r="M85" s="568"/>
      <c r="N85" s="568"/>
      <c r="O85" s="568"/>
      <c r="P85" s="568"/>
      <c r="Q85" s="568"/>
      <c r="R85" s="568"/>
      <c r="S85" s="568"/>
      <c r="T85" s="568"/>
      <c r="U85" s="568"/>
      <c r="V85" s="568"/>
      <c r="W85" s="568"/>
      <c r="X85" s="568"/>
      <c r="Y85" s="568"/>
      <c r="Z85" s="568"/>
      <c r="AA85" s="568"/>
      <c r="AB85" s="568"/>
      <c r="AC85" s="568"/>
      <c r="AD85" s="568"/>
      <c r="AE85" s="568"/>
      <c r="AF85" s="568"/>
      <c r="AG85" s="568"/>
      <c r="AH85" s="568"/>
      <c r="AI85" s="568"/>
      <c r="AJ85" s="568"/>
      <c r="AK85" s="568"/>
      <c r="AL85" s="568"/>
      <c r="AM85" s="569"/>
      <c r="AN85" s="535"/>
    </row>
    <row r="86" spans="1:43" s="536" customFormat="1" ht="12.75" customHeight="1" thickTop="1">
      <c r="A86" s="570"/>
      <c r="B86" s="571"/>
      <c r="C86" s="572"/>
      <c r="D86" s="572"/>
      <c r="E86" s="572"/>
      <c r="F86" s="572"/>
      <c r="G86" s="572"/>
      <c r="H86" s="572"/>
      <c r="I86" s="573"/>
      <c r="J86" s="573"/>
      <c r="K86" s="573"/>
      <c r="L86" s="573"/>
      <c r="M86" s="573"/>
      <c r="N86" s="573"/>
      <c r="O86" s="573"/>
      <c r="P86" s="573"/>
      <c r="Q86" s="573"/>
      <c r="R86" s="570"/>
      <c r="S86" s="539"/>
      <c r="T86" s="539"/>
      <c r="U86" s="539"/>
      <c r="V86" s="539"/>
      <c r="W86" s="539"/>
      <c r="X86" s="539"/>
      <c r="Y86" s="539"/>
      <c r="Z86" s="539"/>
      <c r="AA86" s="539"/>
      <c r="AB86" s="539"/>
      <c r="AC86" s="539"/>
      <c r="AD86" s="539"/>
      <c r="AE86" s="539"/>
      <c r="AF86" s="570"/>
      <c r="AG86" s="539"/>
      <c r="AH86" s="539"/>
      <c r="AI86" s="539"/>
      <c r="AJ86" s="539"/>
      <c r="AK86" s="550"/>
      <c r="AL86" s="550"/>
      <c r="AM86" s="550"/>
      <c r="AN86" s="535"/>
    </row>
    <row r="87" spans="1:43" s="536" customFormat="1" ht="12.75" customHeight="1">
      <c r="A87" s="538" t="s">
        <v>1322</v>
      </c>
      <c r="B87" s="539" t="s">
        <v>1323</v>
      </c>
      <c r="C87" s="539"/>
      <c r="D87" s="539"/>
      <c r="E87" s="539"/>
      <c r="F87" s="539"/>
      <c r="G87" s="539"/>
      <c r="H87" s="539"/>
      <c r="I87" s="539"/>
      <c r="J87" s="539"/>
      <c r="K87" s="539"/>
      <c r="L87" s="539"/>
      <c r="M87" s="539"/>
      <c r="N87" s="539"/>
      <c r="O87" s="539"/>
      <c r="P87" s="539"/>
      <c r="Q87" s="539"/>
      <c r="R87" s="539"/>
      <c r="S87" s="539"/>
      <c r="T87" s="539"/>
      <c r="U87" s="539"/>
      <c r="V87" s="539"/>
      <c r="W87" s="539"/>
      <c r="X87" s="539"/>
      <c r="Y87" s="539"/>
      <c r="Z87" s="539"/>
      <c r="AA87" s="539"/>
      <c r="AB87" s="539"/>
      <c r="AC87" s="539"/>
      <c r="AD87" s="539"/>
      <c r="AE87" s="2409" t="s">
        <v>1305</v>
      </c>
      <c r="AF87" s="2409"/>
      <c r="AG87" s="2409"/>
      <c r="AH87" s="2409"/>
      <c r="AI87" s="2409"/>
      <c r="AJ87" s="2409"/>
      <c r="AK87" s="2409"/>
      <c r="AL87" s="540"/>
      <c r="AM87" s="540"/>
      <c r="AN87" s="535"/>
    </row>
    <row r="88" spans="1:43" s="536" customFormat="1" ht="12.75" customHeight="1">
      <c r="A88" s="538"/>
      <c r="B88" s="539" t="s">
        <v>1324</v>
      </c>
      <c r="C88" s="539"/>
      <c r="D88" s="539"/>
      <c r="E88" s="539"/>
      <c r="F88" s="539"/>
      <c r="G88" s="539"/>
      <c r="H88" s="539"/>
      <c r="I88" s="539"/>
      <c r="J88" s="539"/>
      <c r="K88" s="539"/>
      <c r="L88" s="539"/>
      <c r="M88" s="539"/>
      <c r="N88" s="539"/>
      <c r="O88" s="539"/>
      <c r="P88" s="539"/>
      <c r="Q88" s="539"/>
      <c r="R88" s="539"/>
      <c r="S88" s="539"/>
      <c r="T88" s="539"/>
      <c r="U88" s="539"/>
      <c r="V88" s="539"/>
      <c r="W88" s="539"/>
      <c r="X88" s="539"/>
      <c r="Y88" s="539"/>
      <c r="Z88" s="539"/>
      <c r="AA88" s="539"/>
      <c r="AB88" s="539"/>
      <c r="AC88" s="539"/>
      <c r="AD88" s="539"/>
      <c r="AE88" s="543"/>
      <c r="AF88" s="543"/>
      <c r="AG88" s="543"/>
      <c r="AH88" s="543"/>
      <c r="AI88" s="543"/>
      <c r="AJ88" s="543"/>
      <c r="AK88" s="543"/>
      <c r="AL88" s="540"/>
      <c r="AM88" s="540"/>
      <c r="AN88" s="535"/>
    </row>
    <row r="89" spans="1:43" s="536" customFormat="1" ht="12.75" customHeight="1">
      <c r="A89" s="538"/>
      <c r="B89" s="539"/>
      <c r="C89" s="539"/>
      <c r="D89" s="539"/>
      <c r="E89" s="539"/>
      <c r="F89" s="539"/>
      <c r="G89" s="539"/>
      <c r="H89" s="539"/>
      <c r="I89" s="539"/>
      <c r="J89" s="539"/>
      <c r="K89" s="539"/>
      <c r="L89" s="539"/>
      <c r="M89" s="539"/>
      <c r="N89" s="539"/>
      <c r="O89" s="539"/>
      <c r="P89" s="539"/>
      <c r="Q89" s="539"/>
      <c r="R89" s="539"/>
      <c r="S89" s="539"/>
      <c r="T89" s="539"/>
      <c r="U89" s="539"/>
      <c r="V89" s="539"/>
      <c r="W89" s="539"/>
      <c r="X89" s="539"/>
      <c r="Y89" s="539"/>
      <c r="Z89" s="539"/>
      <c r="AA89" s="539"/>
      <c r="AB89" s="539"/>
      <c r="AC89" s="539"/>
      <c r="AD89" s="539"/>
      <c r="AE89" s="543"/>
      <c r="AF89" s="543"/>
      <c r="AG89" s="543"/>
      <c r="AH89" s="543"/>
      <c r="AI89" s="543"/>
      <c r="AJ89" s="543"/>
      <c r="AK89" s="543"/>
      <c r="AL89" s="540"/>
      <c r="AM89" s="540"/>
      <c r="AN89" s="535"/>
    </row>
    <row r="90" spans="1:43" s="536" customFormat="1" ht="12.75" customHeight="1">
      <c r="A90" s="538"/>
      <c r="B90" s="2399" t="s">
        <v>591</v>
      </c>
      <c r="C90" s="2399"/>
      <c r="D90" s="547" t="s">
        <v>1315</v>
      </c>
      <c r="E90" s="2410" t="s">
        <v>1325</v>
      </c>
      <c r="F90" s="2411"/>
      <c r="G90" s="2411"/>
      <c r="H90" s="2411"/>
      <c r="I90" s="2411"/>
      <c r="J90" s="2411"/>
      <c r="K90" s="2411"/>
      <c r="L90" s="2411"/>
      <c r="M90" s="2411"/>
      <c r="N90" s="2411"/>
      <c r="O90" s="2411"/>
      <c r="P90" s="2411"/>
      <c r="Q90" s="2411"/>
      <c r="R90" s="2411"/>
      <c r="S90" s="2411"/>
      <c r="T90" s="2411"/>
      <c r="U90" s="2411"/>
      <c r="V90" s="2411"/>
      <c r="W90" s="2411"/>
      <c r="X90" s="2411"/>
      <c r="Y90" s="2411"/>
      <c r="Z90" s="2411"/>
      <c r="AA90" s="2411"/>
      <c r="AB90" s="2411"/>
      <c r="AC90" s="2411"/>
      <c r="AD90" s="2411"/>
      <c r="AE90" s="2411"/>
      <c r="AF90" s="2411"/>
      <c r="AG90" s="2411"/>
      <c r="AH90" s="2411"/>
      <c r="AI90" s="2411"/>
      <c r="AJ90" s="2412"/>
      <c r="AK90" s="543"/>
      <c r="AL90" s="540"/>
      <c r="AM90" s="540"/>
      <c r="AN90" s="535"/>
    </row>
    <row r="91" spans="1:43" s="536" customFormat="1" ht="12.75" customHeight="1">
      <c r="A91" s="538"/>
      <c r="B91" s="539"/>
      <c r="C91" s="539"/>
      <c r="D91" s="539"/>
      <c r="E91" s="2413"/>
      <c r="F91" s="2414"/>
      <c r="G91" s="2414"/>
      <c r="H91" s="2414"/>
      <c r="I91" s="2414"/>
      <c r="J91" s="2414"/>
      <c r="K91" s="2414"/>
      <c r="L91" s="2414"/>
      <c r="M91" s="2414"/>
      <c r="N91" s="2414"/>
      <c r="O91" s="2414"/>
      <c r="P91" s="2414"/>
      <c r="Q91" s="2414"/>
      <c r="R91" s="2414"/>
      <c r="S91" s="2414"/>
      <c r="T91" s="2414"/>
      <c r="U91" s="2414"/>
      <c r="V91" s="2414"/>
      <c r="W91" s="2414"/>
      <c r="X91" s="2414"/>
      <c r="Y91" s="2414"/>
      <c r="Z91" s="2414"/>
      <c r="AA91" s="2414"/>
      <c r="AB91" s="2414"/>
      <c r="AC91" s="2414"/>
      <c r="AD91" s="2414"/>
      <c r="AE91" s="2414"/>
      <c r="AF91" s="2414"/>
      <c r="AG91" s="2414"/>
      <c r="AH91" s="2414"/>
      <c r="AI91" s="2414"/>
      <c r="AJ91" s="2415"/>
      <c r="AK91" s="543"/>
      <c r="AL91" s="540"/>
      <c r="AM91" s="540"/>
      <c r="AN91" s="535"/>
    </row>
    <row r="92" spans="1:43" s="536" customFormat="1" ht="12.75" customHeight="1">
      <c r="A92" s="538"/>
      <c r="B92" s="539"/>
      <c r="C92" s="539"/>
      <c r="D92" s="539"/>
      <c r="E92" s="576"/>
      <c r="F92" s="577"/>
      <c r="G92" s="577"/>
      <c r="H92" s="577"/>
      <c r="I92" s="577"/>
      <c r="J92" s="577"/>
      <c r="K92" s="577"/>
      <c r="L92" s="577"/>
      <c r="M92" s="577"/>
      <c r="N92" s="577"/>
      <c r="O92" s="577"/>
      <c r="P92" s="577"/>
      <c r="Q92" s="577"/>
      <c r="R92" s="577"/>
      <c r="S92" s="577"/>
      <c r="T92" s="577"/>
      <c r="U92" s="577"/>
      <c r="V92" s="577"/>
      <c r="W92" s="577"/>
      <c r="X92" s="577"/>
      <c r="Y92" s="577"/>
      <c r="Z92" s="578"/>
      <c r="AA92" s="578"/>
      <c r="AB92" s="578"/>
      <c r="AC92" s="577"/>
      <c r="AD92" s="577"/>
      <c r="AE92" s="577"/>
      <c r="AF92" s="577"/>
      <c r="AG92" s="577"/>
      <c r="AH92" s="577"/>
      <c r="AI92" s="577"/>
      <c r="AJ92" s="579"/>
      <c r="AK92" s="543"/>
      <c r="AL92" s="540"/>
      <c r="AM92" s="540"/>
      <c r="AN92" s="535"/>
    </row>
    <row r="93" spans="1:43" s="536" customFormat="1" ht="12.75" customHeight="1">
      <c r="A93" s="538"/>
      <c r="B93" s="539"/>
      <c r="C93" s="539"/>
      <c r="D93" s="539"/>
      <c r="E93" s="2393">
        <f>Application!AC753</f>
        <v>0.58349514563106797</v>
      </c>
      <c r="F93" s="2394"/>
      <c r="G93" s="2394"/>
      <c r="H93" s="2394"/>
      <c r="I93" s="577"/>
      <c r="J93" s="580" t="s">
        <v>1326</v>
      </c>
      <c r="K93" s="577"/>
      <c r="L93" s="577"/>
      <c r="M93" s="577"/>
      <c r="N93" s="577"/>
      <c r="O93" s="577"/>
      <c r="P93" s="577"/>
      <c r="Q93" s="577"/>
      <c r="R93" s="577"/>
      <c r="S93" s="577"/>
      <c r="T93" s="577"/>
      <c r="U93" s="577"/>
      <c r="V93" s="577"/>
      <c r="W93" s="577"/>
      <c r="X93" s="577"/>
      <c r="Y93" s="577"/>
      <c r="Z93" s="581"/>
      <c r="AA93" s="581"/>
      <c r="AB93" s="581"/>
      <c r="AC93" s="577"/>
      <c r="AD93" s="577"/>
      <c r="AE93" s="577"/>
      <c r="AF93" s="577"/>
      <c r="AG93" s="577"/>
      <c r="AH93" s="577"/>
      <c r="AI93" s="577"/>
      <c r="AJ93" s="579"/>
      <c r="AK93" s="543"/>
      <c r="AL93" s="540"/>
      <c r="AM93" s="540"/>
      <c r="AN93" s="535"/>
    </row>
    <row r="94" spans="1:43" s="536" customFormat="1" ht="12.75" customHeight="1">
      <c r="A94" s="538"/>
      <c r="B94" s="539"/>
      <c r="C94" s="539"/>
      <c r="D94" s="539"/>
      <c r="E94" s="2395">
        <f>0.6-ROUNDUP(E93,2)</f>
        <v>1.0000000000000009E-2</v>
      </c>
      <c r="F94" s="2396"/>
      <c r="G94" s="2396"/>
      <c r="H94" s="2396"/>
      <c r="I94" s="577"/>
      <c r="J94" s="580" t="s">
        <v>1327</v>
      </c>
      <c r="K94" s="577"/>
      <c r="L94" s="577"/>
      <c r="M94" s="577"/>
      <c r="N94" s="577"/>
      <c r="O94" s="577"/>
      <c r="P94" s="577"/>
      <c r="Q94" s="577"/>
      <c r="R94" s="577"/>
      <c r="S94" s="577"/>
      <c r="T94" s="577"/>
      <c r="U94" s="577"/>
      <c r="V94" s="577"/>
      <c r="W94" s="577"/>
      <c r="X94" s="577"/>
      <c r="Y94" s="577"/>
      <c r="Z94" s="577"/>
      <c r="AA94" s="577"/>
      <c r="AB94" s="577"/>
      <c r="AC94" s="577"/>
      <c r="AD94" s="577"/>
      <c r="AE94" s="577"/>
      <c r="AF94" s="577"/>
      <c r="AG94" s="577"/>
      <c r="AH94" s="577"/>
      <c r="AI94" s="577"/>
      <c r="AJ94" s="579"/>
      <c r="AK94" s="543"/>
      <c r="AL94" s="540"/>
      <c r="AM94" s="540"/>
      <c r="AN94" s="535"/>
    </row>
    <row r="95" spans="1:43" s="536" customFormat="1" ht="12.75" customHeight="1">
      <c r="A95" s="538"/>
      <c r="B95" s="539"/>
      <c r="C95" s="539"/>
      <c r="D95" s="539"/>
      <c r="E95" s="2426">
        <f>IF(E94*200&gt;20,20,E94*200)</f>
        <v>2.0000000000000018</v>
      </c>
      <c r="F95" s="2427"/>
      <c r="G95" s="2427"/>
      <c r="H95" s="2427"/>
      <c r="I95" s="577"/>
      <c r="J95" s="580" t="s">
        <v>1328</v>
      </c>
      <c r="K95" s="577"/>
      <c r="L95" s="577"/>
      <c r="M95" s="577"/>
      <c r="N95" s="577"/>
      <c r="O95" s="577"/>
      <c r="P95" s="577"/>
      <c r="Q95" s="577"/>
      <c r="R95" s="577"/>
      <c r="S95" s="577"/>
      <c r="T95" s="577"/>
      <c r="U95" s="577"/>
      <c r="V95" s="577"/>
      <c r="W95" s="577"/>
      <c r="X95" s="577"/>
      <c r="Y95" s="577"/>
      <c r="Z95" s="577"/>
      <c r="AA95" s="577"/>
      <c r="AB95" s="577"/>
      <c r="AC95" s="577"/>
      <c r="AD95" s="577"/>
      <c r="AE95" s="577"/>
      <c r="AF95" s="577"/>
      <c r="AG95" s="577"/>
      <c r="AH95" s="577"/>
      <c r="AI95" s="577"/>
      <c r="AJ95" s="579"/>
      <c r="AK95" s="543"/>
      <c r="AL95" s="540"/>
      <c r="AM95" s="540"/>
      <c r="AN95" s="535"/>
      <c r="AP95" s="536">
        <f>IF(B90="yes",E95,0)</f>
        <v>0</v>
      </c>
      <c r="AQ95" s="536" t="s">
        <v>1308</v>
      </c>
    </row>
    <row r="96" spans="1:43" s="536" customFormat="1" ht="12.75" customHeight="1">
      <c r="A96" s="538"/>
      <c r="B96" s="539"/>
      <c r="C96" s="539"/>
      <c r="D96" s="539"/>
      <c r="E96" s="582"/>
      <c r="F96" s="583"/>
      <c r="G96" s="583"/>
      <c r="H96" s="583"/>
      <c r="I96" s="583"/>
      <c r="J96" s="583"/>
      <c r="K96" s="583"/>
      <c r="L96" s="583"/>
      <c r="M96" s="583"/>
      <c r="N96" s="583"/>
      <c r="O96" s="583"/>
      <c r="P96" s="583"/>
      <c r="Q96" s="583"/>
      <c r="R96" s="583"/>
      <c r="S96" s="583"/>
      <c r="T96" s="583"/>
      <c r="U96" s="583"/>
      <c r="V96" s="583"/>
      <c r="W96" s="583"/>
      <c r="X96" s="583"/>
      <c r="Y96" s="583"/>
      <c r="Z96" s="583"/>
      <c r="AA96" s="583"/>
      <c r="AB96" s="583"/>
      <c r="AC96" s="583"/>
      <c r="AD96" s="583"/>
      <c r="AE96" s="584"/>
      <c r="AF96" s="584"/>
      <c r="AG96" s="584"/>
      <c r="AH96" s="584"/>
      <c r="AI96" s="584"/>
      <c r="AJ96" s="585"/>
      <c r="AK96" s="543"/>
      <c r="AL96" s="540"/>
      <c r="AM96" s="540"/>
      <c r="AN96" s="535"/>
    </row>
    <row r="97" spans="1:47" s="536" customFormat="1" ht="12.75" customHeight="1">
      <c r="A97" s="538"/>
      <c r="B97" s="539"/>
      <c r="C97" s="539"/>
      <c r="D97" s="539"/>
      <c r="E97" s="539"/>
      <c r="F97" s="539"/>
      <c r="G97" s="539"/>
      <c r="H97" s="539"/>
      <c r="I97" s="539"/>
      <c r="J97" s="539"/>
      <c r="K97" s="539"/>
      <c r="L97" s="539"/>
      <c r="M97" s="539"/>
      <c r="N97" s="539"/>
      <c r="O97" s="539"/>
      <c r="P97" s="539"/>
      <c r="Q97" s="539"/>
      <c r="R97" s="539"/>
      <c r="S97" s="539"/>
      <c r="T97" s="539"/>
      <c r="U97" s="539"/>
      <c r="V97" s="539"/>
      <c r="W97" s="539"/>
      <c r="X97" s="539"/>
      <c r="Y97" s="539"/>
      <c r="Z97" s="539"/>
      <c r="AA97" s="539"/>
      <c r="AB97" s="539"/>
      <c r="AC97" s="539"/>
      <c r="AD97" s="539"/>
      <c r="AE97" s="543"/>
      <c r="AF97" s="543"/>
      <c r="AG97" s="543"/>
      <c r="AH97" s="543"/>
      <c r="AI97" s="543"/>
      <c r="AJ97" s="543"/>
      <c r="AK97" s="543"/>
      <c r="AL97" s="540"/>
      <c r="AM97" s="540"/>
      <c r="AN97" s="535"/>
    </row>
    <row r="98" spans="1:47" s="536" customFormat="1" ht="12.75" customHeight="1">
      <c r="A98" s="538"/>
      <c r="B98" s="2399" t="s">
        <v>545</v>
      </c>
      <c r="C98" s="2399"/>
      <c r="D98" s="547" t="s">
        <v>1317</v>
      </c>
      <c r="E98" s="2410" t="s">
        <v>1725</v>
      </c>
      <c r="F98" s="2411"/>
      <c r="G98" s="2411"/>
      <c r="H98" s="2411"/>
      <c r="I98" s="2411"/>
      <c r="J98" s="2411"/>
      <c r="K98" s="2411"/>
      <c r="L98" s="2411"/>
      <c r="M98" s="2411"/>
      <c r="N98" s="2411"/>
      <c r="O98" s="2411"/>
      <c r="P98" s="2411"/>
      <c r="Q98" s="2411"/>
      <c r="R98" s="2411"/>
      <c r="S98" s="2411"/>
      <c r="T98" s="2411"/>
      <c r="U98" s="2411"/>
      <c r="V98" s="2411"/>
      <c r="W98" s="2411"/>
      <c r="X98" s="2411"/>
      <c r="Y98" s="2411"/>
      <c r="Z98" s="2411"/>
      <c r="AA98" s="2411"/>
      <c r="AB98" s="2411"/>
      <c r="AC98" s="2411"/>
      <c r="AD98" s="2411"/>
      <c r="AE98" s="2411"/>
      <c r="AF98" s="2411"/>
      <c r="AG98" s="2411"/>
      <c r="AH98" s="2411"/>
      <c r="AI98" s="2411"/>
      <c r="AJ98" s="2412"/>
      <c r="AK98" s="543"/>
      <c r="AL98" s="540"/>
      <c r="AM98" s="540"/>
      <c r="AN98" s="535"/>
    </row>
    <row r="99" spans="1:47" s="536" customFormat="1" ht="12.75" customHeight="1">
      <c r="A99" s="538"/>
      <c r="B99" s="539"/>
      <c r="C99" s="539"/>
      <c r="D99" s="539"/>
      <c r="E99" s="2413"/>
      <c r="F99" s="2414"/>
      <c r="G99" s="2414"/>
      <c r="H99" s="2414"/>
      <c r="I99" s="2414"/>
      <c r="J99" s="2414"/>
      <c r="K99" s="2414"/>
      <c r="L99" s="2414"/>
      <c r="M99" s="2414"/>
      <c r="N99" s="2414"/>
      <c r="O99" s="2414"/>
      <c r="P99" s="2414"/>
      <c r="Q99" s="2414"/>
      <c r="R99" s="2414"/>
      <c r="S99" s="2414"/>
      <c r="T99" s="2414"/>
      <c r="U99" s="2414"/>
      <c r="V99" s="2414"/>
      <c r="W99" s="2414"/>
      <c r="X99" s="2414"/>
      <c r="Y99" s="2414"/>
      <c r="Z99" s="2414"/>
      <c r="AA99" s="2414"/>
      <c r="AB99" s="2414"/>
      <c r="AC99" s="2414"/>
      <c r="AD99" s="2414"/>
      <c r="AE99" s="2414"/>
      <c r="AF99" s="2414"/>
      <c r="AG99" s="2414"/>
      <c r="AH99" s="2414"/>
      <c r="AI99" s="2414"/>
      <c r="AJ99" s="2415"/>
      <c r="AK99" s="543"/>
      <c r="AL99" s="540"/>
      <c r="AM99" s="540"/>
      <c r="AN99" s="535"/>
    </row>
    <row r="100" spans="1:47" s="536" customFormat="1" ht="12.75" customHeight="1">
      <c r="A100" s="538"/>
      <c r="B100" s="539"/>
      <c r="C100" s="539"/>
      <c r="D100" s="539"/>
      <c r="E100" s="2413"/>
      <c r="F100" s="2414"/>
      <c r="G100" s="2414"/>
      <c r="H100" s="2414"/>
      <c r="I100" s="2414"/>
      <c r="J100" s="2414"/>
      <c r="K100" s="2414"/>
      <c r="L100" s="2414"/>
      <c r="M100" s="2414"/>
      <c r="N100" s="2414"/>
      <c r="O100" s="2414"/>
      <c r="P100" s="2414"/>
      <c r="Q100" s="2414"/>
      <c r="R100" s="2414"/>
      <c r="S100" s="2414"/>
      <c r="T100" s="2414"/>
      <c r="U100" s="2414"/>
      <c r="V100" s="2414"/>
      <c r="W100" s="2414"/>
      <c r="X100" s="2414"/>
      <c r="Y100" s="2414"/>
      <c r="Z100" s="2414"/>
      <c r="AA100" s="2414"/>
      <c r="AB100" s="2414"/>
      <c r="AC100" s="2414"/>
      <c r="AD100" s="2414"/>
      <c r="AE100" s="2414"/>
      <c r="AF100" s="2414"/>
      <c r="AG100" s="2414"/>
      <c r="AH100" s="2414"/>
      <c r="AI100" s="2414"/>
      <c r="AJ100" s="2415"/>
      <c r="AK100" s="543"/>
      <c r="AL100" s="540"/>
      <c r="AM100" s="540"/>
      <c r="AN100" s="535"/>
    </row>
    <row r="101" spans="1:47" s="536" customFormat="1" ht="12.75" customHeight="1">
      <c r="A101" s="538"/>
      <c r="B101" s="539"/>
      <c r="C101" s="539"/>
      <c r="D101" s="539"/>
      <c r="E101" s="2413"/>
      <c r="F101" s="2414"/>
      <c r="G101" s="2414"/>
      <c r="H101" s="2414"/>
      <c r="I101" s="2414"/>
      <c r="J101" s="2414"/>
      <c r="K101" s="2414"/>
      <c r="L101" s="2414"/>
      <c r="M101" s="2414"/>
      <c r="N101" s="2414"/>
      <c r="O101" s="2414"/>
      <c r="P101" s="2414"/>
      <c r="Q101" s="2414"/>
      <c r="R101" s="2414"/>
      <c r="S101" s="2414"/>
      <c r="T101" s="2414"/>
      <c r="U101" s="2414"/>
      <c r="V101" s="2414"/>
      <c r="W101" s="2414"/>
      <c r="X101" s="2414"/>
      <c r="Y101" s="2414"/>
      <c r="Z101" s="2414"/>
      <c r="AA101" s="2414"/>
      <c r="AB101" s="2414"/>
      <c r="AC101" s="2414"/>
      <c r="AD101" s="2414"/>
      <c r="AE101" s="2414"/>
      <c r="AF101" s="2414"/>
      <c r="AG101" s="2414"/>
      <c r="AH101" s="2414"/>
      <c r="AI101" s="2414"/>
      <c r="AJ101" s="2415"/>
      <c r="AK101" s="543"/>
      <c r="AL101" s="540"/>
      <c r="AM101" s="540"/>
      <c r="AN101" s="535"/>
    </row>
    <row r="102" spans="1:47" s="536" customFormat="1" ht="12.75" customHeight="1">
      <c r="A102" s="538"/>
      <c r="B102" s="539"/>
      <c r="C102" s="539"/>
      <c r="D102" s="539"/>
      <c r="E102" s="586"/>
      <c r="F102" s="553"/>
      <c r="G102" s="553"/>
      <c r="H102" s="553"/>
      <c r="I102" s="553"/>
      <c r="J102" s="553"/>
      <c r="K102" s="553"/>
      <c r="L102" s="553"/>
      <c r="M102" s="553"/>
      <c r="N102" s="553"/>
      <c r="O102" s="553"/>
      <c r="P102" s="553"/>
      <c r="Q102" s="553"/>
      <c r="R102" s="553"/>
      <c r="S102" s="553"/>
      <c r="T102" s="553"/>
      <c r="U102" s="553"/>
      <c r="V102" s="553"/>
      <c r="W102" s="553"/>
      <c r="X102" s="553"/>
      <c r="Y102" s="553"/>
      <c r="Z102" s="553"/>
      <c r="AA102" s="553"/>
      <c r="AB102" s="553"/>
      <c r="AC102" s="553"/>
      <c r="AD102" s="553"/>
      <c r="AE102" s="553"/>
      <c r="AF102" s="553"/>
      <c r="AG102" s="553"/>
      <c r="AH102" s="553"/>
      <c r="AI102" s="553"/>
      <c r="AJ102" s="554"/>
      <c r="AK102" s="543"/>
      <c r="AL102" s="540"/>
      <c r="AM102" s="540"/>
      <c r="AN102" s="535"/>
    </row>
    <row r="103" spans="1:47" s="536" customFormat="1" ht="12.75" customHeight="1">
      <c r="A103" s="538"/>
      <c r="B103" s="539"/>
      <c r="C103" s="539"/>
      <c r="D103" s="539"/>
      <c r="E103" s="2393">
        <f>Application!AC753</f>
        <v>0.58349514563106797</v>
      </c>
      <c r="F103" s="2394"/>
      <c r="G103" s="2394"/>
      <c r="H103" s="2394"/>
      <c r="I103" s="577"/>
      <c r="J103" s="580" t="s">
        <v>1326</v>
      </c>
      <c r="K103" s="577"/>
      <c r="L103" s="577"/>
      <c r="M103" s="577"/>
      <c r="N103" s="577"/>
      <c r="O103" s="577"/>
      <c r="P103" s="577"/>
      <c r="Q103" s="577"/>
      <c r="R103" s="553"/>
      <c r="S103" s="553"/>
      <c r="T103" s="553"/>
      <c r="U103" s="553"/>
      <c r="V103" s="553"/>
      <c r="W103" s="553"/>
      <c r="X103" s="553"/>
      <c r="Y103" s="553"/>
      <c r="Z103" s="553"/>
      <c r="AA103" s="553"/>
      <c r="AB103" s="553"/>
      <c r="AC103" s="553"/>
      <c r="AD103" s="553"/>
      <c r="AE103" s="553"/>
      <c r="AF103" s="553"/>
      <c r="AG103" s="553"/>
      <c r="AH103" s="553"/>
      <c r="AI103" s="553"/>
      <c r="AJ103" s="554"/>
      <c r="AK103" s="543"/>
      <c r="AL103" s="540"/>
      <c r="AM103" s="540"/>
      <c r="AN103" s="535"/>
    </row>
    <row r="104" spans="1:47" s="536" customFormat="1" ht="12.75" customHeight="1">
      <c r="A104" s="538"/>
      <c r="B104" s="539"/>
      <c r="C104" s="539"/>
      <c r="D104" s="539"/>
      <c r="E104" s="2393">
        <f ca="1">SUMIF(Application!AC718:AG752,0.2,Application!G718:J752)/Application!G753+SUMIF(Application!AC718:AG752,0.25,Application!G718:J752)/Application!G753+SUMIF(Application!AC718:AG752,0.3,Application!G718:J752)/Application!G753</f>
        <v>0.31067961165048541</v>
      </c>
      <c r="F104" s="2394"/>
      <c r="G104" s="2394"/>
      <c r="H104" s="2394"/>
      <c r="I104" s="577"/>
      <c r="J104" s="580" t="s">
        <v>1329</v>
      </c>
      <c r="K104" s="577"/>
      <c r="L104" s="577"/>
      <c r="M104" s="577"/>
      <c r="N104" s="577"/>
      <c r="O104" s="577"/>
      <c r="P104" s="577"/>
      <c r="Q104" s="577"/>
      <c r="R104" s="553"/>
      <c r="S104" s="553"/>
      <c r="T104" s="553"/>
      <c r="U104" s="553"/>
      <c r="V104" s="553"/>
      <c r="W104" s="553"/>
      <c r="X104" s="553"/>
      <c r="Y104" s="553"/>
      <c r="Z104" s="553"/>
      <c r="AA104" s="553"/>
      <c r="AB104" s="553"/>
      <c r="AC104" s="553"/>
      <c r="AD104" s="553"/>
      <c r="AE104" s="553"/>
      <c r="AF104" s="553"/>
      <c r="AG104" s="553"/>
      <c r="AH104" s="553"/>
      <c r="AI104" s="553"/>
      <c r="AJ104" s="554"/>
      <c r="AK104" s="543"/>
      <c r="AL104" s="540"/>
      <c r="AM104" s="540"/>
      <c r="AN104" s="535"/>
      <c r="AU104" s="862"/>
    </row>
    <row r="105" spans="1:47" s="536" customFormat="1" ht="12.75" customHeight="1">
      <c r="A105" s="538"/>
      <c r="B105" s="539"/>
      <c r="C105" s="539"/>
      <c r="D105" s="539"/>
      <c r="E105" s="2393">
        <f ca="1">SUMIF(Application!AC718:AG752,0.35,Application!G718:J752)/Application!G753+SUMIF(Application!AC718:AG752,0.4,Application!G718:J752)/Application!G753+SUMIF(Application!AC718:AG752,0.45,Application!G718:J752)/Application!G753+SUMIF(Application!AC718:AG752,0.5,Application!G718:J752)/Application!G753</f>
        <v>0.13592233009708737</v>
      </c>
      <c r="F105" s="2394"/>
      <c r="G105" s="2394"/>
      <c r="H105" s="2394"/>
      <c r="I105" s="577"/>
      <c r="J105" s="580" t="s">
        <v>1330</v>
      </c>
      <c r="K105" s="577"/>
      <c r="L105" s="577"/>
      <c r="M105" s="577"/>
      <c r="N105" s="577"/>
      <c r="O105" s="577"/>
      <c r="P105" s="577"/>
      <c r="Q105" s="577"/>
      <c r="R105" s="553"/>
      <c r="S105" s="553"/>
      <c r="T105" s="553"/>
      <c r="U105" s="553"/>
      <c r="V105" s="553"/>
      <c r="W105" s="553"/>
      <c r="X105" s="553"/>
      <c r="Y105" s="553"/>
      <c r="Z105" s="553"/>
      <c r="AA105" s="553"/>
      <c r="AB105" s="553"/>
      <c r="AC105" s="553"/>
      <c r="AD105" s="553"/>
      <c r="AE105" s="553"/>
      <c r="AF105" s="553"/>
      <c r="AG105" s="553"/>
      <c r="AH105" s="553"/>
      <c r="AI105" s="553"/>
      <c r="AJ105" s="554"/>
      <c r="AK105" s="543"/>
      <c r="AL105" s="540"/>
      <c r="AM105" s="540"/>
      <c r="AN105" s="535"/>
      <c r="AU105" s="862"/>
    </row>
    <row r="106" spans="1:47" s="536" customFormat="1" ht="12.75" customHeight="1">
      <c r="A106" s="538"/>
      <c r="B106" s="539"/>
      <c r="C106" s="539"/>
      <c r="D106" s="539"/>
      <c r="E106" s="2451">
        <f ca="1">IF(AND(E103&lt;=0.6,OR(AND(E104&gt;=0.1,E105&gt;=0.1),AND(E104&gt;0.1,(E104+E105)&gt;=0.2))),20,0)</f>
        <v>20</v>
      </c>
      <c r="F106" s="2452"/>
      <c r="G106" s="2452"/>
      <c r="H106" s="2452"/>
      <c r="I106" s="553"/>
      <c r="J106" s="587" t="s">
        <v>1328</v>
      </c>
      <c r="K106" s="553"/>
      <c r="L106" s="553"/>
      <c r="M106" s="553"/>
      <c r="N106" s="553"/>
      <c r="O106" s="553"/>
      <c r="P106" s="553"/>
      <c r="Q106" s="553"/>
      <c r="R106" s="553"/>
      <c r="S106" s="553"/>
      <c r="T106" s="553"/>
      <c r="U106" s="553"/>
      <c r="V106" s="553"/>
      <c r="W106" s="553"/>
      <c r="X106" s="553"/>
      <c r="Y106" s="553"/>
      <c r="Z106" s="553"/>
      <c r="AA106" s="553"/>
      <c r="AB106" s="553"/>
      <c r="AC106" s="553"/>
      <c r="AD106" s="553"/>
      <c r="AE106" s="553"/>
      <c r="AF106" s="553"/>
      <c r="AG106" s="553"/>
      <c r="AH106" s="553"/>
      <c r="AI106" s="553"/>
      <c r="AJ106" s="554"/>
      <c r="AK106" s="543"/>
      <c r="AL106" s="540"/>
      <c r="AM106" s="540"/>
      <c r="AN106" s="535"/>
      <c r="AP106" s="536">
        <f ca="1">IF(B98="yes",E106,0)</f>
        <v>20</v>
      </c>
      <c r="AQ106" s="536" t="s">
        <v>1308</v>
      </c>
    </row>
    <row r="107" spans="1:47" s="536" customFormat="1" ht="12.75" customHeight="1">
      <c r="A107" s="538"/>
      <c r="B107" s="539"/>
      <c r="C107" s="539"/>
      <c r="D107" s="539"/>
      <c r="E107" s="582"/>
      <c r="F107" s="583"/>
      <c r="G107" s="583"/>
      <c r="H107" s="583"/>
      <c r="I107" s="583"/>
      <c r="J107" s="583"/>
      <c r="K107" s="583"/>
      <c r="L107" s="583"/>
      <c r="M107" s="583"/>
      <c r="N107" s="583"/>
      <c r="O107" s="583"/>
      <c r="P107" s="583"/>
      <c r="Q107" s="583"/>
      <c r="R107" s="583"/>
      <c r="S107" s="583"/>
      <c r="T107" s="583"/>
      <c r="U107" s="583"/>
      <c r="V107" s="583"/>
      <c r="W107" s="583"/>
      <c r="X107" s="583"/>
      <c r="Y107" s="583"/>
      <c r="Z107" s="583"/>
      <c r="AA107" s="583"/>
      <c r="AB107" s="583"/>
      <c r="AC107" s="583"/>
      <c r="AD107" s="583"/>
      <c r="AE107" s="584"/>
      <c r="AF107" s="584"/>
      <c r="AG107" s="584"/>
      <c r="AH107" s="584"/>
      <c r="AI107" s="584"/>
      <c r="AJ107" s="585"/>
      <c r="AK107" s="543"/>
      <c r="AL107" s="540"/>
      <c r="AM107" s="540"/>
      <c r="AN107" s="535"/>
    </row>
    <row r="108" spans="1:47" s="536" customFormat="1" ht="12.75" customHeight="1">
      <c r="A108" s="538"/>
      <c r="B108" s="539"/>
      <c r="C108" s="539"/>
      <c r="D108" s="539"/>
      <c r="E108" s="539"/>
      <c r="F108" s="539"/>
      <c r="G108" s="539"/>
      <c r="H108" s="539"/>
      <c r="I108" s="539"/>
      <c r="J108" s="539"/>
      <c r="K108" s="539"/>
      <c r="L108" s="539"/>
      <c r="M108" s="539"/>
      <c r="N108" s="539"/>
      <c r="O108" s="539"/>
      <c r="P108" s="539"/>
      <c r="Q108" s="539"/>
      <c r="R108" s="539"/>
      <c r="S108" s="539"/>
      <c r="T108" s="539"/>
      <c r="U108" s="539"/>
      <c r="V108" s="539"/>
      <c r="W108" s="539"/>
      <c r="X108" s="539"/>
      <c r="Y108" s="539"/>
      <c r="Z108" s="539"/>
      <c r="AA108" s="539"/>
      <c r="AB108" s="539"/>
      <c r="AC108" s="539"/>
      <c r="AD108" s="539"/>
      <c r="AE108" s="543"/>
      <c r="AF108" s="543"/>
      <c r="AG108" s="543"/>
      <c r="AH108" s="543"/>
      <c r="AI108" s="543"/>
      <c r="AJ108" s="543"/>
      <c r="AK108" s="543"/>
      <c r="AL108" s="540"/>
      <c r="AM108" s="540"/>
      <c r="AN108" s="535"/>
    </row>
    <row r="109" spans="1:47" s="536" customFormat="1" ht="12.75" customHeight="1">
      <c r="A109" s="561"/>
      <c r="B109" s="562"/>
      <c r="C109" s="562"/>
      <c r="D109" s="562"/>
      <c r="E109" s="562"/>
      <c r="F109" s="562"/>
      <c r="G109" s="563"/>
      <c r="H109" s="564"/>
      <c r="I109" s="564"/>
      <c r="J109" s="564"/>
      <c r="K109" s="564"/>
      <c r="L109" s="564"/>
      <c r="M109" s="564"/>
      <c r="N109" s="564"/>
      <c r="O109" s="564"/>
      <c r="P109" s="564"/>
      <c r="Q109" s="564"/>
      <c r="R109" s="564"/>
      <c r="S109" s="564"/>
      <c r="T109" s="564"/>
      <c r="U109" s="564"/>
      <c r="V109" s="564"/>
      <c r="W109" s="564"/>
      <c r="X109" s="564"/>
      <c r="Y109" s="564"/>
      <c r="Z109" s="564"/>
      <c r="AA109" s="564"/>
      <c r="AB109" s="564"/>
      <c r="AC109" s="564"/>
      <c r="AD109" s="564"/>
      <c r="AE109" s="564"/>
      <c r="AF109" s="564"/>
      <c r="AG109" s="564"/>
      <c r="AH109" s="564"/>
      <c r="AI109" s="565"/>
      <c r="AJ109" s="565" t="s">
        <v>1331</v>
      </c>
      <c r="AK109" s="2432">
        <f ca="1">MAX(AP95,AP106)</f>
        <v>20</v>
      </c>
      <c r="AL109" s="2433"/>
      <c r="AM109" s="2434"/>
      <c r="AN109" s="535"/>
    </row>
    <row r="110" spans="1:47" s="536" customFormat="1" ht="12.75" customHeight="1" thickBot="1">
      <c r="A110" s="566"/>
      <c r="B110" s="567"/>
      <c r="C110" s="568"/>
      <c r="D110" s="568"/>
      <c r="E110" s="568"/>
      <c r="F110" s="568"/>
      <c r="G110" s="568"/>
      <c r="H110" s="568"/>
      <c r="I110" s="568"/>
      <c r="J110" s="568"/>
      <c r="K110" s="568"/>
      <c r="L110" s="568"/>
      <c r="M110" s="568"/>
      <c r="N110" s="568"/>
      <c r="O110" s="568"/>
      <c r="P110" s="568"/>
      <c r="Q110" s="568"/>
      <c r="R110" s="568"/>
      <c r="S110" s="568"/>
      <c r="T110" s="568"/>
      <c r="U110" s="568"/>
      <c r="V110" s="568"/>
      <c r="W110" s="568"/>
      <c r="X110" s="568"/>
      <c r="Y110" s="568"/>
      <c r="Z110" s="568"/>
      <c r="AA110" s="568"/>
      <c r="AB110" s="568"/>
      <c r="AC110" s="568"/>
      <c r="AD110" s="568"/>
      <c r="AE110" s="568"/>
      <c r="AF110" s="568"/>
      <c r="AG110" s="568"/>
      <c r="AH110" s="568"/>
      <c r="AI110" s="568"/>
      <c r="AJ110" s="568"/>
      <c r="AK110" s="568"/>
      <c r="AL110" s="568"/>
      <c r="AM110" s="569"/>
      <c r="AN110" s="535"/>
    </row>
    <row r="111" spans="1:47" s="536" customFormat="1" ht="12.75" customHeight="1" thickTop="1">
      <c r="A111" s="570"/>
      <c r="B111" s="571"/>
      <c r="C111" s="572"/>
      <c r="D111" s="572"/>
      <c r="E111" s="572"/>
      <c r="F111" s="572"/>
      <c r="G111" s="572"/>
      <c r="H111" s="572"/>
      <c r="I111" s="573"/>
      <c r="J111" s="573"/>
      <c r="K111" s="573"/>
      <c r="L111" s="573"/>
      <c r="M111" s="573"/>
      <c r="N111" s="573"/>
      <c r="O111" s="573"/>
      <c r="P111" s="573"/>
      <c r="Q111" s="573"/>
      <c r="R111" s="570"/>
      <c r="S111" s="539"/>
      <c r="T111" s="539"/>
      <c r="U111" s="539"/>
      <c r="V111" s="539"/>
      <c r="W111" s="539"/>
      <c r="X111" s="539"/>
      <c r="Y111" s="539"/>
      <c r="Z111" s="539"/>
      <c r="AA111" s="539"/>
      <c r="AB111" s="539"/>
      <c r="AC111" s="539"/>
      <c r="AD111" s="539"/>
      <c r="AE111" s="539"/>
      <c r="AF111" s="570"/>
      <c r="AG111" s="539"/>
      <c r="AH111" s="539"/>
      <c r="AI111" s="539"/>
      <c r="AJ111" s="539"/>
      <c r="AK111" s="550"/>
      <c r="AL111" s="550"/>
      <c r="AM111" s="550"/>
      <c r="AN111" s="535"/>
    </row>
    <row r="112" spans="1:47" s="536" customFormat="1" ht="12.75" customHeight="1">
      <c r="A112" s="538" t="s">
        <v>1332</v>
      </c>
      <c r="B112" s="539" t="s">
        <v>1333</v>
      </c>
      <c r="C112" s="539"/>
      <c r="D112" s="539"/>
      <c r="E112" s="539"/>
      <c r="F112" s="539"/>
      <c r="G112" s="539"/>
      <c r="H112" s="539"/>
      <c r="I112" s="539"/>
      <c r="J112" s="539"/>
      <c r="K112" s="539"/>
      <c r="L112" s="539"/>
      <c r="M112" s="539"/>
      <c r="N112" s="539"/>
      <c r="O112" s="539"/>
      <c r="P112" s="539"/>
      <c r="Q112" s="539"/>
      <c r="R112" s="539"/>
      <c r="S112" s="539"/>
      <c r="T112" s="539"/>
      <c r="U112" s="539"/>
      <c r="V112" s="539"/>
      <c r="W112" s="539"/>
      <c r="X112" s="539"/>
      <c r="Y112" s="539"/>
      <c r="Z112" s="539"/>
      <c r="AA112" s="539"/>
      <c r="AB112" s="539"/>
      <c r="AC112" s="539"/>
      <c r="AD112" s="539"/>
      <c r="AE112" s="2409" t="s">
        <v>1314</v>
      </c>
      <c r="AF112" s="2409"/>
      <c r="AG112" s="2409"/>
      <c r="AH112" s="2409"/>
      <c r="AI112" s="2409"/>
      <c r="AJ112" s="2409"/>
      <c r="AK112" s="2409"/>
      <c r="AL112" s="540"/>
      <c r="AM112" s="540"/>
      <c r="AN112" s="535"/>
      <c r="AO112" s="536" t="str">
        <f>Application!B718</f>
        <v>1 Bedroom</v>
      </c>
      <c r="AQ112" s="536">
        <f>Application!O718</f>
        <v>791</v>
      </c>
    </row>
    <row r="113" spans="1:52" s="536" customFormat="1" ht="12.75" customHeight="1">
      <c r="A113" s="540"/>
      <c r="B113" s="539" t="s">
        <v>1324</v>
      </c>
      <c r="C113" s="539"/>
      <c r="D113" s="539"/>
      <c r="E113" s="539"/>
      <c r="F113" s="539"/>
      <c r="G113" s="539"/>
      <c r="H113" s="539"/>
      <c r="I113" s="539"/>
      <c r="J113" s="539"/>
      <c r="K113" s="539"/>
      <c r="L113" s="539"/>
      <c r="M113" s="539"/>
      <c r="N113" s="539"/>
      <c r="O113" s="539"/>
      <c r="P113" s="539"/>
      <c r="Q113" s="539"/>
      <c r="R113" s="539"/>
      <c r="S113" s="539"/>
      <c r="T113" s="539"/>
      <c r="U113" s="539"/>
      <c r="V113" s="539"/>
      <c r="W113" s="539"/>
      <c r="X113" s="539"/>
      <c r="Y113" s="539"/>
      <c r="Z113" s="539"/>
      <c r="AA113" s="539"/>
      <c r="AB113" s="539"/>
      <c r="AC113" s="539"/>
      <c r="AD113" s="539"/>
      <c r="AE113" s="543"/>
      <c r="AF113" s="543"/>
      <c r="AG113" s="543"/>
      <c r="AH113" s="543"/>
      <c r="AI113" s="543"/>
      <c r="AJ113" s="543"/>
      <c r="AK113" s="540"/>
      <c r="AL113" s="540"/>
      <c r="AM113" s="540"/>
      <c r="AN113" s="535"/>
      <c r="AO113" s="536" t="str">
        <f>Application!B719</f>
        <v>1 Bedroom</v>
      </c>
      <c r="AQ113" s="536">
        <f>Application!O719</f>
        <v>1055</v>
      </c>
    </row>
    <row r="114" spans="1:52" s="536" customFormat="1" ht="12.75" customHeight="1">
      <c r="A114" s="540"/>
      <c r="B114" s="539"/>
      <c r="C114" s="539"/>
      <c r="D114" s="539"/>
      <c r="E114" s="577"/>
      <c r="F114" s="577"/>
      <c r="G114" s="577"/>
      <c r="H114" s="577"/>
      <c r="I114" s="577"/>
      <c r="J114" s="577"/>
      <c r="K114" s="577"/>
      <c r="L114" s="577"/>
      <c r="M114" s="577"/>
      <c r="N114" s="577"/>
      <c r="O114" s="577"/>
      <c r="P114" s="577"/>
      <c r="Q114" s="577"/>
      <c r="R114" s="577"/>
      <c r="S114" s="577"/>
      <c r="T114" s="577"/>
      <c r="U114" s="577"/>
      <c r="V114" s="577"/>
      <c r="W114" s="577"/>
      <c r="X114" s="577"/>
      <c r="Y114" s="577"/>
      <c r="Z114" s="577"/>
      <c r="AA114" s="577"/>
      <c r="AB114" s="577"/>
      <c r="AC114" s="577"/>
      <c r="AD114" s="577"/>
      <c r="AE114" s="577"/>
      <c r="AF114" s="577"/>
      <c r="AG114" s="577"/>
      <c r="AH114" s="577"/>
      <c r="AI114" s="577"/>
      <c r="AJ114" s="577"/>
      <c r="AK114" s="540"/>
      <c r="AL114" s="540"/>
      <c r="AM114" s="540"/>
      <c r="AN114" s="535"/>
      <c r="AO114" s="536" t="str">
        <f>Application!B720</f>
        <v>1 Bedroom</v>
      </c>
      <c r="AQ114" s="536">
        <f>Application!O720</f>
        <v>1319</v>
      </c>
    </row>
    <row r="115" spans="1:52" s="536" customFormat="1" ht="12.75" customHeight="1">
      <c r="A115" s="540"/>
      <c r="B115" s="2399" t="s">
        <v>545</v>
      </c>
      <c r="C115" s="2399"/>
      <c r="D115" s="547" t="s">
        <v>1315</v>
      </c>
      <c r="E115" s="2410" t="s">
        <v>1858</v>
      </c>
      <c r="F115" s="2411"/>
      <c r="G115" s="2411"/>
      <c r="H115" s="2411"/>
      <c r="I115" s="2411"/>
      <c r="J115" s="2411"/>
      <c r="K115" s="2411"/>
      <c r="L115" s="2411"/>
      <c r="M115" s="2411"/>
      <c r="N115" s="2411"/>
      <c r="O115" s="2411"/>
      <c r="P115" s="2411"/>
      <c r="Q115" s="2411"/>
      <c r="R115" s="2411"/>
      <c r="S115" s="2411"/>
      <c r="T115" s="2411"/>
      <c r="U115" s="2411"/>
      <c r="V115" s="2411"/>
      <c r="W115" s="2411"/>
      <c r="X115" s="2411"/>
      <c r="Y115" s="2411"/>
      <c r="Z115" s="2411"/>
      <c r="AA115" s="2411"/>
      <c r="AB115" s="2411"/>
      <c r="AC115" s="2411"/>
      <c r="AD115" s="2411"/>
      <c r="AE115" s="2411"/>
      <c r="AF115" s="2411"/>
      <c r="AG115" s="2411"/>
      <c r="AH115" s="2411"/>
      <c r="AI115" s="2411"/>
      <c r="AJ115" s="2412"/>
      <c r="AK115" s="540"/>
      <c r="AL115" s="540"/>
      <c r="AM115" s="540"/>
      <c r="AN115" s="535"/>
      <c r="AO115" s="536" t="str">
        <f>Application!B721</f>
        <v>1 Bedroom</v>
      </c>
      <c r="AQ115" s="536">
        <f>Application!O721</f>
        <v>1583</v>
      </c>
      <c r="AU115" s="536" t="s">
        <v>1840</v>
      </c>
      <c r="AV115" s="595" t="s">
        <v>1841</v>
      </c>
      <c r="AW115" s="536" t="s">
        <v>1842</v>
      </c>
    </row>
    <row r="116" spans="1:52" s="536" customFormat="1" ht="12.75" customHeight="1">
      <c r="A116" s="540"/>
      <c r="B116" s="539"/>
      <c r="C116" s="539"/>
      <c r="D116" s="539"/>
      <c r="E116" s="2413"/>
      <c r="F116" s="2414"/>
      <c r="G116" s="2414"/>
      <c r="H116" s="2414"/>
      <c r="I116" s="2414"/>
      <c r="J116" s="2414"/>
      <c r="K116" s="2414"/>
      <c r="L116" s="2414"/>
      <c r="M116" s="2414"/>
      <c r="N116" s="2414"/>
      <c r="O116" s="2414"/>
      <c r="P116" s="2414"/>
      <c r="Q116" s="2414"/>
      <c r="R116" s="2414"/>
      <c r="S116" s="2414"/>
      <c r="T116" s="2414"/>
      <c r="U116" s="2414"/>
      <c r="V116" s="2414"/>
      <c r="W116" s="2414"/>
      <c r="X116" s="2414"/>
      <c r="Y116" s="2414"/>
      <c r="Z116" s="2414"/>
      <c r="AA116" s="2414"/>
      <c r="AB116" s="2414"/>
      <c r="AC116" s="2414"/>
      <c r="AD116" s="2414"/>
      <c r="AE116" s="2414"/>
      <c r="AF116" s="2414"/>
      <c r="AG116" s="2414"/>
      <c r="AH116" s="2414"/>
      <c r="AI116" s="2414"/>
      <c r="AJ116" s="2415"/>
      <c r="AK116" s="540"/>
      <c r="AL116" s="540"/>
      <c r="AM116" s="540"/>
      <c r="AN116" s="535"/>
      <c r="AO116" s="536" t="str">
        <f>Application!B722</f>
        <v>1 Bedroom</v>
      </c>
      <c r="AQ116" s="536">
        <f>Application!O722</f>
        <v>2111</v>
      </c>
      <c r="AU116" s="856" t="str">
        <f>E124</f>
        <v>Studio/SRO</v>
      </c>
      <c r="AV116" s="536">
        <f t="array" ref="AV116">SUM(IF(Application!B718:F752="SRO/Studio",Application!G718:J752))</f>
        <v>0</v>
      </c>
      <c r="AW116" s="1011">
        <f>AV116/AV122</f>
        <v>0</v>
      </c>
    </row>
    <row r="117" spans="1:52" s="536" customFormat="1" ht="12.75" customHeight="1">
      <c r="A117" s="540"/>
      <c r="B117" s="539"/>
      <c r="C117" s="539"/>
      <c r="D117" s="539"/>
      <c r="E117" s="2413"/>
      <c r="F117" s="2414"/>
      <c r="G117" s="2414"/>
      <c r="H117" s="2414"/>
      <c r="I117" s="2414"/>
      <c r="J117" s="2414"/>
      <c r="K117" s="2414"/>
      <c r="L117" s="2414"/>
      <c r="M117" s="2414"/>
      <c r="N117" s="2414"/>
      <c r="O117" s="2414"/>
      <c r="P117" s="2414"/>
      <c r="Q117" s="2414"/>
      <c r="R117" s="2414"/>
      <c r="S117" s="2414"/>
      <c r="T117" s="2414"/>
      <c r="U117" s="2414"/>
      <c r="V117" s="2414"/>
      <c r="W117" s="2414"/>
      <c r="X117" s="2414"/>
      <c r="Y117" s="2414"/>
      <c r="Z117" s="2414"/>
      <c r="AA117" s="2414"/>
      <c r="AB117" s="2414"/>
      <c r="AC117" s="2414"/>
      <c r="AD117" s="2414"/>
      <c r="AE117" s="2414"/>
      <c r="AF117" s="2414"/>
      <c r="AG117" s="2414"/>
      <c r="AH117" s="2414"/>
      <c r="AI117" s="2414"/>
      <c r="AJ117" s="2415"/>
      <c r="AK117" s="540"/>
      <c r="AL117" s="540"/>
      <c r="AM117" s="540"/>
      <c r="AN117" s="535"/>
      <c r="AO117" s="536" t="str">
        <f>Application!B723</f>
        <v>2 Bedrooms</v>
      </c>
      <c r="AQ117" s="536">
        <f>Application!O723</f>
        <v>950</v>
      </c>
      <c r="AU117" s="856" t="str">
        <f>J124</f>
        <v>1-bedroom</v>
      </c>
      <c r="AV117" s="536">
        <f t="array" ref="AV117">SUM(IF(Application!B718:F752="1 Bedroom",Application!G718:J752))</f>
        <v>26</v>
      </c>
      <c r="AW117" s="1011">
        <f>AV117/AV122</f>
        <v>0.25242718446601942</v>
      </c>
    </row>
    <row r="118" spans="1:52" s="536" customFormat="1" ht="12.75" customHeight="1">
      <c r="A118" s="540"/>
      <c r="B118" s="539"/>
      <c r="C118" s="539"/>
      <c r="D118" s="539"/>
      <c r="E118" s="2413"/>
      <c r="F118" s="2414"/>
      <c r="G118" s="2414"/>
      <c r="H118" s="2414"/>
      <c r="I118" s="2414"/>
      <c r="J118" s="2414"/>
      <c r="K118" s="2414"/>
      <c r="L118" s="2414"/>
      <c r="M118" s="2414"/>
      <c r="N118" s="2414"/>
      <c r="O118" s="2414"/>
      <c r="P118" s="2414"/>
      <c r="Q118" s="2414"/>
      <c r="R118" s="2414"/>
      <c r="S118" s="2414"/>
      <c r="T118" s="2414"/>
      <c r="U118" s="2414"/>
      <c r="V118" s="2414"/>
      <c r="W118" s="2414"/>
      <c r="X118" s="2414"/>
      <c r="Y118" s="2414"/>
      <c r="Z118" s="2414"/>
      <c r="AA118" s="2414"/>
      <c r="AB118" s="2414"/>
      <c r="AC118" s="2414"/>
      <c r="AD118" s="2414"/>
      <c r="AE118" s="2414"/>
      <c r="AF118" s="2414"/>
      <c r="AG118" s="2414"/>
      <c r="AH118" s="2414"/>
      <c r="AI118" s="2414"/>
      <c r="AJ118" s="2415"/>
      <c r="AK118" s="540"/>
      <c r="AL118" s="540"/>
      <c r="AM118" s="540"/>
      <c r="AN118" s="535"/>
      <c r="AO118" s="536" t="str">
        <f>Application!B724</f>
        <v>2 Bedrooms</v>
      </c>
      <c r="AQ118" s="536">
        <f>Application!O724</f>
        <v>1267</v>
      </c>
      <c r="AU118" s="856" t="str">
        <f>O124</f>
        <v>2-bedroom</v>
      </c>
      <c r="AV118" s="536">
        <f t="array" ref="AV118">SUM(IF(Application!B718:F752="2 Bedrooms",Application!G718:J752))</f>
        <v>34</v>
      </c>
      <c r="AW118" s="1011">
        <f>AV118/AV122</f>
        <v>0.3300970873786408</v>
      </c>
    </row>
    <row r="119" spans="1:52" s="536" customFormat="1" ht="12.75" customHeight="1">
      <c r="A119" s="540"/>
      <c r="B119" s="539"/>
      <c r="C119" s="539"/>
      <c r="D119" s="539"/>
      <c r="E119" s="2413"/>
      <c r="F119" s="2414"/>
      <c r="G119" s="2414"/>
      <c r="H119" s="2414"/>
      <c r="I119" s="2414"/>
      <c r="J119" s="2414"/>
      <c r="K119" s="2414"/>
      <c r="L119" s="2414"/>
      <c r="M119" s="2414"/>
      <c r="N119" s="2414"/>
      <c r="O119" s="2414"/>
      <c r="P119" s="2414"/>
      <c r="Q119" s="2414"/>
      <c r="R119" s="2414"/>
      <c r="S119" s="2414"/>
      <c r="T119" s="2414"/>
      <c r="U119" s="2414"/>
      <c r="V119" s="2414"/>
      <c r="W119" s="2414"/>
      <c r="X119" s="2414"/>
      <c r="Y119" s="2414"/>
      <c r="Z119" s="2414"/>
      <c r="AA119" s="2414"/>
      <c r="AB119" s="2414"/>
      <c r="AC119" s="2414"/>
      <c r="AD119" s="2414"/>
      <c r="AE119" s="2414"/>
      <c r="AF119" s="2414"/>
      <c r="AG119" s="2414"/>
      <c r="AH119" s="2414"/>
      <c r="AI119" s="2414"/>
      <c r="AJ119" s="2415"/>
      <c r="AK119" s="540"/>
      <c r="AL119" s="540"/>
      <c r="AM119" s="540"/>
      <c r="AN119" s="535"/>
      <c r="AO119" s="536" t="str">
        <f>Application!B725</f>
        <v>2 Bedrooms</v>
      </c>
      <c r="AQ119" s="536">
        <f>Application!O725</f>
        <v>1583</v>
      </c>
      <c r="AU119" s="856" t="str">
        <f>T124</f>
        <v>3-bedroom</v>
      </c>
      <c r="AV119" s="536">
        <f t="array" ref="AV119">SUM(IF(Application!B718:F752="3 Bedrooms",Application!G718:J752))</f>
        <v>32</v>
      </c>
      <c r="AW119" s="1011">
        <f>AV119/AV122</f>
        <v>0.31067961165048541</v>
      </c>
    </row>
    <row r="120" spans="1:52" s="536" customFormat="1" ht="12.75" customHeight="1">
      <c r="A120" s="540"/>
      <c r="B120" s="539"/>
      <c r="C120" s="539"/>
      <c r="D120" s="539"/>
      <c r="E120" s="2413"/>
      <c r="F120" s="2414"/>
      <c r="G120" s="2414"/>
      <c r="H120" s="2414"/>
      <c r="I120" s="2414"/>
      <c r="J120" s="2414"/>
      <c r="K120" s="2414"/>
      <c r="L120" s="2414"/>
      <c r="M120" s="2414"/>
      <c r="N120" s="2414"/>
      <c r="O120" s="2414"/>
      <c r="P120" s="2414"/>
      <c r="Q120" s="2414"/>
      <c r="R120" s="2414"/>
      <c r="S120" s="2414"/>
      <c r="T120" s="2414"/>
      <c r="U120" s="2414"/>
      <c r="V120" s="2414"/>
      <c r="W120" s="2414"/>
      <c r="X120" s="2414"/>
      <c r="Y120" s="2414"/>
      <c r="Z120" s="2414"/>
      <c r="AA120" s="2414"/>
      <c r="AB120" s="2414"/>
      <c r="AC120" s="2414"/>
      <c r="AD120" s="2414"/>
      <c r="AE120" s="2414"/>
      <c r="AF120" s="2414"/>
      <c r="AG120" s="2414"/>
      <c r="AH120" s="2414"/>
      <c r="AI120" s="2414"/>
      <c r="AJ120" s="2415"/>
      <c r="AK120" s="540"/>
      <c r="AL120" s="540"/>
      <c r="AM120" s="540"/>
      <c r="AN120" s="535"/>
      <c r="AO120" s="536" t="str">
        <f>Application!B726</f>
        <v>2 Bedrooms</v>
      </c>
      <c r="AQ120" s="536">
        <f>Application!O726</f>
        <v>1900</v>
      </c>
      <c r="AU120" s="856" t="str">
        <f>Y124</f>
        <v>4-bedroom</v>
      </c>
      <c r="AV120" s="536">
        <f t="array" ref="AV120">SUM(IF(Application!B718:F752="4 Bedrooms",Application!G718:J752))</f>
        <v>11</v>
      </c>
      <c r="AW120" s="1011">
        <f>AV120/AV122</f>
        <v>0.10679611650485436</v>
      </c>
    </row>
    <row r="121" spans="1:52" s="536" customFormat="1" ht="12.75" customHeight="1">
      <c r="A121" s="540"/>
      <c r="B121" s="539"/>
      <c r="C121" s="539"/>
      <c r="D121" s="539"/>
      <c r="E121" s="2413"/>
      <c r="F121" s="2414"/>
      <c r="G121" s="2414"/>
      <c r="H121" s="2414"/>
      <c r="I121" s="2414"/>
      <c r="J121" s="2414"/>
      <c r="K121" s="2414"/>
      <c r="L121" s="2414"/>
      <c r="M121" s="2414"/>
      <c r="N121" s="2414"/>
      <c r="O121" s="2414"/>
      <c r="P121" s="2414"/>
      <c r="Q121" s="2414"/>
      <c r="R121" s="2414"/>
      <c r="S121" s="2414"/>
      <c r="T121" s="2414"/>
      <c r="U121" s="2414"/>
      <c r="V121" s="2414"/>
      <c r="W121" s="2414"/>
      <c r="X121" s="2414"/>
      <c r="Y121" s="2414"/>
      <c r="Z121" s="2414"/>
      <c r="AA121" s="2414"/>
      <c r="AB121" s="2414"/>
      <c r="AC121" s="2414"/>
      <c r="AD121" s="2414"/>
      <c r="AE121" s="2414"/>
      <c r="AF121" s="2414"/>
      <c r="AG121" s="2414"/>
      <c r="AH121" s="2414"/>
      <c r="AI121" s="2414"/>
      <c r="AJ121" s="2415"/>
      <c r="AK121" s="540"/>
      <c r="AL121" s="540"/>
      <c r="AM121" s="540"/>
      <c r="AN121" s="535"/>
      <c r="AO121" s="536" t="str">
        <f>Application!B727</f>
        <v>2 Bedrooms</v>
      </c>
      <c r="AQ121" s="536">
        <f>Application!O727</f>
        <v>2534</v>
      </c>
      <c r="AU121" s="856" t="str">
        <f>AD124</f>
        <v>5-bedroom</v>
      </c>
      <c r="AV121" s="536">
        <f t="array" ref="AV121">SUM(IF(Application!B718:F752="5 Bedrooms",Application!G718:J752))</f>
        <v>0</v>
      </c>
      <c r="AW121" s="1011">
        <f>AV121/AV122</f>
        <v>0</v>
      </c>
    </row>
    <row r="122" spans="1:52" s="536" customFormat="1" ht="12.75" customHeight="1">
      <c r="A122" s="540"/>
      <c r="B122" s="539"/>
      <c r="C122" s="539"/>
      <c r="D122" s="539"/>
      <c r="E122" s="2413"/>
      <c r="F122" s="2414"/>
      <c r="G122" s="2414"/>
      <c r="H122" s="2414"/>
      <c r="I122" s="2414"/>
      <c r="J122" s="2414"/>
      <c r="K122" s="2414"/>
      <c r="L122" s="2414"/>
      <c r="M122" s="2414"/>
      <c r="N122" s="2414"/>
      <c r="O122" s="2414"/>
      <c r="P122" s="2414"/>
      <c r="Q122" s="2414"/>
      <c r="R122" s="2414"/>
      <c r="S122" s="2414"/>
      <c r="T122" s="2414"/>
      <c r="U122" s="2414"/>
      <c r="V122" s="2414"/>
      <c r="W122" s="2414"/>
      <c r="X122" s="2414"/>
      <c r="Y122" s="2414"/>
      <c r="Z122" s="2414"/>
      <c r="AA122" s="2414"/>
      <c r="AB122" s="2414"/>
      <c r="AC122" s="2414"/>
      <c r="AD122" s="2414"/>
      <c r="AE122" s="2414"/>
      <c r="AF122" s="2414"/>
      <c r="AG122" s="2414"/>
      <c r="AH122" s="2414"/>
      <c r="AI122" s="2414"/>
      <c r="AJ122" s="2415"/>
      <c r="AK122" s="540"/>
      <c r="AL122" s="540"/>
      <c r="AM122" s="540"/>
      <c r="AN122" s="535"/>
      <c r="AO122" s="536" t="str">
        <f>Application!B728</f>
        <v>3 Bedrooms</v>
      </c>
      <c r="AQ122" s="536">
        <f>Application!O728</f>
        <v>1097</v>
      </c>
      <c r="AV122" s="536">
        <f>SUM(AV116:AV121)</f>
        <v>103</v>
      </c>
      <c r="AW122" s="1011">
        <f>SUM(AW116:AW121)</f>
        <v>0.99999999999999989</v>
      </c>
    </row>
    <row r="123" spans="1:52" s="536" customFormat="1" ht="12.75" customHeight="1">
      <c r="A123" s="540"/>
      <c r="B123" s="539"/>
      <c r="C123" s="539"/>
      <c r="D123" s="539"/>
      <c r="E123" s="586"/>
      <c r="F123" s="553"/>
      <c r="G123" s="553"/>
      <c r="H123" s="553"/>
      <c r="I123" s="553"/>
      <c r="J123" s="553"/>
      <c r="K123" s="553"/>
      <c r="L123" s="553"/>
      <c r="M123" s="553"/>
      <c r="N123" s="553"/>
      <c r="O123" s="553"/>
      <c r="P123" s="553"/>
      <c r="Q123" s="553"/>
      <c r="R123" s="553"/>
      <c r="S123" s="553"/>
      <c r="T123" s="553"/>
      <c r="U123" s="553"/>
      <c r="V123" s="553"/>
      <c r="W123" s="553"/>
      <c r="X123" s="553"/>
      <c r="Y123" s="553"/>
      <c r="Z123" s="553"/>
      <c r="AA123" s="553"/>
      <c r="AB123" s="553"/>
      <c r="AC123" s="553"/>
      <c r="AD123" s="553"/>
      <c r="AE123" s="553"/>
      <c r="AF123" s="553"/>
      <c r="AG123" s="553"/>
      <c r="AH123" s="553"/>
      <c r="AI123" s="553"/>
      <c r="AJ123" s="554"/>
      <c r="AK123" s="540"/>
      <c r="AL123" s="540"/>
      <c r="AM123" s="540"/>
      <c r="AN123" s="535"/>
      <c r="AO123" s="536" t="str">
        <f>Application!B729</f>
        <v>3 Bedrooms</v>
      </c>
      <c r="AQ123" s="536">
        <f>Application!O729</f>
        <v>1463</v>
      </c>
    </row>
    <row r="124" spans="1:52" s="536" customFormat="1" ht="12.75" customHeight="1">
      <c r="A124" s="540"/>
      <c r="B124" s="539"/>
      <c r="C124" s="540"/>
      <c r="D124" s="540"/>
      <c r="E124" s="2393" t="s">
        <v>1588</v>
      </c>
      <c r="F124" s="2394"/>
      <c r="G124" s="2394"/>
      <c r="H124" s="2394"/>
      <c r="I124" s="577"/>
      <c r="J124" s="2394" t="s">
        <v>1631</v>
      </c>
      <c r="K124" s="2394"/>
      <c r="L124" s="2394"/>
      <c r="M124" s="2394"/>
      <c r="N124" s="577"/>
      <c r="O124" s="2394" t="s">
        <v>1632</v>
      </c>
      <c r="P124" s="2394"/>
      <c r="Q124" s="2394"/>
      <c r="R124" s="2394"/>
      <c r="S124" s="577"/>
      <c r="T124" s="2394" t="s">
        <v>1334</v>
      </c>
      <c r="U124" s="2394"/>
      <c r="V124" s="2394"/>
      <c r="W124" s="2394"/>
      <c r="X124" s="577"/>
      <c r="Y124" s="2394" t="s">
        <v>1633</v>
      </c>
      <c r="Z124" s="2394"/>
      <c r="AA124" s="2394"/>
      <c r="AB124" s="2394"/>
      <c r="AC124" s="577"/>
      <c r="AD124" s="2394" t="s">
        <v>1634</v>
      </c>
      <c r="AE124" s="2394"/>
      <c r="AF124" s="2394"/>
      <c r="AG124" s="2394"/>
      <c r="AH124" s="577"/>
      <c r="AI124" s="577"/>
      <c r="AJ124" s="579"/>
      <c r="AK124" s="540"/>
      <c r="AL124" s="540"/>
      <c r="AM124" s="540"/>
      <c r="AN124" s="535"/>
      <c r="AO124" s="536" t="str">
        <f>Application!B730</f>
        <v>3 Bedrooms</v>
      </c>
      <c r="AQ124" s="536">
        <f>Application!O730</f>
        <v>1829</v>
      </c>
    </row>
    <row r="125" spans="1:52" s="536" customFormat="1" ht="12.75" customHeight="1">
      <c r="A125" s="540"/>
      <c r="B125" s="539"/>
      <c r="C125" s="540"/>
      <c r="D125" s="540"/>
      <c r="E125" s="865"/>
      <c r="F125" s="863"/>
      <c r="G125" s="863"/>
      <c r="H125" s="863"/>
      <c r="I125" s="577"/>
      <c r="J125" s="863"/>
      <c r="K125" s="863"/>
      <c r="L125" s="863"/>
      <c r="M125" s="863"/>
      <c r="N125" s="577"/>
      <c r="O125" s="863"/>
      <c r="P125" s="863"/>
      <c r="Q125" s="863"/>
      <c r="R125" s="863"/>
      <c r="S125" s="577"/>
      <c r="T125" s="863"/>
      <c r="U125" s="863"/>
      <c r="V125" s="863"/>
      <c r="W125" s="863"/>
      <c r="X125" s="577"/>
      <c r="Y125" s="863"/>
      <c r="Z125" s="863"/>
      <c r="AA125" s="863"/>
      <c r="AB125" s="863"/>
      <c r="AC125" s="577"/>
      <c r="AD125" s="863"/>
      <c r="AE125" s="863"/>
      <c r="AF125" s="863"/>
      <c r="AG125" s="863"/>
      <c r="AH125" s="577"/>
      <c r="AI125" s="577"/>
      <c r="AJ125" s="579"/>
      <c r="AK125" s="540"/>
      <c r="AL125" s="540"/>
      <c r="AM125" s="540"/>
      <c r="AN125" s="535"/>
      <c r="AO125" s="536" t="str">
        <f>Application!B731</f>
        <v>3 Bedrooms</v>
      </c>
      <c r="AQ125" s="536">
        <f>Application!O731</f>
        <v>2195</v>
      </c>
    </row>
    <row r="126" spans="1:52" s="536" customFormat="1" ht="12.75" customHeight="1">
      <c r="A126" s="540"/>
      <c r="B126" s="539"/>
      <c r="C126" s="540"/>
      <c r="D126" s="540"/>
      <c r="E126" s="866" t="s">
        <v>1635</v>
      </c>
      <c r="F126" s="863"/>
      <c r="G126" s="863"/>
      <c r="H126" s="863"/>
      <c r="I126" s="577"/>
      <c r="J126" s="863"/>
      <c r="K126" s="863"/>
      <c r="L126" s="863"/>
      <c r="M126" s="863"/>
      <c r="N126" s="577"/>
      <c r="O126" s="863"/>
      <c r="P126" s="863"/>
      <c r="Q126" s="863"/>
      <c r="R126" s="863"/>
      <c r="S126" s="577"/>
      <c r="T126" s="863"/>
      <c r="U126" s="863"/>
      <c r="V126" s="863"/>
      <c r="W126" s="863"/>
      <c r="X126" s="577"/>
      <c r="Y126" s="863"/>
      <c r="Z126" s="863"/>
      <c r="AA126" s="863"/>
      <c r="AB126" s="863"/>
      <c r="AC126" s="577"/>
      <c r="AD126" s="863"/>
      <c r="AE126" s="863"/>
      <c r="AF126" s="863"/>
      <c r="AG126" s="863"/>
      <c r="AH126" s="577"/>
      <c r="AI126" s="577"/>
      <c r="AJ126" s="579"/>
      <c r="AK126" s="540"/>
      <c r="AL126" s="540"/>
      <c r="AM126" s="540"/>
      <c r="AN126" s="535"/>
      <c r="AO126" s="536" t="str">
        <f>Application!B732</f>
        <v>3 Bedrooms</v>
      </c>
      <c r="AQ126" s="536">
        <f>Application!O732</f>
        <v>2927</v>
      </c>
    </row>
    <row r="127" spans="1:52" s="536" customFormat="1" ht="12.75" customHeight="1">
      <c r="A127" s="540"/>
      <c r="B127" s="539"/>
      <c r="C127" s="540"/>
      <c r="D127" s="540"/>
      <c r="E127" s="2453"/>
      <c r="F127" s="2454"/>
      <c r="G127" s="2454"/>
      <c r="H127" s="2454"/>
      <c r="I127" s="864"/>
      <c r="J127" s="2454">
        <v>2940</v>
      </c>
      <c r="K127" s="2454"/>
      <c r="L127" s="2454"/>
      <c r="M127" s="2454"/>
      <c r="N127" s="864"/>
      <c r="O127" s="2454">
        <v>3221</v>
      </c>
      <c r="P127" s="2454"/>
      <c r="Q127" s="2454"/>
      <c r="R127" s="2454"/>
      <c r="S127" s="864"/>
      <c r="T127" s="2454">
        <v>4023</v>
      </c>
      <c r="U127" s="2454"/>
      <c r="V127" s="2454"/>
      <c r="W127" s="2454"/>
      <c r="X127" s="864"/>
      <c r="Y127" s="2454">
        <v>4262</v>
      </c>
      <c r="Z127" s="2454"/>
      <c r="AA127" s="2454"/>
      <c r="AB127" s="2454"/>
      <c r="AC127" s="864"/>
      <c r="AD127" s="2454"/>
      <c r="AE127" s="2454"/>
      <c r="AF127" s="2454"/>
      <c r="AG127" s="2454"/>
      <c r="AH127" s="577"/>
      <c r="AI127" s="577"/>
      <c r="AJ127" s="579"/>
      <c r="AK127" s="540"/>
      <c r="AL127" s="540"/>
      <c r="AM127" s="540"/>
      <c r="AN127" s="535"/>
      <c r="AO127" s="536" t="str">
        <f>Application!B733</f>
        <v>4 Bedrooms</v>
      </c>
      <c r="AQ127" s="536">
        <f>Application!O733</f>
        <v>1224</v>
      </c>
    </row>
    <row r="128" spans="1:52" s="536" customFormat="1" ht="12.75" customHeight="1">
      <c r="A128" s="540"/>
      <c r="B128" s="539"/>
      <c r="C128" s="540"/>
      <c r="D128" s="540"/>
      <c r="E128" s="865"/>
      <c r="F128" s="863"/>
      <c r="G128" s="863"/>
      <c r="H128" s="863"/>
      <c r="I128" s="577"/>
      <c r="J128" s="863"/>
      <c r="K128" s="863"/>
      <c r="L128" s="863"/>
      <c r="M128" s="863"/>
      <c r="N128" s="577"/>
      <c r="O128" s="863"/>
      <c r="P128" s="863"/>
      <c r="Q128" s="863"/>
      <c r="R128" s="863"/>
      <c r="S128" s="577"/>
      <c r="T128" s="863"/>
      <c r="U128" s="863"/>
      <c r="V128" s="863"/>
      <c r="W128" s="863"/>
      <c r="X128" s="577"/>
      <c r="Y128" s="863"/>
      <c r="Z128" s="863"/>
      <c r="AA128" s="863"/>
      <c r="AB128" s="863"/>
      <c r="AC128" s="577"/>
      <c r="AD128" s="863"/>
      <c r="AE128" s="863"/>
      <c r="AF128" s="863"/>
      <c r="AG128" s="863"/>
      <c r="AH128" s="577"/>
      <c r="AI128" s="577"/>
      <c r="AJ128" s="579"/>
      <c r="AK128" s="540"/>
      <c r="AL128" s="540"/>
      <c r="AM128" s="540"/>
      <c r="AN128" s="535"/>
      <c r="AO128" s="536" t="str">
        <f>Application!B734</f>
        <v>4 Bedrooms</v>
      </c>
      <c r="AQ128" s="536">
        <f>Application!O734</f>
        <v>1633</v>
      </c>
      <c r="AU128" s="1009"/>
      <c r="AV128" s="1009"/>
      <c r="AW128" s="1009"/>
      <c r="AX128" s="1009"/>
      <c r="AY128" s="1009"/>
      <c r="AZ128" s="1009"/>
    </row>
    <row r="129" spans="1:52" s="536" customFormat="1" ht="12.75" customHeight="1">
      <c r="A129" s="540"/>
      <c r="B129" s="539"/>
      <c r="C129" s="540"/>
      <c r="D129" s="540"/>
      <c r="E129" s="866" t="s">
        <v>1844</v>
      </c>
      <c r="F129" s="863"/>
      <c r="G129" s="863"/>
      <c r="H129" s="863"/>
      <c r="I129" s="577"/>
      <c r="J129" s="863"/>
      <c r="K129" s="863"/>
      <c r="L129" s="863"/>
      <c r="M129" s="863"/>
      <c r="N129" s="577"/>
      <c r="O129" s="863"/>
      <c r="P129" s="863"/>
      <c r="Q129" s="863"/>
      <c r="R129" s="863"/>
      <c r="S129" s="577"/>
      <c r="T129" s="863"/>
      <c r="U129" s="863"/>
      <c r="V129" s="863"/>
      <c r="W129" s="863"/>
      <c r="X129" s="577"/>
      <c r="Y129" s="863"/>
      <c r="Z129" s="863"/>
      <c r="AA129" s="863"/>
      <c r="AB129" s="863"/>
      <c r="AC129" s="577"/>
      <c r="AD129" s="863"/>
      <c r="AE129" s="863"/>
      <c r="AF129" s="863"/>
      <c r="AG129" s="863"/>
      <c r="AH129" s="577"/>
      <c r="AI129" s="577"/>
      <c r="AJ129" s="579"/>
      <c r="AK129" s="540"/>
      <c r="AL129" s="540"/>
      <c r="AM129" s="540"/>
      <c r="AN129" s="535"/>
      <c r="AO129" s="536" t="str">
        <f>Application!B735</f>
        <v>4 Bedrooms</v>
      </c>
      <c r="AQ129" s="536">
        <f>Application!O735</f>
        <v>2041</v>
      </c>
      <c r="AU129" s="1009"/>
      <c r="AV129" s="1009"/>
      <c r="AW129" s="1009"/>
      <c r="AX129" s="1009"/>
      <c r="AY129" s="1009"/>
      <c r="AZ129" s="1009"/>
    </row>
    <row r="130" spans="1:52" s="536" customFormat="1" ht="12.75" customHeight="1">
      <c r="A130" s="540"/>
      <c r="B130" s="539"/>
      <c r="C130" s="540"/>
      <c r="D130" s="540"/>
      <c r="E130" s="2446">
        <f>Application!DX670</f>
        <v>0</v>
      </c>
      <c r="F130" s="2447"/>
      <c r="G130" s="2447"/>
      <c r="H130" s="2447"/>
      <c r="I130" s="864"/>
      <c r="J130" s="2447">
        <f>Application!EC670</f>
        <v>1420.5384615384614</v>
      </c>
      <c r="K130" s="2447"/>
      <c r="L130" s="2447"/>
      <c r="M130" s="2447"/>
      <c r="N130" s="864"/>
      <c r="O130" s="2447">
        <f>Application!EH670</f>
        <v>1900.3529411764707</v>
      </c>
      <c r="P130" s="2447"/>
      <c r="Q130" s="2447"/>
      <c r="R130" s="2447"/>
      <c r="S130" s="868"/>
      <c r="T130" s="2447">
        <f>Application!EM670</f>
        <v>2149.25</v>
      </c>
      <c r="U130" s="2447"/>
      <c r="V130" s="2447"/>
      <c r="W130" s="2447"/>
      <c r="X130" s="868"/>
      <c r="Y130" s="2447">
        <f>Application!ER670</f>
        <v>2560.6363636363635</v>
      </c>
      <c r="Z130" s="2447"/>
      <c r="AA130" s="2447"/>
      <c r="AB130" s="2447"/>
      <c r="AC130" s="868"/>
      <c r="AD130" s="2447">
        <f>Application!EW670</f>
        <v>0</v>
      </c>
      <c r="AE130" s="2447"/>
      <c r="AF130" s="2447"/>
      <c r="AG130" s="2447"/>
      <c r="AH130" s="577"/>
      <c r="AI130" s="577"/>
      <c r="AJ130" s="579"/>
      <c r="AK130" s="540"/>
      <c r="AL130" s="540"/>
      <c r="AM130" s="540"/>
      <c r="AN130" s="535"/>
      <c r="AO130" s="536" t="str">
        <f>Application!B736</f>
        <v>4 Bedrooms</v>
      </c>
      <c r="AQ130" s="536">
        <f>Application!O736</f>
        <v>2449</v>
      </c>
      <c r="AU130" s="1009"/>
      <c r="AV130" s="1009"/>
      <c r="AW130" s="1010"/>
      <c r="AX130" s="1010"/>
      <c r="AY130" s="1009"/>
      <c r="AZ130" s="1009"/>
    </row>
    <row r="131" spans="1:52" s="536" customFormat="1" ht="12.75" customHeight="1">
      <c r="A131" s="540"/>
      <c r="B131" s="539"/>
      <c r="C131" s="540"/>
      <c r="D131" s="540"/>
      <c r="E131" s="867"/>
      <c r="F131" s="863"/>
      <c r="G131" s="863"/>
      <c r="H131" s="863"/>
      <c r="I131" s="577"/>
      <c r="J131" s="580"/>
      <c r="K131" s="577"/>
      <c r="L131" s="577"/>
      <c r="M131" s="577"/>
      <c r="N131" s="577"/>
      <c r="O131" s="577"/>
      <c r="P131" s="577"/>
      <c r="Q131" s="577"/>
      <c r="R131" s="577"/>
      <c r="S131" s="577"/>
      <c r="T131" s="577"/>
      <c r="U131" s="577"/>
      <c r="V131" s="577"/>
      <c r="W131" s="577"/>
      <c r="X131" s="577"/>
      <c r="Y131" s="577"/>
      <c r="Z131" s="577"/>
      <c r="AA131" s="577"/>
      <c r="AB131" s="577"/>
      <c r="AC131" s="577"/>
      <c r="AD131" s="577"/>
      <c r="AE131" s="577"/>
      <c r="AF131" s="577"/>
      <c r="AG131" s="577"/>
      <c r="AH131" s="577"/>
      <c r="AI131" s="577"/>
      <c r="AJ131" s="579"/>
      <c r="AK131" s="540"/>
      <c r="AL131" s="540"/>
      <c r="AM131" s="540"/>
      <c r="AN131" s="535"/>
      <c r="AO131" s="536" t="str">
        <f>Application!B737</f>
        <v>4 Bedrooms</v>
      </c>
      <c r="AQ131" s="536">
        <f>Application!O737</f>
        <v>3266</v>
      </c>
      <c r="AU131" s="1009"/>
      <c r="AV131" s="1009"/>
      <c r="AW131" s="1010"/>
      <c r="AX131" s="1010"/>
      <c r="AY131" s="1009"/>
      <c r="AZ131" s="1009"/>
    </row>
    <row r="132" spans="1:52" s="536" customFormat="1" ht="12.75" customHeight="1">
      <c r="A132" s="540"/>
      <c r="B132" s="539"/>
      <c r="C132" s="540"/>
      <c r="D132" s="540"/>
      <c r="E132" s="866" t="s">
        <v>1845</v>
      </c>
      <c r="F132" s="863"/>
      <c r="G132" s="863"/>
      <c r="H132" s="863"/>
      <c r="I132" s="577"/>
      <c r="J132" s="580"/>
      <c r="K132" s="577"/>
      <c r="L132" s="577"/>
      <c r="M132" s="577"/>
      <c r="N132" s="577"/>
      <c r="O132" s="577"/>
      <c r="P132" s="577"/>
      <c r="Q132" s="577"/>
      <c r="R132" s="577"/>
      <c r="S132" s="577"/>
      <c r="T132" s="577"/>
      <c r="U132" s="577"/>
      <c r="V132" s="577"/>
      <c r="W132" s="577"/>
      <c r="X132" s="577"/>
      <c r="Y132" s="577"/>
      <c r="Z132" s="577"/>
      <c r="AA132" s="577"/>
      <c r="AB132" s="577"/>
      <c r="AC132" s="577"/>
      <c r="AD132" s="577"/>
      <c r="AE132" s="577"/>
      <c r="AF132" s="577"/>
      <c r="AG132" s="577"/>
      <c r="AH132" s="577"/>
      <c r="AI132" s="577"/>
      <c r="AJ132" s="579"/>
      <c r="AK132" s="540"/>
      <c r="AL132" s="540"/>
      <c r="AM132" s="540"/>
      <c r="AN132" s="535"/>
      <c r="AO132" s="536">
        <f>Application!B738</f>
        <v>0</v>
      </c>
      <c r="AQ132" s="536">
        <f>Application!O738</f>
        <v>0</v>
      </c>
      <c r="AU132" s="1009"/>
      <c r="AV132" s="1009"/>
      <c r="AW132" s="1010"/>
      <c r="AX132" s="1010"/>
      <c r="AY132" s="1009"/>
      <c r="AZ132" s="1009"/>
    </row>
    <row r="133" spans="1:52" s="536" customFormat="1" ht="12.75" customHeight="1">
      <c r="A133" s="540"/>
      <c r="B133" s="539"/>
      <c r="C133" s="540"/>
      <c r="D133" s="540"/>
      <c r="E133" s="2645" t="e">
        <f>(E127-E130)/E127</f>
        <v>#DIV/0!</v>
      </c>
      <c r="F133" s="2396"/>
      <c r="G133" s="2396"/>
      <c r="H133" s="2646"/>
      <c r="I133" s="577"/>
      <c r="J133" s="2645">
        <f>(J127-J130)/J127</f>
        <v>0.51682365253793827</v>
      </c>
      <c r="K133" s="2396"/>
      <c r="L133" s="2396"/>
      <c r="M133" s="2646"/>
      <c r="N133" s="577"/>
      <c r="O133" s="2645">
        <f>(O127-O130)/O127</f>
        <v>0.41001150537830777</v>
      </c>
      <c r="P133" s="2396"/>
      <c r="Q133" s="2396"/>
      <c r="R133" s="2646"/>
      <c r="S133" s="577"/>
      <c r="T133" s="2645">
        <f>(T127-T130)/T127</f>
        <v>0.46575938354461843</v>
      </c>
      <c r="U133" s="2396"/>
      <c r="V133" s="2396"/>
      <c r="W133" s="2646"/>
      <c r="X133" s="577"/>
      <c r="Y133" s="2645">
        <f>(Y127-Y130)/Y127</f>
        <v>0.39919372040441964</v>
      </c>
      <c r="Z133" s="2396"/>
      <c r="AA133" s="2396"/>
      <c r="AB133" s="2646"/>
      <c r="AC133" s="577"/>
      <c r="AD133" s="2645" t="e">
        <f>(AD127-AD130)/AD127</f>
        <v>#DIV/0!</v>
      </c>
      <c r="AE133" s="2396"/>
      <c r="AF133" s="2396"/>
      <c r="AG133" s="2646"/>
      <c r="AH133" s="577"/>
      <c r="AI133" s="577"/>
      <c r="AJ133" s="579"/>
      <c r="AK133" s="540"/>
      <c r="AL133" s="540"/>
      <c r="AM133" s="540"/>
      <c r="AN133" s="535"/>
      <c r="AO133" s="536">
        <f>Application!B739</f>
        <v>0</v>
      </c>
      <c r="AQ133" s="536">
        <f>Application!O739</f>
        <v>0</v>
      </c>
      <c r="AU133" s="1009"/>
      <c r="AV133" s="1009"/>
      <c r="AW133" s="1010"/>
      <c r="AX133" s="1010"/>
      <c r="AY133" s="1009"/>
      <c r="AZ133" s="1009"/>
    </row>
    <row r="134" spans="1:52" s="536" customFormat="1" ht="12.75" customHeight="1">
      <c r="A134" s="540"/>
      <c r="B134" s="539"/>
      <c r="C134" s="540"/>
      <c r="D134" s="540"/>
      <c r="E134" s="1004"/>
      <c r="F134" s="1003"/>
      <c r="G134" s="1003"/>
      <c r="H134" s="1003"/>
      <c r="I134" s="577"/>
      <c r="J134" s="1003"/>
      <c r="K134" s="1003"/>
      <c r="L134" s="1003"/>
      <c r="M134" s="1003"/>
      <c r="N134" s="577"/>
      <c r="O134" s="1003"/>
      <c r="P134" s="1003"/>
      <c r="Q134" s="1003"/>
      <c r="R134" s="1003"/>
      <c r="S134" s="577"/>
      <c r="T134" s="1003"/>
      <c r="U134" s="1003"/>
      <c r="V134" s="1003"/>
      <c r="W134" s="1003"/>
      <c r="X134" s="577"/>
      <c r="Y134" s="1003"/>
      <c r="Z134" s="1003"/>
      <c r="AA134" s="1003"/>
      <c r="AB134" s="1003"/>
      <c r="AC134" s="577"/>
      <c r="AD134" s="1003"/>
      <c r="AE134" s="1003"/>
      <c r="AF134" s="1003"/>
      <c r="AG134" s="1003"/>
      <c r="AH134" s="577"/>
      <c r="AI134" s="577"/>
      <c r="AJ134" s="579"/>
      <c r="AK134" s="540"/>
      <c r="AL134" s="540"/>
      <c r="AM134" s="540"/>
      <c r="AN134" s="535"/>
      <c r="AO134" s="536">
        <f>Application!B740</f>
        <v>0</v>
      </c>
      <c r="AQ134" s="536">
        <f>Application!O740</f>
        <v>0</v>
      </c>
      <c r="AU134" s="1009"/>
      <c r="AV134" s="1009"/>
      <c r="AW134" s="1010"/>
      <c r="AX134" s="1010"/>
      <c r="AY134" s="1009"/>
      <c r="AZ134" s="1009"/>
    </row>
    <row r="135" spans="1:52" s="536" customFormat="1" ht="12.75" customHeight="1">
      <c r="A135" s="540"/>
      <c r="B135" s="539"/>
      <c r="C135" s="540"/>
      <c r="D135" s="540"/>
      <c r="E135" s="1005" t="s">
        <v>1846</v>
      </c>
      <c r="F135" s="1003"/>
      <c r="G135" s="1003"/>
      <c r="H135" s="1003"/>
      <c r="I135" s="577"/>
      <c r="J135" s="1003"/>
      <c r="K135" s="1003"/>
      <c r="L135" s="1003"/>
      <c r="M135" s="1003"/>
      <c r="N135" s="577"/>
      <c r="O135" s="1003"/>
      <c r="P135" s="1003"/>
      <c r="Q135" s="1003"/>
      <c r="R135" s="1003"/>
      <c r="S135" s="577"/>
      <c r="T135" s="1003"/>
      <c r="U135" s="1003"/>
      <c r="V135" s="1003"/>
      <c r="W135" s="1003"/>
      <c r="X135" s="577"/>
      <c r="Y135" s="1003"/>
      <c r="Z135" s="1003"/>
      <c r="AA135" s="1003"/>
      <c r="AB135" s="1003"/>
      <c r="AC135" s="577"/>
      <c r="AD135" s="1003"/>
      <c r="AE135" s="1003"/>
      <c r="AF135" s="1003"/>
      <c r="AG135" s="1003"/>
      <c r="AH135" s="577"/>
      <c r="AI135" s="577"/>
      <c r="AJ135" s="579"/>
      <c r="AK135" s="540"/>
      <c r="AL135" s="540"/>
      <c r="AM135" s="540"/>
      <c r="AN135" s="535"/>
      <c r="AO135" s="536">
        <f>Application!B741</f>
        <v>0</v>
      </c>
      <c r="AQ135" s="536">
        <f>Application!O741</f>
        <v>0</v>
      </c>
      <c r="AU135" s="1010"/>
      <c r="AV135" s="1009"/>
      <c r="AW135" s="1010"/>
      <c r="AX135" s="1010"/>
      <c r="AY135" s="1009"/>
      <c r="AZ135" s="1009"/>
    </row>
    <row r="136" spans="1:52" s="536" customFormat="1" ht="12.75" customHeight="1">
      <c r="A136" s="540"/>
      <c r="B136" s="539"/>
      <c r="C136" s="540"/>
      <c r="D136" s="540"/>
      <c r="E136" s="2448" t="e">
        <f>IF(((E133-0.1)*AW116)&gt;0,((E133-0.1)*AW116),0)</f>
        <v>#DIV/0!</v>
      </c>
      <c r="F136" s="2449"/>
      <c r="G136" s="2449"/>
      <c r="H136" s="2450"/>
      <c r="I136" s="577"/>
      <c r="J136" s="2448">
        <f>IF(((J133-0.1)*AW117)&gt;0,((J133-0.1)*AW117),0)</f>
        <v>0.10521762102899414</v>
      </c>
      <c r="K136" s="2449"/>
      <c r="L136" s="2449"/>
      <c r="M136" s="2450"/>
      <c r="N136" s="577"/>
      <c r="O136" s="2448">
        <f>IF(((O133-0.1)*AW118)&gt;0,((O133-0.1)*AW118),0)</f>
        <v>0.10233389497924723</v>
      </c>
      <c r="P136" s="2449"/>
      <c r="Q136" s="2449"/>
      <c r="R136" s="2450"/>
      <c r="S136" s="577"/>
      <c r="T136" s="2448">
        <f>IF(((T133-0.1)*AW119)&gt;0,((T133-0.1)*AW119),0)</f>
        <v>0.11363398323716301</v>
      </c>
      <c r="U136" s="2449"/>
      <c r="V136" s="2449"/>
      <c r="W136" s="2450"/>
      <c r="X136" s="577"/>
      <c r="Y136" s="2448">
        <f>IF(((Y133-0.1)*AW120)&gt;0,((Y133-0.1)*AW120),0)</f>
        <v>3.1952727421831216E-2</v>
      </c>
      <c r="Z136" s="2449"/>
      <c r="AA136" s="2449"/>
      <c r="AB136" s="2450"/>
      <c r="AC136" s="577"/>
      <c r="AD136" s="2448" t="e">
        <f>IF(((AD133-0.1)*AW121)&gt;0,((AD133-0.1)*AW121),0)</f>
        <v>#DIV/0!</v>
      </c>
      <c r="AE136" s="2449"/>
      <c r="AF136" s="2449"/>
      <c r="AG136" s="2450"/>
      <c r="AH136" s="577"/>
      <c r="AI136" s="577"/>
      <c r="AJ136" s="579"/>
      <c r="AK136" s="540"/>
      <c r="AL136" s="540"/>
      <c r="AM136" s="540"/>
      <c r="AN136" s="535"/>
      <c r="AO136" s="536">
        <f>Application!B752</f>
        <v>0</v>
      </c>
      <c r="AQ136" s="536">
        <f>Application!O752</f>
        <v>0</v>
      </c>
      <c r="AU136" s="1009"/>
      <c r="AV136" s="1009"/>
      <c r="AW136" s="1009"/>
      <c r="AX136" s="1010"/>
      <c r="AY136" s="1009"/>
      <c r="AZ136" s="1009"/>
    </row>
    <row r="137" spans="1:52" s="536" customFormat="1" ht="12.75" customHeight="1">
      <c r="A137" s="540"/>
      <c r="B137" s="539"/>
      <c r="C137" s="540"/>
      <c r="D137" s="540"/>
      <c r="E137" s="867"/>
      <c r="F137" s="863"/>
      <c r="G137" s="863"/>
      <c r="H137" s="863"/>
      <c r="I137" s="577"/>
      <c r="J137" s="580"/>
      <c r="K137" s="577"/>
      <c r="L137" s="577"/>
      <c r="M137" s="577"/>
      <c r="N137" s="577"/>
      <c r="O137" s="577"/>
      <c r="P137" s="577"/>
      <c r="Q137" s="577"/>
      <c r="R137" s="577"/>
      <c r="S137" s="577"/>
      <c r="T137" s="577"/>
      <c r="U137" s="577"/>
      <c r="V137" s="577"/>
      <c r="W137" s="577"/>
      <c r="X137" s="577"/>
      <c r="Y137" s="577"/>
      <c r="Z137" s="577"/>
      <c r="AA137" s="577"/>
      <c r="AB137" s="577"/>
      <c r="AC137" s="577"/>
      <c r="AD137" s="577"/>
      <c r="AE137" s="577"/>
      <c r="AF137" s="577"/>
      <c r="AG137" s="577"/>
      <c r="AH137" s="577"/>
      <c r="AI137" s="577"/>
      <c r="AJ137" s="579"/>
      <c r="AK137" s="540"/>
      <c r="AL137" s="540"/>
      <c r="AM137" s="540"/>
      <c r="AN137" s="535"/>
      <c r="AU137" s="1009"/>
      <c r="AV137" s="1009"/>
      <c r="AW137" s="1009"/>
      <c r="AX137" s="1009"/>
      <c r="AY137" s="1009"/>
      <c r="AZ137" s="1009"/>
    </row>
    <row r="138" spans="1:52" s="536" customFormat="1" ht="12.75" customHeight="1">
      <c r="A138" s="540"/>
      <c r="B138" s="539"/>
      <c r="C138" s="540"/>
      <c r="D138" s="540"/>
      <c r="E138" s="2645">
        <f>ROUNDDOWN(SUMIF(E136:AG136,"&gt;0"),2)</f>
        <v>0.35</v>
      </c>
      <c r="F138" s="2396"/>
      <c r="G138" s="2396"/>
      <c r="H138" s="2646"/>
      <c r="I138" s="577"/>
      <c r="J138" s="580" t="s">
        <v>1847</v>
      </c>
      <c r="K138" s="577"/>
      <c r="L138" s="577"/>
      <c r="M138" s="577"/>
      <c r="N138" s="577"/>
      <c r="O138" s="577"/>
      <c r="P138" s="577"/>
      <c r="Q138" s="577"/>
      <c r="R138" s="577"/>
      <c r="S138" s="577"/>
      <c r="T138" s="577"/>
      <c r="U138" s="577"/>
      <c r="V138" s="577"/>
      <c r="W138" s="577"/>
      <c r="X138" s="577"/>
      <c r="Y138" s="577"/>
      <c r="Z138" s="577"/>
      <c r="AA138" s="577"/>
      <c r="AB138" s="577"/>
      <c r="AC138" s="577"/>
      <c r="AD138" s="869"/>
      <c r="AE138" s="869"/>
      <c r="AF138" s="869"/>
      <c r="AG138" s="869"/>
      <c r="AH138" s="577"/>
      <c r="AI138" s="577"/>
      <c r="AJ138" s="579"/>
      <c r="AK138" s="540"/>
      <c r="AL138" s="540"/>
      <c r="AM138" s="540"/>
      <c r="AN138" s="535"/>
      <c r="AU138" s="1009"/>
      <c r="AV138" s="1009"/>
      <c r="AW138" s="1009"/>
      <c r="AX138" s="1010"/>
      <c r="AY138" s="1009"/>
      <c r="AZ138" s="1009"/>
    </row>
    <row r="139" spans="1:52" s="536" customFormat="1" ht="12.75" customHeight="1">
      <c r="A139" s="540"/>
      <c r="B139" s="539"/>
      <c r="C139" s="540"/>
      <c r="D139" s="540"/>
      <c r="E139" s="2432">
        <f>IF((E138*100)&gt;10,10,E138*100)</f>
        <v>10</v>
      </c>
      <c r="F139" s="2433"/>
      <c r="G139" s="2433"/>
      <c r="H139" s="2434"/>
      <c r="I139" s="577"/>
      <c r="J139" s="580" t="s">
        <v>1328</v>
      </c>
      <c r="K139" s="577"/>
      <c r="L139" s="577"/>
      <c r="M139" s="577"/>
      <c r="N139" s="577"/>
      <c r="O139" s="577"/>
      <c r="P139" s="577"/>
      <c r="Q139" s="577"/>
      <c r="R139" s="577"/>
      <c r="S139" s="577"/>
      <c r="T139" s="577"/>
      <c r="U139" s="577"/>
      <c r="V139" s="577"/>
      <c r="W139" s="577"/>
      <c r="X139" s="577"/>
      <c r="Y139" s="577"/>
      <c r="Z139" s="577"/>
      <c r="AA139" s="577"/>
      <c r="AB139" s="577"/>
      <c r="AC139" s="577"/>
      <c r="AD139" s="577"/>
      <c r="AE139" s="577"/>
      <c r="AF139" s="577"/>
      <c r="AG139" s="577"/>
      <c r="AH139" s="577"/>
      <c r="AI139" s="577"/>
      <c r="AJ139" s="579"/>
      <c r="AK139" s="540"/>
      <c r="AL139" s="540"/>
      <c r="AM139" s="540"/>
      <c r="AN139" s="535"/>
      <c r="AU139" s="1009"/>
      <c r="AV139" s="1009"/>
      <c r="AW139" s="1009"/>
      <c r="AX139" s="1009"/>
      <c r="AY139" s="1009"/>
      <c r="AZ139" s="1009"/>
    </row>
    <row r="140" spans="1:52" s="536" customFormat="1" ht="12.75" customHeight="1">
      <c r="A140" s="540"/>
      <c r="B140" s="540"/>
      <c r="C140" s="540"/>
      <c r="D140" s="540"/>
      <c r="E140" s="588"/>
      <c r="F140" s="589"/>
      <c r="G140" s="589"/>
      <c r="H140" s="589"/>
      <c r="I140" s="589"/>
      <c r="J140" s="589"/>
      <c r="K140" s="589"/>
      <c r="L140" s="589"/>
      <c r="M140" s="589"/>
      <c r="N140" s="589"/>
      <c r="O140" s="589"/>
      <c r="P140" s="589"/>
      <c r="Q140" s="589"/>
      <c r="R140" s="589"/>
      <c r="S140" s="589"/>
      <c r="T140" s="589"/>
      <c r="U140" s="589"/>
      <c r="V140" s="589"/>
      <c r="W140" s="589"/>
      <c r="X140" s="589"/>
      <c r="Y140" s="589"/>
      <c r="Z140" s="589"/>
      <c r="AA140" s="589"/>
      <c r="AB140" s="589"/>
      <c r="AC140" s="589"/>
      <c r="AD140" s="589"/>
      <c r="AE140" s="589"/>
      <c r="AF140" s="589"/>
      <c r="AG140" s="589"/>
      <c r="AH140" s="589"/>
      <c r="AI140" s="589"/>
      <c r="AJ140" s="590"/>
      <c r="AK140" s="540"/>
      <c r="AL140" s="540"/>
      <c r="AM140" s="540"/>
      <c r="AN140" s="535"/>
      <c r="AT140" s="1002"/>
      <c r="AU140" s="1009"/>
      <c r="AV140" s="1009"/>
      <c r="AW140" s="1010"/>
      <c r="AX140" s="1009"/>
      <c r="AY140" s="1009"/>
      <c r="AZ140" s="1009"/>
    </row>
    <row r="141" spans="1:52" s="536" customFormat="1" ht="12.75" customHeight="1">
      <c r="A141" s="540"/>
      <c r="B141" s="540"/>
      <c r="C141" s="540"/>
      <c r="D141" s="540"/>
      <c r="E141" s="540"/>
      <c r="F141" s="540"/>
      <c r="G141" s="540"/>
      <c r="H141" s="540"/>
      <c r="I141" s="540"/>
      <c r="J141" s="540"/>
      <c r="K141" s="540"/>
      <c r="L141" s="540"/>
      <c r="M141" s="540"/>
      <c r="N141" s="540"/>
      <c r="O141" s="540"/>
      <c r="P141" s="540"/>
      <c r="Q141" s="540"/>
      <c r="R141" s="540"/>
      <c r="S141" s="540"/>
      <c r="T141" s="540"/>
      <c r="U141" s="540"/>
      <c r="V141" s="540"/>
      <c r="W141" s="540"/>
      <c r="X141" s="540"/>
      <c r="Y141" s="540"/>
      <c r="Z141" s="540"/>
      <c r="AA141" s="540"/>
      <c r="AB141" s="540"/>
      <c r="AC141" s="540"/>
      <c r="AD141" s="540"/>
      <c r="AE141" s="540"/>
      <c r="AF141" s="540"/>
      <c r="AG141" s="540"/>
      <c r="AH141" s="540"/>
      <c r="AI141" s="540"/>
      <c r="AJ141" s="540"/>
      <c r="AK141" s="540"/>
      <c r="AL141" s="540"/>
      <c r="AM141" s="540"/>
      <c r="AN141" s="535"/>
      <c r="AU141" s="1009"/>
      <c r="AV141" s="1009"/>
      <c r="AW141" s="1009"/>
      <c r="AX141" s="1009"/>
      <c r="AY141" s="1009"/>
      <c r="AZ141" s="1009"/>
    </row>
    <row r="142" spans="1:52" s="536" customFormat="1" ht="12.75" customHeight="1">
      <c r="A142" s="540"/>
      <c r="B142" s="540"/>
      <c r="C142" s="540"/>
      <c r="D142" s="540"/>
      <c r="E142" s="540"/>
      <c r="F142" s="540"/>
      <c r="G142" s="540"/>
      <c r="H142" s="540"/>
      <c r="I142" s="540"/>
      <c r="J142" s="540"/>
      <c r="K142" s="540"/>
      <c r="L142" s="540"/>
      <c r="M142" s="540"/>
      <c r="N142" s="540"/>
      <c r="O142" s="540"/>
      <c r="P142" s="540"/>
      <c r="Q142" s="540"/>
      <c r="R142" s="540"/>
      <c r="S142" s="540"/>
      <c r="T142" s="540"/>
      <c r="U142" s="540"/>
      <c r="V142" s="540"/>
      <c r="W142" s="540"/>
      <c r="X142" s="540"/>
      <c r="Y142" s="540"/>
      <c r="Z142" s="540"/>
      <c r="AA142" s="540"/>
      <c r="AB142" s="540"/>
      <c r="AC142" s="540"/>
      <c r="AD142" s="540"/>
      <c r="AE142" s="540"/>
      <c r="AF142" s="540"/>
      <c r="AG142" s="540"/>
      <c r="AH142" s="540"/>
      <c r="AI142" s="540"/>
      <c r="AJ142" s="540"/>
      <c r="AK142" s="540"/>
      <c r="AL142" s="540"/>
      <c r="AM142" s="540"/>
      <c r="AN142" s="535"/>
    </row>
    <row r="143" spans="1:52" s="536" customFormat="1" ht="12.75" customHeight="1">
      <c r="A143" s="561"/>
      <c r="B143" s="562"/>
      <c r="C143" s="562"/>
      <c r="D143" s="562"/>
      <c r="E143" s="562"/>
      <c r="F143" s="562"/>
      <c r="G143" s="563"/>
      <c r="H143" s="564"/>
      <c r="I143" s="564"/>
      <c r="J143" s="564"/>
      <c r="K143" s="564"/>
      <c r="L143" s="564"/>
      <c r="M143" s="564"/>
      <c r="N143" s="564"/>
      <c r="O143" s="564"/>
      <c r="P143" s="564"/>
      <c r="Q143" s="564"/>
      <c r="R143" s="564"/>
      <c r="S143" s="564"/>
      <c r="T143" s="564"/>
      <c r="U143" s="564"/>
      <c r="V143" s="564"/>
      <c r="W143" s="564"/>
      <c r="X143" s="564"/>
      <c r="Y143" s="564"/>
      <c r="Z143" s="564"/>
      <c r="AA143" s="564"/>
      <c r="AB143" s="564"/>
      <c r="AC143" s="564"/>
      <c r="AD143" s="564"/>
      <c r="AE143" s="564"/>
      <c r="AF143" s="564"/>
      <c r="AG143" s="564"/>
      <c r="AH143" s="564"/>
      <c r="AI143" s="565"/>
      <c r="AJ143" s="565" t="s">
        <v>1335</v>
      </c>
      <c r="AK143" s="2432">
        <f>E139</f>
        <v>10</v>
      </c>
      <c r="AL143" s="2433"/>
      <c r="AM143" s="2434"/>
      <c r="AN143" s="535"/>
    </row>
    <row r="144" spans="1:52" s="536" customFormat="1" ht="12.75" customHeight="1" thickBot="1">
      <c r="A144" s="566"/>
      <c r="B144" s="567"/>
      <c r="C144" s="568"/>
      <c r="D144" s="568"/>
      <c r="E144" s="568"/>
      <c r="F144" s="568"/>
      <c r="G144" s="568"/>
      <c r="H144" s="568"/>
      <c r="I144" s="568"/>
      <c r="J144" s="568"/>
      <c r="K144" s="568"/>
      <c r="L144" s="568"/>
      <c r="M144" s="568"/>
      <c r="N144" s="568"/>
      <c r="O144" s="568"/>
      <c r="P144" s="568"/>
      <c r="Q144" s="568"/>
      <c r="R144" s="568"/>
      <c r="S144" s="568"/>
      <c r="T144" s="568"/>
      <c r="U144" s="568"/>
      <c r="V144" s="568"/>
      <c r="W144" s="568"/>
      <c r="X144" s="568"/>
      <c r="Y144" s="568"/>
      <c r="Z144" s="568"/>
      <c r="AA144" s="568"/>
      <c r="AB144" s="568"/>
      <c r="AC144" s="568"/>
      <c r="AD144" s="568"/>
      <c r="AE144" s="568"/>
      <c r="AF144" s="568"/>
      <c r="AG144" s="568"/>
      <c r="AH144" s="568"/>
      <c r="AI144" s="568"/>
      <c r="AJ144" s="568"/>
      <c r="AK144" s="568"/>
      <c r="AL144" s="568"/>
      <c r="AM144" s="569"/>
      <c r="AN144" s="535"/>
    </row>
    <row r="145" spans="1:42" s="536" customFormat="1" ht="12.75" customHeight="1" thickTop="1">
      <c r="A145" s="570"/>
      <c r="B145" s="571"/>
      <c r="C145" s="572"/>
      <c r="D145" s="572"/>
      <c r="E145" s="572"/>
      <c r="F145" s="572"/>
      <c r="G145" s="572"/>
      <c r="H145" s="572"/>
      <c r="I145" s="573"/>
      <c r="J145" s="573"/>
      <c r="K145" s="573"/>
      <c r="L145" s="573"/>
      <c r="M145" s="573"/>
      <c r="N145" s="573"/>
      <c r="O145" s="573"/>
      <c r="P145" s="573"/>
      <c r="Q145" s="573"/>
      <c r="R145" s="570"/>
      <c r="S145" s="539"/>
      <c r="T145" s="539"/>
      <c r="U145" s="539"/>
      <c r="V145" s="539"/>
      <c r="W145" s="539"/>
      <c r="X145" s="539"/>
      <c r="Y145" s="539"/>
      <c r="Z145" s="539"/>
      <c r="AA145" s="539"/>
      <c r="AB145" s="539"/>
      <c r="AC145" s="539"/>
      <c r="AD145" s="539"/>
      <c r="AE145" s="539"/>
      <c r="AF145" s="570"/>
      <c r="AG145" s="539"/>
      <c r="AH145" s="539"/>
      <c r="AI145" s="539"/>
      <c r="AJ145" s="539"/>
      <c r="AK145" s="550"/>
      <c r="AL145" s="550"/>
      <c r="AM145" s="550"/>
      <c r="AN145" s="535"/>
    </row>
    <row r="146" spans="1:42" s="539" customFormat="1" ht="12.75" customHeight="1">
      <c r="A146" s="538" t="s">
        <v>1336</v>
      </c>
      <c r="AE146" s="2409" t="s">
        <v>1314</v>
      </c>
      <c r="AF146" s="2409"/>
      <c r="AG146" s="2409"/>
      <c r="AH146" s="2409"/>
      <c r="AI146" s="2409"/>
      <c r="AJ146" s="2409"/>
      <c r="AK146" s="2409"/>
      <c r="AL146" s="591"/>
      <c r="AN146" s="592"/>
      <c r="AO146" s="536"/>
    </row>
    <row r="147" spans="1:42" s="539" customFormat="1" ht="12.95" customHeight="1">
      <c r="A147" s="538"/>
      <c r="AE147" s="591"/>
      <c r="AF147" s="591"/>
      <c r="AG147" s="591"/>
      <c r="AH147" s="591"/>
      <c r="AI147" s="591"/>
      <c r="AJ147" s="591"/>
      <c r="AK147" s="591"/>
      <c r="AL147" s="591"/>
      <c r="AN147" s="592"/>
    </row>
    <row r="148" spans="1:42" s="536" customFormat="1" ht="12.75" customHeight="1">
      <c r="A148" s="538"/>
      <c r="B148" s="538" t="s">
        <v>1337</v>
      </c>
      <c r="C148" s="539"/>
      <c r="D148" s="539"/>
      <c r="E148" s="539"/>
      <c r="F148" s="539"/>
      <c r="G148" s="539"/>
      <c r="H148" s="539"/>
      <c r="I148" s="539"/>
      <c r="J148" s="539"/>
      <c r="K148" s="539"/>
      <c r="L148" s="539"/>
      <c r="M148" s="539"/>
      <c r="N148" s="539"/>
      <c r="O148" s="539"/>
      <c r="P148" s="539"/>
      <c r="Q148" s="539"/>
      <c r="R148" s="539"/>
      <c r="S148" s="539"/>
      <c r="T148" s="539"/>
      <c r="U148" s="539"/>
      <c r="V148" s="539"/>
      <c r="W148" s="539"/>
      <c r="X148" s="539"/>
      <c r="Y148" s="539"/>
      <c r="Z148" s="539"/>
      <c r="AA148" s="539"/>
      <c r="AB148" s="539"/>
      <c r="AC148" s="539"/>
      <c r="AD148" s="539"/>
      <c r="AF148" s="2444" t="s">
        <v>1338</v>
      </c>
      <c r="AG148" s="2444"/>
      <c r="AH148" s="2444"/>
      <c r="AI148" s="2444"/>
      <c r="AJ148" s="2444"/>
      <c r="AK148" s="2444"/>
      <c r="AL148" s="2444"/>
      <c r="AM148" s="539"/>
      <c r="AN148" s="535"/>
    </row>
    <row r="149" spans="1:42" s="536" customFormat="1" ht="12.75" customHeight="1">
      <c r="A149" s="538"/>
      <c r="B149" s="538" t="s">
        <v>532</v>
      </c>
      <c r="C149" s="605"/>
      <c r="D149" s="605"/>
      <c r="E149" s="605"/>
      <c r="F149" s="605"/>
      <c r="G149" s="605"/>
      <c r="H149" s="605"/>
      <c r="I149" s="605"/>
      <c r="J149" s="605"/>
      <c r="K149" s="605"/>
      <c r="L149" s="605"/>
      <c r="M149" s="605"/>
      <c r="N149" s="605"/>
      <c r="O149" s="605"/>
      <c r="P149" s="605"/>
      <c r="Q149" s="605"/>
      <c r="R149" s="605"/>
      <c r="S149" s="605"/>
      <c r="T149" s="605"/>
      <c r="U149" s="605"/>
      <c r="V149" s="605"/>
      <c r="W149" s="605"/>
      <c r="X149" s="605"/>
      <c r="Y149" s="605"/>
      <c r="Z149" s="605"/>
      <c r="AA149" s="605"/>
      <c r="AB149" s="605"/>
      <c r="AC149" s="605"/>
      <c r="AD149" s="539"/>
      <c r="AL149" s="594"/>
      <c r="AM149" s="539"/>
      <c r="AN149" s="535"/>
    </row>
    <row r="150" spans="1:42" s="536" customFormat="1" ht="15" customHeight="1">
      <c r="A150" s="538"/>
      <c r="B150" s="2445" t="s">
        <v>2622</v>
      </c>
      <c r="C150" s="2445"/>
      <c r="D150" s="2445"/>
      <c r="E150" s="2445"/>
      <c r="F150" s="2445"/>
      <c r="G150" s="2445"/>
      <c r="H150" s="2445"/>
      <c r="I150" s="2445"/>
      <c r="J150" s="2445"/>
      <c r="K150" s="2445"/>
      <c r="L150" s="2445"/>
      <c r="M150" s="2445"/>
      <c r="N150" s="2445"/>
      <c r="O150" s="2445"/>
      <c r="P150" s="2445"/>
      <c r="Q150" s="2445"/>
      <c r="R150" s="2445"/>
      <c r="S150" s="2445"/>
      <c r="T150" s="2445"/>
      <c r="U150" s="2445"/>
      <c r="V150" s="2445"/>
      <c r="W150" s="2445"/>
      <c r="X150" s="2445"/>
      <c r="Y150" s="2445"/>
      <c r="Z150" s="2445"/>
      <c r="AA150" s="2445"/>
      <c r="AB150" s="2445"/>
      <c r="AC150" s="2445"/>
      <c r="AD150" s="539"/>
      <c r="AE150" s="594"/>
      <c r="AF150" s="594"/>
      <c r="AG150" s="594"/>
      <c r="AH150" s="594"/>
      <c r="AI150" s="594"/>
      <c r="AJ150" s="594"/>
      <c r="AK150" s="594"/>
      <c r="AL150" s="594"/>
      <c r="AM150" s="539"/>
      <c r="AN150" s="535"/>
      <c r="AP150" s="595"/>
    </row>
    <row r="151" spans="1:42" s="536" customFormat="1" ht="12.75" customHeight="1">
      <c r="A151" s="538"/>
      <c r="B151" s="538"/>
      <c r="C151" s="539"/>
      <c r="D151" s="539"/>
      <c r="E151" s="539"/>
      <c r="F151" s="539"/>
      <c r="G151" s="539"/>
      <c r="H151" s="539"/>
      <c r="I151" s="539"/>
      <c r="J151" s="539"/>
      <c r="K151" s="539"/>
      <c r="L151" s="539"/>
      <c r="M151" s="539"/>
      <c r="N151" s="539"/>
      <c r="O151" s="539"/>
      <c r="P151" s="539"/>
      <c r="Q151" s="539"/>
      <c r="R151" s="539"/>
      <c r="S151" s="539"/>
      <c r="T151" s="539"/>
      <c r="U151" s="539"/>
      <c r="V151" s="539"/>
      <c r="W151" s="539"/>
      <c r="X151" s="539"/>
      <c r="Y151" s="539"/>
      <c r="Z151" s="539"/>
      <c r="AA151" s="539"/>
      <c r="AB151" s="539"/>
      <c r="AC151" s="539"/>
      <c r="AD151" s="539"/>
      <c r="AE151" s="594"/>
      <c r="AF151" s="594"/>
      <c r="AG151" s="594"/>
      <c r="AH151" s="594"/>
      <c r="AI151" s="594"/>
      <c r="AJ151" s="594"/>
      <c r="AK151" s="594"/>
      <c r="AL151" s="594"/>
      <c r="AM151" s="539"/>
      <c r="AN151" s="535"/>
      <c r="AO151" s="447" t="s">
        <v>306</v>
      </c>
      <c r="AP151" s="545"/>
    </row>
    <row r="152" spans="1:42" s="536" customFormat="1" ht="12.75" customHeight="1">
      <c r="A152" s="538"/>
      <c r="B152" s="539" t="s">
        <v>1339</v>
      </c>
      <c r="C152" s="539"/>
      <c r="D152" s="539"/>
      <c r="E152" s="539"/>
      <c r="F152" s="539"/>
      <c r="G152" s="539"/>
      <c r="H152" s="539"/>
      <c r="I152" s="539"/>
      <c r="J152" s="539"/>
      <c r="K152" s="539"/>
      <c r="L152" s="539"/>
      <c r="M152" s="539"/>
      <c r="N152" s="539"/>
      <c r="O152" s="539"/>
      <c r="P152" s="539"/>
      <c r="Q152" s="539"/>
      <c r="R152" s="539"/>
      <c r="S152" s="539"/>
      <c r="T152" s="539"/>
      <c r="U152" s="539"/>
      <c r="V152" s="539"/>
      <c r="W152" s="539"/>
      <c r="X152" s="539"/>
      <c r="Y152" s="539"/>
      <c r="Z152" s="539"/>
      <c r="AA152" s="539"/>
      <c r="AB152" s="539"/>
      <c r="AC152" s="539"/>
      <c r="AD152" s="539"/>
      <c r="AE152" s="539"/>
      <c r="AF152" s="539"/>
      <c r="AG152" s="539"/>
      <c r="AH152" s="539"/>
      <c r="AI152" s="539"/>
      <c r="AJ152" s="539"/>
      <c r="AK152" s="539"/>
      <c r="AL152" s="539"/>
      <c r="AM152" s="539"/>
      <c r="AN152" s="535"/>
      <c r="AO152" s="476" t="s">
        <v>1340</v>
      </c>
      <c r="AP152" s="489">
        <v>5</v>
      </c>
    </row>
    <row r="153" spans="1:42" s="536" customFormat="1" ht="12.75" customHeight="1">
      <c r="A153" s="538"/>
      <c r="B153" s="2471" t="s">
        <v>1341</v>
      </c>
      <c r="C153" s="2471"/>
      <c r="D153" s="2471"/>
      <c r="E153" s="2471"/>
      <c r="F153" s="2471"/>
      <c r="G153" s="2471"/>
      <c r="H153" s="2471"/>
      <c r="I153" s="2471"/>
      <c r="J153" s="2471"/>
      <c r="K153" s="2471"/>
      <c r="L153" s="2471"/>
      <c r="M153" s="2471"/>
      <c r="N153" s="2471"/>
      <c r="O153" s="2471"/>
      <c r="P153" s="2471"/>
      <c r="Q153" s="2471"/>
      <c r="R153" s="2471"/>
      <c r="S153" s="2471"/>
      <c r="T153" s="2471"/>
      <c r="U153" s="2471"/>
      <c r="V153" s="2471"/>
      <c r="W153" s="2471"/>
      <c r="X153" s="2471"/>
      <c r="Y153" s="2471"/>
      <c r="Z153" s="2471"/>
      <c r="AA153" s="2471"/>
      <c r="AB153" s="2471"/>
      <c r="AC153" s="2471"/>
      <c r="AD153" s="2471"/>
      <c r="AE153" s="2471"/>
      <c r="AF153" s="2471"/>
      <c r="AG153" s="2471"/>
      <c r="AH153" s="2471"/>
      <c r="AI153" s="2471"/>
      <c r="AM153" s="539"/>
      <c r="AN153" s="535"/>
      <c r="AO153" s="476" t="s">
        <v>1341</v>
      </c>
      <c r="AP153" s="489">
        <v>7</v>
      </c>
    </row>
    <row r="154" spans="1:42" s="536" customFormat="1" ht="12.95" customHeight="1">
      <c r="A154" s="538"/>
      <c r="B154" s="605"/>
      <c r="C154" s="605"/>
      <c r="D154" s="605"/>
      <c r="E154" s="605"/>
      <c r="F154" s="605"/>
      <c r="G154" s="605"/>
      <c r="H154" s="605"/>
      <c r="I154" s="605"/>
      <c r="J154" s="605"/>
      <c r="K154" s="605"/>
      <c r="L154" s="605"/>
      <c r="M154" s="605"/>
      <c r="N154" s="605"/>
      <c r="O154" s="605"/>
      <c r="P154" s="605"/>
      <c r="Q154" s="605"/>
      <c r="R154" s="605"/>
      <c r="S154" s="605"/>
      <c r="T154" s="605"/>
      <c r="U154" s="605"/>
      <c r="V154" s="605"/>
      <c r="W154" s="605"/>
      <c r="X154" s="605"/>
      <c r="Y154" s="605"/>
      <c r="Z154" s="605"/>
      <c r="AA154" s="605"/>
      <c r="AB154" s="605"/>
      <c r="AC154" s="605"/>
      <c r="AD154" s="591"/>
      <c r="AM154" s="539"/>
      <c r="AN154" s="535"/>
      <c r="AO154" s="476" t="s">
        <v>2254</v>
      </c>
      <c r="AP154" s="489">
        <v>7</v>
      </c>
    </row>
    <row r="155" spans="1:42" s="536" customFormat="1" ht="12.75" customHeight="1">
      <c r="A155" s="538"/>
      <c r="B155" s="539" t="s">
        <v>1342</v>
      </c>
      <c r="AB155" s="2472" t="s">
        <v>591</v>
      </c>
      <c r="AC155" s="2472"/>
      <c r="AD155" s="591"/>
      <c r="AM155" s="539"/>
      <c r="AN155" s="535"/>
      <c r="AO155" s="476"/>
      <c r="AP155" s="476"/>
    </row>
    <row r="156" spans="1:42" s="536" customFormat="1" ht="9" customHeight="1">
      <c r="A156" s="538"/>
      <c r="B156" s="605"/>
      <c r="C156" s="605"/>
      <c r="D156" s="605"/>
      <c r="E156" s="605"/>
      <c r="F156" s="605"/>
      <c r="G156" s="605"/>
      <c r="H156" s="605"/>
      <c r="I156" s="605"/>
      <c r="J156" s="605"/>
      <c r="K156" s="605"/>
      <c r="L156" s="605"/>
      <c r="M156" s="605"/>
      <c r="N156" s="605"/>
      <c r="O156" s="605"/>
      <c r="P156" s="605"/>
      <c r="Q156" s="605"/>
      <c r="R156" s="605"/>
      <c r="S156" s="605"/>
      <c r="T156" s="605"/>
      <c r="U156" s="605"/>
      <c r="V156" s="605"/>
      <c r="W156" s="605"/>
      <c r="X156" s="605"/>
      <c r="Y156" s="605"/>
      <c r="Z156" s="605"/>
      <c r="AA156" s="605"/>
      <c r="AB156" s="605"/>
      <c r="AC156" s="605"/>
      <c r="AD156" s="591"/>
      <c r="AM156" s="539"/>
      <c r="AN156" s="535"/>
      <c r="AO156" s="447" t="s">
        <v>1343</v>
      </c>
      <c r="AP156" s="489"/>
    </row>
    <row r="157" spans="1:42" s="536" customFormat="1" ht="12.75" customHeight="1">
      <c r="A157" s="538"/>
      <c r="B157" s="538" t="s">
        <v>1344</v>
      </c>
      <c r="C157" s="605"/>
      <c r="D157" s="605"/>
      <c r="E157" s="605"/>
      <c r="F157" s="605"/>
      <c r="G157" s="605"/>
      <c r="H157" s="605"/>
      <c r="I157" s="605"/>
      <c r="J157" s="605"/>
      <c r="K157" s="605"/>
      <c r="L157" s="605"/>
      <c r="M157" s="605"/>
      <c r="N157" s="605"/>
      <c r="O157" s="605"/>
      <c r="P157" s="605"/>
      <c r="Q157" s="605"/>
      <c r="R157" s="605"/>
      <c r="S157" s="605"/>
      <c r="T157" s="605"/>
      <c r="U157" s="605"/>
      <c r="V157" s="605"/>
      <c r="W157" s="605"/>
      <c r="X157" s="605"/>
      <c r="Y157" s="605"/>
      <c r="Z157" s="605"/>
      <c r="AA157" s="605"/>
      <c r="AB157" s="605"/>
      <c r="AC157" s="605"/>
      <c r="AD157" s="591"/>
      <c r="AM157" s="539"/>
      <c r="AN157" s="535"/>
      <c r="AO157" s="476" t="s">
        <v>1345</v>
      </c>
      <c r="AP157" s="489">
        <v>5</v>
      </c>
    </row>
    <row r="158" spans="1:42" s="536" customFormat="1" ht="12.75" customHeight="1">
      <c r="A158" s="538"/>
      <c r="B158" s="2471" t="s">
        <v>1343</v>
      </c>
      <c r="C158" s="2471"/>
      <c r="D158" s="2471"/>
      <c r="E158" s="2471"/>
      <c r="F158" s="2471"/>
      <c r="G158" s="2471"/>
      <c r="H158" s="2471"/>
      <c r="I158" s="2471"/>
      <c r="J158" s="2471"/>
      <c r="K158" s="2471"/>
      <c r="L158" s="2471"/>
      <c r="M158" s="2471"/>
      <c r="N158" s="2471"/>
      <c r="O158" s="2471"/>
      <c r="P158" s="2471"/>
      <c r="Q158" s="2471"/>
      <c r="R158" s="2471"/>
      <c r="S158" s="2471"/>
      <c r="T158" s="2471"/>
      <c r="U158" s="2471"/>
      <c r="V158" s="2471"/>
      <c r="W158" s="2471"/>
      <c r="X158" s="2471"/>
      <c r="Y158" s="2471"/>
      <c r="Z158" s="2471"/>
      <c r="AA158" s="2471"/>
      <c r="AB158" s="2471"/>
      <c r="AC158" s="2471"/>
      <c r="AD158" s="2471"/>
      <c r="AE158" s="2471"/>
      <c r="AF158" s="2471"/>
      <c r="AG158" s="2471"/>
      <c r="AH158" s="2471"/>
      <c r="AI158" s="2471"/>
      <c r="AJ158" s="2471"/>
      <c r="AN158" s="535"/>
      <c r="AO158" s="476" t="s">
        <v>1346</v>
      </c>
      <c r="AP158" s="489">
        <v>7</v>
      </c>
    </row>
    <row r="159" spans="1:42" s="536" customFormat="1" ht="12.75" customHeight="1">
      <c r="B159" s="539" t="s">
        <v>1347</v>
      </c>
      <c r="C159" s="605"/>
      <c r="D159" s="605"/>
      <c r="E159" s="605"/>
      <c r="F159" s="605"/>
      <c r="G159" s="605"/>
      <c r="H159" s="605"/>
      <c r="I159" s="605"/>
      <c r="J159" s="605"/>
      <c r="K159" s="605"/>
      <c r="L159" s="605"/>
      <c r="M159" s="605"/>
      <c r="N159" s="605"/>
      <c r="O159" s="605"/>
      <c r="P159" s="605"/>
      <c r="Q159" s="605"/>
      <c r="R159" s="605"/>
      <c r="S159" s="605"/>
      <c r="T159" s="605"/>
      <c r="U159" s="605"/>
      <c r="AM159" s="539"/>
      <c r="AN159" s="535"/>
      <c r="AO159" s="476"/>
      <c r="AP159" s="489"/>
    </row>
    <row r="160" spans="1:42" s="536" customFormat="1" ht="12.75" customHeight="1">
      <c r="B160" s="539"/>
      <c r="C160" s="605"/>
      <c r="D160" s="605"/>
      <c r="E160" s="605"/>
      <c r="F160" s="605"/>
      <c r="G160" s="605"/>
      <c r="H160" s="605"/>
      <c r="I160" s="605"/>
      <c r="J160" s="605"/>
      <c r="K160" s="605"/>
      <c r="L160" s="605"/>
      <c r="M160" s="605"/>
      <c r="N160" s="605"/>
      <c r="O160" s="605"/>
      <c r="P160" s="605"/>
      <c r="Q160" s="605"/>
      <c r="R160" s="605"/>
      <c r="S160" s="605"/>
      <c r="T160" s="605"/>
      <c r="U160" s="605"/>
      <c r="AM160" s="539"/>
      <c r="AN160" s="535"/>
      <c r="AO160" s="476"/>
      <c r="AP160" s="489"/>
    </row>
    <row r="161" spans="1:42" s="536" customFormat="1" ht="12.75" customHeight="1">
      <c r="B161" s="2632" t="s">
        <v>2473</v>
      </c>
      <c r="C161" s="2632"/>
      <c r="D161" s="2632"/>
      <c r="E161" s="2632"/>
      <c r="F161" s="2632"/>
      <c r="G161" s="2632"/>
      <c r="H161" s="2632"/>
      <c r="I161" s="2632"/>
      <c r="J161" s="2632"/>
      <c r="K161" s="2632"/>
      <c r="L161" s="2632"/>
      <c r="M161" s="2632"/>
      <c r="N161" s="2632"/>
      <c r="O161" s="2632"/>
      <c r="P161" s="2632"/>
      <c r="Q161" s="2632"/>
      <c r="R161" s="2632"/>
      <c r="S161" s="2632"/>
      <c r="T161" s="2632"/>
      <c r="U161" s="2632"/>
      <c r="V161" s="2632"/>
      <c r="W161" s="2632"/>
      <c r="X161" s="2632"/>
      <c r="Y161" s="2632"/>
      <c r="Z161" s="2632"/>
      <c r="AA161" s="2632"/>
      <c r="AB161" s="2632"/>
      <c r="AC161" s="2632"/>
      <c r="AD161" s="2632"/>
      <c r="AE161" s="2632"/>
      <c r="AF161" s="2632"/>
      <c r="AG161" s="2632"/>
      <c r="AH161" s="2632"/>
      <c r="AI161" s="2632"/>
      <c r="AJ161" s="2632"/>
      <c r="AK161" s="1180"/>
      <c r="AM161" s="539"/>
      <c r="AN161" s="535"/>
      <c r="AO161" s="476"/>
      <c r="AP161" s="489"/>
    </row>
    <row r="162" spans="1:42" s="536" customFormat="1" ht="12.75" customHeight="1">
      <c r="B162" s="2632"/>
      <c r="C162" s="2632"/>
      <c r="D162" s="2632"/>
      <c r="E162" s="2632"/>
      <c r="F162" s="2632"/>
      <c r="G162" s="2632"/>
      <c r="H162" s="2632"/>
      <c r="I162" s="2632"/>
      <c r="J162" s="2632"/>
      <c r="K162" s="2632"/>
      <c r="L162" s="2632"/>
      <c r="M162" s="2632"/>
      <c r="N162" s="2632"/>
      <c r="O162" s="2632"/>
      <c r="P162" s="2632"/>
      <c r="Q162" s="2632"/>
      <c r="R162" s="2632"/>
      <c r="S162" s="2632"/>
      <c r="T162" s="2632"/>
      <c r="U162" s="2632"/>
      <c r="V162" s="2632"/>
      <c r="W162" s="2632"/>
      <c r="X162" s="2632"/>
      <c r="Y162" s="2632"/>
      <c r="Z162" s="2632"/>
      <c r="AA162" s="2632"/>
      <c r="AB162" s="2632"/>
      <c r="AC162" s="2632"/>
      <c r="AD162" s="2632"/>
      <c r="AE162" s="2632"/>
      <c r="AF162" s="2632"/>
      <c r="AG162" s="2632"/>
      <c r="AH162" s="2632"/>
      <c r="AI162" s="2632"/>
      <c r="AJ162" s="2632"/>
      <c r="AK162" s="1180"/>
      <c r="AM162" s="539"/>
      <c r="AN162" s="535"/>
      <c r="AO162" s="476"/>
      <c r="AP162" s="489"/>
    </row>
    <row r="163" spans="1:42" s="536" customFormat="1" ht="12.75" customHeight="1">
      <c r="C163" s="2535" t="s">
        <v>2474</v>
      </c>
      <c r="D163" s="2535"/>
      <c r="E163" s="2535"/>
      <c r="F163" s="2535"/>
      <c r="G163" s="2535"/>
      <c r="H163" s="2535"/>
      <c r="I163" s="2535"/>
      <c r="J163" s="2535"/>
      <c r="K163" s="2535"/>
      <c r="L163" s="2535"/>
      <c r="M163" s="2535"/>
      <c r="N163" s="2535"/>
      <c r="O163" s="2535"/>
      <c r="P163" s="2535"/>
      <c r="Q163" s="2535"/>
      <c r="R163" s="2535"/>
      <c r="S163" s="2535"/>
      <c r="T163" s="2535"/>
      <c r="U163" s="2535"/>
      <c r="V163" s="2535"/>
      <c r="W163" s="2535"/>
      <c r="X163" s="2535"/>
      <c r="Y163" s="2535"/>
      <c r="Z163" s="2535"/>
      <c r="AA163" s="2535"/>
      <c r="AB163" s="2535"/>
      <c r="AC163" s="2535"/>
      <c r="AD163" s="2535"/>
      <c r="AE163" s="2535"/>
      <c r="AF163" s="2535"/>
      <c r="AG163" s="2535"/>
      <c r="AH163" s="2535"/>
      <c r="AI163" s="2535"/>
      <c r="AJ163" s="2535"/>
      <c r="AK163" s="1180"/>
      <c r="AM163" s="539"/>
      <c r="AN163" s="535"/>
      <c r="AO163" s="476"/>
      <c r="AP163" s="489"/>
    </row>
    <row r="164" spans="1:42" s="536" customFormat="1" ht="12.75" customHeight="1">
      <c r="B164" s="1180"/>
      <c r="C164" s="2470" t="s">
        <v>2472</v>
      </c>
      <c r="D164" s="2470"/>
      <c r="E164" s="2470"/>
      <c r="F164" s="2470"/>
      <c r="G164" s="2470"/>
      <c r="H164" s="2470"/>
      <c r="I164" s="2470"/>
      <c r="J164" s="2470"/>
      <c r="K164" s="2470"/>
      <c r="L164" s="2470"/>
      <c r="M164" s="2470"/>
      <c r="N164" s="2470"/>
      <c r="O164" s="2470"/>
      <c r="P164" s="2470"/>
      <c r="Q164" s="2470"/>
      <c r="R164" s="2470"/>
      <c r="S164" s="2470"/>
      <c r="T164" s="2470"/>
      <c r="U164" s="2470"/>
      <c r="V164" s="2470"/>
      <c r="W164" s="2470"/>
      <c r="X164" s="2470"/>
      <c r="Y164" s="2470"/>
      <c r="Z164" s="2470"/>
      <c r="AA164" s="1170"/>
      <c r="AB164" s="1170"/>
      <c r="AC164" s="1170"/>
      <c r="AD164" s="1170"/>
      <c r="AE164" s="1170"/>
      <c r="AF164" s="1170"/>
      <c r="AG164" s="1170"/>
      <c r="AH164" s="1170"/>
      <c r="AJ164" s="2472" t="s">
        <v>591</v>
      </c>
      <c r="AK164" s="2472"/>
      <c r="AM164" s="539"/>
      <c r="AN164" s="535"/>
      <c r="AO164" s="476"/>
      <c r="AP164" s="489"/>
    </row>
    <row r="165" spans="1:42" s="536" customFormat="1" ht="12.75" customHeight="1">
      <c r="AM165" s="539"/>
      <c r="AN165" s="535"/>
    </row>
    <row r="166" spans="1:42" s="550" customFormat="1" ht="12.75" customHeight="1">
      <c r="A166" s="600"/>
      <c r="B166" s="601"/>
      <c r="C166" s="601"/>
      <c r="D166" s="601"/>
      <c r="E166" s="601"/>
      <c r="F166" s="601"/>
      <c r="G166" s="601"/>
      <c r="H166" s="601"/>
      <c r="I166" s="601"/>
      <c r="J166" s="601"/>
      <c r="K166" s="601"/>
      <c r="L166" s="601"/>
      <c r="M166" s="601"/>
      <c r="N166" s="601"/>
      <c r="O166" s="601"/>
      <c r="P166" s="601"/>
      <c r="Q166" s="601"/>
      <c r="R166" s="601"/>
      <c r="S166" s="601"/>
      <c r="T166" s="601"/>
      <c r="U166" s="601"/>
      <c r="V166" s="601"/>
      <c r="W166" s="601"/>
      <c r="X166" s="601"/>
      <c r="Y166" s="601"/>
      <c r="Z166" s="601"/>
      <c r="AA166" s="601"/>
      <c r="AB166" s="601"/>
      <c r="AC166" s="601"/>
      <c r="AD166" s="601"/>
      <c r="AE166" s="601"/>
      <c r="AF166" s="601"/>
      <c r="AG166" s="601"/>
      <c r="AH166" s="601"/>
      <c r="AI166" s="565" t="s">
        <v>1349</v>
      </c>
      <c r="AJ166" s="2475">
        <f>IF($AB$155="N/A",VLOOKUP($B$153,$AO$151:$AP$154,2,FALSE),VLOOKUP($B$158,$AO$156:$AP$158,2,FALSE))</f>
        <v>7</v>
      </c>
      <c r="AK166" s="2475"/>
      <c r="AL166" s="595"/>
      <c r="AM166" s="536"/>
      <c r="AN166" s="598"/>
    </row>
    <row r="167" spans="1:42" s="550" customFormat="1" ht="12.75" customHeight="1">
      <c r="A167" s="595"/>
      <c r="B167" s="595"/>
      <c r="C167" s="536"/>
      <c r="D167" s="536"/>
      <c r="E167" s="536"/>
      <c r="F167" s="536"/>
      <c r="G167" s="536"/>
      <c r="H167" s="536"/>
      <c r="I167" s="536"/>
      <c r="J167" s="536"/>
      <c r="K167" s="536"/>
      <c r="L167" s="536"/>
      <c r="M167" s="536"/>
      <c r="N167" s="536"/>
      <c r="O167" s="536"/>
      <c r="P167" s="536"/>
      <c r="Q167" s="536"/>
      <c r="R167" s="536"/>
      <c r="S167" s="536"/>
      <c r="T167" s="536"/>
      <c r="U167" s="536"/>
      <c r="V167" s="536"/>
      <c r="W167" s="536"/>
      <c r="X167" s="536"/>
      <c r="Y167" s="536"/>
      <c r="Z167" s="536"/>
      <c r="AA167" s="536"/>
      <c r="AB167" s="536"/>
      <c r="AC167" s="536"/>
      <c r="AD167" s="536"/>
      <c r="AE167" s="536"/>
      <c r="AF167" s="536"/>
      <c r="AG167" s="536"/>
      <c r="AH167" s="536"/>
      <c r="AI167" s="536"/>
      <c r="AJ167" s="536"/>
      <c r="AK167" s="536"/>
      <c r="AL167" s="536"/>
      <c r="AM167" s="536"/>
      <c r="AN167" s="598"/>
    </row>
    <row r="168" spans="1:42" s="550" customFormat="1" ht="12.75" customHeight="1">
      <c r="A168" s="536"/>
      <c r="B168" s="538" t="s">
        <v>1351</v>
      </c>
      <c r="C168" s="539"/>
      <c r="D168" s="536"/>
      <c r="E168" s="642"/>
      <c r="F168" s="642"/>
      <c r="G168" s="642"/>
      <c r="H168" s="642"/>
      <c r="I168" s="642"/>
      <c r="J168" s="642"/>
      <c r="K168" s="642"/>
      <c r="L168" s="642"/>
      <c r="M168" s="642"/>
      <c r="N168" s="642"/>
      <c r="O168" s="642"/>
      <c r="P168" s="642"/>
      <c r="Q168" s="642"/>
      <c r="R168" s="642"/>
      <c r="S168" s="642"/>
      <c r="T168" s="642"/>
      <c r="U168" s="642"/>
      <c r="V168" s="642"/>
      <c r="W168" s="642"/>
      <c r="X168" s="642"/>
      <c r="Y168" s="642"/>
      <c r="Z168" s="642"/>
      <c r="AA168" s="642"/>
      <c r="AB168" s="642"/>
      <c r="AC168" s="642"/>
      <c r="AD168" s="642"/>
      <c r="AE168" s="536"/>
      <c r="AF168" s="2444" t="s">
        <v>1352</v>
      </c>
      <c r="AG168" s="2444"/>
      <c r="AH168" s="2444"/>
      <c r="AI168" s="2444"/>
      <c r="AJ168" s="2444"/>
      <c r="AK168" s="2444"/>
      <c r="AL168" s="2444"/>
      <c r="AM168" s="603"/>
      <c r="AN168" s="598"/>
    </row>
    <row r="169" spans="1:42" s="550" customFormat="1" ht="12.75" customHeight="1">
      <c r="A169" s="536"/>
      <c r="B169" s="539" t="s">
        <v>1353</v>
      </c>
      <c r="C169" s="536"/>
      <c r="D169" s="536"/>
      <c r="E169" s="536"/>
      <c r="F169" s="536"/>
      <c r="G169" s="536"/>
      <c r="H169" s="536"/>
      <c r="I169" s="536"/>
      <c r="J169" s="536"/>
      <c r="K169" s="536"/>
      <c r="L169" s="536"/>
      <c r="M169" s="536"/>
      <c r="N169" s="536"/>
      <c r="O169" s="536"/>
      <c r="P169" s="536"/>
      <c r="Q169" s="536"/>
      <c r="R169" s="536"/>
      <c r="S169" s="536"/>
      <c r="T169" s="536"/>
      <c r="U169" s="536"/>
      <c r="V169" s="536"/>
      <c r="W169" s="536"/>
      <c r="X169" s="536"/>
      <c r="Y169" s="536"/>
      <c r="Z169" s="536"/>
      <c r="AA169" s="539"/>
      <c r="AB169" s="539"/>
      <c r="AC169" s="539"/>
      <c r="AD169" s="539"/>
      <c r="AE169" s="536"/>
      <c r="AF169" s="536"/>
      <c r="AG169" s="536"/>
      <c r="AH169" s="536"/>
      <c r="AI169" s="536"/>
      <c r="AJ169" s="536"/>
      <c r="AK169" s="536"/>
      <c r="AL169" s="536"/>
      <c r="AM169" s="603"/>
      <c r="AN169" s="598"/>
    </row>
    <row r="170" spans="1:42" s="550" customFormat="1" ht="12.75" customHeight="1">
      <c r="A170" s="536"/>
      <c r="B170" s="536"/>
      <c r="C170" s="2471" t="s">
        <v>1350</v>
      </c>
      <c r="D170" s="2471"/>
      <c r="E170" s="2471"/>
      <c r="F170" s="2471"/>
      <c r="G170" s="2471"/>
      <c r="H170" s="2471"/>
      <c r="I170" s="2471"/>
      <c r="J170" s="2471"/>
      <c r="K170" s="2471"/>
      <c r="L170" s="2471"/>
      <c r="M170" s="2471"/>
      <c r="N170" s="2471"/>
      <c r="O170" s="2471"/>
      <c r="P170" s="2471"/>
      <c r="Q170" s="2471"/>
      <c r="R170" s="2471"/>
      <c r="S170" s="2471"/>
      <c r="T170" s="2471"/>
      <c r="U170" s="2471"/>
      <c r="V170" s="2471"/>
      <c r="W170" s="2471"/>
      <c r="X170" s="2471"/>
      <c r="Y170" s="2471"/>
      <c r="Z170" s="2471"/>
      <c r="AA170" s="2471"/>
      <c r="AB170" s="2471"/>
      <c r="AC170" s="2471"/>
      <c r="AD170" s="2471"/>
      <c r="AE170" s="2471"/>
      <c r="AF170" s="2471"/>
      <c r="AG170" s="2471"/>
      <c r="AH170" s="2471"/>
      <c r="AI170" s="2471"/>
      <c r="AJ170" s="536"/>
      <c r="AK170" s="536"/>
      <c r="AL170" s="536"/>
      <c r="AM170" s="603"/>
      <c r="AN170" s="597"/>
      <c r="AO170" s="476" t="s">
        <v>306</v>
      </c>
      <c r="AP170" s="476"/>
    </row>
    <row r="171" spans="1:42" s="550" customFormat="1" ht="12.95" customHeight="1">
      <c r="A171" s="536"/>
      <c r="B171" s="536"/>
      <c r="C171" s="605"/>
      <c r="D171" s="605"/>
      <c r="E171" s="605"/>
      <c r="F171" s="605"/>
      <c r="G171" s="605"/>
      <c r="H171" s="605"/>
      <c r="I171" s="605"/>
      <c r="J171" s="605"/>
      <c r="K171" s="605"/>
      <c r="L171" s="605"/>
      <c r="M171" s="605"/>
      <c r="N171" s="605"/>
      <c r="O171" s="605"/>
      <c r="P171" s="605"/>
      <c r="Q171" s="605"/>
      <c r="R171" s="605"/>
      <c r="S171" s="605"/>
      <c r="T171" s="605"/>
      <c r="U171" s="605"/>
      <c r="V171" s="605"/>
      <c r="W171" s="605"/>
      <c r="X171" s="605"/>
      <c r="Y171" s="605"/>
      <c r="Z171" s="605"/>
      <c r="AA171" s="605"/>
      <c r="AB171" s="605"/>
      <c r="AC171" s="605"/>
      <c r="AD171" s="605"/>
      <c r="AE171" s="536"/>
      <c r="AF171" s="536"/>
      <c r="AG171" s="536"/>
      <c r="AH171" s="536"/>
      <c r="AI171" s="536"/>
      <c r="AJ171" s="536"/>
      <c r="AK171" s="536"/>
      <c r="AL171" s="536"/>
      <c r="AM171" s="603"/>
      <c r="AN171" s="597"/>
      <c r="AO171" s="476" t="s">
        <v>1348</v>
      </c>
      <c r="AP171" s="599">
        <v>2</v>
      </c>
    </row>
    <row r="172" spans="1:42" s="550" customFormat="1" ht="12.75" customHeight="1">
      <c r="A172" s="536"/>
      <c r="B172" s="536"/>
      <c r="C172" s="539" t="s">
        <v>1355</v>
      </c>
      <c r="D172" s="536"/>
      <c r="E172" s="536"/>
      <c r="F172" s="536"/>
      <c r="G172" s="536"/>
      <c r="H172" s="536"/>
      <c r="I172" s="536"/>
      <c r="J172" s="536"/>
      <c r="K172" s="536"/>
      <c r="L172" s="536"/>
      <c r="M172" s="536"/>
      <c r="N172" s="536"/>
      <c r="O172" s="536"/>
      <c r="P172" s="536"/>
      <c r="Q172" s="536"/>
      <c r="R172" s="536"/>
      <c r="S172" s="536"/>
      <c r="T172" s="536"/>
      <c r="U172" s="536"/>
      <c r="V172" s="536"/>
      <c r="W172" s="536"/>
      <c r="X172" s="536"/>
      <c r="Y172" s="536"/>
      <c r="Z172" s="536"/>
      <c r="AA172" s="536"/>
      <c r="AB172" s="536"/>
      <c r="AE172" s="536"/>
      <c r="AF172" s="2472" t="s">
        <v>591</v>
      </c>
      <c r="AG172" s="2472"/>
      <c r="AH172" s="536"/>
      <c r="AI172" s="536"/>
      <c r="AJ172" s="536"/>
      <c r="AK172" s="536"/>
      <c r="AL172" s="536"/>
      <c r="AM172" s="603"/>
      <c r="AN172" s="597"/>
      <c r="AO172" s="476" t="s">
        <v>1350</v>
      </c>
      <c r="AP172" s="599">
        <v>3</v>
      </c>
    </row>
    <row r="173" spans="1:42" s="550" customFormat="1" ht="9" customHeight="1">
      <c r="A173" s="536"/>
      <c r="B173" s="536"/>
      <c r="C173" s="605"/>
      <c r="D173" s="605"/>
      <c r="E173" s="605"/>
      <c r="F173" s="605"/>
      <c r="G173" s="605"/>
      <c r="H173" s="605"/>
      <c r="I173" s="605"/>
      <c r="J173" s="605"/>
      <c r="K173" s="605"/>
      <c r="L173" s="605"/>
      <c r="M173" s="605"/>
      <c r="N173" s="605"/>
      <c r="O173" s="605"/>
      <c r="P173" s="605"/>
      <c r="Q173" s="605"/>
      <c r="R173" s="605"/>
      <c r="S173" s="605"/>
      <c r="T173" s="605"/>
      <c r="U173" s="605"/>
      <c r="V173" s="605"/>
      <c r="W173" s="605"/>
      <c r="X173" s="605"/>
      <c r="Y173" s="605"/>
      <c r="Z173" s="605"/>
      <c r="AA173" s="605"/>
      <c r="AB173" s="605"/>
      <c r="AC173" s="605"/>
      <c r="AD173" s="605"/>
      <c r="AE173" s="536"/>
      <c r="AF173" s="536"/>
      <c r="AG173" s="536"/>
      <c r="AJ173" s="536"/>
      <c r="AK173" s="536"/>
      <c r="AL173" s="536"/>
      <c r="AM173" s="603"/>
      <c r="AN173" s="597"/>
      <c r="AO173" s="602" t="s">
        <v>2169</v>
      </c>
      <c r="AP173" s="599">
        <v>3</v>
      </c>
    </row>
    <row r="174" spans="1:42" s="550" customFormat="1" ht="12.75" customHeight="1">
      <c r="A174" s="536"/>
      <c r="B174" s="536"/>
      <c r="C174" s="2471" t="s">
        <v>1343</v>
      </c>
      <c r="D174" s="2471"/>
      <c r="E174" s="2471"/>
      <c r="F174" s="2471"/>
      <c r="G174" s="2471"/>
      <c r="H174" s="2471"/>
      <c r="I174" s="2471"/>
      <c r="J174" s="2471"/>
      <c r="K174" s="2471"/>
      <c r="L174" s="2471"/>
      <c r="M174" s="2471"/>
      <c r="N174" s="2471"/>
      <c r="O174" s="2471"/>
      <c r="P174" s="2471"/>
      <c r="Q174" s="2471"/>
      <c r="R174" s="2471"/>
      <c r="S174" s="2471"/>
      <c r="T174" s="2471"/>
      <c r="U174" s="2471"/>
      <c r="V174" s="2471"/>
      <c r="W174" s="2471"/>
      <c r="X174" s="2471"/>
      <c r="Y174" s="2471"/>
      <c r="Z174" s="2471"/>
      <c r="AA174" s="2471"/>
      <c r="AB174" s="2471"/>
      <c r="AC174" s="2471"/>
      <c r="AD174" s="2471"/>
      <c r="AE174" s="536"/>
      <c r="AF174" s="536"/>
      <c r="AG174" s="536"/>
      <c r="AH174" s="536"/>
      <c r="AI174" s="536"/>
      <c r="AJ174" s="536"/>
      <c r="AK174" s="536"/>
      <c r="AL174" s="536"/>
      <c r="AM174" s="603"/>
      <c r="AN174" s="597"/>
      <c r="AO174" s="602"/>
      <c r="AP174" s="599"/>
    </row>
    <row r="175" spans="1:42" s="550" customFormat="1" ht="12.75" customHeight="1">
      <c r="A175" s="536"/>
      <c r="B175" s="536"/>
      <c r="C175" s="539" t="s">
        <v>1347</v>
      </c>
      <c r="D175" s="539"/>
      <c r="E175" s="539"/>
      <c r="F175" s="539"/>
      <c r="G175" s="539"/>
      <c r="H175" s="539"/>
      <c r="I175" s="539"/>
      <c r="J175" s="539"/>
      <c r="K175" s="539"/>
      <c r="L175" s="539"/>
      <c r="M175" s="539"/>
      <c r="N175" s="539"/>
      <c r="O175" s="539"/>
      <c r="P175" s="539"/>
      <c r="Q175" s="539"/>
      <c r="R175" s="539"/>
      <c r="S175" s="539"/>
      <c r="T175" s="539"/>
      <c r="U175" s="539"/>
      <c r="V175" s="539"/>
      <c r="W175" s="539"/>
      <c r="X175" s="539"/>
      <c r="Y175" s="539"/>
      <c r="Z175" s="539"/>
      <c r="AA175" s="539"/>
      <c r="AB175" s="539"/>
      <c r="AC175" s="539"/>
      <c r="AD175" s="539"/>
      <c r="AE175" s="539"/>
      <c r="AF175" s="539"/>
      <c r="AG175" s="539"/>
      <c r="AH175" s="539"/>
      <c r="AI175" s="539"/>
      <c r="AJ175" s="539"/>
      <c r="AK175" s="539"/>
      <c r="AL175" s="536"/>
      <c r="AM175" s="603"/>
      <c r="AN175" s="597"/>
      <c r="AO175" s="604"/>
      <c r="AP175" s="604"/>
    </row>
    <row r="176" spans="1:42" s="550" customFormat="1" ht="12.75" customHeight="1">
      <c r="A176" s="536"/>
      <c r="B176" s="536"/>
      <c r="C176" s="536"/>
      <c r="D176" s="536"/>
      <c r="E176" s="536"/>
      <c r="F176" s="536"/>
      <c r="G176" s="536"/>
      <c r="H176" s="536"/>
      <c r="I176" s="536"/>
      <c r="J176" s="536"/>
      <c r="K176" s="536"/>
      <c r="L176" s="536"/>
      <c r="M176" s="536"/>
      <c r="N176" s="536"/>
      <c r="O176" s="536"/>
      <c r="P176" s="536"/>
      <c r="Q176" s="536"/>
      <c r="R176" s="536"/>
      <c r="S176" s="536"/>
      <c r="T176" s="536"/>
      <c r="U176" s="536"/>
      <c r="V176" s="536"/>
      <c r="W176" s="536"/>
      <c r="X176" s="536"/>
      <c r="Y176" s="536"/>
      <c r="Z176" s="536"/>
      <c r="AA176" s="536"/>
      <c r="AB176" s="536"/>
      <c r="AC176" s="536"/>
      <c r="AD176" s="536"/>
      <c r="AE176" s="536"/>
      <c r="AF176" s="536"/>
      <c r="AG176" s="536"/>
      <c r="AH176" s="536"/>
      <c r="AI176" s="536"/>
      <c r="AJ176" s="536"/>
      <c r="AK176" s="536"/>
      <c r="AL176" s="536"/>
      <c r="AM176" s="603"/>
      <c r="AN176" s="597"/>
    </row>
    <row r="177" spans="1:73" s="550" customFormat="1" ht="12.75" customHeight="1">
      <c r="A177" s="536"/>
      <c r="B177" s="536"/>
      <c r="C177" s="538" t="s">
        <v>1357</v>
      </c>
      <c r="D177" s="605"/>
      <c r="E177" s="605"/>
      <c r="F177" s="605"/>
      <c r="G177" s="605"/>
      <c r="H177" s="605"/>
      <c r="I177" s="605"/>
      <c r="J177" s="605"/>
      <c r="K177" s="605"/>
      <c r="L177" s="605"/>
      <c r="M177" s="605"/>
      <c r="N177" s="605"/>
      <c r="O177" s="605"/>
      <c r="P177" s="605"/>
      <c r="Q177" s="605"/>
      <c r="R177" s="605"/>
      <c r="S177" s="605"/>
      <c r="T177" s="605"/>
      <c r="U177" s="605"/>
      <c r="V177" s="605"/>
      <c r="W177" s="605"/>
      <c r="X177" s="605"/>
      <c r="Y177" s="605"/>
      <c r="Z177" s="605"/>
      <c r="AA177" s="605"/>
      <c r="AB177" s="605"/>
      <c r="AC177" s="605"/>
      <c r="AD177" s="605"/>
      <c r="AE177" s="536"/>
      <c r="AF177" s="536"/>
      <c r="AG177" s="536"/>
      <c r="AH177" s="536"/>
      <c r="AI177" s="536"/>
      <c r="AJ177" s="536"/>
      <c r="AK177" s="536"/>
      <c r="AL177" s="536"/>
      <c r="AM177" s="603"/>
      <c r="AN177" s="597"/>
      <c r="AO177" s="476" t="s">
        <v>1343</v>
      </c>
      <c r="AP177" s="476"/>
    </row>
    <row r="178" spans="1:73" s="550" customFormat="1" ht="12.75" customHeight="1">
      <c r="A178" s="536"/>
      <c r="B178" s="536"/>
      <c r="C178" s="2473" t="str">
        <f>Application!AA335</f>
        <v>VPM Management</v>
      </c>
      <c r="D178" s="2473"/>
      <c r="E178" s="2473"/>
      <c r="F178" s="2473"/>
      <c r="G178" s="2473"/>
      <c r="H178" s="2473"/>
      <c r="I178" s="2473"/>
      <c r="J178" s="2473"/>
      <c r="K178" s="2473"/>
      <c r="L178" s="2473"/>
      <c r="M178" s="2473"/>
      <c r="N178" s="2473"/>
      <c r="O178" s="2473"/>
      <c r="P178" s="2473"/>
      <c r="Q178" s="2473"/>
      <c r="R178" s="2473"/>
      <c r="S178" s="2473"/>
      <c r="T178" s="2473"/>
      <c r="U178" s="2473"/>
      <c r="V178" s="2473"/>
      <c r="W178" s="2473"/>
      <c r="X178" s="2473"/>
      <c r="Y178" s="2473"/>
      <c r="Z178" s="2473"/>
      <c r="AA178" s="2473"/>
      <c r="AB178" s="2473"/>
      <c r="AC178" s="2473"/>
      <c r="AD178" s="2473"/>
      <c r="AE178" s="536"/>
      <c r="AF178" s="536"/>
      <c r="AG178" s="536"/>
      <c r="AH178" s="536"/>
      <c r="AI178" s="536"/>
      <c r="AJ178" s="536"/>
      <c r="AK178" s="536"/>
      <c r="AL178" s="536"/>
      <c r="AM178" s="603"/>
      <c r="AN178" s="597"/>
      <c r="AO178" s="476" t="s">
        <v>1354</v>
      </c>
      <c r="AP178" s="599">
        <v>2</v>
      </c>
    </row>
    <row r="179" spans="1:73" s="550" customFormat="1" ht="12.75" customHeight="1">
      <c r="A179" s="536"/>
      <c r="B179" s="536"/>
      <c r="C179" s="605"/>
      <c r="D179" s="605"/>
      <c r="E179" s="605"/>
      <c r="F179" s="605"/>
      <c r="G179" s="605"/>
      <c r="H179" s="605"/>
      <c r="I179" s="605"/>
      <c r="J179" s="605"/>
      <c r="K179" s="605"/>
      <c r="L179" s="605"/>
      <c r="M179" s="605"/>
      <c r="N179" s="605"/>
      <c r="O179" s="605"/>
      <c r="P179" s="605"/>
      <c r="Q179" s="605"/>
      <c r="R179" s="605"/>
      <c r="S179" s="605"/>
      <c r="T179" s="605"/>
      <c r="U179" s="605"/>
      <c r="V179" s="605"/>
      <c r="W179" s="605"/>
      <c r="X179" s="605"/>
      <c r="Y179" s="605"/>
      <c r="Z179" s="605"/>
      <c r="AA179" s="605"/>
      <c r="AB179" s="605"/>
      <c r="AC179" s="605"/>
      <c r="AD179" s="605"/>
      <c r="AE179" s="536"/>
      <c r="AF179" s="536"/>
      <c r="AG179" s="536"/>
      <c r="AH179" s="536"/>
      <c r="AI179" s="536"/>
      <c r="AJ179" s="536"/>
      <c r="AK179" s="536"/>
      <c r="AL179" s="536"/>
      <c r="AM179" s="603"/>
      <c r="AN179" s="597"/>
      <c r="AO179" s="476" t="s">
        <v>1356</v>
      </c>
      <c r="AP179" s="599">
        <v>3</v>
      </c>
    </row>
    <row r="180" spans="1:73" s="550" customFormat="1" ht="12.75" customHeight="1">
      <c r="A180" s="606"/>
      <c r="B180" s="564"/>
      <c r="C180" s="564"/>
      <c r="D180" s="563"/>
      <c r="E180" s="564"/>
      <c r="F180" s="564"/>
      <c r="G180" s="564"/>
      <c r="H180" s="564"/>
      <c r="I180" s="564"/>
      <c r="J180" s="564"/>
      <c r="K180" s="564"/>
      <c r="L180" s="564"/>
      <c r="M180" s="564"/>
      <c r="N180" s="564"/>
      <c r="O180" s="564"/>
      <c r="P180" s="564"/>
      <c r="Q180" s="601"/>
      <c r="R180" s="607"/>
      <c r="S180" s="564"/>
      <c r="T180" s="564"/>
      <c r="U180" s="564"/>
      <c r="V180" s="564"/>
      <c r="W180" s="564"/>
      <c r="X180" s="564"/>
      <c r="Y180" s="564"/>
      <c r="Z180" s="564"/>
      <c r="AA180" s="564"/>
      <c r="AB180" s="564"/>
      <c r="AC180" s="564"/>
      <c r="AD180" s="564"/>
      <c r="AE180" s="564"/>
      <c r="AF180" s="564"/>
      <c r="AG180" s="564"/>
      <c r="AH180" s="564"/>
      <c r="AI180" s="565" t="s">
        <v>1358</v>
      </c>
      <c r="AJ180" s="2474">
        <f>IF($AF$172="N/A",VLOOKUP($C$170,$AO$170:$AP$173,2,FALSE),VLOOKUP($C$174,$AO$177:$AP$179,2,FALSE))</f>
        <v>3</v>
      </c>
      <c r="AK180" s="2474"/>
      <c r="AL180" s="608"/>
      <c r="AM180" s="609"/>
      <c r="AN180" s="597"/>
      <c r="AO180" s="602"/>
      <c r="AP180" s="599"/>
    </row>
    <row r="181" spans="1:73" s="550" customFormat="1" ht="12.75" customHeight="1">
      <c r="A181" s="536"/>
      <c r="B181" s="610"/>
      <c r="R181" s="536"/>
      <c r="S181" s="610"/>
      <c r="AN181" s="597"/>
    </row>
    <row r="182" spans="1:73" s="550" customFormat="1" ht="12.75" customHeight="1">
      <c r="A182" s="611"/>
      <c r="B182" s="603"/>
      <c r="C182" s="603"/>
      <c r="D182" s="603"/>
      <c r="E182" s="603"/>
      <c r="F182" s="603"/>
      <c r="G182" s="603"/>
      <c r="H182" s="603"/>
      <c r="I182" s="603"/>
      <c r="J182" s="603"/>
      <c r="K182" s="603"/>
      <c r="L182" s="603"/>
      <c r="M182" s="603"/>
      <c r="N182" s="603"/>
      <c r="O182" s="603"/>
      <c r="P182" s="603"/>
      <c r="Q182" s="603"/>
      <c r="R182" s="603"/>
      <c r="S182" s="603"/>
      <c r="T182" s="603"/>
      <c r="U182" s="603"/>
      <c r="V182" s="603"/>
      <c r="W182" s="603"/>
      <c r="X182" s="603"/>
      <c r="Y182" s="603"/>
      <c r="Z182" s="603"/>
      <c r="AA182" s="603"/>
      <c r="AB182" s="603"/>
      <c r="AC182" s="603"/>
      <c r="AD182" s="603"/>
      <c r="AE182" s="603"/>
      <c r="AF182" s="603"/>
      <c r="AG182" s="603"/>
      <c r="AH182" s="603"/>
      <c r="AI182" s="603"/>
      <c r="AJ182" s="603"/>
      <c r="AK182" s="603"/>
      <c r="AL182" s="603"/>
      <c r="AM182" s="603"/>
      <c r="AN182" s="597"/>
    </row>
    <row r="183" spans="1:73" s="550" customFormat="1" ht="12.75" customHeight="1">
      <c r="A183" s="561"/>
      <c r="B183" s="562"/>
      <c r="C183" s="562"/>
      <c r="D183" s="562"/>
      <c r="E183" s="562"/>
      <c r="F183" s="562"/>
      <c r="G183" s="563"/>
      <c r="H183" s="564"/>
      <c r="I183" s="564"/>
      <c r="J183" s="564"/>
      <c r="K183" s="564"/>
      <c r="L183" s="564"/>
      <c r="M183" s="564"/>
      <c r="N183" s="564"/>
      <c r="O183" s="564"/>
      <c r="P183" s="564"/>
      <c r="Q183" s="564"/>
      <c r="R183" s="564"/>
      <c r="S183" s="564"/>
      <c r="T183" s="564"/>
      <c r="U183" s="564"/>
      <c r="V183" s="564"/>
      <c r="W183" s="564"/>
      <c r="X183" s="564"/>
      <c r="Y183" s="564"/>
      <c r="Z183" s="564"/>
      <c r="AA183" s="564"/>
      <c r="AB183" s="564"/>
      <c r="AC183" s="564"/>
      <c r="AD183" s="564"/>
      <c r="AE183" s="564"/>
      <c r="AF183" s="564"/>
      <c r="AG183" s="564"/>
      <c r="AH183" s="564"/>
      <c r="AI183" s="565"/>
      <c r="AJ183" s="565" t="s">
        <v>1359</v>
      </c>
      <c r="AK183" s="2432">
        <f>$AJ$166+$AJ$180</f>
        <v>10</v>
      </c>
      <c r="AL183" s="2433"/>
      <c r="AM183" s="2434"/>
      <c r="AN183" s="597"/>
    </row>
    <row r="184" spans="1:73" s="550" customFormat="1" ht="12.75" customHeight="1" thickBot="1">
      <c r="A184" s="566"/>
      <c r="B184" s="567"/>
      <c r="C184" s="568"/>
      <c r="D184" s="568"/>
      <c r="E184" s="568"/>
      <c r="F184" s="568"/>
      <c r="G184" s="568"/>
      <c r="H184" s="568"/>
      <c r="I184" s="568"/>
      <c r="J184" s="568"/>
      <c r="K184" s="568"/>
      <c r="L184" s="568"/>
      <c r="M184" s="568"/>
      <c r="N184" s="568"/>
      <c r="O184" s="568"/>
      <c r="P184" s="568"/>
      <c r="Q184" s="568"/>
      <c r="R184" s="568"/>
      <c r="S184" s="568"/>
      <c r="T184" s="568"/>
      <c r="U184" s="568"/>
      <c r="V184" s="568"/>
      <c r="W184" s="568"/>
      <c r="X184" s="568"/>
      <c r="Y184" s="568"/>
      <c r="Z184" s="568"/>
      <c r="AA184" s="568"/>
      <c r="AB184" s="568"/>
      <c r="AC184" s="568"/>
      <c r="AD184" s="568"/>
      <c r="AE184" s="568"/>
      <c r="AF184" s="568"/>
      <c r="AG184" s="568"/>
      <c r="AH184" s="568"/>
      <c r="AI184" s="568"/>
      <c r="AJ184" s="568"/>
      <c r="AK184" s="568"/>
      <c r="AL184" s="568"/>
      <c r="AM184" s="569"/>
      <c r="AN184" s="597"/>
      <c r="AO184" s="568"/>
      <c r="AR184" s="568"/>
      <c r="AS184" s="568"/>
      <c r="AT184" s="568"/>
      <c r="AU184" s="568"/>
      <c r="AV184" s="568"/>
      <c r="AW184" s="568"/>
      <c r="AX184" s="568"/>
      <c r="AY184" s="568"/>
      <c r="AZ184" s="568"/>
      <c r="BA184" s="568"/>
      <c r="BB184" s="568"/>
      <c r="BC184" s="568"/>
      <c r="BD184" s="568"/>
      <c r="BE184" s="568"/>
      <c r="BF184" s="568"/>
      <c r="BG184" s="568"/>
      <c r="BH184" s="568"/>
      <c r="BI184" s="568"/>
      <c r="BJ184" s="568"/>
      <c r="BK184" s="568"/>
      <c r="BL184" s="568"/>
      <c r="BM184" s="568"/>
      <c r="BN184" s="568"/>
      <c r="BO184" s="568"/>
      <c r="BP184" s="568"/>
      <c r="BQ184" s="568"/>
      <c r="BR184" s="568"/>
      <c r="BS184" s="568"/>
      <c r="BT184" s="568"/>
      <c r="BU184" s="568"/>
    </row>
    <row r="185" spans="1:73" s="550" customFormat="1" ht="12.75" customHeight="1" thickTop="1">
      <c r="A185" s="570"/>
      <c r="B185" s="571"/>
      <c r="C185" s="572"/>
      <c r="D185" s="572"/>
      <c r="E185" s="572"/>
      <c r="F185" s="572"/>
      <c r="G185" s="572"/>
      <c r="H185" s="572"/>
      <c r="I185" s="573"/>
      <c r="J185" s="573"/>
      <c r="K185" s="573"/>
      <c r="L185" s="573"/>
      <c r="M185" s="573"/>
      <c r="N185" s="573"/>
      <c r="O185" s="573"/>
      <c r="P185" s="573"/>
      <c r="Q185" s="573"/>
      <c r="R185" s="570"/>
      <c r="S185" s="539"/>
      <c r="T185" s="539"/>
      <c r="U185" s="539"/>
      <c r="V185" s="539"/>
      <c r="W185" s="539"/>
      <c r="X185" s="539"/>
      <c r="Y185" s="539"/>
      <c r="Z185" s="539"/>
      <c r="AA185" s="539"/>
      <c r="AB185" s="539"/>
      <c r="AC185" s="539"/>
      <c r="AD185" s="539"/>
      <c r="AE185" s="539"/>
      <c r="AF185" s="570"/>
      <c r="AG185" s="539"/>
      <c r="AH185" s="539"/>
      <c r="AI185" s="539"/>
      <c r="AJ185" s="539"/>
      <c r="AN185" s="597"/>
      <c r="AP185" s="612" t="s">
        <v>1360</v>
      </c>
      <c r="AQ185" s="612">
        <v>0</v>
      </c>
    </row>
    <row r="186" spans="1:73" s="550" customFormat="1" ht="12.75" customHeight="1">
      <c r="A186" s="538" t="s">
        <v>1361</v>
      </c>
      <c r="B186" s="538" t="s">
        <v>1727</v>
      </c>
      <c r="C186" s="613"/>
      <c r="D186" s="614"/>
      <c r="E186" s="614"/>
      <c r="F186" s="614"/>
      <c r="G186" s="614"/>
      <c r="H186" s="614"/>
      <c r="I186" s="614"/>
      <c r="J186" s="614"/>
      <c r="K186" s="536"/>
      <c r="L186" s="536"/>
      <c r="M186" s="536"/>
      <c r="N186" s="536"/>
      <c r="O186" s="536"/>
      <c r="P186" s="536"/>
      <c r="Q186" s="536"/>
      <c r="R186" s="536"/>
      <c r="S186" s="536"/>
      <c r="T186" s="536"/>
      <c r="U186" s="536"/>
      <c r="V186" s="536"/>
      <c r="W186" s="536"/>
      <c r="X186" s="536"/>
      <c r="Y186" s="615"/>
      <c r="Z186" s="615"/>
      <c r="AA186" s="615"/>
      <c r="AB186" s="615"/>
      <c r="AC186" s="536"/>
      <c r="AD186" s="536"/>
      <c r="AE186" s="2409" t="s">
        <v>1314</v>
      </c>
      <c r="AF186" s="2409"/>
      <c r="AG186" s="2409"/>
      <c r="AH186" s="2409"/>
      <c r="AI186" s="2409"/>
      <c r="AJ186" s="2409"/>
      <c r="AK186" s="2409"/>
      <c r="AL186" s="591"/>
      <c r="AN186" s="597"/>
      <c r="AP186" s="550" t="s">
        <v>1041</v>
      </c>
      <c r="AQ186" s="550">
        <v>10</v>
      </c>
    </row>
    <row r="187" spans="1:73" s="550" customFormat="1" ht="12.75" customHeight="1">
      <c r="A187" s="538"/>
      <c r="B187" s="616"/>
      <c r="C187" s="617"/>
      <c r="D187" s="614"/>
      <c r="E187" s="614"/>
      <c r="F187" s="614"/>
      <c r="G187" s="614"/>
      <c r="H187" s="536"/>
      <c r="I187" s="536"/>
      <c r="J187" s="536"/>
      <c r="K187" s="536"/>
      <c r="L187" s="536"/>
      <c r="M187" s="536"/>
      <c r="N187" s="536"/>
      <c r="O187" s="536"/>
      <c r="P187" s="536"/>
      <c r="Q187" s="536"/>
      <c r="R187" s="615"/>
      <c r="S187" s="615"/>
      <c r="T187" s="615"/>
      <c r="U187" s="615"/>
      <c r="V187" s="615"/>
      <c r="W187" s="615"/>
      <c r="X187" s="615"/>
      <c r="Y187" s="615"/>
      <c r="Z187" s="615"/>
      <c r="AA187" s="615"/>
      <c r="AB187" s="615"/>
      <c r="AC187" s="591"/>
      <c r="AD187" s="591"/>
      <c r="AE187" s="536"/>
      <c r="AF187" s="536"/>
      <c r="AG187" s="536"/>
      <c r="AH187" s="536"/>
      <c r="AI187" s="536"/>
      <c r="AJ187" s="536"/>
      <c r="AK187" s="536"/>
      <c r="AL187" s="536"/>
      <c r="AN187" s="597"/>
      <c r="AP187" s="550" t="s">
        <v>1362</v>
      </c>
      <c r="AQ187" s="550">
        <v>10</v>
      </c>
    </row>
    <row r="188" spans="1:73" s="550" customFormat="1" ht="12.75" customHeight="1">
      <c r="A188" s="536"/>
      <c r="B188" s="2469" t="s">
        <v>1041</v>
      </c>
      <c r="C188" s="2469"/>
      <c r="D188" s="2469"/>
      <c r="E188" s="2469"/>
      <c r="F188" s="2469"/>
      <c r="G188" s="2469"/>
      <c r="H188" s="2469"/>
      <c r="I188" s="2469"/>
      <c r="J188" s="2469"/>
      <c r="K188" s="2469"/>
      <c r="L188" s="2469"/>
      <c r="M188" s="2469"/>
      <c r="N188" s="2469"/>
      <c r="O188" s="2469"/>
      <c r="P188" s="2469"/>
      <c r="Q188" s="2469"/>
      <c r="R188" s="2469"/>
      <c r="S188" s="2469"/>
      <c r="T188" s="2469"/>
      <c r="U188" s="2469"/>
      <c r="V188" s="2469"/>
      <c r="W188" s="2469"/>
      <c r="X188" s="2469"/>
      <c r="Y188" s="2469"/>
      <c r="Z188" s="2469"/>
      <c r="AA188" s="2469"/>
      <c r="AB188" s="2469"/>
      <c r="AC188" s="2469"/>
      <c r="AD188" s="536"/>
      <c r="AE188" s="536"/>
      <c r="AF188" s="2444" t="s">
        <v>1363</v>
      </c>
      <c r="AG188" s="2444"/>
      <c r="AH188" s="2444"/>
      <c r="AI188" s="2444"/>
      <c r="AJ188" s="2444"/>
      <c r="AK188" s="2444"/>
      <c r="AL188" s="2444"/>
      <c r="AN188" s="597"/>
      <c r="AP188" s="550" t="s">
        <v>1043</v>
      </c>
      <c r="AQ188" s="550">
        <v>10</v>
      </c>
    </row>
    <row r="189" spans="1:73" s="550" customFormat="1" ht="12.75" customHeight="1">
      <c r="A189" s="536"/>
      <c r="B189" s="2470" t="s">
        <v>1726</v>
      </c>
      <c r="C189" s="2470"/>
      <c r="D189" s="2470"/>
      <c r="E189" s="2470"/>
      <c r="F189" s="2470"/>
      <c r="G189" s="2470"/>
      <c r="H189" s="2470"/>
      <c r="I189" s="2470"/>
      <c r="J189" s="2470"/>
      <c r="K189" s="2470"/>
      <c r="L189" s="2470"/>
      <c r="M189" s="2470"/>
      <c r="N189" s="2470"/>
      <c r="O189" s="2470"/>
      <c r="P189" s="2470"/>
      <c r="Q189" s="2470"/>
      <c r="R189" s="2470"/>
      <c r="S189" s="2470"/>
      <c r="T189" s="2445" t="s">
        <v>591</v>
      </c>
      <c r="U189" s="2445"/>
      <c r="V189" s="2445"/>
      <c r="W189" s="2445"/>
      <c r="X189" s="2445"/>
      <c r="Y189" s="2445"/>
      <c r="Z189" s="2445"/>
      <c r="AA189" s="2445"/>
      <c r="AB189" s="2445"/>
      <c r="AC189" s="2445"/>
      <c r="AD189" s="536"/>
      <c r="AE189" s="536"/>
      <c r="AF189" s="536"/>
      <c r="AG189" s="536"/>
      <c r="AH189" s="536"/>
      <c r="AI189" s="536"/>
      <c r="AJ189" s="543"/>
      <c r="AK189" s="595"/>
      <c r="AL189" s="595"/>
      <c r="AM189" s="595"/>
      <c r="AN189" s="597"/>
      <c r="AP189" s="550" t="s">
        <v>1364</v>
      </c>
      <c r="AQ189" s="550">
        <v>10</v>
      </c>
      <c r="AS189" s="550" t="s">
        <v>591</v>
      </c>
    </row>
    <row r="190" spans="1:73" s="550" customFormat="1" ht="12.75" customHeight="1">
      <c r="A190" s="536"/>
      <c r="B190" s="605"/>
      <c r="C190" s="605"/>
      <c r="D190" s="605"/>
      <c r="E190" s="605"/>
      <c r="F190" s="605"/>
      <c r="G190" s="605"/>
      <c r="H190" s="605"/>
      <c r="I190" s="605"/>
      <c r="J190" s="605"/>
      <c r="K190" s="605"/>
      <c r="L190" s="605"/>
      <c r="M190" s="605"/>
      <c r="N190" s="605"/>
      <c r="O190" s="605"/>
      <c r="P190" s="605"/>
      <c r="Q190" s="605"/>
      <c r="R190" s="605"/>
      <c r="S190" s="605"/>
      <c r="T190" s="605"/>
      <c r="U190" s="605"/>
      <c r="V190" s="605"/>
      <c r="W190" s="605"/>
      <c r="X190" s="605"/>
      <c r="Y190" s="605"/>
      <c r="Z190" s="605"/>
      <c r="AA190" s="605"/>
      <c r="AB190" s="605"/>
      <c r="AC190" s="605"/>
      <c r="AD190" s="605"/>
      <c r="AE190" s="536"/>
      <c r="AF190" s="536"/>
      <c r="AG190" s="536"/>
      <c r="AH190" s="536"/>
      <c r="AI190" s="536"/>
      <c r="AJ190" s="543"/>
      <c r="AK190" s="595"/>
      <c r="AL190" s="595"/>
      <c r="AM190" s="618"/>
      <c r="AP190" s="550" t="s">
        <v>1367</v>
      </c>
      <c r="AQ190" s="550">
        <v>10</v>
      </c>
      <c r="AS190" s="550" t="s">
        <v>1365</v>
      </c>
    </row>
    <row r="191" spans="1:73" s="550" customFormat="1" ht="12.75" customHeight="1">
      <c r="A191" s="606"/>
      <c r="B191" s="564"/>
      <c r="C191" s="564"/>
      <c r="D191" s="564"/>
      <c r="E191" s="564"/>
      <c r="F191" s="564"/>
      <c r="G191" s="564"/>
      <c r="H191" s="564"/>
      <c r="I191" s="564"/>
      <c r="J191" s="564"/>
      <c r="K191" s="564"/>
      <c r="L191" s="564"/>
      <c r="M191" s="564"/>
      <c r="N191" s="564"/>
      <c r="O191" s="564"/>
      <c r="P191" s="564"/>
      <c r="Q191" s="564"/>
      <c r="R191" s="564"/>
      <c r="S191" s="564"/>
      <c r="T191" s="564"/>
      <c r="U191" s="564"/>
      <c r="V191" s="564"/>
      <c r="W191" s="564"/>
      <c r="X191" s="564"/>
      <c r="Y191" s="564"/>
      <c r="Z191" s="564"/>
      <c r="AA191" s="564"/>
      <c r="AB191" s="564"/>
      <c r="AC191" s="564"/>
      <c r="AD191" s="564"/>
      <c r="AE191" s="564"/>
      <c r="AF191" s="564"/>
      <c r="AG191" s="564"/>
      <c r="AH191" s="564"/>
      <c r="AI191" s="565"/>
      <c r="AJ191" s="565" t="s">
        <v>1366</v>
      </c>
      <c r="AK191" s="2479">
        <f>IF(AK84&gt;0,VLOOKUP($B$188,AP185:AQ191,2,FALSE),0)</f>
        <v>10</v>
      </c>
      <c r="AL191" s="2480"/>
      <c r="AM191" s="2481"/>
      <c r="AN191" s="535"/>
      <c r="AP191" s="550" t="s">
        <v>1369</v>
      </c>
      <c r="AQ191" s="550">
        <v>10</v>
      </c>
      <c r="AS191" s="550" t="s">
        <v>1368</v>
      </c>
    </row>
    <row r="192" spans="1:73" s="550" customFormat="1" ht="12.75" customHeight="1" thickBot="1">
      <c r="A192" s="619"/>
      <c r="B192" s="619"/>
      <c r="C192" s="620"/>
      <c r="D192" s="621"/>
      <c r="E192" s="621"/>
      <c r="F192" s="621"/>
      <c r="G192" s="621"/>
      <c r="H192" s="621"/>
      <c r="I192" s="621"/>
      <c r="J192" s="621"/>
      <c r="K192" s="621"/>
      <c r="L192" s="621"/>
      <c r="M192" s="621"/>
      <c r="N192" s="621"/>
      <c r="O192" s="621"/>
      <c r="P192" s="621"/>
      <c r="Q192" s="621"/>
      <c r="R192" s="621"/>
      <c r="S192" s="621"/>
      <c r="T192" s="621"/>
      <c r="U192" s="621"/>
      <c r="V192" s="621"/>
      <c r="W192" s="621"/>
      <c r="X192" s="621"/>
      <c r="Y192" s="621"/>
      <c r="Z192" s="621"/>
      <c r="AA192" s="621"/>
      <c r="AB192" s="621"/>
      <c r="AC192" s="621"/>
      <c r="AD192" s="621"/>
      <c r="AE192" s="621"/>
      <c r="AF192" s="621"/>
      <c r="AG192" s="621"/>
      <c r="AH192" s="621"/>
      <c r="AI192" s="621"/>
      <c r="AJ192" s="621"/>
      <c r="AK192" s="621"/>
      <c r="AL192" s="621"/>
      <c r="AM192" s="621"/>
      <c r="AN192" s="597"/>
    </row>
    <row r="193" spans="1:40" s="550" customFormat="1" ht="12.75" customHeight="1" thickTop="1">
      <c r="A193" s="570"/>
      <c r="B193" s="571"/>
      <c r="C193" s="572"/>
      <c r="D193" s="572"/>
      <c r="E193" s="572"/>
      <c r="F193" s="572"/>
      <c r="G193" s="572"/>
      <c r="H193" s="572"/>
      <c r="I193" s="573"/>
      <c r="J193" s="573"/>
      <c r="K193" s="573"/>
      <c r="L193" s="573"/>
      <c r="M193" s="573"/>
      <c r="N193" s="573"/>
      <c r="O193" s="573"/>
      <c r="P193" s="573"/>
      <c r="Q193" s="573"/>
      <c r="R193" s="570"/>
      <c r="S193" s="539"/>
      <c r="T193" s="539"/>
      <c r="U193" s="539"/>
      <c r="V193" s="539"/>
      <c r="W193" s="539"/>
      <c r="X193" s="539"/>
      <c r="Y193" s="539"/>
      <c r="Z193" s="539"/>
      <c r="AA193" s="539"/>
      <c r="AB193" s="539"/>
      <c r="AC193" s="539"/>
      <c r="AD193" s="539"/>
      <c r="AE193" s="539"/>
      <c r="AF193" s="570"/>
      <c r="AG193" s="539"/>
      <c r="AH193" s="539"/>
      <c r="AI193" s="539"/>
      <c r="AJ193" s="539"/>
      <c r="AN193" s="597"/>
    </row>
    <row r="194" spans="1:40">
      <c r="A194" s="538" t="s">
        <v>1370</v>
      </c>
      <c r="B194" s="538" t="s">
        <v>1371</v>
      </c>
      <c r="C194" s="613"/>
      <c r="D194" s="614"/>
      <c r="E194" s="614"/>
      <c r="F194" s="614"/>
      <c r="G194" s="614"/>
      <c r="H194" s="614"/>
      <c r="I194" s="614"/>
      <c r="J194" s="614"/>
      <c r="K194" s="550"/>
      <c r="L194" s="550"/>
      <c r="M194" s="550"/>
      <c r="N194" s="550"/>
      <c r="O194" s="550"/>
      <c r="P194" s="550"/>
      <c r="Q194" s="550"/>
      <c r="R194" s="550"/>
      <c r="S194" s="550"/>
      <c r="T194" s="550"/>
      <c r="U194" s="550"/>
      <c r="V194" s="550"/>
      <c r="W194" s="550"/>
      <c r="X194" s="550"/>
      <c r="Y194" s="615"/>
      <c r="Z194" s="615"/>
      <c r="AA194" s="615"/>
      <c r="AB194" s="615"/>
      <c r="AC194" s="550"/>
      <c r="AD194" s="550"/>
      <c r="AE194" s="2409" t="s">
        <v>1372</v>
      </c>
      <c r="AF194" s="2409"/>
      <c r="AG194" s="2409"/>
      <c r="AH194" s="2409"/>
      <c r="AI194" s="2409"/>
      <c r="AJ194" s="2409"/>
      <c r="AK194" s="2409"/>
    </row>
    <row r="195" spans="1:40">
      <c r="A195" s="538"/>
      <c r="B195" s="538"/>
      <c r="C195" s="613"/>
      <c r="D195" s="614"/>
      <c r="E195" s="614"/>
      <c r="F195" s="614"/>
      <c r="G195" s="614"/>
      <c r="H195" s="614"/>
      <c r="I195" s="614"/>
      <c r="J195" s="614"/>
      <c r="K195" s="536"/>
      <c r="L195" s="536"/>
      <c r="M195" s="536"/>
      <c r="N195" s="536"/>
      <c r="O195" s="536"/>
      <c r="P195" s="536"/>
      <c r="Q195" s="536"/>
      <c r="R195" s="536"/>
      <c r="S195" s="536"/>
      <c r="T195" s="536"/>
      <c r="U195" s="536"/>
      <c r="V195" s="536"/>
      <c r="W195" s="536"/>
      <c r="X195" s="536"/>
      <c r="Y195" s="615"/>
      <c r="Z195" s="615"/>
      <c r="AA195" s="615"/>
      <c r="AB195" s="615"/>
      <c r="AC195" s="536"/>
      <c r="AD195" s="536"/>
      <c r="AE195" s="543"/>
      <c r="AF195" s="543"/>
      <c r="AG195" s="543"/>
      <c r="AH195" s="543"/>
      <c r="AI195" s="543"/>
      <c r="AJ195" s="543"/>
      <c r="AK195" s="543"/>
    </row>
    <row r="196" spans="1:40">
      <c r="A196" s="538"/>
      <c r="B196" s="844" t="s">
        <v>1589</v>
      </c>
      <c r="C196" s="613"/>
      <c r="D196" s="614"/>
      <c r="E196" s="614"/>
      <c r="F196" s="614"/>
      <c r="G196" s="614"/>
      <c r="H196" s="614"/>
      <c r="I196" s="614"/>
      <c r="J196" s="614"/>
      <c r="K196" s="536"/>
      <c r="L196" s="536"/>
      <c r="M196" s="536"/>
      <c r="N196" s="536"/>
      <c r="O196" s="536"/>
      <c r="P196" s="536"/>
      <c r="Q196" s="536"/>
      <c r="R196" s="536"/>
      <c r="S196" s="536"/>
      <c r="T196" s="536"/>
      <c r="U196" s="536"/>
      <c r="V196" s="536"/>
      <c r="W196" s="536"/>
      <c r="X196" s="536"/>
      <c r="Y196" s="615"/>
      <c r="Z196" s="615"/>
      <c r="AA196" s="615"/>
      <c r="AB196" s="615"/>
      <c r="AC196" s="536"/>
      <c r="AD196" s="536"/>
      <c r="AE196" s="543"/>
      <c r="AF196" s="543"/>
      <c r="AG196" s="543"/>
      <c r="AH196" s="543"/>
      <c r="AI196" s="543"/>
      <c r="AJ196" s="543"/>
      <c r="AK196" s="543"/>
    </row>
    <row r="197" spans="1:40">
      <c r="A197" s="605"/>
      <c r="C197" s="663"/>
      <c r="D197" s="827"/>
      <c r="E197" s="827"/>
      <c r="F197" s="827"/>
      <c r="G197" s="827"/>
      <c r="H197" s="827"/>
      <c r="I197" s="827"/>
      <c r="J197" s="827"/>
      <c r="K197" s="536"/>
      <c r="L197" s="536"/>
      <c r="M197" s="536"/>
      <c r="N197" s="536"/>
      <c r="O197" s="536"/>
      <c r="P197" s="536"/>
      <c r="Q197" s="536"/>
      <c r="R197" s="536"/>
      <c r="S197" s="536"/>
      <c r="T197" s="536"/>
      <c r="U197" s="536"/>
      <c r="V197" s="536"/>
      <c r="W197" s="536"/>
      <c r="X197" s="536"/>
      <c r="Y197" s="643"/>
      <c r="Z197" s="643"/>
      <c r="AA197" s="643"/>
      <c r="AB197" s="643"/>
      <c r="AC197" s="536"/>
      <c r="AD197" s="536"/>
      <c r="AE197" s="610"/>
      <c r="AF197" s="610"/>
      <c r="AG197" s="610"/>
      <c r="AH197" s="610"/>
      <c r="AI197" s="610"/>
      <c r="AJ197" s="610"/>
      <c r="AK197" s="610"/>
    </row>
    <row r="198" spans="1:40">
      <c r="A198" s="605"/>
      <c r="B198" s="845" t="s">
        <v>1625</v>
      </c>
      <c r="C198" s="663"/>
      <c r="D198" s="827"/>
      <c r="E198" s="827"/>
      <c r="F198" s="827"/>
      <c r="G198" s="827"/>
      <c r="H198" s="827"/>
      <c r="I198" s="827"/>
      <c r="J198" s="827"/>
      <c r="K198" s="536"/>
      <c r="L198" s="536"/>
      <c r="M198" s="536"/>
      <c r="N198" s="536"/>
      <c r="O198" s="536"/>
      <c r="P198" s="536"/>
      <c r="Q198" s="536"/>
      <c r="R198" s="536"/>
      <c r="S198" s="536"/>
      <c r="T198" s="536"/>
      <c r="U198" s="536"/>
      <c r="V198" s="536"/>
      <c r="W198" s="536"/>
      <c r="X198" s="536"/>
      <c r="Y198" s="643"/>
      <c r="Z198" s="643"/>
      <c r="AA198" s="643"/>
      <c r="AB198" s="643"/>
      <c r="AC198" s="536"/>
      <c r="AD198" s="536"/>
      <c r="AE198" s="610"/>
      <c r="AF198" s="610"/>
      <c r="AG198" s="610"/>
      <c r="AH198" s="610"/>
      <c r="AI198" s="610"/>
      <c r="AJ198" s="610"/>
      <c r="AK198" s="610"/>
    </row>
    <row r="199" spans="1:40">
      <c r="A199" s="605"/>
      <c r="B199" s="2456" t="s">
        <v>2612</v>
      </c>
      <c r="C199" s="2456"/>
      <c r="D199" s="2456"/>
      <c r="E199" s="2456"/>
      <c r="F199" s="2456"/>
      <c r="G199" s="2456"/>
      <c r="H199" s="2456"/>
      <c r="I199" s="2456"/>
      <c r="J199" s="2456"/>
      <c r="K199" s="2456"/>
      <c r="L199" s="2456"/>
      <c r="M199" s="2456"/>
      <c r="N199" s="2456"/>
      <c r="O199" s="2456"/>
      <c r="P199" s="2456"/>
      <c r="Q199" s="2456"/>
      <c r="R199" s="2456"/>
      <c r="S199" s="2456"/>
      <c r="T199" s="2456"/>
      <c r="U199" s="2456"/>
      <c r="V199" s="2456"/>
      <c r="W199" s="2456"/>
      <c r="X199" s="2456"/>
      <c r="Y199" s="2456"/>
      <c r="Z199" s="2456"/>
      <c r="AA199" s="2456"/>
      <c r="AB199" s="2456"/>
      <c r="AC199" s="846"/>
      <c r="AD199" s="2457">
        <f>Application!AO629</f>
        <v>762535</v>
      </c>
      <c r="AE199" s="2457"/>
      <c r="AF199" s="2457"/>
      <c r="AG199" s="2457"/>
      <c r="AH199" s="2457"/>
      <c r="AI199" s="2457"/>
      <c r="AJ199" s="2457"/>
      <c r="AK199" s="610"/>
    </row>
    <row r="200" spans="1:40">
      <c r="A200" s="605"/>
      <c r="B200" s="2456" t="s">
        <v>2417</v>
      </c>
      <c r="C200" s="2456"/>
      <c r="D200" s="2456"/>
      <c r="E200" s="2456"/>
      <c r="F200" s="2456"/>
      <c r="G200" s="2456"/>
      <c r="H200" s="2456"/>
      <c r="I200" s="2456"/>
      <c r="J200" s="2456"/>
      <c r="K200" s="2456"/>
      <c r="L200" s="2456"/>
      <c r="M200" s="2456"/>
      <c r="N200" s="2456"/>
      <c r="O200" s="2456"/>
      <c r="P200" s="2456"/>
      <c r="Q200" s="2456"/>
      <c r="R200" s="2456"/>
      <c r="S200" s="2456"/>
      <c r="T200" s="2456"/>
      <c r="U200" s="2456"/>
      <c r="V200" s="2456"/>
      <c r="W200" s="2456"/>
      <c r="X200" s="2456"/>
      <c r="Y200" s="2456"/>
      <c r="Z200" s="2456"/>
      <c r="AA200" s="2456"/>
      <c r="AB200" s="2456"/>
      <c r="AC200" s="846"/>
      <c r="AD200" s="2457">
        <f>Application!AO628</f>
        <v>4000000</v>
      </c>
      <c r="AE200" s="2457"/>
      <c r="AF200" s="2457"/>
      <c r="AG200" s="2457"/>
      <c r="AH200" s="2457"/>
      <c r="AI200" s="2457"/>
      <c r="AJ200" s="2457"/>
      <c r="AK200" s="610"/>
    </row>
    <row r="201" spans="1:40">
      <c r="A201" s="605"/>
      <c r="B201" s="2456" t="s">
        <v>2631</v>
      </c>
      <c r="C201" s="2456"/>
      <c r="D201" s="2456"/>
      <c r="E201" s="2456"/>
      <c r="F201" s="2456"/>
      <c r="G201" s="2456"/>
      <c r="H201" s="2456"/>
      <c r="I201" s="2456"/>
      <c r="J201" s="2456"/>
      <c r="K201" s="2456"/>
      <c r="L201" s="2456"/>
      <c r="M201" s="2456"/>
      <c r="N201" s="2456"/>
      <c r="O201" s="2456"/>
      <c r="P201" s="2456"/>
      <c r="Q201" s="2456"/>
      <c r="R201" s="2456"/>
      <c r="S201" s="2456"/>
      <c r="T201" s="2456"/>
      <c r="U201" s="2456"/>
      <c r="V201" s="2456"/>
      <c r="W201" s="2456"/>
      <c r="X201" s="2456"/>
      <c r="Y201" s="2456"/>
      <c r="Z201" s="2456"/>
      <c r="AA201" s="2456"/>
      <c r="AB201" s="2456"/>
      <c r="AC201" s="846"/>
      <c r="AD201" s="2457">
        <f>Application!AM555</f>
        <v>100000</v>
      </c>
      <c r="AE201" s="2457"/>
      <c r="AF201" s="2457"/>
      <c r="AG201" s="2457"/>
      <c r="AH201" s="2457"/>
      <c r="AI201" s="2457"/>
      <c r="AJ201" s="2457"/>
      <c r="AK201" s="610"/>
    </row>
    <row r="202" spans="1:40">
      <c r="A202" s="605"/>
      <c r="B202" s="2456"/>
      <c r="C202" s="2456"/>
      <c r="D202" s="2456"/>
      <c r="E202" s="2456"/>
      <c r="F202" s="2456"/>
      <c r="G202" s="2456"/>
      <c r="H202" s="2456"/>
      <c r="I202" s="2456"/>
      <c r="J202" s="2456"/>
      <c r="K202" s="2456"/>
      <c r="L202" s="2456"/>
      <c r="M202" s="2456"/>
      <c r="N202" s="2456"/>
      <c r="O202" s="2456"/>
      <c r="P202" s="2456"/>
      <c r="Q202" s="2456"/>
      <c r="R202" s="2456"/>
      <c r="S202" s="2456"/>
      <c r="T202" s="2456"/>
      <c r="U202" s="2456"/>
      <c r="V202" s="2456"/>
      <c r="W202" s="2456"/>
      <c r="X202" s="2456"/>
      <c r="Y202" s="2456"/>
      <c r="Z202" s="2456"/>
      <c r="AA202" s="2456"/>
      <c r="AB202" s="2456"/>
      <c r="AC202" s="846"/>
      <c r="AD202" s="2457"/>
      <c r="AE202" s="2457"/>
      <c r="AF202" s="2457"/>
      <c r="AG202" s="2457"/>
      <c r="AH202" s="2457"/>
      <c r="AI202" s="2457"/>
      <c r="AJ202" s="2457"/>
      <c r="AK202" s="610"/>
    </row>
    <row r="203" spans="1:40">
      <c r="A203" s="605"/>
      <c r="B203" s="2456"/>
      <c r="C203" s="2456"/>
      <c r="D203" s="2456"/>
      <c r="E203" s="2456"/>
      <c r="F203" s="2456"/>
      <c r="G203" s="2456"/>
      <c r="H203" s="2456"/>
      <c r="I203" s="2456"/>
      <c r="J203" s="2456"/>
      <c r="K203" s="2456"/>
      <c r="L203" s="2456"/>
      <c r="M203" s="2456"/>
      <c r="N203" s="2456"/>
      <c r="O203" s="2456"/>
      <c r="P203" s="2456"/>
      <c r="Q203" s="2456"/>
      <c r="R203" s="2456"/>
      <c r="S203" s="2456"/>
      <c r="T203" s="2456"/>
      <c r="U203" s="2456"/>
      <c r="V203" s="2456"/>
      <c r="W203" s="2456"/>
      <c r="X203" s="2456"/>
      <c r="Y203" s="2456"/>
      <c r="Z203" s="2456"/>
      <c r="AA203" s="2456"/>
      <c r="AB203" s="2456"/>
      <c r="AC203" s="846"/>
      <c r="AD203" s="2457"/>
      <c r="AE203" s="2457"/>
      <c r="AF203" s="2457"/>
      <c r="AG203" s="2457"/>
      <c r="AH203" s="2457"/>
      <c r="AI203" s="2457"/>
      <c r="AJ203" s="2457"/>
      <c r="AK203" s="610"/>
    </row>
    <row r="204" spans="1:40">
      <c r="A204" s="605"/>
      <c r="B204" s="2456"/>
      <c r="C204" s="2456"/>
      <c r="D204" s="2456"/>
      <c r="E204" s="2456"/>
      <c r="F204" s="2456"/>
      <c r="G204" s="2456"/>
      <c r="H204" s="2456"/>
      <c r="I204" s="2456"/>
      <c r="J204" s="2456"/>
      <c r="K204" s="2456"/>
      <c r="L204" s="2456"/>
      <c r="M204" s="2456"/>
      <c r="N204" s="2456"/>
      <c r="O204" s="2456"/>
      <c r="P204" s="2456"/>
      <c r="Q204" s="2456"/>
      <c r="R204" s="2456"/>
      <c r="S204" s="2456"/>
      <c r="T204" s="2456"/>
      <c r="U204" s="2456"/>
      <c r="V204" s="2456"/>
      <c r="W204" s="2456"/>
      <c r="X204" s="2456"/>
      <c r="Y204" s="2456"/>
      <c r="Z204" s="2456"/>
      <c r="AA204" s="2456"/>
      <c r="AB204" s="2456"/>
      <c r="AC204" s="846"/>
      <c r="AD204" s="2457"/>
      <c r="AE204" s="2457"/>
      <c r="AF204" s="2457"/>
      <c r="AG204" s="2457"/>
      <c r="AH204" s="2457"/>
      <c r="AI204" s="2457"/>
      <c r="AJ204" s="2457"/>
      <c r="AK204" s="610"/>
    </row>
    <row r="205" spans="1:40">
      <c r="A205" s="605"/>
      <c r="B205" s="2456"/>
      <c r="C205" s="2456"/>
      <c r="D205" s="2456"/>
      <c r="E205" s="2456"/>
      <c r="F205" s="2456"/>
      <c r="G205" s="2456"/>
      <c r="H205" s="2456"/>
      <c r="I205" s="2456"/>
      <c r="J205" s="2456"/>
      <c r="K205" s="2456"/>
      <c r="L205" s="2456"/>
      <c r="M205" s="2456"/>
      <c r="N205" s="2456"/>
      <c r="O205" s="2456"/>
      <c r="P205" s="2456"/>
      <c r="Q205" s="2456"/>
      <c r="R205" s="2456"/>
      <c r="S205" s="2456"/>
      <c r="T205" s="2456"/>
      <c r="U205" s="2456"/>
      <c r="V205" s="2456"/>
      <c r="W205" s="2456"/>
      <c r="X205" s="2456"/>
      <c r="Y205" s="2456"/>
      <c r="Z205" s="2456"/>
      <c r="AA205" s="2456"/>
      <c r="AB205" s="2456"/>
      <c r="AC205" s="846"/>
      <c r="AD205" s="2457"/>
      <c r="AE205" s="2457"/>
      <c r="AF205" s="2457"/>
      <c r="AG205" s="2457"/>
      <c r="AH205" s="2457"/>
      <c r="AI205" s="2457"/>
      <c r="AJ205" s="2457"/>
      <c r="AK205" s="610"/>
    </row>
    <row r="206" spans="1:40">
      <c r="A206" s="605"/>
      <c r="B206" s="2456"/>
      <c r="C206" s="2456"/>
      <c r="D206" s="2456"/>
      <c r="E206" s="2456"/>
      <c r="F206" s="2456"/>
      <c r="G206" s="2456"/>
      <c r="H206" s="2456"/>
      <c r="I206" s="2456"/>
      <c r="J206" s="2456"/>
      <c r="K206" s="2456"/>
      <c r="L206" s="2456"/>
      <c r="M206" s="2456"/>
      <c r="N206" s="2456"/>
      <c r="O206" s="2456"/>
      <c r="P206" s="2456"/>
      <c r="Q206" s="2456"/>
      <c r="R206" s="2456"/>
      <c r="S206" s="2456"/>
      <c r="T206" s="2456"/>
      <c r="U206" s="2456"/>
      <c r="V206" s="2456"/>
      <c r="W206" s="2456"/>
      <c r="X206" s="2456"/>
      <c r="Y206" s="2456"/>
      <c r="Z206" s="2456"/>
      <c r="AA206" s="2456"/>
      <c r="AB206" s="2456"/>
      <c r="AC206" s="846"/>
      <c r="AD206" s="2457"/>
      <c r="AE206" s="2457"/>
      <c r="AF206" s="2457"/>
      <c r="AG206" s="2457"/>
      <c r="AH206" s="2457"/>
      <c r="AI206" s="2457"/>
      <c r="AJ206" s="2457"/>
      <c r="AK206" s="610"/>
    </row>
    <row r="207" spans="1:40">
      <c r="A207" s="605"/>
      <c r="B207" s="2456"/>
      <c r="C207" s="2456"/>
      <c r="D207" s="2456"/>
      <c r="E207" s="2456"/>
      <c r="F207" s="2456"/>
      <c r="G207" s="2456"/>
      <c r="H207" s="2456"/>
      <c r="I207" s="2456"/>
      <c r="J207" s="2456"/>
      <c r="K207" s="2456"/>
      <c r="L207" s="2456"/>
      <c r="M207" s="2456"/>
      <c r="N207" s="2456"/>
      <c r="O207" s="2456"/>
      <c r="P207" s="2456"/>
      <c r="Q207" s="2456"/>
      <c r="R207" s="2456"/>
      <c r="S207" s="2456"/>
      <c r="T207" s="2456"/>
      <c r="U207" s="2456"/>
      <c r="V207" s="2456"/>
      <c r="W207" s="2456"/>
      <c r="X207" s="2456"/>
      <c r="Y207" s="2456"/>
      <c r="Z207" s="2456"/>
      <c r="AA207" s="2456"/>
      <c r="AB207" s="2456"/>
      <c r="AC207" s="846"/>
      <c r="AD207" s="2457"/>
      <c r="AE207" s="2457"/>
      <c r="AF207" s="2457"/>
      <c r="AG207" s="2457"/>
      <c r="AH207" s="2457"/>
      <c r="AI207" s="2457"/>
      <c r="AJ207" s="2457"/>
      <c r="AK207" s="610"/>
    </row>
    <row r="208" spans="1:40">
      <c r="A208" s="605"/>
      <c r="B208" s="2456"/>
      <c r="C208" s="2456"/>
      <c r="D208" s="2456"/>
      <c r="E208" s="2456"/>
      <c r="F208" s="2456"/>
      <c r="G208" s="2456"/>
      <c r="H208" s="2456"/>
      <c r="I208" s="2456"/>
      <c r="J208" s="2456"/>
      <c r="K208" s="2456"/>
      <c r="L208" s="2456"/>
      <c r="M208" s="2456"/>
      <c r="N208" s="2456"/>
      <c r="O208" s="2456"/>
      <c r="P208" s="2456"/>
      <c r="Q208" s="2456"/>
      <c r="R208" s="2456"/>
      <c r="S208" s="2456"/>
      <c r="T208" s="2456"/>
      <c r="U208" s="2456"/>
      <c r="V208" s="2456"/>
      <c r="W208" s="2456"/>
      <c r="X208" s="2456"/>
      <c r="Y208" s="2456"/>
      <c r="Z208" s="2456"/>
      <c r="AA208" s="2456"/>
      <c r="AB208" s="2456"/>
      <c r="AC208" s="846"/>
      <c r="AD208" s="2457"/>
      <c r="AE208" s="2457"/>
      <c r="AF208" s="2457"/>
      <c r="AG208" s="2457"/>
      <c r="AH208" s="2457"/>
      <c r="AI208" s="2457"/>
      <c r="AJ208" s="2457"/>
      <c r="AK208" s="610"/>
    </row>
    <row r="209" spans="1:37">
      <c r="A209" s="605"/>
      <c r="B209" s="2467" t="s">
        <v>1627</v>
      </c>
      <c r="C209" s="2467"/>
      <c r="D209" s="2467"/>
      <c r="E209" s="2467"/>
      <c r="F209" s="2467"/>
      <c r="G209" s="2467"/>
      <c r="H209" s="2467"/>
      <c r="I209" s="2467"/>
      <c r="J209" s="2467"/>
      <c r="K209" s="2467"/>
      <c r="L209" s="2467"/>
      <c r="M209" s="2467"/>
      <c r="N209" s="2467"/>
      <c r="O209" s="2467"/>
      <c r="P209" s="2467"/>
      <c r="Q209" s="2467"/>
      <c r="R209" s="2467"/>
      <c r="S209" s="2467"/>
      <c r="T209" s="2467"/>
      <c r="U209" s="2467"/>
      <c r="V209" s="2467"/>
      <c r="W209" s="2467"/>
      <c r="X209" s="2467"/>
      <c r="Y209" s="2467"/>
      <c r="Z209" s="2467"/>
      <c r="AA209" s="2467"/>
      <c r="AB209" s="2467"/>
      <c r="AC209" s="536"/>
      <c r="AD209" s="2486">
        <f>AB260</f>
        <v>0</v>
      </c>
      <c r="AE209" s="2486"/>
      <c r="AF209" s="2486"/>
      <c r="AG209" s="2486"/>
      <c r="AH209" s="2486"/>
      <c r="AI209" s="2486"/>
      <c r="AJ209" s="2486"/>
      <c r="AK209" s="610"/>
    </row>
    <row r="210" spans="1:37">
      <c r="A210" s="605"/>
      <c r="B210" s="2613" t="s">
        <v>1590</v>
      </c>
      <c r="C210" s="2613"/>
      <c r="D210" s="2613"/>
      <c r="E210" s="2613"/>
      <c r="F210" s="2613"/>
      <c r="G210" s="2613"/>
      <c r="H210" s="2613"/>
      <c r="I210" s="2613"/>
      <c r="J210" s="2613"/>
      <c r="K210" s="2613"/>
      <c r="L210" s="2613"/>
      <c r="M210" s="2613"/>
      <c r="N210" s="2613"/>
      <c r="O210" s="2613"/>
      <c r="P210" s="2613"/>
      <c r="Q210" s="2613"/>
      <c r="R210" s="2613"/>
      <c r="S210" s="2613"/>
      <c r="T210" s="2613"/>
      <c r="U210" s="2613"/>
      <c r="V210" s="2613"/>
      <c r="W210" s="2613"/>
      <c r="X210" s="2613"/>
      <c r="Y210" s="2613"/>
      <c r="Z210" s="2613"/>
      <c r="AA210" s="2613"/>
      <c r="AB210" s="2613"/>
      <c r="AC210" s="846"/>
      <c r="AD210" s="2487">
        <f>'Sources and Uses Budget'!B15</f>
        <v>0</v>
      </c>
      <c r="AE210" s="2487"/>
      <c r="AF210" s="2487"/>
      <c r="AG210" s="2487"/>
      <c r="AH210" s="2487"/>
      <c r="AI210" s="2487"/>
      <c r="AJ210" s="2487"/>
      <c r="AK210" s="610"/>
    </row>
    <row r="211" spans="1:37">
      <c r="A211" s="605"/>
      <c r="B211" s="447"/>
      <c r="C211" s="447"/>
      <c r="D211" s="447"/>
      <c r="E211" s="447"/>
      <c r="F211" s="447"/>
      <c r="G211" s="447"/>
      <c r="H211" s="447"/>
      <c r="I211" s="447"/>
      <c r="J211" s="447"/>
      <c r="K211" s="447"/>
      <c r="L211" s="447"/>
      <c r="M211" s="447"/>
      <c r="N211" s="447"/>
      <c r="O211" s="447"/>
      <c r="P211" s="447"/>
      <c r="Q211" s="447"/>
      <c r="R211" s="447"/>
      <c r="S211" s="447"/>
      <c r="T211" s="447"/>
      <c r="U211" s="447"/>
      <c r="V211" s="447"/>
      <c r="W211" s="447"/>
      <c r="X211" s="447"/>
      <c r="Y211" s="447"/>
      <c r="Z211" s="447"/>
      <c r="AA211" s="447"/>
      <c r="AB211" s="623" t="s">
        <v>899</v>
      </c>
      <c r="AC211" s="536"/>
      <c r="AD211" s="2491">
        <f>SUM(AD199:AJ209)-AD210</f>
        <v>4862535</v>
      </c>
      <c r="AE211" s="2491"/>
      <c r="AF211" s="2491"/>
      <c r="AG211" s="2491"/>
      <c r="AH211" s="2491"/>
      <c r="AI211" s="2491"/>
      <c r="AJ211" s="2491"/>
      <c r="AK211" s="610"/>
    </row>
    <row r="212" spans="1:37">
      <c r="A212" s="605"/>
      <c r="B212" s="605"/>
      <c r="C212" s="663"/>
      <c r="D212" s="827"/>
      <c r="E212" s="827"/>
      <c r="F212" s="827"/>
      <c r="G212" s="827"/>
      <c r="H212" s="827"/>
      <c r="I212" s="827"/>
      <c r="J212" s="827"/>
      <c r="K212" s="536"/>
      <c r="L212" s="536"/>
      <c r="M212" s="536"/>
      <c r="N212" s="536"/>
      <c r="O212" s="536"/>
      <c r="P212" s="536"/>
      <c r="Q212" s="536"/>
      <c r="R212" s="536"/>
      <c r="S212" s="536"/>
      <c r="T212" s="536"/>
      <c r="U212" s="536"/>
      <c r="V212" s="536"/>
      <c r="W212" s="536"/>
      <c r="X212" s="536"/>
      <c r="Y212" s="643"/>
      <c r="Z212" s="643"/>
      <c r="AA212" s="643"/>
      <c r="AB212" s="643"/>
      <c r="AC212" s="536"/>
      <c r="AD212" s="536"/>
      <c r="AE212" s="610"/>
      <c r="AF212" s="610"/>
      <c r="AG212" s="610"/>
      <c r="AH212" s="610"/>
      <c r="AI212" s="610"/>
      <c r="AJ212" s="610"/>
      <c r="AK212" s="610"/>
    </row>
    <row r="213" spans="1:37">
      <c r="A213" s="605"/>
      <c r="B213" s="498" t="s">
        <v>1595</v>
      </c>
      <c r="C213" s="663"/>
      <c r="D213" s="827"/>
      <c r="E213" s="827"/>
      <c r="F213" s="827"/>
      <c r="G213" s="827"/>
      <c r="H213" s="827"/>
      <c r="I213" s="827"/>
      <c r="J213" s="827"/>
      <c r="K213" s="536"/>
      <c r="L213" s="536"/>
      <c r="M213" s="536"/>
      <c r="N213" s="536"/>
      <c r="O213" s="536"/>
      <c r="P213" s="536"/>
      <c r="Q213" s="536"/>
      <c r="R213" s="536"/>
      <c r="S213" s="536"/>
      <c r="T213" s="536"/>
      <c r="U213" s="536"/>
      <c r="V213" s="536"/>
      <c r="W213" s="536"/>
      <c r="X213" s="536"/>
      <c r="Y213" s="643"/>
      <c r="Z213" s="643"/>
      <c r="AA213" s="643"/>
      <c r="AB213" s="643"/>
      <c r="AC213" s="536"/>
      <c r="AD213" s="536"/>
      <c r="AE213" s="610"/>
      <c r="AF213" s="610"/>
      <c r="AG213" s="610"/>
      <c r="AH213" s="610"/>
      <c r="AI213" s="610"/>
      <c r="AJ213" s="610"/>
      <c r="AK213" s="610"/>
    </row>
    <row r="214" spans="1:37">
      <c r="A214" s="605"/>
      <c r="B214" s="476" t="s">
        <v>1626</v>
      </c>
      <c r="C214" s="663"/>
      <c r="D214" s="827"/>
      <c r="E214" s="827"/>
      <c r="F214" s="827"/>
      <c r="G214" s="827"/>
      <c r="H214" s="827"/>
      <c r="I214" s="827"/>
      <c r="J214" s="827"/>
      <c r="K214" s="536"/>
      <c r="L214" s="536"/>
      <c r="M214" s="536"/>
      <c r="N214" s="536"/>
      <c r="O214" s="536"/>
      <c r="P214" s="536"/>
      <c r="Q214" s="536"/>
      <c r="R214" s="536"/>
      <c r="S214" s="536"/>
      <c r="T214" s="536"/>
      <c r="U214" s="536"/>
      <c r="V214" s="536"/>
      <c r="W214" s="536"/>
      <c r="X214" s="536"/>
      <c r="Y214" s="643"/>
      <c r="Z214" s="643"/>
      <c r="AA214" s="643"/>
      <c r="AB214" s="643"/>
      <c r="AC214" s="536"/>
      <c r="AD214" s="536"/>
      <c r="AE214" s="610"/>
      <c r="AF214" s="610"/>
      <c r="AG214" s="610"/>
      <c r="AH214" s="610"/>
      <c r="AI214" s="610"/>
      <c r="AJ214" s="610"/>
      <c r="AK214" s="610"/>
    </row>
    <row r="215" spans="1:37">
      <c r="A215" s="854"/>
      <c r="B215" s="877" t="s">
        <v>1597</v>
      </c>
      <c r="C215" s="878"/>
      <c r="D215" s="879"/>
      <c r="E215" s="879"/>
      <c r="F215" s="879"/>
      <c r="G215" s="879"/>
      <c r="H215" s="879"/>
      <c r="I215" s="879"/>
      <c r="J215" s="879"/>
      <c r="K215" s="880"/>
      <c r="L215" s="880"/>
      <c r="M215" s="880"/>
      <c r="N215" s="880"/>
      <c r="O215" s="880"/>
      <c r="P215" s="880"/>
      <c r="Q215" s="880"/>
      <c r="R215" s="880"/>
      <c r="S215" s="744"/>
      <c r="T215" s="744"/>
      <c r="U215" s="744"/>
      <c r="V215" s="744"/>
      <c r="W215" s="744"/>
      <c r="X215" s="744"/>
      <c r="Y215" s="828"/>
      <c r="Z215" s="828"/>
      <c r="AA215" s="828"/>
      <c r="AB215" s="828"/>
      <c r="AC215" s="744"/>
      <c r="AD215" s="744"/>
      <c r="AE215" s="829"/>
      <c r="AF215" s="829"/>
      <c r="AG215" s="829"/>
      <c r="AH215" s="829"/>
      <c r="AI215" s="829"/>
      <c r="AJ215" s="830"/>
      <c r="AK215" s="610"/>
    </row>
    <row r="216" spans="1:37">
      <c r="A216" s="854"/>
      <c r="B216" s="881" t="s">
        <v>1598</v>
      </c>
      <c r="C216" s="882"/>
      <c r="D216" s="883"/>
      <c r="E216" s="883"/>
      <c r="F216" s="883"/>
      <c r="G216" s="883"/>
      <c r="H216" s="883"/>
      <c r="I216" s="883"/>
      <c r="J216" s="883"/>
      <c r="K216" s="884"/>
      <c r="L216" s="884"/>
      <c r="M216" s="884"/>
      <c r="N216" s="884"/>
      <c r="O216" s="884"/>
      <c r="P216" s="884"/>
      <c r="Q216" s="884"/>
      <c r="R216" s="884"/>
      <c r="S216" s="536"/>
      <c r="T216" s="536"/>
      <c r="U216" s="536"/>
      <c r="V216" s="536"/>
      <c r="W216" s="536"/>
      <c r="X216" s="536"/>
      <c r="Y216" s="643"/>
      <c r="Z216" s="643"/>
      <c r="AA216" s="643"/>
      <c r="AB216" s="643"/>
      <c r="AC216" s="536"/>
      <c r="AD216" s="536"/>
      <c r="AE216" s="610"/>
      <c r="AF216" s="610"/>
      <c r="AG216" s="610"/>
      <c r="AH216" s="610"/>
      <c r="AI216" s="610"/>
      <c r="AJ216" s="831"/>
      <c r="AK216" s="610"/>
    </row>
    <row r="217" spans="1:37">
      <c r="A217" s="854"/>
      <c r="B217" s="881" t="s">
        <v>2024</v>
      </c>
      <c r="C217" s="882"/>
      <c r="D217" s="883"/>
      <c r="E217" s="883"/>
      <c r="F217" s="883"/>
      <c r="G217" s="883"/>
      <c r="H217" s="883"/>
      <c r="I217" s="883"/>
      <c r="J217" s="883"/>
      <c r="K217" s="884"/>
      <c r="L217" s="884"/>
      <c r="M217" s="884"/>
      <c r="N217" s="884"/>
      <c r="O217" s="884"/>
      <c r="P217" s="884"/>
      <c r="Q217" s="884"/>
      <c r="R217" s="884"/>
      <c r="S217" s="536"/>
      <c r="T217" s="536"/>
      <c r="U217" s="536"/>
      <c r="V217" s="536"/>
      <c r="W217" s="536"/>
      <c r="X217" s="536"/>
      <c r="Y217" s="643"/>
      <c r="Z217" s="643"/>
      <c r="AA217" s="643"/>
      <c r="AB217" s="643"/>
      <c r="AC217" s="536"/>
      <c r="AD217" s="536"/>
      <c r="AE217" s="610"/>
      <c r="AF217" s="610"/>
      <c r="AG217" s="610"/>
      <c r="AH217" s="610"/>
      <c r="AI217" s="610"/>
      <c r="AJ217" s="831"/>
      <c r="AK217" s="610"/>
    </row>
    <row r="218" spans="1:37">
      <c r="A218" s="854"/>
      <c r="B218" s="881" t="s">
        <v>1599</v>
      </c>
      <c r="C218" s="882"/>
      <c r="D218" s="883"/>
      <c r="E218" s="883"/>
      <c r="F218" s="883"/>
      <c r="G218" s="883"/>
      <c r="H218" s="883"/>
      <c r="I218" s="883"/>
      <c r="J218" s="883"/>
      <c r="K218" s="884"/>
      <c r="L218" s="884"/>
      <c r="M218" s="884"/>
      <c r="N218" s="884"/>
      <c r="O218" s="884"/>
      <c r="P218" s="884"/>
      <c r="Q218" s="884"/>
      <c r="R218" s="884"/>
      <c r="S218" s="536"/>
      <c r="T218" s="536"/>
      <c r="U218" s="536"/>
      <c r="V218" s="536"/>
      <c r="W218" s="536"/>
      <c r="X218" s="536"/>
      <c r="Y218" s="643"/>
      <c r="Z218" s="643"/>
      <c r="AA218" s="643"/>
      <c r="AB218" s="643"/>
      <c r="AC218" s="536"/>
      <c r="AD218" s="536"/>
      <c r="AE218" s="610"/>
      <c r="AF218" s="610"/>
      <c r="AG218" s="610"/>
      <c r="AH218" s="610"/>
      <c r="AI218" s="610"/>
      <c r="AJ218" s="831"/>
      <c r="AK218" s="610"/>
    </row>
    <row r="219" spans="1:37">
      <c r="A219" s="854"/>
      <c r="B219" s="885" t="s">
        <v>1600</v>
      </c>
      <c r="C219" s="882"/>
      <c r="D219" s="883"/>
      <c r="E219" s="883"/>
      <c r="F219" s="883"/>
      <c r="G219" s="883"/>
      <c r="H219" s="883"/>
      <c r="I219" s="883"/>
      <c r="J219" s="883"/>
      <c r="K219" s="884"/>
      <c r="L219" s="884"/>
      <c r="M219" s="884"/>
      <c r="N219" s="884"/>
      <c r="O219" s="884"/>
      <c r="P219" s="884"/>
      <c r="Q219" s="884"/>
      <c r="R219" s="884"/>
      <c r="S219" s="536"/>
      <c r="T219" s="536"/>
      <c r="U219" s="536"/>
      <c r="V219" s="536"/>
      <c r="W219" s="536"/>
      <c r="X219" s="536"/>
      <c r="Y219" s="643"/>
      <c r="Z219" s="643"/>
      <c r="AA219" s="643"/>
      <c r="AB219" s="643"/>
      <c r="AC219" s="536"/>
      <c r="AD219" s="536"/>
      <c r="AE219" s="610"/>
      <c r="AF219" s="610"/>
      <c r="AG219" s="610"/>
      <c r="AH219" s="610"/>
      <c r="AI219" s="610"/>
      <c r="AJ219" s="831"/>
      <c r="AK219" s="610"/>
    </row>
    <row r="220" spans="1:37">
      <c r="A220" s="854"/>
      <c r="B220" s="886" t="s">
        <v>1636</v>
      </c>
      <c r="C220" s="887"/>
      <c r="D220" s="888"/>
      <c r="E220" s="888"/>
      <c r="F220" s="888"/>
      <c r="G220" s="888"/>
      <c r="H220" s="888"/>
      <c r="I220" s="888"/>
      <c r="J220" s="888"/>
      <c r="K220" s="889"/>
      <c r="L220" s="889"/>
      <c r="M220" s="889"/>
      <c r="N220" s="889"/>
      <c r="O220" s="889"/>
      <c r="P220" s="889"/>
      <c r="Q220" s="889"/>
      <c r="R220" s="889"/>
      <c r="S220" s="737"/>
      <c r="T220" s="737"/>
      <c r="U220" s="737"/>
      <c r="V220" s="737"/>
      <c r="W220" s="737"/>
      <c r="X220" s="737"/>
      <c r="Y220" s="832"/>
      <c r="Z220" s="832"/>
      <c r="AA220" s="832"/>
      <c r="AB220" s="832"/>
      <c r="AC220" s="737"/>
      <c r="AD220" s="737"/>
      <c r="AE220" s="833"/>
      <c r="AF220" s="833"/>
      <c r="AG220" s="833"/>
      <c r="AH220" s="833"/>
      <c r="AI220" s="833"/>
      <c r="AJ220" s="834"/>
      <c r="AK220" s="610"/>
    </row>
    <row r="221" spans="1:37">
      <c r="A221" s="605"/>
      <c r="B221" s="605"/>
      <c r="C221" s="663"/>
      <c r="D221" s="827"/>
      <c r="E221" s="827"/>
      <c r="F221" s="827"/>
      <c r="G221" s="827"/>
      <c r="H221" s="827"/>
      <c r="I221" s="827"/>
      <c r="J221" s="827"/>
      <c r="K221" s="536"/>
      <c r="L221" s="536"/>
      <c r="M221" s="536"/>
      <c r="N221" s="536"/>
      <c r="O221" s="536"/>
      <c r="P221" s="536"/>
      <c r="Q221" s="536"/>
      <c r="R221" s="536"/>
      <c r="S221" s="536"/>
      <c r="T221" s="536"/>
      <c r="U221" s="536"/>
      <c r="V221" s="536"/>
      <c r="W221" s="536"/>
      <c r="X221" s="536"/>
      <c r="Y221" s="643"/>
      <c r="Z221" s="643"/>
      <c r="AA221" s="643"/>
      <c r="AB221" s="643"/>
      <c r="AC221" s="536"/>
      <c r="AD221" s="536"/>
      <c r="AE221" s="610"/>
      <c r="AF221" s="610"/>
      <c r="AG221" s="610"/>
      <c r="AH221" s="610"/>
      <c r="AI221" s="610"/>
      <c r="AJ221" s="610"/>
      <c r="AK221" s="610"/>
    </row>
    <row r="222" spans="1:37">
      <c r="A222" s="605"/>
      <c r="B222" s="848"/>
      <c r="C222" s="476"/>
      <c r="D222" s="476"/>
      <c r="I222" s="2460" t="s">
        <v>1607</v>
      </c>
      <c r="J222" s="2460"/>
      <c r="K222" s="2460"/>
      <c r="L222" s="536"/>
      <c r="M222" s="536"/>
      <c r="N222" s="536"/>
      <c r="O222" s="536"/>
      <c r="P222" s="536"/>
      <c r="Q222" s="536"/>
      <c r="R222" s="536"/>
      <c r="S222" s="536"/>
      <c r="T222" s="2648" t="s">
        <v>1601</v>
      </c>
      <c r="U222" s="2648"/>
      <c r="V222" s="2648"/>
      <c r="W222" s="2648"/>
      <c r="X222" s="2648"/>
      <c r="Y222" s="2648"/>
      <c r="Z222" s="849"/>
      <c r="AA222" s="489"/>
      <c r="AB222" s="2455" t="s">
        <v>1602</v>
      </c>
      <c r="AC222" s="2455"/>
      <c r="AD222" s="2455"/>
      <c r="AE222" s="2455"/>
      <c r="AF222" s="2455"/>
      <c r="AG222" s="2455"/>
      <c r="AH222" s="827"/>
      <c r="AI222" s="827"/>
      <c r="AJ222" s="827"/>
      <c r="AK222" s="610"/>
    </row>
    <row r="223" spans="1:37">
      <c r="A223" s="605"/>
      <c r="B223" s="2458" t="s">
        <v>1587</v>
      </c>
      <c r="C223" s="2458"/>
      <c r="D223" s="2458"/>
      <c r="E223" s="2458"/>
      <c r="F223" s="2458"/>
      <c r="G223" s="2458"/>
      <c r="I223" s="2459" t="s">
        <v>1608</v>
      </c>
      <c r="J223" s="2459"/>
      <c r="K223" s="2459"/>
      <c r="L223" s="1008"/>
      <c r="N223" s="2465" t="s">
        <v>1603</v>
      </c>
      <c r="O223" s="2465"/>
      <c r="P223" s="2465"/>
      <c r="Q223" s="2465"/>
      <c r="R223" s="2465"/>
      <c r="T223" s="2465" t="s">
        <v>1604</v>
      </c>
      <c r="U223" s="2465"/>
      <c r="V223" s="2465"/>
      <c r="W223" s="2465"/>
      <c r="X223" s="2465"/>
      <c r="Y223" s="2465"/>
      <c r="Z223" s="850"/>
      <c r="AA223" s="489"/>
      <c r="AB223" s="2602" t="s">
        <v>1605</v>
      </c>
      <c r="AC223" s="2602"/>
      <c r="AD223" s="2602"/>
      <c r="AE223" s="2602"/>
      <c r="AF223" s="2602"/>
      <c r="AG223" s="2602"/>
      <c r="AH223" s="827"/>
      <c r="AI223" s="827"/>
      <c r="AJ223" s="827"/>
      <c r="AK223" s="610"/>
    </row>
    <row r="224" spans="1:37">
      <c r="A224" s="605"/>
      <c r="B224" s="2462" t="s">
        <v>1184</v>
      </c>
      <c r="C224" s="2462"/>
      <c r="D224" s="2462"/>
      <c r="E224" s="2462"/>
      <c r="F224" s="2462"/>
      <c r="G224" s="2462"/>
      <c r="H224" s="852"/>
      <c r="I224" s="2461"/>
      <c r="J224" s="2461"/>
      <c r="K224" s="2461"/>
      <c r="L224" s="1008"/>
      <c r="N224" s="2466"/>
      <c r="O224" s="2466"/>
      <c r="P224" s="2466"/>
      <c r="Q224" s="2466"/>
      <c r="R224" s="2466"/>
      <c r="T224" s="2614"/>
      <c r="U224" s="2614"/>
      <c r="V224" s="2614"/>
      <c r="W224" s="2614"/>
      <c r="X224" s="2614"/>
      <c r="Y224" s="2614"/>
      <c r="Z224" s="851"/>
      <c r="AA224" s="851"/>
      <c r="AB224" s="2463">
        <f t="shared" ref="AB224:AB233" si="0">MAX(($T224-$N224)*$I224*12,0)</f>
        <v>0</v>
      </c>
      <c r="AC224" s="2463"/>
      <c r="AD224" s="2463"/>
      <c r="AE224" s="2463"/>
      <c r="AF224" s="2463"/>
      <c r="AG224" s="2463"/>
      <c r="AH224" s="827"/>
      <c r="AI224" s="827"/>
      <c r="AJ224" s="827"/>
      <c r="AK224" s="610"/>
    </row>
    <row r="225" spans="1:37">
      <c r="A225" s="605"/>
      <c r="B225" s="2462" t="s">
        <v>1184</v>
      </c>
      <c r="C225" s="2462"/>
      <c r="D225" s="2462"/>
      <c r="E225" s="2462"/>
      <c r="F225" s="2462"/>
      <c r="G225" s="2462"/>
      <c r="I225" s="2461"/>
      <c r="J225" s="2461"/>
      <c r="K225" s="2461"/>
      <c r="L225" s="1008"/>
      <c r="N225" s="2466"/>
      <c r="O225" s="2466"/>
      <c r="P225" s="2466"/>
      <c r="Q225" s="2466"/>
      <c r="R225" s="2466"/>
      <c r="T225" s="2614"/>
      <c r="U225" s="2614"/>
      <c r="V225" s="2614"/>
      <c r="W225" s="2614"/>
      <c r="X225" s="2614"/>
      <c r="Y225" s="2614"/>
      <c r="Z225" s="851"/>
      <c r="AA225" s="851"/>
      <c r="AB225" s="2463">
        <f t="shared" si="0"/>
        <v>0</v>
      </c>
      <c r="AC225" s="2463"/>
      <c r="AD225" s="2463"/>
      <c r="AE225" s="2463"/>
      <c r="AF225" s="2463"/>
      <c r="AG225" s="2463"/>
      <c r="AH225" s="827"/>
      <c r="AI225" s="827"/>
      <c r="AJ225" s="827"/>
      <c r="AK225" s="610"/>
    </row>
    <row r="226" spans="1:37">
      <c r="A226" s="605"/>
      <c r="B226" s="2462" t="s">
        <v>1184</v>
      </c>
      <c r="C226" s="2462"/>
      <c r="D226" s="2462"/>
      <c r="E226" s="2462"/>
      <c r="F226" s="2462"/>
      <c r="G226" s="2462"/>
      <c r="I226" s="2461"/>
      <c r="J226" s="2461"/>
      <c r="K226" s="2461"/>
      <c r="L226" s="1008"/>
      <c r="N226" s="2466"/>
      <c r="O226" s="2466"/>
      <c r="P226" s="2466"/>
      <c r="Q226" s="2466"/>
      <c r="R226" s="2466"/>
      <c r="T226" s="2614"/>
      <c r="U226" s="2614"/>
      <c r="V226" s="2614"/>
      <c r="W226" s="2614"/>
      <c r="X226" s="2614"/>
      <c r="Y226" s="2614"/>
      <c r="Z226" s="851"/>
      <c r="AA226" s="851"/>
      <c r="AB226" s="2463">
        <f t="shared" si="0"/>
        <v>0</v>
      </c>
      <c r="AC226" s="2463"/>
      <c r="AD226" s="2463"/>
      <c r="AE226" s="2463"/>
      <c r="AF226" s="2463"/>
      <c r="AG226" s="2463"/>
      <c r="AH226" s="827"/>
      <c r="AI226" s="827"/>
      <c r="AJ226" s="827"/>
      <c r="AK226" s="610"/>
    </row>
    <row r="227" spans="1:37">
      <c r="A227" s="605"/>
      <c r="B227" s="2462" t="s">
        <v>1184</v>
      </c>
      <c r="C227" s="2462"/>
      <c r="D227" s="2462"/>
      <c r="E227" s="2462"/>
      <c r="F227" s="2462"/>
      <c r="G227" s="2462"/>
      <c r="I227" s="2461"/>
      <c r="J227" s="2461"/>
      <c r="K227" s="2461"/>
      <c r="L227" s="1008"/>
      <c r="N227" s="2466"/>
      <c r="O227" s="2466"/>
      <c r="P227" s="2466"/>
      <c r="Q227" s="2466"/>
      <c r="R227" s="2466"/>
      <c r="T227" s="2614"/>
      <c r="U227" s="2614"/>
      <c r="V227" s="2614"/>
      <c r="W227" s="2614"/>
      <c r="X227" s="2614"/>
      <c r="Y227" s="2614"/>
      <c r="Z227" s="851"/>
      <c r="AA227" s="851"/>
      <c r="AB227" s="2463">
        <f t="shared" si="0"/>
        <v>0</v>
      </c>
      <c r="AC227" s="2463"/>
      <c r="AD227" s="2463"/>
      <c r="AE227" s="2463"/>
      <c r="AF227" s="2463"/>
      <c r="AG227" s="2463"/>
      <c r="AH227" s="827"/>
      <c r="AI227" s="827"/>
      <c r="AJ227" s="827"/>
      <c r="AK227" s="610"/>
    </row>
    <row r="228" spans="1:37">
      <c r="A228" s="605"/>
      <c r="B228" s="2462" t="s">
        <v>1184</v>
      </c>
      <c r="C228" s="2462"/>
      <c r="D228" s="2462"/>
      <c r="E228" s="2462"/>
      <c r="F228" s="2462"/>
      <c r="G228" s="2462"/>
      <c r="I228" s="2461"/>
      <c r="J228" s="2461"/>
      <c r="K228" s="2461"/>
      <c r="L228" s="1015"/>
      <c r="N228" s="2466"/>
      <c r="O228" s="2466"/>
      <c r="P228" s="2466"/>
      <c r="Q228" s="2466"/>
      <c r="R228" s="2466"/>
      <c r="T228" s="2614"/>
      <c r="U228" s="2614"/>
      <c r="V228" s="2614"/>
      <c r="W228" s="2614"/>
      <c r="X228" s="2614"/>
      <c r="Y228" s="2614"/>
      <c r="Z228" s="851"/>
      <c r="AA228" s="851"/>
      <c r="AB228" s="2463">
        <f t="shared" si="0"/>
        <v>0</v>
      </c>
      <c r="AC228" s="2463"/>
      <c r="AD228" s="2463"/>
      <c r="AE228" s="2463"/>
      <c r="AF228" s="2463"/>
      <c r="AG228" s="2463"/>
      <c r="AH228" s="827"/>
      <c r="AI228" s="827"/>
      <c r="AJ228" s="827"/>
      <c r="AK228" s="610"/>
    </row>
    <row r="229" spans="1:37">
      <c r="A229" s="605"/>
      <c r="B229" s="2462" t="s">
        <v>1184</v>
      </c>
      <c r="C229" s="2462"/>
      <c r="D229" s="2462"/>
      <c r="E229" s="2462"/>
      <c r="F229" s="2462"/>
      <c r="G229" s="2462"/>
      <c r="I229" s="2461"/>
      <c r="J229" s="2461"/>
      <c r="K229" s="2461"/>
      <c r="L229" s="1015"/>
      <c r="N229" s="2466"/>
      <c r="O229" s="2466"/>
      <c r="P229" s="2466"/>
      <c r="Q229" s="2466"/>
      <c r="R229" s="2466"/>
      <c r="T229" s="2614"/>
      <c r="U229" s="2614"/>
      <c r="V229" s="2614"/>
      <c r="W229" s="2614"/>
      <c r="X229" s="2614"/>
      <c r="Y229" s="2614"/>
      <c r="Z229" s="851"/>
      <c r="AA229" s="851"/>
      <c r="AB229" s="2463">
        <f t="shared" si="0"/>
        <v>0</v>
      </c>
      <c r="AC229" s="2463"/>
      <c r="AD229" s="2463"/>
      <c r="AE229" s="2463"/>
      <c r="AF229" s="2463"/>
      <c r="AG229" s="2463"/>
      <c r="AH229" s="827"/>
      <c r="AI229" s="827"/>
      <c r="AJ229" s="827"/>
      <c r="AK229" s="610"/>
    </row>
    <row r="230" spans="1:37">
      <c r="A230" s="605"/>
      <c r="B230" s="2462" t="s">
        <v>1184</v>
      </c>
      <c r="C230" s="2462"/>
      <c r="D230" s="2462"/>
      <c r="E230" s="2462"/>
      <c r="F230" s="2462"/>
      <c r="G230" s="2462"/>
      <c r="I230" s="2461"/>
      <c r="J230" s="2461"/>
      <c r="K230" s="2461"/>
      <c r="L230" s="1015"/>
      <c r="N230" s="2466"/>
      <c r="O230" s="2466"/>
      <c r="P230" s="2466"/>
      <c r="Q230" s="2466"/>
      <c r="R230" s="2466"/>
      <c r="T230" s="2614"/>
      <c r="U230" s="2614"/>
      <c r="V230" s="2614"/>
      <c r="W230" s="2614"/>
      <c r="X230" s="2614"/>
      <c r="Y230" s="2614"/>
      <c r="Z230" s="851"/>
      <c r="AA230" s="851"/>
      <c r="AB230" s="2463">
        <f t="shared" si="0"/>
        <v>0</v>
      </c>
      <c r="AC230" s="2463"/>
      <c r="AD230" s="2463"/>
      <c r="AE230" s="2463"/>
      <c r="AF230" s="2463"/>
      <c r="AG230" s="2463"/>
      <c r="AH230" s="827"/>
      <c r="AI230" s="827"/>
      <c r="AJ230" s="827"/>
      <c r="AK230" s="610"/>
    </row>
    <row r="231" spans="1:37">
      <c r="A231" s="605"/>
      <c r="B231" s="2462" t="s">
        <v>1184</v>
      </c>
      <c r="C231" s="2462"/>
      <c r="D231" s="2462"/>
      <c r="E231" s="2462"/>
      <c r="F231" s="2462"/>
      <c r="G231" s="2462"/>
      <c r="I231" s="2461"/>
      <c r="J231" s="2461"/>
      <c r="K231" s="2461"/>
      <c r="L231" s="1015"/>
      <c r="N231" s="2466"/>
      <c r="O231" s="2466"/>
      <c r="P231" s="2466"/>
      <c r="Q231" s="2466"/>
      <c r="R231" s="2466"/>
      <c r="T231" s="2614"/>
      <c r="U231" s="2614"/>
      <c r="V231" s="2614"/>
      <c r="W231" s="2614"/>
      <c r="X231" s="2614"/>
      <c r="Y231" s="2614"/>
      <c r="Z231" s="851"/>
      <c r="AA231" s="851"/>
      <c r="AB231" s="2463">
        <f t="shared" si="0"/>
        <v>0</v>
      </c>
      <c r="AC231" s="2463"/>
      <c r="AD231" s="2463"/>
      <c r="AE231" s="2463"/>
      <c r="AF231" s="2463"/>
      <c r="AG231" s="2463"/>
      <c r="AH231" s="827"/>
      <c r="AI231" s="827"/>
      <c r="AJ231" s="827"/>
      <c r="AK231" s="610"/>
    </row>
    <row r="232" spans="1:37">
      <c r="A232" s="605"/>
      <c r="B232" s="2462" t="s">
        <v>1184</v>
      </c>
      <c r="C232" s="2462"/>
      <c r="D232" s="2462"/>
      <c r="E232" s="2462"/>
      <c r="F232" s="2462"/>
      <c r="G232" s="2462"/>
      <c r="I232" s="2461"/>
      <c r="J232" s="2461"/>
      <c r="K232" s="2461"/>
      <c r="L232" s="1015"/>
      <c r="N232" s="2466"/>
      <c r="O232" s="2466"/>
      <c r="P232" s="2466"/>
      <c r="Q232" s="2466"/>
      <c r="R232" s="2466"/>
      <c r="T232" s="2614"/>
      <c r="U232" s="2614"/>
      <c r="V232" s="2614"/>
      <c r="W232" s="2614"/>
      <c r="X232" s="2614"/>
      <c r="Y232" s="2614"/>
      <c r="Z232" s="851"/>
      <c r="AA232" s="851"/>
      <c r="AB232" s="2463">
        <f t="shared" si="0"/>
        <v>0</v>
      </c>
      <c r="AC232" s="2463"/>
      <c r="AD232" s="2463"/>
      <c r="AE232" s="2463"/>
      <c r="AF232" s="2463"/>
      <c r="AG232" s="2463"/>
      <c r="AH232" s="827"/>
      <c r="AI232" s="827"/>
      <c r="AJ232" s="827"/>
      <c r="AK232" s="610"/>
    </row>
    <row r="233" spans="1:37">
      <c r="A233" s="605"/>
      <c r="B233" s="2462" t="s">
        <v>1184</v>
      </c>
      <c r="C233" s="2462"/>
      <c r="D233" s="2462"/>
      <c r="E233" s="2462"/>
      <c r="F233" s="2462"/>
      <c r="G233" s="2462"/>
      <c r="I233" s="2464"/>
      <c r="J233" s="2464"/>
      <c r="K233" s="2464"/>
      <c r="L233" s="1015"/>
      <c r="N233" s="2466"/>
      <c r="O233" s="2466"/>
      <c r="P233" s="2466"/>
      <c r="Q233" s="2466"/>
      <c r="R233" s="2466"/>
      <c r="T233" s="2614"/>
      <c r="U233" s="2614"/>
      <c r="V233" s="2614"/>
      <c r="W233" s="2614"/>
      <c r="X233" s="2614"/>
      <c r="Y233" s="2614"/>
      <c r="Z233" s="851"/>
      <c r="AA233" s="851"/>
      <c r="AB233" s="2612">
        <f t="shared" si="0"/>
        <v>0</v>
      </c>
      <c r="AC233" s="2612"/>
      <c r="AD233" s="2612"/>
      <c r="AE233" s="2612"/>
      <c r="AF233" s="2612"/>
      <c r="AG233" s="2612"/>
      <c r="AH233" s="827"/>
      <c r="AI233" s="827"/>
      <c r="AJ233" s="827"/>
      <c r="AK233" s="610"/>
    </row>
    <row r="234" spans="1:37">
      <c r="A234" s="605"/>
      <c r="B234" s="476"/>
      <c r="C234" s="852"/>
      <c r="D234" s="476"/>
      <c r="K234" s="536"/>
      <c r="L234" s="536"/>
      <c r="M234" s="536"/>
      <c r="N234" s="536"/>
      <c r="O234" s="536"/>
      <c r="P234" s="536"/>
      <c r="Q234" s="536"/>
      <c r="R234" s="536"/>
      <c r="S234" s="536"/>
      <c r="T234" s="536"/>
      <c r="U234" s="536"/>
      <c r="V234" s="536"/>
      <c r="W234" s="536"/>
      <c r="X234" s="536"/>
      <c r="Y234" s="853" t="s">
        <v>1606</v>
      </c>
      <c r="AA234" s="853"/>
      <c r="AB234" s="2463">
        <f>SUM(AB224:AB233)</f>
        <v>0</v>
      </c>
      <c r="AC234" s="2463"/>
      <c r="AD234" s="2463"/>
      <c r="AE234" s="2463"/>
      <c r="AF234" s="2463"/>
      <c r="AG234" s="2463"/>
      <c r="AH234" s="827"/>
      <c r="AI234" s="827"/>
      <c r="AJ234" s="827"/>
      <c r="AK234" s="610"/>
    </row>
    <row r="235" spans="1:37">
      <c r="A235" s="605"/>
      <c r="B235" s="605"/>
      <c r="C235" s="663"/>
      <c r="D235" s="827"/>
      <c r="E235" s="827"/>
      <c r="F235" s="827"/>
      <c r="G235" s="827"/>
      <c r="H235" s="827"/>
      <c r="I235" s="827"/>
      <c r="J235" s="827"/>
      <c r="K235" s="550"/>
      <c r="L235" s="550"/>
      <c r="M235" s="550"/>
      <c r="N235" s="550"/>
      <c r="O235" s="550"/>
      <c r="P235" s="550"/>
      <c r="Q235" s="550"/>
      <c r="R235" s="550"/>
      <c r="S235" s="550"/>
      <c r="T235" s="550"/>
      <c r="U235" s="550"/>
      <c r="V235" s="550"/>
      <c r="W235" s="550"/>
      <c r="X235" s="550"/>
      <c r="Y235" s="643"/>
      <c r="Z235" s="643"/>
      <c r="AA235" s="643"/>
      <c r="AB235" s="643"/>
      <c r="AC235" s="550"/>
      <c r="AD235" s="550"/>
      <c r="AE235" s="610"/>
      <c r="AF235" s="610"/>
      <c r="AG235" s="610"/>
      <c r="AH235" s="610"/>
      <c r="AI235" s="610"/>
      <c r="AJ235" s="610"/>
      <c r="AK235" s="610"/>
    </row>
    <row r="236" spans="1:37">
      <c r="A236" s="1136" t="s">
        <v>1596</v>
      </c>
      <c r="C236" s="663"/>
      <c r="D236" s="827"/>
      <c r="E236" s="827"/>
      <c r="F236" s="827"/>
      <c r="G236" s="827"/>
      <c r="H236" s="827"/>
      <c r="I236" s="827"/>
      <c r="J236" s="827"/>
      <c r="K236" s="536"/>
      <c r="L236" s="536"/>
      <c r="M236" s="536"/>
      <c r="N236" s="536"/>
      <c r="O236" s="536"/>
      <c r="P236" s="536"/>
      <c r="Q236" s="536"/>
      <c r="R236" s="536"/>
      <c r="S236" s="536"/>
      <c r="T236" s="536"/>
      <c r="U236" s="536"/>
      <c r="V236" s="536"/>
      <c r="W236" s="536"/>
      <c r="X236" s="536"/>
      <c r="Y236" s="643"/>
      <c r="Z236" s="643"/>
      <c r="AA236" s="643"/>
      <c r="AB236" s="643"/>
      <c r="AC236" s="536"/>
      <c r="AD236" s="536"/>
      <c r="AE236" s="610"/>
      <c r="AF236" s="610"/>
      <c r="AG236" s="610"/>
      <c r="AH236" s="610"/>
      <c r="AI236" s="610"/>
      <c r="AJ236" s="610"/>
      <c r="AK236" s="610"/>
    </row>
    <row r="237" spans="1:37">
      <c r="A237" s="605"/>
      <c r="B237" s="476" t="s">
        <v>1624</v>
      </c>
      <c r="C237" s="663"/>
      <c r="D237" s="827"/>
      <c r="E237" s="827"/>
      <c r="F237" s="827"/>
      <c r="G237" s="827"/>
      <c r="H237" s="827"/>
      <c r="I237" s="827"/>
      <c r="J237" s="827"/>
      <c r="K237" s="536"/>
      <c r="L237" s="536"/>
      <c r="M237" s="536"/>
      <c r="N237" s="536"/>
      <c r="O237" s="536"/>
      <c r="P237" s="536"/>
      <c r="Q237" s="536"/>
      <c r="R237" s="536"/>
      <c r="S237" s="536"/>
      <c r="T237" s="536"/>
      <c r="U237" s="536"/>
      <c r="V237" s="536"/>
      <c r="W237" s="536"/>
      <c r="X237" s="536"/>
      <c r="Y237" s="643"/>
      <c r="Z237" s="643"/>
      <c r="AA237" s="643"/>
      <c r="AB237" s="643"/>
      <c r="AC237" s="536"/>
      <c r="AD237" s="536"/>
      <c r="AE237" s="610"/>
      <c r="AF237" s="610"/>
      <c r="AG237" s="610"/>
      <c r="AH237" s="610"/>
      <c r="AI237" s="610"/>
      <c r="AJ237" s="610"/>
      <c r="AK237" s="610"/>
    </row>
    <row r="238" spans="1:37">
      <c r="A238" s="605"/>
      <c r="B238" s="476"/>
      <c r="C238" s="663"/>
      <c r="D238" s="827"/>
      <c r="E238" s="827"/>
      <c r="F238" s="827"/>
      <c r="G238" s="827"/>
      <c r="H238" s="827"/>
      <c r="I238" s="827"/>
      <c r="J238" s="827"/>
      <c r="K238" s="536"/>
      <c r="L238" s="536"/>
      <c r="M238" s="536"/>
      <c r="N238" s="536"/>
      <c r="O238" s="536"/>
      <c r="P238" s="536"/>
      <c r="Q238" s="536"/>
      <c r="R238" s="536"/>
      <c r="S238" s="536"/>
      <c r="T238" s="536"/>
      <c r="U238" s="536"/>
      <c r="V238" s="536"/>
      <c r="W238" s="536"/>
      <c r="X238" s="536"/>
      <c r="Y238" s="643"/>
      <c r="Z238" s="643"/>
      <c r="AA238" s="643"/>
      <c r="AB238" s="643"/>
      <c r="AC238" s="536"/>
      <c r="AD238" s="536"/>
      <c r="AE238" s="610"/>
      <c r="AF238" s="610"/>
      <c r="AG238" s="610"/>
      <c r="AH238" s="610"/>
      <c r="AI238" s="610"/>
      <c r="AJ238" s="610"/>
      <c r="AK238" s="610"/>
    </row>
    <row r="239" spans="1:37">
      <c r="A239" s="605"/>
      <c r="B239" s="836" t="s">
        <v>1622</v>
      </c>
      <c r="C239" s="663"/>
      <c r="D239" s="827"/>
      <c r="E239" s="827"/>
      <c r="F239" s="827"/>
      <c r="G239" s="827"/>
      <c r="H239" s="827"/>
      <c r="I239" s="827"/>
      <c r="J239" s="827"/>
      <c r="K239" s="536"/>
      <c r="L239" s="536"/>
      <c r="M239" s="536"/>
      <c r="N239" s="536"/>
      <c r="O239" s="536"/>
      <c r="P239" s="536"/>
      <c r="Q239" s="536"/>
      <c r="R239" s="536"/>
      <c r="S239" s="536"/>
      <c r="T239" s="536"/>
      <c r="U239" s="536"/>
      <c r="V239" s="536"/>
      <c r="W239" s="536"/>
      <c r="X239" s="536"/>
      <c r="Y239" s="643"/>
      <c r="Z239" s="643"/>
      <c r="AA239" s="643"/>
      <c r="AB239" s="643"/>
      <c r="AC239" s="536"/>
      <c r="AD239" s="536"/>
      <c r="AE239" s="610"/>
      <c r="AF239" s="610"/>
      <c r="AG239" s="610"/>
      <c r="AH239" s="610"/>
      <c r="AI239" s="610"/>
      <c r="AJ239" s="610"/>
      <c r="AK239" s="610"/>
    </row>
    <row r="240" spans="1:37">
      <c r="A240" s="605"/>
      <c r="B240" s="836" t="s">
        <v>1616</v>
      </c>
      <c r="C240" s="663"/>
      <c r="D240" s="827"/>
      <c r="E240" s="827"/>
      <c r="F240" s="827"/>
      <c r="G240" s="827"/>
      <c r="H240" s="827"/>
      <c r="I240" s="827"/>
      <c r="J240" s="827"/>
      <c r="K240" s="536"/>
      <c r="L240" s="536"/>
      <c r="M240" s="536"/>
      <c r="N240" s="536"/>
      <c r="O240" s="536"/>
      <c r="P240" s="536"/>
      <c r="Q240" s="536"/>
      <c r="R240" s="536"/>
      <c r="S240" s="536"/>
      <c r="T240" s="536"/>
      <c r="U240" s="536"/>
      <c r="V240" s="536"/>
      <c r="W240" s="536"/>
      <c r="X240" s="536"/>
      <c r="Y240" s="643"/>
      <c r="Z240" s="643"/>
      <c r="AA240" s="643"/>
      <c r="AB240" s="2615"/>
      <c r="AC240" s="2615"/>
      <c r="AD240" s="2615"/>
      <c r="AE240" s="2615"/>
      <c r="AF240" s="2615"/>
      <c r="AG240" s="2615"/>
      <c r="AH240" s="610"/>
      <c r="AI240" s="610"/>
      <c r="AJ240" s="610"/>
      <c r="AK240" s="610"/>
    </row>
    <row r="241" spans="1:37">
      <c r="A241" s="605"/>
      <c r="B241" s="837" t="s">
        <v>1621</v>
      </c>
      <c r="C241" s="616"/>
      <c r="D241" s="835"/>
      <c r="E241" s="827"/>
      <c r="F241" s="827"/>
      <c r="G241" s="827"/>
      <c r="H241" s="827"/>
      <c r="I241" s="827"/>
      <c r="J241" s="827"/>
      <c r="K241" s="536"/>
      <c r="L241" s="536"/>
      <c r="M241" s="536"/>
      <c r="N241" s="536"/>
      <c r="O241" s="536"/>
      <c r="P241" s="536"/>
      <c r="Q241" s="536"/>
      <c r="R241" s="536"/>
      <c r="S241" s="536"/>
      <c r="T241" s="536"/>
      <c r="U241" s="536"/>
      <c r="V241" s="536"/>
      <c r="W241" s="536"/>
      <c r="X241" s="536"/>
      <c r="Y241" s="643"/>
      <c r="Z241" s="643"/>
      <c r="AA241" s="643"/>
      <c r="AB241" s="643"/>
      <c r="AC241" s="536"/>
      <c r="AD241" s="536"/>
      <c r="AE241" s="610"/>
      <c r="AF241" s="610"/>
      <c r="AG241" s="610"/>
      <c r="AH241" s="610"/>
      <c r="AI241" s="610"/>
      <c r="AJ241" s="610"/>
      <c r="AK241" s="610"/>
    </row>
    <row r="242" spans="1:37">
      <c r="A242" s="605"/>
      <c r="B242" s="838" t="s">
        <v>1623</v>
      </c>
      <c r="C242" s="663"/>
      <c r="D242" s="827"/>
      <c r="E242" s="827"/>
      <c r="F242" s="827"/>
      <c r="G242" s="827"/>
      <c r="H242" s="827"/>
      <c r="I242" s="827"/>
      <c r="J242" s="827"/>
      <c r="K242" s="536"/>
      <c r="L242" s="536"/>
      <c r="M242" s="536"/>
      <c r="N242" s="536"/>
      <c r="O242" s="536"/>
      <c r="P242" s="536"/>
      <c r="Q242" s="536"/>
      <c r="R242" s="536"/>
      <c r="S242" s="536"/>
      <c r="T242" s="536"/>
      <c r="U242" s="536"/>
      <c r="V242" s="536"/>
      <c r="W242" s="536"/>
      <c r="X242" s="536"/>
      <c r="Y242" s="643"/>
      <c r="Z242" s="643"/>
      <c r="AA242" s="643"/>
      <c r="AB242" s="643"/>
      <c r="AC242" s="536"/>
      <c r="AD242" s="536"/>
      <c r="AE242" s="610"/>
      <c r="AF242" s="610"/>
      <c r="AG242" s="610"/>
      <c r="AH242" s="610"/>
      <c r="AI242" s="610"/>
      <c r="AJ242" s="610"/>
      <c r="AK242" s="610"/>
    </row>
    <row r="243" spans="1:37">
      <c r="A243" s="605"/>
      <c r="B243" s="838" t="s">
        <v>1617</v>
      </c>
      <c r="C243" s="663"/>
      <c r="D243" s="827"/>
      <c r="E243" s="827"/>
      <c r="F243" s="827"/>
      <c r="G243" s="827"/>
      <c r="H243" s="827"/>
      <c r="I243" s="827"/>
      <c r="J243" s="827"/>
      <c r="K243" s="536"/>
      <c r="L243" s="536"/>
      <c r="M243" s="536"/>
      <c r="N243" s="536"/>
      <c r="O243" s="536"/>
      <c r="P243" s="536"/>
      <c r="Q243" s="536"/>
      <c r="R243" s="536"/>
      <c r="S243" s="536"/>
      <c r="T243" s="536"/>
      <c r="U243" s="536"/>
      <c r="V243" s="536"/>
      <c r="W243" s="536"/>
      <c r="X243" s="536"/>
      <c r="Y243" s="643"/>
      <c r="Z243" s="643"/>
      <c r="AA243" s="643"/>
      <c r="AB243" s="2615"/>
      <c r="AC243" s="2615"/>
      <c r="AD243" s="2615"/>
      <c r="AE243" s="2615"/>
      <c r="AF243" s="2615"/>
      <c r="AG243" s="2615"/>
      <c r="AH243" s="610"/>
      <c r="AI243" s="610"/>
      <c r="AJ243" s="610"/>
      <c r="AK243" s="610"/>
    </row>
    <row r="244" spans="1:37">
      <c r="A244" s="605"/>
      <c r="B244" s="838" t="s">
        <v>1618</v>
      </c>
      <c r="C244" s="663"/>
      <c r="D244" s="827"/>
      <c r="E244" s="827"/>
      <c r="F244" s="827"/>
      <c r="G244" s="827"/>
      <c r="H244" s="827"/>
      <c r="I244" s="827"/>
      <c r="J244" s="827"/>
      <c r="K244" s="536"/>
      <c r="L244" s="536"/>
      <c r="M244" s="536"/>
      <c r="N244" s="536"/>
      <c r="O244" s="536"/>
      <c r="P244" s="536"/>
      <c r="Q244" s="536"/>
      <c r="R244" s="536"/>
      <c r="S244" s="536"/>
      <c r="T244" s="536"/>
      <c r="U244" s="536"/>
      <c r="V244" s="536"/>
      <c r="W244" s="536"/>
      <c r="X244" s="536"/>
      <c r="Y244" s="643"/>
      <c r="Z244" s="643"/>
      <c r="AA244" s="643"/>
      <c r="AB244" s="2647"/>
      <c r="AC244" s="2647"/>
      <c r="AD244" s="2647"/>
      <c r="AE244" s="2647"/>
      <c r="AF244" s="2647"/>
      <c r="AG244" s="2647"/>
      <c r="AH244" s="610"/>
      <c r="AI244" s="610"/>
      <c r="AJ244" s="610"/>
      <c r="AK244" s="610"/>
    </row>
    <row r="245" spans="1:37">
      <c r="A245" s="605"/>
      <c r="B245" s="838" t="s">
        <v>1619</v>
      </c>
      <c r="C245" s="663"/>
      <c r="D245" s="827"/>
      <c r="E245" s="827"/>
      <c r="F245" s="827"/>
      <c r="G245" s="827"/>
      <c r="H245" s="827"/>
      <c r="I245" s="827"/>
      <c r="J245" s="827"/>
      <c r="K245" s="536"/>
      <c r="L245" s="536"/>
      <c r="M245" s="536"/>
      <c r="N245" s="536"/>
      <c r="O245" s="536"/>
      <c r="P245" s="536"/>
      <c r="Q245" s="536"/>
      <c r="R245" s="536"/>
      <c r="S245" s="536"/>
      <c r="T245" s="536"/>
      <c r="U245" s="536"/>
      <c r="V245" s="536"/>
      <c r="W245" s="536"/>
      <c r="X245" s="536"/>
      <c r="Y245" s="643"/>
      <c r="Z245" s="643"/>
      <c r="AA245" s="643"/>
      <c r="AB245" s="2629">
        <f>IFERROR(AB243/AB244,0)</f>
        <v>0</v>
      </c>
      <c r="AC245" s="2629"/>
      <c r="AD245" s="2629"/>
      <c r="AE245" s="2629"/>
      <c r="AF245" s="2629"/>
      <c r="AG245" s="2629"/>
      <c r="AH245" s="610"/>
      <c r="AI245" s="610"/>
      <c r="AJ245" s="610"/>
      <c r="AK245" s="610"/>
    </row>
    <row r="246" spans="1:37">
      <c r="A246" s="605"/>
      <c r="B246" s="476"/>
      <c r="C246" s="663"/>
      <c r="D246" s="827"/>
      <c r="E246" s="827"/>
      <c r="F246" s="827"/>
      <c r="G246" s="827"/>
      <c r="H246" s="827"/>
      <c r="I246" s="827"/>
      <c r="J246" s="827"/>
      <c r="K246" s="536"/>
      <c r="L246" s="536"/>
      <c r="M246" s="536"/>
      <c r="N246" s="536"/>
      <c r="O246" s="536"/>
      <c r="P246" s="536"/>
      <c r="Q246" s="536"/>
      <c r="R246" s="536"/>
      <c r="S246" s="536"/>
      <c r="T246" s="536"/>
      <c r="U246" s="536"/>
      <c r="V246" s="536"/>
      <c r="W246" s="536"/>
      <c r="X246" s="536"/>
      <c r="Y246" s="643"/>
      <c r="Z246" s="643"/>
      <c r="AA246" s="643"/>
      <c r="AB246" s="643"/>
      <c r="AC246" s="536"/>
      <c r="AD246" s="536"/>
      <c r="AE246" s="610"/>
      <c r="AF246" s="610"/>
      <c r="AG246" s="610"/>
      <c r="AH246" s="610"/>
      <c r="AI246" s="610"/>
      <c r="AJ246" s="610"/>
      <c r="AK246" s="610"/>
    </row>
    <row r="247" spans="1:37">
      <c r="A247" s="605"/>
      <c r="B247" s="476" t="s">
        <v>1620</v>
      </c>
      <c r="C247" s="663"/>
      <c r="D247" s="827"/>
      <c r="E247" s="827"/>
      <c r="F247" s="827"/>
      <c r="G247" s="827"/>
      <c r="H247" s="827"/>
      <c r="I247" s="827"/>
      <c r="J247" s="827"/>
      <c r="K247" s="536"/>
      <c r="L247" s="536"/>
      <c r="M247" s="536"/>
      <c r="N247" s="536"/>
      <c r="O247" s="536"/>
      <c r="P247" s="536"/>
      <c r="Q247" s="536"/>
      <c r="R247" s="536"/>
      <c r="S247" s="536"/>
      <c r="T247" s="536"/>
      <c r="U247" s="536"/>
      <c r="V247" s="536"/>
      <c r="W247" s="536"/>
      <c r="X247" s="536"/>
      <c r="Y247" s="643"/>
      <c r="Z247" s="643"/>
      <c r="AA247" s="643"/>
      <c r="AB247" s="2612">
        <f>MAX(AB240,AB245)</f>
        <v>0</v>
      </c>
      <c r="AC247" s="2612"/>
      <c r="AD247" s="2612"/>
      <c r="AE247" s="2612"/>
      <c r="AF247" s="2612"/>
      <c r="AG247" s="2612"/>
      <c r="AH247" s="610"/>
      <c r="AI247" s="610"/>
      <c r="AJ247" s="610"/>
      <c r="AK247" s="610"/>
    </row>
    <row r="248" spans="1:37">
      <c r="A248" s="605"/>
      <c r="B248" s="476"/>
      <c r="C248" s="663"/>
      <c r="D248" s="827"/>
      <c r="E248" s="827"/>
      <c r="F248" s="827"/>
      <c r="G248" s="827"/>
      <c r="H248" s="827"/>
      <c r="I248" s="827"/>
      <c r="J248" s="827"/>
      <c r="K248" s="536"/>
      <c r="L248" s="536"/>
      <c r="M248" s="536"/>
      <c r="N248" s="536"/>
      <c r="O248" s="536"/>
      <c r="P248" s="536"/>
      <c r="Q248" s="536"/>
      <c r="R248" s="536"/>
      <c r="S248" s="536"/>
      <c r="T248" s="536"/>
      <c r="U248" s="536"/>
      <c r="V248" s="536"/>
      <c r="W248" s="536"/>
      <c r="X248" s="536"/>
      <c r="Y248" s="643"/>
      <c r="Z248" s="643"/>
      <c r="AA248" s="643"/>
      <c r="AB248" s="643"/>
      <c r="AC248" s="536"/>
      <c r="AD248" s="536"/>
      <c r="AE248" s="610"/>
      <c r="AF248" s="610"/>
      <c r="AG248" s="610"/>
      <c r="AH248" s="610"/>
      <c r="AI248" s="610"/>
      <c r="AJ248" s="610"/>
      <c r="AK248" s="610"/>
    </row>
    <row r="249" spans="1:37">
      <c r="A249" s="605"/>
      <c r="B249" s="476"/>
      <c r="C249" s="663"/>
      <c r="D249" s="827"/>
      <c r="E249" s="827"/>
      <c r="F249" s="827"/>
      <c r="G249" s="827"/>
      <c r="H249" s="827"/>
      <c r="I249" s="827"/>
      <c r="J249" s="827"/>
      <c r="K249" s="536"/>
      <c r="L249" s="536"/>
      <c r="M249" s="536"/>
      <c r="N249" s="536"/>
      <c r="O249" s="536"/>
      <c r="P249" s="536"/>
      <c r="Q249" s="536"/>
      <c r="R249" s="536"/>
      <c r="S249" s="536"/>
      <c r="T249" s="536"/>
      <c r="U249" s="536"/>
      <c r="V249" s="536"/>
      <c r="W249" s="536"/>
      <c r="X249" s="536"/>
      <c r="Y249" s="643"/>
      <c r="Z249" s="643"/>
      <c r="AA249" s="643"/>
      <c r="AB249" s="643"/>
      <c r="AC249" s="536"/>
      <c r="AD249" s="536"/>
      <c r="AE249" s="610"/>
      <c r="AF249" s="610"/>
      <c r="AG249" s="610"/>
      <c r="AH249" s="610"/>
      <c r="AI249" s="610"/>
      <c r="AJ249" s="610"/>
      <c r="AK249" s="610"/>
    </row>
    <row r="250" spans="1:37">
      <c r="A250" s="605"/>
      <c r="B250" s="476" t="s">
        <v>1609</v>
      </c>
      <c r="C250" s="663"/>
      <c r="D250" s="827"/>
      <c r="E250" s="827"/>
      <c r="F250" s="827"/>
      <c r="G250" s="827"/>
      <c r="H250" s="827"/>
      <c r="I250" s="827"/>
      <c r="J250" s="827"/>
      <c r="K250" s="536"/>
      <c r="L250" s="536"/>
      <c r="M250" s="536"/>
      <c r="N250" s="536"/>
      <c r="O250" s="536"/>
      <c r="P250" s="536"/>
      <c r="Q250" s="536"/>
      <c r="R250" s="536"/>
      <c r="S250" s="536"/>
      <c r="U250" s="839"/>
      <c r="V250" s="839"/>
      <c r="W250" s="839"/>
      <c r="X250" s="839"/>
      <c r="Y250" s="839"/>
      <c r="Z250" s="643"/>
      <c r="AA250" s="643"/>
      <c r="AB250" s="2463">
        <f>AB234+AB247</f>
        <v>0</v>
      </c>
      <c r="AC250" s="2463"/>
      <c r="AD250" s="2463"/>
      <c r="AE250" s="2463"/>
      <c r="AF250" s="2463"/>
      <c r="AG250" s="2463"/>
      <c r="AH250" s="610"/>
      <c r="AI250" s="610"/>
      <c r="AJ250" s="610"/>
      <c r="AK250" s="610"/>
    </row>
    <row r="251" spans="1:37">
      <c r="A251" s="605"/>
      <c r="B251" s="476" t="s">
        <v>838</v>
      </c>
      <c r="C251" s="663"/>
      <c r="D251" s="827"/>
      <c r="E251" s="827"/>
      <c r="F251" s="827"/>
      <c r="G251" s="827"/>
      <c r="H251" s="827"/>
      <c r="I251" s="827"/>
      <c r="J251" s="827"/>
      <c r="K251" s="536"/>
      <c r="L251" s="536"/>
      <c r="M251" s="536"/>
      <c r="N251" s="536"/>
      <c r="O251" s="536"/>
      <c r="P251" s="536"/>
      <c r="Q251" s="536"/>
      <c r="R251" s="536"/>
      <c r="S251" s="536"/>
      <c r="U251" s="840"/>
      <c r="V251" s="840"/>
      <c r="W251" s="840"/>
      <c r="X251" s="840"/>
      <c r="Y251" s="840"/>
      <c r="Z251" s="643"/>
      <c r="AA251" s="643"/>
      <c r="AB251" s="2495">
        <v>0.05</v>
      </c>
      <c r="AC251" s="2495"/>
      <c r="AD251" s="2495"/>
      <c r="AE251" s="2495"/>
      <c r="AF251" s="2495"/>
      <c r="AG251" s="2495"/>
      <c r="AH251" s="610"/>
      <c r="AI251" s="610"/>
      <c r="AJ251" s="610"/>
      <c r="AK251" s="610"/>
    </row>
    <row r="252" spans="1:37">
      <c r="A252" s="605"/>
      <c r="B252" s="476" t="s">
        <v>1610</v>
      </c>
      <c r="C252" s="663"/>
      <c r="D252" s="827"/>
      <c r="E252" s="827"/>
      <c r="F252" s="827"/>
      <c r="G252" s="827"/>
      <c r="H252" s="827"/>
      <c r="I252" s="827"/>
      <c r="J252" s="827"/>
      <c r="K252" s="536"/>
      <c r="L252" s="536"/>
      <c r="M252" s="536"/>
      <c r="N252" s="536"/>
      <c r="O252" s="536"/>
      <c r="P252" s="536"/>
      <c r="Q252" s="536"/>
      <c r="R252" s="536"/>
      <c r="S252" s="536"/>
      <c r="U252" s="839"/>
      <c r="V252" s="839"/>
      <c r="W252" s="839"/>
      <c r="X252" s="839"/>
      <c r="Y252" s="839"/>
      <c r="Z252" s="643"/>
      <c r="AA252" s="643"/>
      <c r="AB252" s="2496">
        <f>AB250-(AB250*AB251)</f>
        <v>0</v>
      </c>
      <c r="AC252" s="2496"/>
      <c r="AD252" s="2496"/>
      <c r="AE252" s="2496"/>
      <c r="AF252" s="2496"/>
      <c r="AG252" s="2496"/>
      <c r="AH252" s="610"/>
      <c r="AI252" s="610"/>
      <c r="AJ252" s="610"/>
      <c r="AK252" s="610"/>
    </row>
    <row r="253" spans="1:37">
      <c r="A253" s="605"/>
      <c r="B253" s="476" t="s">
        <v>1611</v>
      </c>
      <c r="C253" s="663"/>
      <c r="D253" s="827"/>
      <c r="E253" s="827"/>
      <c r="F253" s="827"/>
      <c r="G253" s="827"/>
      <c r="H253" s="827"/>
      <c r="I253" s="827"/>
      <c r="J253" s="827"/>
      <c r="K253" s="536"/>
      <c r="L253" s="536"/>
      <c r="M253" s="536"/>
      <c r="N253" s="536"/>
      <c r="O253" s="536"/>
      <c r="P253" s="536"/>
      <c r="Q253" s="536"/>
      <c r="R253" s="536"/>
      <c r="S253" s="536"/>
      <c r="U253" s="536"/>
      <c r="V253" s="536"/>
      <c r="W253" s="536"/>
      <c r="X253" s="536"/>
      <c r="Y253" s="841"/>
      <c r="Z253" s="643"/>
      <c r="AA253" s="643"/>
      <c r="AB253" s="536"/>
      <c r="AC253" s="536"/>
      <c r="AD253" s="536"/>
      <c r="AE253" s="610"/>
      <c r="AF253" s="610"/>
      <c r="AG253" s="610"/>
      <c r="AH253" s="610"/>
      <c r="AI253" s="610"/>
      <c r="AJ253" s="610"/>
      <c r="AK253" s="610"/>
    </row>
    <row r="254" spans="1:37">
      <c r="A254" s="605"/>
      <c r="B254" s="476" t="s">
        <v>1612</v>
      </c>
      <c r="C254" s="663"/>
      <c r="D254" s="827"/>
      <c r="E254" s="827"/>
      <c r="F254" s="827"/>
      <c r="G254" s="827"/>
      <c r="H254" s="827"/>
      <c r="I254" s="827"/>
      <c r="J254" s="827"/>
      <c r="K254" s="536"/>
      <c r="L254" s="536"/>
      <c r="M254" s="536"/>
      <c r="N254" s="536"/>
      <c r="O254" s="536"/>
      <c r="P254" s="536"/>
      <c r="Q254" s="536"/>
      <c r="R254" s="536"/>
      <c r="S254" s="536"/>
      <c r="U254" s="839"/>
      <c r="V254" s="839"/>
      <c r="W254" s="839"/>
      <c r="X254" s="839"/>
      <c r="Y254" s="839"/>
      <c r="Z254" s="643"/>
      <c r="AA254" s="643"/>
      <c r="AB254" s="2463">
        <f>AB252/AB258</f>
        <v>0</v>
      </c>
      <c r="AC254" s="2463"/>
      <c r="AD254" s="2463"/>
      <c r="AE254" s="2463"/>
      <c r="AF254" s="2463"/>
      <c r="AG254" s="2463"/>
      <c r="AH254" s="610"/>
      <c r="AI254" s="610"/>
      <c r="AJ254" s="610"/>
      <c r="AK254" s="610"/>
    </row>
    <row r="255" spans="1:37">
      <c r="A255" s="605"/>
      <c r="B255" s="476"/>
      <c r="C255" s="663"/>
      <c r="D255" s="827"/>
      <c r="E255" s="827"/>
      <c r="F255" s="827"/>
      <c r="G255" s="827"/>
      <c r="H255" s="827"/>
      <c r="I255" s="827"/>
      <c r="J255" s="827"/>
      <c r="K255" s="536"/>
      <c r="L255" s="536"/>
      <c r="M255" s="536"/>
      <c r="N255" s="536"/>
      <c r="O255" s="536"/>
      <c r="P255" s="536"/>
      <c r="Q255" s="536"/>
      <c r="R255" s="536"/>
      <c r="S255" s="536"/>
      <c r="U255" s="536"/>
      <c r="V255" s="536"/>
      <c r="W255" s="536"/>
      <c r="X255" s="536"/>
      <c r="Y255" s="476"/>
      <c r="Z255" s="643"/>
      <c r="AA255" s="643"/>
      <c r="AB255" s="536"/>
      <c r="AC255" s="536"/>
      <c r="AD255" s="536"/>
      <c r="AE255" s="610"/>
      <c r="AF255" s="610"/>
      <c r="AG255" s="610"/>
      <c r="AH255" s="610"/>
      <c r="AI255" s="610"/>
      <c r="AJ255" s="610"/>
      <c r="AK255" s="610"/>
    </row>
    <row r="256" spans="1:37">
      <c r="A256" s="605"/>
      <c r="B256" s="476" t="s">
        <v>1613</v>
      </c>
      <c r="C256" s="663"/>
      <c r="D256" s="827"/>
      <c r="E256" s="827"/>
      <c r="F256" s="827"/>
      <c r="G256" s="827"/>
      <c r="H256" s="827"/>
      <c r="I256" s="827"/>
      <c r="J256" s="827"/>
      <c r="K256" s="536"/>
      <c r="L256" s="536"/>
      <c r="M256" s="536"/>
      <c r="N256" s="536"/>
      <c r="O256" s="536"/>
      <c r="P256" s="536"/>
      <c r="Q256" s="536"/>
      <c r="R256" s="536"/>
      <c r="S256" s="536"/>
      <c r="U256" s="476"/>
      <c r="V256" s="476"/>
      <c r="W256" s="476"/>
      <c r="X256" s="476"/>
      <c r="Y256" s="476"/>
      <c r="Z256" s="643"/>
      <c r="AA256" s="643"/>
      <c r="AB256" s="2455">
        <v>15</v>
      </c>
      <c r="AC256" s="2455"/>
      <c r="AD256" s="2455"/>
      <c r="AE256" s="2455"/>
      <c r="AF256" s="2455"/>
      <c r="AG256" s="2455"/>
      <c r="AH256" s="610"/>
      <c r="AI256" s="610"/>
      <c r="AJ256" s="610"/>
      <c r="AK256" s="610"/>
    </row>
    <row r="257" spans="1:37">
      <c r="A257" s="605"/>
      <c r="B257" s="476" t="s">
        <v>1614</v>
      </c>
      <c r="C257" s="663"/>
      <c r="D257" s="827"/>
      <c r="E257" s="827"/>
      <c r="F257" s="827"/>
      <c r="G257" s="827"/>
      <c r="H257" s="827"/>
      <c r="I257" s="827"/>
      <c r="J257" s="827"/>
      <c r="K257" s="536"/>
      <c r="L257" s="536"/>
      <c r="M257" s="536"/>
      <c r="N257" s="536"/>
      <c r="O257" s="536"/>
      <c r="P257" s="536"/>
      <c r="Q257" s="536"/>
      <c r="R257" s="536"/>
      <c r="S257" s="536"/>
      <c r="U257" s="840"/>
      <c r="V257" s="840"/>
      <c r="W257" s="840"/>
      <c r="X257" s="840"/>
      <c r="Y257" s="840"/>
      <c r="Z257" s="643"/>
      <c r="AA257" s="643"/>
      <c r="AB257" s="2497">
        <v>0.04</v>
      </c>
      <c r="AC257" s="2497"/>
      <c r="AD257" s="2497"/>
      <c r="AE257" s="2497"/>
      <c r="AF257" s="2497"/>
      <c r="AG257" s="2497"/>
      <c r="AH257" s="610"/>
      <c r="AI257" s="610"/>
      <c r="AJ257" s="610"/>
      <c r="AK257" s="610"/>
    </row>
    <row r="258" spans="1:37">
      <c r="A258" s="605"/>
      <c r="B258" s="476" t="s">
        <v>850</v>
      </c>
      <c r="C258" s="663"/>
      <c r="D258" s="827"/>
      <c r="E258" s="827"/>
      <c r="F258" s="827"/>
      <c r="G258" s="827"/>
      <c r="H258" s="827"/>
      <c r="I258" s="827"/>
      <c r="J258" s="827"/>
      <c r="K258" s="536"/>
      <c r="L258" s="536"/>
      <c r="M258" s="536"/>
      <c r="N258" s="536"/>
      <c r="O258" s="536"/>
      <c r="P258" s="536"/>
      <c r="Q258" s="536"/>
      <c r="R258" s="536"/>
      <c r="S258" s="536"/>
      <c r="U258" s="842"/>
      <c r="V258" s="842"/>
      <c r="W258" s="842"/>
      <c r="X258" s="842"/>
      <c r="Y258" s="842"/>
      <c r="Z258" s="643"/>
      <c r="AA258" s="643"/>
      <c r="AB258" s="2468">
        <v>1.1499999999999999</v>
      </c>
      <c r="AC258" s="2468"/>
      <c r="AD258" s="2468"/>
      <c r="AE258" s="2468"/>
      <c r="AF258" s="2468"/>
      <c r="AG258" s="2468"/>
      <c r="AH258" s="610"/>
      <c r="AI258" s="610"/>
      <c r="AJ258" s="610"/>
      <c r="AK258" s="610"/>
    </row>
    <row r="259" spans="1:37">
      <c r="A259" s="605"/>
      <c r="B259" s="476"/>
      <c r="C259" s="663"/>
      <c r="D259" s="827"/>
      <c r="E259" s="827"/>
      <c r="F259" s="827"/>
      <c r="G259" s="827"/>
      <c r="H259" s="827"/>
      <c r="I259" s="827"/>
      <c r="J259" s="827"/>
      <c r="K259" s="536"/>
      <c r="L259" s="536"/>
      <c r="M259" s="536"/>
      <c r="N259" s="536"/>
      <c r="O259" s="536"/>
      <c r="P259" s="536"/>
      <c r="Q259" s="536"/>
      <c r="R259" s="536"/>
      <c r="S259" s="536"/>
      <c r="U259" s="536"/>
      <c r="V259" s="536"/>
      <c r="W259" s="536"/>
      <c r="X259" s="536"/>
      <c r="Y259" s="489"/>
      <c r="Z259" s="643"/>
      <c r="AA259" s="643"/>
      <c r="AB259" s="536"/>
      <c r="AC259" s="536"/>
      <c r="AD259" s="536"/>
      <c r="AE259" s="610"/>
      <c r="AF259" s="610"/>
      <c r="AG259" s="610"/>
      <c r="AH259" s="610"/>
      <c r="AI259" s="610"/>
      <c r="AJ259" s="610"/>
      <c r="AK259" s="610"/>
    </row>
    <row r="260" spans="1:37">
      <c r="A260" s="605"/>
      <c r="B260" s="844" t="s">
        <v>1615</v>
      </c>
      <c r="C260" s="663"/>
      <c r="D260" s="827"/>
      <c r="E260" s="827"/>
      <c r="F260" s="827"/>
      <c r="G260" s="827"/>
      <c r="H260" s="827"/>
      <c r="I260" s="827"/>
      <c r="J260" s="827"/>
      <c r="K260" s="536"/>
      <c r="L260" s="536"/>
      <c r="M260" s="536"/>
      <c r="N260" s="536"/>
      <c r="O260" s="536"/>
      <c r="P260" s="536"/>
      <c r="Q260" s="536"/>
      <c r="R260" s="536"/>
      <c r="S260" s="536"/>
      <c r="U260" s="843"/>
      <c r="V260" s="843"/>
      <c r="W260" s="843"/>
      <c r="X260" s="843"/>
      <c r="Y260" s="843"/>
      <c r="Z260" s="643"/>
      <c r="AA260" s="643"/>
      <c r="AB260" s="2488">
        <f>PV(AB257/12,AB256*12,-AB254/12, ,0)</f>
        <v>0</v>
      </c>
      <c r="AC260" s="2489"/>
      <c r="AD260" s="2489"/>
      <c r="AE260" s="2489"/>
      <c r="AF260" s="2489"/>
      <c r="AG260" s="2490"/>
      <c r="AH260" s="610"/>
      <c r="AI260" s="610"/>
      <c r="AJ260" s="610"/>
      <c r="AK260" s="610"/>
    </row>
    <row r="261" spans="1:37">
      <c r="A261" s="605"/>
      <c r="B261" s="844"/>
      <c r="C261" s="663"/>
      <c r="D261" s="827"/>
      <c r="E261" s="827"/>
      <c r="F261" s="827"/>
      <c r="G261" s="827"/>
      <c r="H261" s="827"/>
      <c r="I261" s="827"/>
      <c r="J261" s="827"/>
      <c r="K261" s="536"/>
      <c r="L261" s="536"/>
      <c r="M261" s="536"/>
      <c r="N261" s="536"/>
      <c r="O261" s="536"/>
      <c r="P261" s="536"/>
      <c r="Q261" s="536"/>
      <c r="R261" s="536"/>
      <c r="S261" s="536"/>
      <c r="U261" s="843"/>
      <c r="V261" s="843"/>
      <c r="W261" s="843"/>
      <c r="X261" s="843"/>
      <c r="Y261" s="843"/>
      <c r="Z261" s="643"/>
      <c r="AA261" s="643"/>
      <c r="AB261" s="855"/>
      <c r="AC261" s="855"/>
      <c r="AD261" s="855"/>
      <c r="AE261" s="855"/>
      <c r="AF261" s="855"/>
      <c r="AG261" s="855"/>
      <c r="AH261" s="610"/>
      <c r="AI261" s="610"/>
      <c r="AJ261" s="610"/>
      <c r="AK261" s="610"/>
    </row>
    <row r="262" spans="1:37">
      <c r="A262" s="605"/>
      <c r="B262" s="844"/>
      <c r="C262" s="663"/>
      <c r="D262" s="827"/>
      <c r="E262" s="827"/>
      <c r="F262" s="827"/>
      <c r="G262" s="827"/>
      <c r="H262" s="827"/>
      <c r="I262" s="827"/>
      <c r="J262" s="827"/>
      <c r="K262" s="536"/>
      <c r="L262" s="536"/>
      <c r="M262" s="536"/>
      <c r="N262" s="536"/>
      <c r="O262" s="536"/>
      <c r="P262" s="536"/>
      <c r="Q262" s="536"/>
      <c r="R262" s="536"/>
      <c r="S262" s="536"/>
      <c r="U262" s="843"/>
      <c r="V262" s="843"/>
      <c r="W262" s="843"/>
      <c r="X262" s="843"/>
      <c r="Y262" s="843"/>
      <c r="Z262" s="643"/>
      <c r="AA262" s="643"/>
      <c r="AB262" s="855"/>
      <c r="AC262" s="855"/>
      <c r="AD262" s="855"/>
      <c r="AE262" s="855"/>
      <c r="AF262" s="855"/>
      <c r="AG262" s="855"/>
      <c r="AH262" s="610"/>
      <c r="AI262" s="610"/>
      <c r="AJ262" s="610"/>
      <c r="AK262" s="610"/>
    </row>
    <row r="263" spans="1:37">
      <c r="A263" s="605"/>
      <c r="B263" s="847" t="s">
        <v>1591</v>
      </c>
      <c r="C263" s="847"/>
      <c r="D263" s="827"/>
      <c r="E263" s="827"/>
      <c r="F263" s="827"/>
      <c r="G263" s="827"/>
      <c r="H263" s="827"/>
      <c r="I263" s="827"/>
      <c r="J263" s="827"/>
      <c r="K263" s="536"/>
      <c r="L263" s="536"/>
      <c r="M263" s="536"/>
      <c r="N263" s="536"/>
      <c r="O263" s="536"/>
      <c r="P263" s="536"/>
      <c r="Q263" s="536"/>
      <c r="R263" s="536"/>
      <c r="S263" s="536"/>
      <c r="T263" s="536"/>
      <c r="U263" s="536"/>
      <c r="V263" s="536"/>
      <c r="W263" s="536"/>
      <c r="X263" s="536"/>
      <c r="Y263" s="643"/>
      <c r="Z263" s="643"/>
      <c r="AA263" s="643"/>
      <c r="AB263" s="643"/>
      <c r="AC263" s="536"/>
      <c r="AD263" s="536"/>
      <c r="AE263" s="610"/>
      <c r="AF263" s="610"/>
      <c r="AG263" s="610"/>
      <c r="AH263" s="610"/>
      <c r="AI263" s="610"/>
      <c r="AJ263" s="610"/>
      <c r="AK263" s="610"/>
    </row>
    <row r="264" spans="1:37">
      <c r="A264" s="605"/>
      <c r="B264" s="605" t="s">
        <v>1594</v>
      </c>
      <c r="C264" s="663"/>
      <c r="D264" s="827"/>
      <c r="E264" s="827"/>
      <c r="F264" s="827"/>
      <c r="G264" s="827"/>
      <c r="H264" s="827"/>
      <c r="I264" s="827"/>
      <c r="J264" s="827"/>
      <c r="K264" s="536"/>
      <c r="L264" s="536"/>
      <c r="M264" s="536"/>
      <c r="N264" s="536"/>
      <c r="O264" s="536"/>
      <c r="P264" s="536"/>
      <c r="Q264" s="536"/>
      <c r="R264" s="536"/>
      <c r="S264" s="536"/>
      <c r="T264" s="536"/>
      <c r="U264" s="536"/>
      <c r="V264" s="536"/>
      <c r="W264" s="536"/>
      <c r="X264" s="536"/>
      <c r="Y264" s="643"/>
      <c r="Z264" s="643"/>
      <c r="AA264" s="643"/>
      <c r="AB264" s="643"/>
      <c r="AC264" s="536"/>
      <c r="AD264" s="536"/>
      <c r="AE264" s="610"/>
      <c r="AF264" s="610"/>
      <c r="AG264" s="610"/>
      <c r="AH264" s="610"/>
      <c r="AI264" s="610"/>
      <c r="AJ264" s="610"/>
      <c r="AK264" s="610"/>
    </row>
    <row r="265" spans="1:37">
      <c r="A265" s="605"/>
      <c r="B265" s="605" t="s">
        <v>1593</v>
      </c>
      <c r="C265" s="663"/>
      <c r="D265" s="827"/>
      <c r="E265" s="827"/>
      <c r="F265" s="827"/>
      <c r="G265" s="827"/>
      <c r="H265" s="827"/>
      <c r="I265" s="827"/>
      <c r="J265" s="827"/>
      <c r="K265" s="536"/>
      <c r="L265" s="536"/>
      <c r="M265" s="536"/>
      <c r="N265" s="536"/>
      <c r="O265" s="536"/>
      <c r="P265" s="536"/>
      <c r="Q265" s="536"/>
      <c r="R265" s="536"/>
      <c r="S265" s="536"/>
      <c r="T265" s="536"/>
      <c r="U265" s="536"/>
      <c r="V265" s="536"/>
      <c r="W265" s="536"/>
      <c r="X265" s="536"/>
      <c r="Y265" s="643"/>
      <c r="Z265" s="643"/>
      <c r="AA265" s="643"/>
      <c r="AB265" s="643"/>
      <c r="AC265" s="536"/>
      <c r="AD265" s="536"/>
      <c r="AE265" s="610"/>
      <c r="AF265" s="610"/>
      <c r="AG265" s="610"/>
      <c r="AH265" s="610"/>
      <c r="AI265" s="610"/>
      <c r="AJ265" s="610"/>
      <c r="AK265" s="610"/>
    </row>
    <row r="266" spans="1:37">
      <c r="A266" s="605"/>
      <c r="B266" s="605" t="s">
        <v>1592</v>
      </c>
      <c r="C266" s="663"/>
      <c r="D266" s="827"/>
      <c r="E266" s="827"/>
      <c r="F266" s="827"/>
      <c r="G266" s="827"/>
      <c r="H266" s="827"/>
      <c r="I266" s="827"/>
      <c r="J266" s="827"/>
      <c r="K266" s="536"/>
      <c r="L266" s="536"/>
      <c r="M266" s="536"/>
      <c r="N266" s="536"/>
      <c r="O266" s="536"/>
      <c r="P266" s="536"/>
      <c r="Q266" s="536"/>
      <c r="R266" s="536"/>
      <c r="S266" s="536"/>
      <c r="T266" s="536"/>
      <c r="U266" s="536"/>
      <c r="V266" s="536"/>
      <c r="W266" s="536"/>
      <c r="X266" s="536"/>
      <c r="Y266" s="643"/>
      <c r="Z266" s="643"/>
      <c r="AA266" s="643"/>
      <c r="AB266" s="2492">
        <f>IFERROR(('Sources and Uses Budget'!D105/'Sources and Uses Budget'!B105),0)</f>
        <v>0</v>
      </c>
      <c r="AC266" s="2493"/>
      <c r="AD266" s="2493"/>
      <c r="AE266" s="2493"/>
      <c r="AF266" s="2493"/>
      <c r="AG266" s="2494"/>
      <c r="AH266" s="856"/>
      <c r="AI266" s="856"/>
      <c r="AJ266" s="856"/>
      <c r="AK266" s="610"/>
    </row>
    <row r="267" spans="1:37">
      <c r="A267" s="605"/>
      <c r="B267" s="476"/>
      <c r="C267" s="663"/>
      <c r="D267" s="827"/>
      <c r="E267" s="827"/>
      <c r="F267" s="827"/>
      <c r="G267" s="827"/>
      <c r="H267" s="827"/>
      <c r="I267" s="827"/>
      <c r="J267" s="827"/>
      <c r="K267" s="536"/>
      <c r="L267" s="536"/>
      <c r="M267" s="536"/>
      <c r="N267" s="536"/>
      <c r="O267" s="536"/>
      <c r="P267" s="536"/>
      <c r="Q267" s="536"/>
      <c r="R267" s="536"/>
      <c r="S267" s="536"/>
      <c r="T267" s="536"/>
      <c r="U267" s="536"/>
      <c r="V267" s="536"/>
      <c r="W267" s="536"/>
      <c r="X267" s="536"/>
      <c r="Y267" s="643"/>
      <c r="Z267" s="643"/>
      <c r="AA267" s="643"/>
      <c r="AB267" s="643"/>
      <c r="AC267" s="536"/>
      <c r="AD267" s="536"/>
      <c r="AE267" s="610"/>
      <c r="AF267" s="610"/>
      <c r="AG267" s="610"/>
      <c r="AH267" s="610"/>
      <c r="AI267" s="610"/>
      <c r="AJ267" s="610"/>
      <c r="AK267" s="610"/>
    </row>
    <row r="268" spans="1:37">
      <c r="A268" s="622"/>
      <c r="B268" s="447" t="s">
        <v>1373</v>
      </c>
      <c r="C268" s="623"/>
      <c r="D268" s="623"/>
      <c r="E268" s="623"/>
      <c r="F268" s="623"/>
      <c r="H268" s="624"/>
      <c r="I268" s="624"/>
      <c r="J268" s="624"/>
      <c r="K268" s="624"/>
      <c r="L268" s="624"/>
      <c r="M268" s="624"/>
      <c r="N268" s="624"/>
      <c r="O268" s="624"/>
      <c r="P268" s="624"/>
      <c r="Q268" s="624"/>
      <c r="R268" s="624"/>
      <c r="Y268" s="624"/>
      <c r="Z268" s="624"/>
      <c r="AA268" s="624"/>
      <c r="AB268" s="622"/>
      <c r="AC268" s="622"/>
      <c r="AD268" s="622"/>
      <c r="AE268" s="622"/>
      <c r="AG268" s="2482">
        <f>AD211*(1-AB266)</f>
        <v>4862535</v>
      </c>
      <c r="AH268" s="2482"/>
      <c r="AI268" s="2482"/>
      <c r="AJ268" s="2482"/>
      <c r="AK268" s="2482"/>
    </row>
    <row r="269" spans="1:37">
      <c r="A269" s="622"/>
      <c r="B269" s="625" t="s">
        <v>1374</v>
      </c>
      <c r="C269" s="626"/>
      <c r="D269" s="624"/>
      <c r="E269" s="624"/>
      <c r="F269" s="626"/>
      <c r="G269" s="626"/>
      <c r="H269" s="626"/>
      <c r="I269" s="626"/>
      <c r="J269" s="626"/>
      <c r="K269" s="626"/>
      <c r="L269" s="626"/>
      <c r="M269" s="624"/>
      <c r="N269" s="626"/>
      <c r="O269" s="626"/>
      <c r="P269" s="626"/>
      <c r="Q269" s="626"/>
      <c r="R269" s="626"/>
      <c r="Y269" s="624"/>
      <c r="Z269" s="624"/>
      <c r="AA269" s="624"/>
      <c r="AB269" s="622"/>
      <c r="AC269" s="622"/>
      <c r="AD269" s="622"/>
      <c r="AE269" s="622"/>
      <c r="AG269" s="2482">
        <f>'Sources and Uses Budget'!C105</f>
        <v>50605110</v>
      </c>
      <c r="AH269" s="2482"/>
      <c r="AI269" s="2482"/>
      <c r="AJ269" s="2482"/>
      <c r="AK269" s="2482"/>
    </row>
    <row r="270" spans="1:37">
      <c r="A270" s="622"/>
      <c r="B270" s="624" t="s">
        <v>13</v>
      </c>
      <c r="C270" s="624"/>
      <c r="D270" s="624"/>
      <c r="E270" s="624"/>
      <c r="F270" s="624"/>
      <c r="G270" s="624"/>
      <c r="H270" s="624"/>
      <c r="I270" s="624"/>
      <c r="J270" s="624"/>
      <c r="K270" s="624"/>
      <c r="L270" s="624"/>
      <c r="M270" s="624"/>
      <c r="N270" s="624"/>
      <c r="O270" s="624"/>
      <c r="P270" s="624"/>
      <c r="Q270" s="624"/>
      <c r="R270" s="624"/>
      <c r="Y270" s="624"/>
      <c r="Z270" s="624"/>
      <c r="AA270" s="624"/>
      <c r="AB270" s="622"/>
      <c r="AC270" s="622"/>
      <c r="AD270" s="622"/>
      <c r="AE270" s="622"/>
      <c r="AG270" s="2483">
        <f>ROUNDDOWN(IF(AND(C292="Yes",AK84=10),((AG268*2)/AG269),AG268/AG269),2)</f>
        <v>0.09</v>
      </c>
      <c r="AH270" s="2483"/>
      <c r="AI270" s="2483"/>
      <c r="AJ270" s="2483"/>
      <c r="AK270" s="2483"/>
    </row>
    <row r="271" spans="1:37">
      <c r="A271" s="622"/>
      <c r="B271" s="978" t="s">
        <v>1741</v>
      </c>
      <c r="C271" s="624"/>
      <c r="D271" s="624"/>
      <c r="E271" s="624"/>
      <c r="F271" s="624"/>
      <c r="G271" s="624"/>
      <c r="H271" s="624"/>
      <c r="I271" s="624"/>
      <c r="J271" s="624"/>
      <c r="K271" s="624"/>
      <c r="L271" s="624"/>
      <c r="M271" s="624"/>
      <c r="N271" s="624"/>
      <c r="O271" s="624"/>
      <c r="P271" s="624"/>
      <c r="Q271" s="624"/>
      <c r="R271" s="624"/>
      <c r="Y271" s="624"/>
      <c r="Z271" s="624"/>
      <c r="AA271" s="624"/>
      <c r="AB271" s="622"/>
      <c r="AC271" s="622"/>
      <c r="AD271" s="622"/>
      <c r="AE271" s="622"/>
      <c r="AG271" s="977"/>
      <c r="AH271" s="977"/>
      <c r="AI271" s="977"/>
      <c r="AJ271" s="977"/>
      <c r="AK271" s="977"/>
    </row>
    <row r="272" spans="1:37">
      <c r="A272" s="627"/>
      <c r="B272" s="627"/>
      <c r="C272" s="627"/>
      <c r="D272" s="627"/>
      <c r="E272" s="627"/>
      <c r="F272" s="627"/>
      <c r="G272" s="627"/>
      <c r="H272" s="627"/>
      <c r="I272" s="627"/>
      <c r="J272" s="627"/>
      <c r="K272" s="627"/>
      <c r="L272" s="627"/>
      <c r="M272" s="627"/>
      <c r="N272" s="627"/>
      <c r="O272" s="627"/>
      <c r="P272" s="627"/>
      <c r="Q272" s="627"/>
      <c r="R272" s="627"/>
      <c r="S272" s="627"/>
      <c r="T272" s="627"/>
      <c r="U272" s="627"/>
      <c r="V272" s="627"/>
      <c r="W272" s="627"/>
      <c r="X272" s="627"/>
      <c r="Y272" s="627"/>
      <c r="Z272" s="627"/>
      <c r="AA272" s="627"/>
      <c r="AB272" s="627"/>
      <c r="AC272" s="627"/>
      <c r="AD272" s="627"/>
      <c r="AE272" s="627"/>
      <c r="AF272" s="627"/>
      <c r="AG272" s="627"/>
      <c r="AH272" s="627"/>
      <c r="AI272" s="627"/>
      <c r="AJ272" s="627"/>
    </row>
    <row r="273" spans="1:52">
      <c r="A273" s="628"/>
      <c r="B273" s="628"/>
      <c r="C273" s="628"/>
      <c r="D273" s="628"/>
      <c r="E273" s="628"/>
      <c r="F273" s="628"/>
      <c r="G273" s="628"/>
      <c r="H273" s="628"/>
      <c r="I273" s="628"/>
      <c r="J273" s="628"/>
      <c r="K273" s="628"/>
      <c r="L273" s="628"/>
      <c r="M273" s="628"/>
      <c r="N273" s="628"/>
      <c r="O273" s="628"/>
      <c r="P273" s="628"/>
      <c r="Q273" s="628"/>
      <c r="R273" s="628"/>
      <c r="S273" s="628"/>
      <c r="T273" s="628"/>
      <c r="U273" s="628"/>
      <c r="V273" s="628"/>
      <c r="W273" s="628"/>
      <c r="X273" s="628"/>
      <c r="Y273" s="628"/>
      <c r="Z273" s="628"/>
      <c r="AA273" s="628"/>
      <c r="AB273" s="628"/>
      <c r="AC273" s="628"/>
      <c r="AD273" s="628"/>
      <c r="AE273" s="628"/>
      <c r="AF273" s="628"/>
      <c r="AG273" s="628"/>
      <c r="AH273" s="629"/>
      <c r="AI273" s="565"/>
      <c r="AJ273" s="565" t="s">
        <v>1375</v>
      </c>
      <c r="AK273" s="2484">
        <f>IFERROR(IF(AG270=0,0,IF((AG270*100)&gt;8,8,(AG270*100))),0)</f>
        <v>8</v>
      </c>
      <c r="AL273" s="2484"/>
      <c r="AM273" s="2485"/>
    </row>
    <row r="274" spans="1:52" ht="13.5" thickBot="1"/>
    <row r="275" spans="1:52" s="550" customFormat="1" ht="12.75" customHeight="1" thickTop="1">
      <c r="A275" s="612"/>
      <c r="B275" s="630"/>
      <c r="C275" s="630"/>
      <c r="D275" s="630"/>
      <c r="E275" s="630"/>
      <c r="F275" s="630"/>
      <c r="G275" s="630"/>
      <c r="H275" s="630"/>
      <c r="I275" s="630"/>
      <c r="J275" s="630"/>
      <c r="K275" s="630"/>
      <c r="L275" s="630"/>
      <c r="M275" s="630"/>
      <c r="N275" s="630"/>
      <c r="O275" s="630"/>
      <c r="P275" s="630"/>
      <c r="Q275" s="630"/>
      <c r="R275" s="630"/>
      <c r="S275" s="630"/>
      <c r="T275" s="630"/>
      <c r="U275" s="630"/>
      <c r="V275" s="630"/>
      <c r="W275" s="630"/>
      <c r="X275" s="630"/>
      <c r="Y275" s="630"/>
      <c r="Z275" s="630"/>
      <c r="AA275" s="630"/>
      <c r="AB275" s="630"/>
      <c r="AC275" s="631"/>
      <c r="AD275" s="630"/>
      <c r="AE275" s="630"/>
      <c r="AF275" s="630"/>
      <c r="AG275" s="630"/>
      <c r="AH275" s="612"/>
      <c r="AI275" s="632"/>
      <c r="AJ275" s="632"/>
      <c r="AK275" s="633"/>
      <c r="AL275" s="633"/>
      <c r="AM275" s="634"/>
      <c r="AN275" s="597"/>
      <c r="AP275" s="536"/>
      <c r="AQ275" s="536"/>
      <c r="AR275" s="536"/>
      <c r="AS275" s="536"/>
      <c r="AT275" s="536"/>
      <c r="AU275" s="536"/>
      <c r="AV275" s="536"/>
      <c r="AW275" s="536"/>
      <c r="AX275" s="536"/>
      <c r="AY275" s="536"/>
      <c r="AZ275" s="536"/>
    </row>
    <row r="276" spans="1:52">
      <c r="A276" s="538" t="s">
        <v>1376</v>
      </c>
      <c r="B276" s="538" t="s">
        <v>1377</v>
      </c>
      <c r="C276" s="539"/>
      <c r="D276" s="550"/>
      <c r="E276" s="550"/>
      <c r="F276" s="550"/>
      <c r="G276" s="550"/>
      <c r="H276" s="550"/>
      <c r="I276" s="550"/>
      <c r="J276" s="550"/>
      <c r="K276" s="550"/>
      <c r="L276" s="550"/>
      <c r="M276" s="550"/>
      <c r="N276" s="550"/>
      <c r="O276" s="550"/>
      <c r="P276" s="550"/>
      <c r="Q276" s="550"/>
      <c r="R276" s="550"/>
      <c r="S276" s="550"/>
      <c r="T276" s="550"/>
      <c r="U276" s="550"/>
      <c r="V276" s="550"/>
      <c r="W276" s="550"/>
      <c r="X276" s="550"/>
      <c r="Y276" s="550"/>
      <c r="Z276" s="550"/>
      <c r="AA276" s="550"/>
      <c r="AB276" s="550"/>
      <c r="AC276" s="550"/>
      <c r="AD276" s="550"/>
      <c r="AE276" s="550"/>
      <c r="AF276" s="550"/>
      <c r="AG276" s="550"/>
      <c r="AH276" s="591" t="s">
        <v>1314</v>
      </c>
      <c r="AI276" s="550"/>
      <c r="AJ276" s="550"/>
      <c r="AK276" s="550"/>
      <c r="AL276" s="550"/>
      <c r="AM276" s="550"/>
      <c r="AO276" s="550"/>
    </row>
    <row r="277" spans="1:52" ht="14.25" customHeight="1">
      <c r="A277" s="591"/>
      <c r="AI277" s="551"/>
      <c r="AJ277" s="550"/>
      <c r="AK277" s="550"/>
      <c r="AL277" s="550"/>
      <c r="AM277" s="550"/>
      <c r="AO277" s="550"/>
    </row>
    <row r="278" spans="1:52" ht="13.7" customHeight="1">
      <c r="A278" s="550"/>
      <c r="B278" s="596"/>
      <c r="C278" s="2476" t="s">
        <v>545</v>
      </c>
      <c r="D278" s="2476"/>
      <c r="E278" s="547"/>
      <c r="F278" s="2633" t="s">
        <v>2025</v>
      </c>
      <c r="G278" s="2634"/>
      <c r="H278" s="2634"/>
      <c r="I278" s="2634"/>
      <c r="J278" s="2634"/>
      <c r="K278" s="2634"/>
      <c r="L278" s="2634"/>
      <c r="M278" s="2634"/>
      <c r="N278" s="2634"/>
      <c r="O278" s="2634"/>
      <c r="P278" s="2634"/>
      <c r="Q278" s="2634"/>
      <c r="R278" s="2634"/>
      <c r="S278" s="2634"/>
      <c r="T278" s="2634"/>
      <c r="U278" s="2634"/>
      <c r="V278" s="2634"/>
      <c r="W278" s="2634"/>
      <c r="X278" s="2634"/>
      <c r="Y278" s="2634"/>
      <c r="Z278" s="2634"/>
      <c r="AA278" s="2634"/>
      <c r="AB278" s="2634"/>
      <c r="AC278" s="2634"/>
      <c r="AD278" s="2635"/>
      <c r="AE278" s="550"/>
      <c r="AF278" s="635"/>
      <c r="AG278" s="2477" t="s">
        <v>1363</v>
      </c>
      <c r="AH278" s="2477"/>
      <c r="AI278" s="2477"/>
      <c r="AJ278" s="2477"/>
      <c r="AK278" s="550"/>
      <c r="AL278" s="550"/>
      <c r="AM278" s="550"/>
      <c r="AO278" s="550"/>
    </row>
    <row r="279" spans="1:52" ht="13.7" customHeight="1">
      <c r="A279" s="550"/>
      <c r="B279" s="596"/>
      <c r="C279" s="636"/>
      <c r="D279" s="550"/>
      <c r="E279" s="547"/>
      <c r="F279" s="2636"/>
      <c r="G279" s="2637"/>
      <c r="H279" s="2637"/>
      <c r="I279" s="2637"/>
      <c r="J279" s="2637"/>
      <c r="K279" s="2637"/>
      <c r="L279" s="2637"/>
      <c r="M279" s="2637"/>
      <c r="N279" s="2637"/>
      <c r="O279" s="2637"/>
      <c r="P279" s="2637"/>
      <c r="Q279" s="2637"/>
      <c r="R279" s="2637"/>
      <c r="S279" s="2637"/>
      <c r="T279" s="2637"/>
      <c r="U279" s="2637"/>
      <c r="V279" s="2637"/>
      <c r="W279" s="2637"/>
      <c r="X279" s="2637"/>
      <c r="Y279" s="2637"/>
      <c r="Z279" s="2637"/>
      <c r="AA279" s="2637"/>
      <c r="AB279" s="2637"/>
      <c r="AC279" s="2637"/>
      <c r="AD279" s="2638"/>
      <c r="AE279" s="550"/>
      <c r="AF279" s="635"/>
      <c r="AG279" s="635"/>
      <c r="AH279" s="635"/>
      <c r="AI279" s="635"/>
      <c r="AJ279" s="550"/>
      <c r="AK279" s="550"/>
      <c r="AL279" s="550"/>
      <c r="AM279" s="550"/>
      <c r="AO279" s="550"/>
    </row>
    <row r="280" spans="1:52">
      <c r="A280" s="550"/>
      <c r="B280" s="596"/>
      <c r="C280" s="636"/>
      <c r="D280" s="550"/>
      <c r="E280" s="547"/>
      <c r="F280" s="2636"/>
      <c r="G280" s="2637"/>
      <c r="H280" s="2637"/>
      <c r="I280" s="2637"/>
      <c r="J280" s="2637"/>
      <c r="K280" s="2637"/>
      <c r="L280" s="2637"/>
      <c r="M280" s="2637"/>
      <c r="N280" s="2637"/>
      <c r="O280" s="2637"/>
      <c r="P280" s="2637"/>
      <c r="Q280" s="2637"/>
      <c r="R280" s="2637"/>
      <c r="S280" s="2637"/>
      <c r="T280" s="2637"/>
      <c r="U280" s="2637"/>
      <c r="V280" s="2637"/>
      <c r="W280" s="2637"/>
      <c r="X280" s="2637"/>
      <c r="Y280" s="2637"/>
      <c r="Z280" s="2637"/>
      <c r="AA280" s="2637"/>
      <c r="AB280" s="2637"/>
      <c r="AC280" s="2637"/>
      <c r="AD280" s="2638"/>
      <c r="AE280" s="550"/>
      <c r="AF280" s="635"/>
      <c r="AG280" s="635"/>
      <c r="AH280" s="635"/>
      <c r="AI280" s="635"/>
      <c r="AJ280" s="550"/>
      <c r="AK280" s="550"/>
      <c r="AL280" s="550"/>
      <c r="AM280" s="550"/>
      <c r="AO280" s="550"/>
      <c r="AP280" s="637"/>
    </row>
    <row r="281" spans="1:52">
      <c r="A281" s="550"/>
      <c r="B281" s="596"/>
      <c r="C281" s="636"/>
      <c r="D281" s="550"/>
      <c r="E281" s="547"/>
      <c r="F281" s="2636"/>
      <c r="G281" s="2637"/>
      <c r="H281" s="2637"/>
      <c r="I281" s="2637"/>
      <c r="J281" s="2637"/>
      <c r="K281" s="2637"/>
      <c r="L281" s="2637"/>
      <c r="M281" s="2637"/>
      <c r="N281" s="2637"/>
      <c r="O281" s="2637"/>
      <c r="P281" s="2637"/>
      <c r="Q281" s="2637"/>
      <c r="R281" s="2637"/>
      <c r="S281" s="2637"/>
      <c r="T281" s="2637"/>
      <c r="U281" s="2637"/>
      <c r="V281" s="2637"/>
      <c r="W281" s="2637"/>
      <c r="X281" s="2637"/>
      <c r="Y281" s="2637"/>
      <c r="Z281" s="2637"/>
      <c r="AA281" s="2637"/>
      <c r="AB281" s="2637"/>
      <c r="AC281" s="2637"/>
      <c r="AD281" s="2638"/>
      <c r="AE281" s="550"/>
      <c r="AF281" s="635"/>
      <c r="AG281" s="635"/>
      <c r="AH281" s="635"/>
      <c r="AI281" s="635"/>
      <c r="AJ281" s="550"/>
      <c r="AK281" s="550"/>
      <c r="AL281" s="550"/>
      <c r="AM281" s="550"/>
      <c r="AO281" s="550"/>
      <c r="AP281" s="637"/>
    </row>
    <row r="282" spans="1:52" ht="13.7" customHeight="1">
      <c r="A282" s="550"/>
      <c r="B282" s="596"/>
      <c r="C282" s="2478"/>
      <c r="D282" s="2478"/>
      <c r="E282" s="547"/>
      <c r="F282" s="2639"/>
      <c r="G282" s="2640"/>
      <c r="H282" s="2640"/>
      <c r="I282" s="2640"/>
      <c r="J282" s="2640"/>
      <c r="K282" s="2640"/>
      <c r="L282" s="2640"/>
      <c r="M282" s="2640"/>
      <c r="N282" s="2640"/>
      <c r="O282" s="2640"/>
      <c r="P282" s="2640"/>
      <c r="Q282" s="2640"/>
      <c r="R282" s="2640"/>
      <c r="S282" s="2640"/>
      <c r="T282" s="2640"/>
      <c r="U282" s="2640"/>
      <c r="V282" s="2640"/>
      <c r="W282" s="2640"/>
      <c r="X282" s="2640"/>
      <c r="Y282" s="2640"/>
      <c r="Z282" s="2640"/>
      <c r="AA282" s="2640"/>
      <c r="AB282" s="2640"/>
      <c r="AC282" s="2640"/>
      <c r="AD282" s="2641"/>
      <c r="AE282" s="550"/>
      <c r="AF282" s="635"/>
      <c r="AG282" s="2477"/>
      <c r="AH282" s="2477"/>
      <c r="AI282" s="2477"/>
      <c r="AJ282" s="2477"/>
      <c r="AK282" s="550"/>
      <c r="AL282" s="550"/>
      <c r="AM282" s="550"/>
    </row>
    <row r="283" spans="1:52" ht="13.7" hidden="1" customHeight="1">
      <c r="A283" s="550"/>
      <c r="C283" s="603"/>
      <c r="D283" s="603"/>
      <c r="E283" s="603"/>
      <c r="F283" s="1023"/>
      <c r="G283" s="1024"/>
      <c r="H283" s="1024"/>
      <c r="I283" s="1024"/>
      <c r="J283" s="1024"/>
      <c r="K283" s="1024"/>
      <c r="L283" s="1024"/>
      <c r="M283" s="1024"/>
      <c r="N283" s="1024"/>
      <c r="O283" s="1024"/>
      <c r="P283" s="1024"/>
      <c r="Q283" s="1024"/>
      <c r="R283" s="1024"/>
      <c r="S283" s="1024"/>
      <c r="T283" s="1024"/>
      <c r="U283" s="1024"/>
      <c r="V283" s="1024"/>
      <c r="W283" s="1024"/>
      <c r="X283" s="1024"/>
      <c r="Y283" s="1024"/>
      <c r="Z283" s="1024"/>
      <c r="AA283" s="1024"/>
      <c r="AB283" s="1024"/>
      <c r="AC283" s="1024"/>
      <c r="AD283" s="1025"/>
      <c r="AE283" s="603"/>
      <c r="AF283" s="603"/>
      <c r="AG283" s="603"/>
      <c r="AH283" s="603"/>
      <c r="AI283" s="635"/>
      <c r="AJ283" s="550"/>
      <c r="AK283" s="550"/>
      <c r="AL283" s="550"/>
      <c r="AM283" s="550"/>
    </row>
    <row r="284" spans="1:52">
      <c r="A284" s="550"/>
      <c r="B284" s="603"/>
      <c r="C284" s="603"/>
      <c r="D284" s="603"/>
      <c r="E284" s="603"/>
      <c r="F284" s="603"/>
      <c r="G284" s="603"/>
      <c r="H284" s="603"/>
      <c r="I284" s="603"/>
      <c r="J284" s="603"/>
      <c r="K284" s="603"/>
      <c r="L284" s="603"/>
      <c r="M284" s="603"/>
      <c r="N284" s="603"/>
      <c r="O284" s="603"/>
      <c r="P284" s="603"/>
      <c r="Q284" s="603"/>
      <c r="R284" s="603"/>
      <c r="S284" s="603"/>
      <c r="T284" s="603"/>
      <c r="U284" s="603"/>
      <c r="V284" s="603"/>
      <c r="W284" s="603"/>
      <c r="X284" s="603"/>
      <c r="Y284" s="603"/>
      <c r="Z284" s="603"/>
      <c r="AA284" s="603"/>
      <c r="AB284" s="603"/>
      <c r="AC284" s="603"/>
      <c r="AD284" s="603"/>
      <c r="AE284" s="603"/>
      <c r="AF284" s="603"/>
      <c r="AG284" s="603"/>
      <c r="AH284" s="603"/>
      <c r="AI284" s="603"/>
      <c r="AJ284" s="603"/>
      <c r="AK284" s="603"/>
      <c r="AL284" s="550"/>
      <c r="AM284" s="550"/>
      <c r="AN284" s="73"/>
    </row>
    <row r="285" spans="1:52">
      <c r="A285" s="606"/>
      <c r="B285" s="564"/>
      <c r="C285" s="564"/>
      <c r="D285" s="564"/>
      <c r="E285" s="564"/>
      <c r="F285" s="564"/>
      <c r="G285" s="564"/>
      <c r="H285" s="564"/>
      <c r="I285" s="564"/>
      <c r="J285" s="564"/>
      <c r="K285" s="564"/>
      <c r="L285" s="564"/>
      <c r="M285" s="564"/>
      <c r="N285" s="564"/>
      <c r="O285" s="564"/>
      <c r="P285" s="564"/>
      <c r="Q285" s="564"/>
      <c r="R285" s="564"/>
      <c r="S285" s="564"/>
      <c r="T285" s="564"/>
      <c r="U285" s="564"/>
      <c r="V285" s="564"/>
      <c r="W285" s="564"/>
      <c r="X285" s="564"/>
      <c r="Y285" s="564"/>
      <c r="Z285" s="564"/>
      <c r="AA285" s="564"/>
      <c r="AB285" s="564"/>
      <c r="AC285" s="564"/>
      <c r="AD285" s="564"/>
      <c r="AE285" s="564"/>
      <c r="AF285" s="564"/>
      <c r="AG285" s="564"/>
      <c r="AH285" s="564"/>
      <c r="AI285" s="565"/>
      <c r="AJ285" s="565" t="s">
        <v>1379</v>
      </c>
      <c r="AK285" s="2484">
        <f>IF($C$278="yes",10,0)</f>
        <v>10</v>
      </c>
      <c r="AL285" s="2484"/>
      <c r="AM285" s="2485"/>
      <c r="AN285" s="73"/>
    </row>
    <row r="286" spans="1:52" ht="13.5" thickBot="1"/>
    <row r="287" spans="1:52" ht="13.5" thickTop="1">
      <c r="A287" s="638"/>
      <c r="B287" s="638"/>
      <c r="C287" s="638"/>
      <c r="D287" s="638"/>
      <c r="E287" s="638"/>
      <c r="F287" s="638"/>
      <c r="G287" s="638"/>
      <c r="H287" s="638"/>
      <c r="I287" s="638"/>
      <c r="J287" s="638"/>
      <c r="K287" s="638"/>
      <c r="L287" s="638"/>
      <c r="M287" s="638"/>
      <c r="N287" s="638"/>
      <c r="O287" s="638"/>
      <c r="P287" s="638"/>
      <c r="Q287" s="638"/>
      <c r="R287" s="638"/>
      <c r="S287" s="638"/>
      <c r="T287" s="638"/>
      <c r="U287" s="638"/>
      <c r="V287" s="638"/>
      <c r="W287" s="638"/>
      <c r="X287" s="638"/>
      <c r="Y287" s="638"/>
      <c r="Z287" s="638"/>
      <c r="AA287" s="638"/>
      <c r="AB287" s="638"/>
      <c r="AC287" s="638"/>
      <c r="AD287" s="638"/>
      <c r="AE287" s="638"/>
      <c r="AF287" s="638"/>
      <c r="AG287" s="638"/>
      <c r="AH287" s="638"/>
      <c r="AI287" s="638"/>
      <c r="AJ287" s="638"/>
      <c r="AK287" s="638"/>
      <c r="AL287" s="638"/>
      <c r="AM287" s="639"/>
    </row>
    <row r="288" spans="1:52">
      <c r="A288" s="538" t="s">
        <v>1380</v>
      </c>
      <c r="B288" s="538" t="s">
        <v>1854</v>
      </c>
      <c r="AH288" s="591" t="s">
        <v>1314</v>
      </c>
    </row>
    <row r="289" spans="1:49" ht="15" customHeight="1">
      <c r="B289" s="539"/>
    </row>
    <row r="290" spans="1:49" ht="15" customHeight="1">
      <c r="B290" s="539" t="s">
        <v>1728</v>
      </c>
    </row>
    <row r="291" spans="1:49">
      <c r="B291" s="550"/>
      <c r="C291" s="640"/>
      <c r="D291" s="550"/>
      <c r="E291" s="550"/>
      <c r="F291" s="550"/>
      <c r="G291" s="550"/>
      <c r="H291" s="550"/>
      <c r="I291" s="550"/>
      <c r="J291" s="550"/>
      <c r="K291" s="550"/>
      <c r="L291" s="550"/>
      <c r="M291" s="550"/>
      <c r="N291" s="550"/>
      <c r="O291" s="550"/>
      <c r="P291" s="550"/>
      <c r="Q291" s="550"/>
      <c r="R291" s="550"/>
      <c r="S291" s="550"/>
      <c r="T291" s="550"/>
      <c r="U291" s="550"/>
      <c r="V291" s="550"/>
      <c r="W291" s="550"/>
      <c r="X291" s="550"/>
      <c r="Y291" s="550"/>
      <c r="Z291" s="550"/>
      <c r="AA291" s="550"/>
      <c r="AB291" s="550"/>
      <c r="AC291" s="550"/>
      <c r="AD291" s="550"/>
      <c r="AG291" s="550"/>
      <c r="AI291" s="550"/>
      <c r="AJ291" s="550"/>
      <c r="AK291" s="550"/>
      <c r="AL291" s="550"/>
      <c r="AM291" s="550"/>
      <c r="AN291" s="73"/>
      <c r="AO291" s="14"/>
      <c r="AP291" s="570"/>
      <c r="AQ291" s="641"/>
      <c r="AR291" s="570"/>
      <c r="AS291" s="570"/>
      <c r="AT291" s="570"/>
      <c r="AU291" s="570"/>
      <c r="AV291" s="32"/>
      <c r="AW291" s="32"/>
    </row>
    <row r="292" spans="1:49" ht="12.75" customHeight="1">
      <c r="A292" s="1628" t="s">
        <v>1382</v>
      </c>
      <c r="B292" s="1628"/>
      <c r="C292" s="2472" t="s">
        <v>591</v>
      </c>
      <c r="D292" s="2476"/>
      <c r="E292" s="547"/>
      <c r="F292" s="2504" t="s">
        <v>1383</v>
      </c>
      <c r="G292" s="2505"/>
      <c r="H292" s="2505"/>
      <c r="I292" s="2505"/>
      <c r="J292" s="2505"/>
      <c r="K292" s="2505"/>
      <c r="L292" s="2505"/>
      <c r="M292" s="2505"/>
      <c r="N292" s="2505"/>
      <c r="O292" s="2505"/>
      <c r="P292" s="2505"/>
      <c r="Q292" s="2505"/>
      <c r="R292" s="2505"/>
      <c r="S292" s="2505"/>
      <c r="T292" s="2505"/>
      <c r="U292" s="2505"/>
      <c r="V292" s="2505"/>
      <c r="W292" s="2505"/>
      <c r="X292" s="2505"/>
      <c r="Y292" s="2505"/>
      <c r="Z292" s="2505"/>
      <c r="AA292" s="2505"/>
      <c r="AB292" s="2505"/>
      <c r="AC292" s="2505"/>
      <c r="AD292" s="2506"/>
      <c r="AE292" s="642"/>
      <c r="AF292" s="550"/>
      <c r="AG292" s="2507" t="s">
        <v>2018</v>
      </c>
      <c r="AH292" s="2507"/>
      <c r="AI292" s="2507"/>
      <c r="AJ292" s="2507"/>
      <c r="AK292" s="2507"/>
      <c r="AL292" s="550"/>
      <c r="AM292" s="550"/>
      <c r="AN292" s="73"/>
      <c r="AO292" s="14"/>
      <c r="AP292" s="30"/>
      <c r="AS292" s="570"/>
      <c r="AT292" s="570"/>
      <c r="AU292" s="570"/>
      <c r="AV292" s="32"/>
      <c r="AW292" s="32"/>
    </row>
    <row r="293" spans="1:49">
      <c r="A293" s="640"/>
      <c r="B293" s="596"/>
      <c r="F293" s="2498"/>
      <c r="G293" s="2499"/>
      <c r="H293" s="2499"/>
      <c r="I293" s="2499"/>
      <c r="J293" s="2499"/>
      <c r="K293" s="2499"/>
      <c r="L293" s="2499"/>
      <c r="M293" s="2499"/>
      <c r="N293" s="2499"/>
      <c r="O293" s="2499"/>
      <c r="P293" s="2499"/>
      <c r="Q293" s="2499"/>
      <c r="R293" s="2499"/>
      <c r="S293" s="2499"/>
      <c r="T293" s="2499"/>
      <c r="U293" s="2499"/>
      <c r="V293" s="2499"/>
      <c r="W293" s="2499"/>
      <c r="X293" s="2499"/>
      <c r="Y293" s="2499"/>
      <c r="Z293" s="2499"/>
      <c r="AA293" s="2499"/>
      <c r="AB293" s="2499"/>
      <c r="AC293" s="2499"/>
      <c r="AD293" s="2500"/>
      <c r="AE293" s="642"/>
      <c r="AF293" s="551"/>
      <c r="AH293" s="551"/>
      <c r="AI293" s="551"/>
      <c r="AJ293" s="550"/>
      <c r="AK293" s="550"/>
      <c r="AL293" s="550"/>
      <c r="AM293" s="550"/>
      <c r="AN293" s="73"/>
      <c r="AO293" s="14"/>
      <c r="AP293" s="550">
        <f>IF($C$292="yes",10,IF(C292="50% Met",9,0))</f>
        <v>0</v>
      </c>
      <c r="AS293" s="570"/>
      <c r="AT293" s="570"/>
      <c r="AU293" s="570"/>
      <c r="AV293" s="32"/>
      <c r="AW293" s="32"/>
    </row>
    <row r="294" spans="1:49" ht="15" customHeight="1">
      <c r="A294" s="640"/>
      <c r="B294" s="596"/>
      <c r="F294" s="2498"/>
      <c r="G294" s="2499"/>
      <c r="H294" s="2499"/>
      <c r="I294" s="2499"/>
      <c r="J294" s="2499"/>
      <c r="K294" s="2499"/>
      <c r="L294" s="2499"/>
      <c r="M294" s="2499"/>
      <c r="N294" s="2499"/>
      <c r="O294" s="2499"/>
      <c r="P294" s="2499"/>
      <c r="Q294" s="2499"/>
      <c r="R294" s="2499"/>
      <c r="S294" s="2499"/>
      <c r="T294" s="2499"/>
      <c r="U294" s="2499"/>
      <c r="V294" s="2499"/>
      <c r="W294" s="2499"/>
      <c r="X294" s="2499"/>
      <c r="Y294" s="2499"/>
      <c r="Z294" s="2499"/>
      <c r="AA294" s="2499"/>
      <c r="AB294" s="2499"/>
      <c r="AC294" s="2499"/>
      <c r="AD294" s="2500"/>
      <c r="AE294" s="642"/>
      <c r="AF294" s="551"/>
      <c r="AH294" s="551"/>
      <c r="AI294" s="551"/>
      <c r="AJ294" s="550"/>
      <c r="AK294" s="550"/>
      <c r="AL294" s="550"/>
      <c r="AM294" s="550"/>
      <c r="AN294" s="73"/>
      <c r="AO294" s="14"/>
      <c r="AP294" s="550">
        <f>IF($C$302="yes",9,0)</f>
        <v>9</v>
      </c>
      <c r="AS294" s="570"/>
      <c r="AT294" s="570"/>
      <c r="AU294" s="570"/>
      <c r="AV294" s="32"/>
      <c r="AW294" s="32"/>
    </row>
    <row r="295" spans="1:49" ht="12.75" customHeight="1">
      <c r="A295" s="640"/>
      <c r="B295" s="596"/>
      <c r="F295" s="2498" t="s">
        <v>2026</v>
      </c>
      <c r="G295" s="2499"/>
      <c r="H295" s="2499"/>
      <c r="I295" s="2499"/>
      <c r="J295" s="2499"/>
      <c r="K295" s="2499"/>
      <c r="L295" s="2499"/>
      <c r="M295" s="2499"/>
      <c r="N295" s="2499"/>
      <c r="O295" s="2499"/>
      <c r="P295" s="2499"/>
      <c r="Q295" s="2499"/>
      <c r="R295" s="2499"/>
      <c r="S295" s="2499"/>
      <c r="T295" s="2499"/>
      <c r="U295" s="2499"/>
      <c r="V295" s="2499"/>
      <c r="W295" s="2499"/>
      <c r="X295" s="2499"/>
      <c r="Y295" s="2499"/>
      <c r="Z295" s="2499"/>
      <c r="AA295" s="2499"/>
      <c r="AB295" s="2499"/>
      <c r="AC295" s="2499"/>
      <c r="AD295" s="2500"/>
      <c r="AE295" s="642"/>
      <c r="AF295" s="551"/>
      <c r="AH295" s="551"/>
      <c r="AI295" s="551"/>
      <c r="AJ295" s="550"/>
      <c r="AK295" s="550"/>
      <c r="AL295" s="550"/>
      <c r="AM295" s="550"/>
      <c r="AN295" s="73"/>
      <c r="AO295" s="14"/>
      <c r="AP295" s="611">
        <f>MAX(AP293,AP294)</f>
        <v>9</v>
      </c>
      <c r="AQ295" s="574" t="s">
        <v>1316</v>
      </c>
      <c r="AS295" s="570"/>
      <c r="AT295" s="570"/>
      <c r="AU295" s="570"/>
      <c r="AV295" s="32"/>
      <c r="AW295" s="32"/>
    </row>
    <row r="296" spans="1:49">
      <c r="A296" s="640"/>
      <c r="B296" s="596"/>
      <c r="F296" s="2498"/>
      <c r="G296" s="2499"/>
      <c r="H296" s="2499"/>
      <c r="I296" s="2499"/>
      <c r="J296" s="2499"/>
      <c r="K296" s="2499"/>
      <c r="L296" s="2499"/>
      <c r="M296" s="2499"/>
      <c r="N296" s="2499"/>
      <c r="O296" s="2499"/>
      <c r="P296" s="2499"/>
      <c r="Q296" s="2499"/>
      <c r="R296" s="2499"/>
      <c r="S296" s="2499"/>
      <c r="T296" s="2499"/>
      <c r="U296" s="2499"/>
      <c r="V296" s="2499"/>
      <c r="W296" s="2499"/>
      <c r="X296" s="2499"/>
      <c r="Y296" s="2499"/>
      <c r="Z296" s="2499"/>
      <c r="AA296" s="2499"/>
      <c r="AB296" s="2499"/>
      <c r="AC296" s="2499"/>
      <c r="AD296" s="2500"/>
      <c r="AE296" s="642"/>
      <c r="AF296" s="551"/>
      <c r="AH296" s="551"/>
      <c r="AI296" s="551"/>
      <c r="AJ296" s="550"/>
      <c r="AK296" s="550"/>
      <c r="AL296" s="550"/>
      <c r="AM296" s="550"/>
      <c r="AN296" s="73"/>
      <c r="AO296" s="14"/>
      <c r="AP296" s="550"/>
      <c r="AS296" s="570"/>
      <c r="AT296" s="570"/>
      <c r="AU296" s="570"/>
      <c r="AV296" s="32"/>
      <c r="AW296" s="32"/>
    </row>
    <row r="297" spans="1:49" ht="12.75" customHeight="1">
      <c r="A297" s="550"/>
      <c r="B297" s="551"/>
      <c r="C297" s="550"/>
      <c r="D297" s="551"/>
      <c r="E297" s="550"/>
      <c r="F297" s="2498" t="s">
        <v>1384</v>
      </c>
      <c r="G297" s="2499"/>
      <c r="H297" s="2499"/>
      <c r="I297" s="2499"/>
      <c r="J297" s="2499"/>
      <c r="K297" s="2499"/>
      <c r="L297" s="2499"/>
      <c r="M297" s="2499"/>
      <c r="N297" s="2499"/>
      <c r="O297" s="2499"/>
      <c r="P297" s="2499"/>
      <c r="Q297" s="2499"/>
      <c r="R297" s="2499"/>
      <c r="S297" s="2499"/>
      <c r="T297" s="2499"/>
      <c r="U297" s="2499"/>
      <c r="V297" s="2499"/>
      <c r="W297" s="2499"/>
      <c r="X297" s="2499"/>
      <c r="Y297" s="2499"/>
      <c r="Z297" s="2499"/>
      <c r="AA297" s="2499"/>
      <c r="AB297" s="2499"/>
      <c r="AC297" s="2499"/>
      <c r="AD297" s="2500"/>
      <c r="AE297" s="642"/>
      <c r="AF297" s="551"/>
      <c r="AG297" s="551"/>
      <c r="AH297" s="551"/>
      <c r="AI297" s="551"/>
      <c r="AJ297" s="550"/>
      <c r="AK297" s="550"/>
      <c r="AL297" s="550"/>
      <c r="AM297" s="550"/>
      <c r="AN297" s="73"/>
      <c r="AO297" s="14"/>
      <c r="AS297" s="570"/>
      <c r="AT297" s="570"/>
      <c r="AU297" s="570"/>
      <c r="AV297" s="32"/>
      <c r="AW297" s="32"/>
    </row>
    <row r="298" spans="1:49" ht="15" customHeight="1">
      <c r="A298" s="550"/>
      <c r="B298" s="551"/>
      <c r="C298" s="551"/>
      <c r="D298" s="551"/>
      <c r="E298" s="551"/>
      <c r="F298" s="2498"/>
      <c r="G298" s="2499"/>
      <c r="H298" s="2499"/>
      <c r="I298" s="2499"/>
      <c r="J298" s="2499"/>
      <c r="K298" s="2499"/>
      <c r="L298" s="2499"/>
      <c r="M298" s="2499"/>
      <c r="N298" s="2499"/>
      <c r="O298" s="2499"/>
      <c r="P298" s="2499"/>
      <c r="Q298" s="2499"/>
      <c r="R298" s="2499"/>
      <c r="S298" s="2499"/>
      <c r="T298" s="2499"/>
      <c r="U298" s="2499"/>
      <c r="V298" s="2499"/>
      <c r="W298" s="2499"/>
      <c r="X298" s="2499"/>
      <c r="Y298" s="2499"/>
      <c r="Z298" s="2499"/>
      <c r="AA298" s="2499"/>
      <c r="AB298" s="2499"/>
      <c r="AC298" s="2499"/>
      <c r="AD298" s="2500"/>
      <c r="AE298" s="642"/>
      <c r="AF298" s="551"/>
      <c r="AG298" s="551"/>
      <c r="AH298" s="551"/>
      <c r="AI298" s="551"/>
      <c r="AJ298" s="550"/>
      <c r="AK298" s="550"/>
      <c r="AL298" s="550"/>
      <c r="AM298" s="550"/>
      <c r="AN298" s="73"/>
      <c r="AO298" s="14"/>
      <c r="AS298" s="570"/>
      <c r="AT298" s="570"/>
      <c r="AU298" s="570"/>
      <c r="AV298" s="32"/>
      <c r="AW298" s="32"/>
    </row>
    <row r="299" spans="1:49" ht="12.75" customHeight="1">
      <c r="A299" s="550"/>
      <c r="B299" s="551"/>
      <c r="C299" s="551"/>
      <c r="D299" s="551"/>
      <c r="E299" s="551"/>
      <c r="F299" s="2498" t="s">
        <v>1385</v>
      </c>
      <c r="G299" s="2499"/>
      <c r="H299" s="2499"/>
      <c r="I299" s="2499"/>
      <c r="J299" s="2499"/>
      <c r="K299" s="2499"/>
      <c r="L299" s="2499"/>
      <c r="M299" s="2499"/>
      <c r="N299" s="2499"/>
      <c r="O299" s="2499"/>
      <c r="P299" s="2499"/>
      <c r="Q299" s="2499"/>
      <c r="R299" s="2499"/>
      <c r="S299" s="2499"/>
      <c r="T299" s="2499"/>
      <c r="U299" s="2499"/>
      <c r="V299" s="2499"/>
      <c r="W299" s="2499"/>
      <c r="X299" s="2499"/>
      <c r="Y299" s="2499"/>
      <c r="Z299" s="2499"/>
      <c r="AA299" s="2499"/>
      <c r="AB299" s="2499"/>
      <c r="AC299" s="2499"/>
      <c r="AD299" s="2500"/>
      <c r="AE299" s="643"/>
      <c r="AF299" s="551"/>
      <c r="AG299" s="551"/>
      <c r="AH299" s="551"/>
      <c r="AI299" s="551"/>
      <c r="AJ299" s="550"/>
      <c r="AK299" s="550"/>
      <c r="AL299" s="550"/>
      <c r="AM299" s="550"/>
      <c r="AN299" s="73"/>
      <c r="AO299" s="14"/>
      <c r="AP299" s="550"/>
      <c r="AS299" s="570"/>
      <c r="AT299" s="570"/>
      <c r="AU299" s="570"/>
      <c r="AV299" s="32"/>
      <c r="AW299" s="32"/>
    </row>
    <row r="300" spans="1:49">
      <c r="A300" s="550"/>
      <c r="B300" s="551"/>
      <c r="C300" s="551"/>
      <c r="D300" s="551"/>
      <c r="E300" s="551"/>
      <c r="F300" s="2501"/>
      <c r="G300" s="2502"/>
      <c r="H300" s="2502"/>
      <c r="I300" s="2502"/>
      <c r="J300" s="2502"/>
      <c r="K300" s="2502"/>
      <c r="L300" s="2502"/>
      <c r="M300" s="2502"/>
      <c r="N300" s="2502"/>
      <c r="O300" s="2502"/>
      <c r="P300" s="2502"/>
      <c r="Q300" s="2502"/>
      <c r="R300" s="2502"/>
      <c r="S300" s="2502"/>
      <c r="T300" s="2502"/>
      <c r="U300" s="2502"/>
      <c r="V300" s="2502"/>
      <c r="W300" s="2502"/>
      <c r="X300" s="2502"/>
      <c r="Y300" s="2502"/>
      <c r="Z300" s="2502"/>
      <c r="AA300" s="2502"/>
      <c r="AB300" s="2502"/>
      <c r="AC300" s="2502"/>
      <c r="AD300" s="2503"/>
      <c r="AE300" s="643"/>
      <c r="AF300" s="551"/>
      <c r="AG300" s="551"/>
      <c r="AH300" s="551"/>
      <c r="AI300" s="551"/>
      <c r="AJ300" s="550"/>
      <c r="AK300" s="550"/>
      <c r="AL300" s="550"/>
      <c r="AM300" s="550"/>
      <c r="AN300" s="73"/>
      <c r="AO300" s="14"/>
      <c r="AP300" s="550"/>
      <c r="AS300" s="570"/>
      <c r="AT300" s="570"/>
      <c r="AU300" s="570"/>
      <c r="AV300" s="32"/>
      <c r="AW300" s="32"/>
    </row>
    <row r="301" spans="1:49">
      <c r="A301" s="550"/>
      <c r="B301" s="551"/>
      <c r="C301" s="551"/>
      <c r="D301" s="551"/>
      <c r="E301" s="551"/>
      <c r="F301" s="643"/>
      <c r="G301" s="643"/>
      <c r="H301" s="643"/>
      <c r="I301" s="643"/>
      <c r="J301" s="643"/>
      <c r="K301" s="643"/>
      <c r="L301" s="643"/>
      <c r="M301" s="643"/>
      <c r="N301" s="643"/>
      <c r="O301" s="643"/>
      <c r="P301" s="643"/>
      <c r="Q301" s="643"/>
      <c r="R301" s="643"/>
      <c r="S301" s="643"/>
      <c r="T301" s="643"/>
      <c r="U301" s="643"/>
      <c r="V301" s="643"/>
      <c r="W301" s="643"/>
      <c r="X301" s="643"/>
      <c r="Y301" s="643"/>
      <c r="Z301" s="643"/>
      <c r="AA301" s="643"/>
      <c r="AB301" s="643"/>
      <c r="AC301" s="643"/>
      <c r="AD301" s="643"/>
      <c r="AE301" s="551"/>
      <c r="AF301" s="551"/>
      <c r="AG301" s="551"/>
      <c r="AH301" s="551"/>
      <c r="AI301" s="551"/>
      <c r="AJ301" s="550"/>
      <c r="AK301" s="550"/>
      <c r="AL301" s="550"/>
      <c r="AM301" s="550"/>
      <c r="AN301" s="73"/>
      <c r="AO301" s="14"/>
      <c r="AS301" s="570"/>
      <c r="AT301" s="570"/>
      <c r="AU301" s="570"/>
      <c r="AV301" s="32"/>
      <c r="AW301" s="32"/>
    </row>
    <row r="302" spans="1:49" ht="15" customHeight="1">
      <c r="A302" s="1628" t="s">
        <v>1386</v>
      </c>
      <c r="B302" s="1628"/>
      <c r="C302" s="2476" t="s">
        <v>545</v>
      </c>
      <c r="D302" s="2476"/>
      <c r="E302" s="547"/>
      <c r="F302" s="644" t="s">
        <v>2019</v>
      </c>
      <c r="G302" s="645"/>
      <c r="H302" s="645"/>
      <c r="I302" s="645"/>
      <c r="J302" s="645"/>
      <c r="K302" s="645"/>
      <c r="L302" s="645"/>
      <c r="M302" s="645"/>
      <c r="N302" s="645"/>
      <c r="O302" s="645"/>
      <c r="P302" s="645"/>
      <c r="Q302" s="645"/>
      <c r="R302" s="645"/>
      <c r="S302" s="645"/>
      <c r="T302" s="645"/>
      <c r="U302" s="645"/>
      <c r="V302" s="645"/>
      <c r="W302" s="645"/>
      <c r="X302" s="645"/>
      <c r="Y302" s="645"/>
      <c r="Z302" s="645"/>
      <c r="AA302" s="645"/>
      <c r="AB302" s="645"/>
      <c r="AC302" s="645"/>
      <c r="AD302" s="646"/>
      <c r="AE302" s="551"/>
      <c r="AF302" s="551"/>
      <c r="AG302" s="539" t="s">
        <v>1388</v>
      </c>
      <c r="AH302" s="551"/>
      <c r="AI302" s="551"/>
      <c r="AJ302" s="550"/>
      <c r="AK302" s="550"/>
      <c r="AL302" s="550"/>
      <c r="AM302" s="550"/>
      <c r="AN302" s="647"/>
      <c r="AO302" s="14"/>
    </row>
    <row r="303" spans="1:49">
      <c r="A303" s="550"/>
      <c r="B303" s="551"/>
      <c r="C303" s="550"/>
      <c r="D303" s="551"/>
      <c r="E303" s="550"/>
      <c r="F303" s="2406" t="s">
        <v>2020</v>
      </c>
      <c r="G303" s="2407"/>
      <c r="H303" s="2407"/>
      <c r="I303" s="2407"/>
      <c r="J303" s="2407"/>
      <c r="K303" s="2407"/>
      <c r="L303" s="2407"/>
      <c r="M303" s="2407"/>
      <c r="N303" s="2407"/>
      <c r="O303" s="2407"/>
      <c r="P303" s="2407"/>
      <c r="Q303" s="2407"/>
      <c r="R303" s="2407"/>
      <c r="S303" s="2407"/>
      <c r="T303" s="2407"/>
      <c r="U303" s="2407"/>
      <c r="V303" s="2407"/>
      <c r="W303" s="2407"/>
      <c r="X303" s="2407"/>
      <c r="Y303" s="2407"/>
      <c r="Z303" s="2407"/>
      <c r="AA303" s="2407"/>
      <c r="AB303" s="2407"/>
      <c r="AC303" s="2407"/>
      <c r="AD303" s="2408"/>
      <c r="AE303" s="551"/>
      <c r="AF303" s="551"/>
      <c r="AG303" s="551"/>
      <c r="AH303" s="551"/>
      <c r="AI303" s="551"/>
      <c r="AJ303" s="550"/>
      <c r="AK303" s="550"/>
      <c r="AL303" s="550"/>
      <c r="AM303" s="550"/>
      <c r="AR303" s="648"/>
    </row>
    <row r="304" spans="1:49" ht="15" customHeight="1">
      <c r="A304" s="550"/>
      <c r="B304" s="551"/>
      <c r="C304" s="550"/>
      <c r="D304" s="551"/>
      <c r="E304" s="550"/>
      <c r="F304" s="2406"/>
      <c r="G304" s="2407"/>
      <c r="H304" s="2407"/>
      <c r="I304" s="2407"/>
      <c r="J304" s="2407"/>
      <c r="K304" s="2407"/>
      <c r="L304" s="2407"/>
      <c r="M304" s="2407"/>
      <c r="N304" s="2407"/>
      <c r="O304" s="2407"/>
      <c r="P304" s="2407"/>
      <c r="Q304" s="2407"/>
      <c r="R304" s="2407"/>
      <c r="S304" s="2407"/>
      <c r="T304" s="2407"/>
      <c r="U304" s="2407"/>
      <c r="V304" s="2407"/>
      <c r="W304" s="2407"/>
      <c r="X304" s="2407"/>
      <c r="Y304" s="2407"/>
      <c r="Z304" s="2407"/>
      <c r="AA304" s="2407"/>
      <c r="AB304" s="2407"/>
      <c r="AC304" s="2407"/>
      <c r="AD304" s="2408"/>
      <c r="AE304" s="551"/>
      <c r="AF304" s="551"/>
      <c r="AG304" s="551"/>
      <c r="AH304" s="551"/>
      <c r="AI304" s="551"/>
      <c r="AJ304" s="550"/>
      <c r="AK304" s="550"/>
      <c r="AL304" s="550"/>
      <c r="AM304" s="550"/>
      <c r="AR304" s="648"/>
    </row>
    <row r="305" spans="1:44">
      <c r="A305" s="550"/>
      <c r="B305" s="551"/>
      <c r="C305" s="550"/>
      <c r="D305" s="551"/>
      <c r="E305" s="550"/>
      <c r="F305" s="2406"/>
      <c r="G305" s="2407"/>
      <c r="H305" s="2407"/>
      <c r="I305" s="2407"/>
      <c r="J305" s="2407"/>
      <c r="K305" s="2407"/>
      <c r="L305" s="2407"/>
      <c r="M305" s="2407"/>
      <c r="N305" s="2407"/>
      <c r="O305" s="2407"/>
      <c r="P305" s="2407"/>
      <c r="Q305" s="2407"/>
      <c r="R305" s="2407"/>
      <c r="S305" s="2407"/>
      <c r="T305" s="2407"/>
      <c r="U305" s="2407"/>
      <c r="V305" s="2407"/>
      <c r="W305" s="2407"/>
      <c r="X305" s="2407"/>
      <c r="Y305" s="2407"/>
      <c r="Z305" s="2407"/>
      <c r="AA305" s="2407"/>
      <c r="AB305" s="2407"/>
      <c r="AC305" s="2407"/>
      <c r="AD305" s="2408"/>
      <c r="AE305" s="551"/>
      <c r="AF305" s="551"/>
      <c r="AG305" s="551"/>
      <c r="AH305" s="551"/>
      <c r="AI305" s="551"/>
      <c r="AJ305" s="550"/>
      <c r="AK305" s="550"/>
      <c r="AL305" s="550"/>
      <c r="AM305" s="550"/>
      <c r="AP305" s="611"/>
      <c r="AQ305" s="574"/>
      <c r="AR305" s="648"/>
    </row>
    <row r="306" spans="1:44" ht="15" customHeight="1">
      <c r="A306" s="550"/>
      <c r="B306" s="551"/>
      <c r="C306" s="550"/>
      <c r="D306" s="551"/>
      <c r="E306" s="550"/>
      <c r="F306" s="2403"/>
      <c r="G306" s="2404"/>
      <c r="H306" s="2404"/>
      <c r="I306" s="2404"/>
      <c r="J306" s="2404"/>
      <c r="K306" s="2404"/>
      <c r="L306" s="2404"/>
      <c r="M306" s="2404"/>
      <c r="N306" s="2404"/>
      <c r="O306" s="2404"/>
      <c r="P306" s="2404"/>
      <c r="Q306" s="2404"/>
      <c r="R306" s="2404"/>
      <c r="S306" s="2404"/>
      <c r="T306" s="2404"/>
      <c r="U306" s="2404"/>
      <c r="V306" s="2404"/>
      <c r="W306" s="2404"/>
      <c r="X306" s="2404"/>
      <c r="Y306" s="2404"/>
      <c r="Z306" s="2404"/>
      <c r="AA306" s="2404"/>
      <c r="AB306" s="2404"/>
      <c r="AC306" s="2404"/>
      <c r="AD306" s="2405"/>
      <c r="AE306" s="551"/>
      <c r="AF306" s="551"/>
      <c r="AG306" s="551"/>
      <c r="AH306" s="551"/>
      <c r="AI306" s="551"/>
      <c r="AJ306" s="550"/>
      <c r="AK306" s="550"/>
      <c r="AL306" s="550"/>
      <c r="AM306" s="550"/>
      <c r="AP306" s="611"/>
      <c r="AQ306" s="574"/>
      <c r="AR306" s="648"/>
    </row>
    <row r="307" spans="1:44">
      <c r="A307" s="550"/>
      <c r="B307" s="551"/>
      <c r="C307" s="551"/>
      <c r="D307" s="551"/>
      <c r="E307" s="551"/>
      <c r="F307" s="551"/>
      <c r="G307" s="551"/>
      <c r="H307" s="551"/>
      <c r="I307" s="551"/>
      <c r="J307" s="551"/>
      <c r="K307" s="551"/>
      <c r="L307" s="551"/>
      <c r="M307" s="551"/>
      <c r="N307" s="551"/>
      <c r="O307" s="551"/>
      <c r="P307" s="551"/>
      <c r="Q307" s="551"/>
      <c r="R307" s="551"/>
      <c r="S307" s="551"/>
      <c r="T307" s="551"/>
      <c r="U307" s="551"/>
      <c r="V307" s="551"/>
      <c r="W307" s="551"/>
      <c r="X307" s="551"/>
      <c r="Y307" s="551"/>
      <c r="Z307" s="551"/>
      <c r="AA307" s="551"/>
      <c r="AB307" s="551"/>
      <c r="AC307" s="551"/>
      <c r="AD307" s="551"/>
      <c r="AE307" s="551"/>
      <c r="AF307" s="551"/>
      <c r="AG307" s="551"/>
      <c r="AH307" s="551"/>
      <c r="AI307" s="551"/>
      <c r="AJ307" s="550"/>
      <c r="AK307" s="550"/>
      <c r="AL307" s="550"/>
      <c r="AM307" s="550"/>
      <c r="AP307" s="611"/>
      <c r="AQ307" s="574"/>
      <c r="AR307" s="648"/>
    </row>
    <row r="308" spans="1:44" hidden="1">
      <c r="A308" s="550"/>
      <c r="B308" s="551"/>
      <c r="C308" s="551"/>
      <c r="D308" s="551"/>
      <c r="E308" s="551"/>
      <c r="F308" s="551"/>
      <c r="G308" s="551"/>
      <c r="H308" s="551"/>
      <c r="I308" s="551"/>
      <c r="J308" s="551"/>
      <c r="K308" s="551"/>
      <c r="L308" s="551"/>
      <c r="M308" s="551"/>
      <c r="N308" s="551"/>
      <c r="O308" s="551"/>
      <c r="P308" s="551"/>
      <c r="Q308" s="551"/>
      <c r="R308" s="551"/>
      <c r="S308" s="551"/>
      <c r="T308" s="551"/>
      <c r="U308" s="551"/>
      <c r="V308" s="551"/>
      <c r="W308" s="551"/>
      <c r="X308" s="551"/>
      <c r="Y308" s="551"/>
      <c r="Z308" s="551"/>
      <c r="AA308" s="551"/>
      <c r="AB308" s="551"/>
      <c r="AC308" s="551"/>
      <c r="AD308" s="551"/>
      <c r="AE308" s="551"/>
      <c r="AF308" s="551"/>
      <c r="AG308" s="551"/>
      <c r="AH308" s="551"/>
      <c r="AI308" s="551"/>
      <c r="AJ308" s="550"/>
      <c r="AK308" s="550"/>
      <c r="AL308" s="550"/>
      <c r="AM308" s="550"/>
      <c r="AP308" s="611"/>
      <c r="AQ308" s="574"/>
      <c r="AR308" s="648"/>
    </row>
    <row r="309" spans="1:44" hidden="1">
      <c r="A309" s="550"/>
      <c r="B309" s="551"/>
      <c r="C309" s="551"/>
      <c r="D309" s="551"/>
      <c r="E309" s="551"/>
      <c r="F309" s="551"/>
      <c r="G309" s="551"/>
      <c r="H309" s="551"/>
      <c r="I309" s="551"/>
      <c r="J309" s="551"/>
      <c r="K309" s="551"/>
      <c r="L309" s="551"/>
      <c r="M309" s="551"/>
      <c r="N309" s="551"/>
      <c r="O309" s="551"/>
      <c r="P309" s="551"/>
      <c r="Q309" s="551"/>
      <c r="R309" s="551"/>
      <c r="S309" s="551"/>
      <c r="T309" s="551"/>
      <c r="U309" s="551"/>
      <c r="V309" s="551"/>
      <c r="W309" s="551"/>
      <c r="X309" s="551"/>
      <c r="Y309" s="551"/>
      <c r="Z309" s="551"/>
      <c r="AA309" s="551"/>
      <c r="AB309" s="551"/>
      <c r="AC309" s="551"/>
      <c r="AD309" s="551"/>
      <c r="AE309" s="551"/>
      <c r="AF309" s="551"/>
      <c r="AG309" s="551"/>
      <c r="AH309" s="551"/>
      <c r="AI309" s="551"/>
      <c r="AJ309" s="550"/>
      <c r="AK309" s="550"/>
      <c r="AL309" s="550"/>
      <c r="AM309" s="550"/>
      <c r="AN309" s="73"/>
      <c r="AO309" s="14"/>
    </row>
    <row r="310" spans="1:44" hidden="1">
      <c r="A310" s="1628" t="s">
        <v>1389</v>
      </c>
      <c r="B310" s="1628"/>
      <c r="C310" s="2476" t="s">
        <v>591</v>
      </c>
      <c r="D310" s="2476"/>
      <c r="E310" s="547"/>
      <c r="F310" s="644" t="s">
        <v>1387</v>
      </c>
      <c r="G310" s="649"/>
      <c r="H310" s="649"/>
      <c r="I310" s="649"/>
      <c r="J310" s="649"/>
      <c r="K310" s="649"/>
      <c r="L310" s="649"/>
      <c r="M310" s="649"/>
      <c r="N310" s="649"/>
      <c r="O310" s="649"/>
      <c r="P310" s="649"/>
      <c r="Q310" s="649"/>
      <c r="R310" s="649"/>
      <c r="S310" s="649"/>
      <c r="T310" s="649"/>
      <c r="U310" s="649"/>
      <c r="V310" s="649"/>
      <c r="W310" s="649"/>
      <c r="X310" s="649"/>
      <c r="Y310" s="649"/>
      <c r="Z310" s="649"/>
      <c r="AA310" s="649"/>
      <c r="AB310" s="649"/>
      <c r="AC310" s="649"/>
      <c r="AD310" s="650"/>
      <c r="AE310" s="551"/>
      <c r="AF310" s="551"/>
      <c r="AG310" s="539" t="s">
        <v>1388</v>
      </c>
      <c r="AH310" s="551"/>
      <c r="AI310" s="551"/>
      <c r="AJ310" s="550"/>
      <c r="AK310" s="550"/>
      <c r="AL310" s="550"/>
      <c r="AM310" s="550"/>
      <c r="AN310" s="73"/>
      <c r="AO310" s="14"/>
    </row>
    <row r="311" spans="1:44" hidden="1">
      <c r="A311" s="89"/>
      <c r="B311" s="89"/>
      <c r="C311" s="730"/>
      <c r="D311" s="730"/>
      <c r="E311" s="547"/>
      <c r="F311" s="2498" t="s">
        <v>2027</v>
      </c>
      <c r="G311" s="2499"/>
      <c r="H311" s="2499"/>
      <c r="I311" s="2499"/>
      <c r="J311" s="2499"/>
      <c r="K311" s="2499"/>
      <c r="L311" s="2499"/>
      <c r="M311" s="2499"/>
      <c r="N311" s="2499"/>
      <c r="O311" s="2499"/>
      <c r="P311" s="2499"/>
      <c r="Q311" s="2499"/>
      <c r="R311" s="2499"/>
      <c r="S311" s="2499"/>
      <c r="T311" s="2499"/>
      <c r="U311" s="2499"/>
      <c r="V311" s="2499"/>
      <c r="W311" s="2499"/>
      <c r="X311" s="2499"/>
      <c r="Y311" s="2499"/>
      <c r="Z311" s="2499"/>
      <c r="AA311" s="2499"/>
      <c r="AB311" s="2499"/>
      <c r="AC311" s="2499"/>
      <c r="AD311" s="2500"/>
      <c r="AE311" s="551"/>
      <c r="AF311" s="551"/>
      <c r="AG311" s="539"/>
      <c r="AH311" s="551"/>
      <c r="AI311" s="551"/>
      <c r="AJ311" s="550"/>
      <c r="AK311" s="550"/>
      <c r="AL311" s="550"/>
      <c r="AM311" s="550"/>
      <c r="AN311" s="73"/>
      <c r="AO311" s="14"/>
      <c r="AP311" s="557" t="s">
        <v>1184</v>
      </c>
    </row>
    <row r="312" spans="1:44" hidden="1">
      <c r="F312" s="2498"/>
      <c r="G312" s="2499"/>
      <c r="H312" s="2499"/>
      <c r="I312" s="2499"/>
      <c r="J312" s="2499"/>
      <c r="K312" s="2499"/>
      <c r="L312" s="2499"/>
      <c r="M312" s="2499"/>
      <c r="N312" s="2499"/>
      <c r="O312" s="2499"/>
      <c r="P312" s="2499"/>
      <c r="Q312" s="2499"/>
      <c r="R312" s="2499"/>
      <c r="S312" s="2499"/>
      <c r="T312" s="2499"/>
      <c r="U312" s="2499"/>
      <c r="V312" s="2499"/>
      <c r="W312" s="2499"/>
      <c r="X312" s="2499"/>
      <c r="Y312" s="2499"/>
      <c r="Z312" s="2499"/>
      <c r="AA312" s="2499"/>
      <c r="AB312" s="2499"/>
      <c r="AC312" s="2499"/>
      <c r="AD312" s="2500"/>
      <c r="AE312" s="551"/>
      <c r="AF312" s="551"/>
      <c r="AH312" s="551"/>
      <c r="AI312" s="551"/>
      <c r="AJ312" s="550"/>
      <c r="AK312" s="550"/>
      <c r="AL312" s="550"/>
      <c r="AM312" s="550"/>
      <c r="AN312" s="73"/>
      <c r="AO312" s="14"/>
      <c r="AP312" s="557" t="s">
        <v>1730</v>
      </c>
    </row>
    <row r="313" spans="1:44" hidden="1">
      <c r="A313" s="550"/>
      <c r="B313" s="551"/>
      <c r="C313" s="730"/>
      <c r="D313" s="730"/>
      <c r="E313" s="547"/>
      <c r="F313" s="652" t="s">
        <v>1390</v>
      </c>
      <c r="G313" s="663"/>
      <c r="H313" s="663"/>
      <c r="I313" s="663"/>
      <c r="J313" s="663"/>
      <c r="K313" s="663"/>
      <c r="L313" s="663"/>
      <c r="M313" s="663"/>
      <c r="N313" s="663"/>
      <c r="O313" s="663"/>
      <c r="P313" s="663"/>
      <c r="Q313" s="663"/>
      <c r="R313" s="663"/>
      <c r="S313" s="663"/>
      <c r="T313" s="663"/>
      <c r="U313" s="663"/>
      <c r="V313" s="663"/>
      <c r="W313" s="663"/>
      <c r="X313" s="663"/>
      <c r="Y313" s="663"/>
      <c r="Z313" s="663"/>
      <c r="AA313" s="663"/>
      <c r="AB313" s="663"/>
      <c r="AC313" s="663"/>
      <c r="AD313" s="1020"/>
      <c r="AE313" s="551"/>
      <c r="AF313" s="551"/>
      <c r="AG313" s="539"/>
      <c r="AH313" s="551"/>
      <c r="AI313" s="551"/>
      <c r="AJ313" s="550"/>
      <c r="AK313" s="550"/>
      <c r="AL313" s="550"/>
      <c r="AM313" s="550"/>
      <c r="AN313" s="73"/>
      <c r="AO313" s="14"/>
      <c r="AP313" s="557" t="s">
        <v>1732</v>
      </c>
    </row>
    <row r="314" spans="1:44" hidden="1">
      <c r="A314" s="550"/>
      <c r="B314" s="551"/>
      <c r="C314" s="730"/>
      <c r="D314" s="730"/>
      <c r="E314" s="547"/>
      <c r="F314" s="652"/>
      <c r="G314" s="663"/>
      <c r="H314" s="663"/>
      <c r="I314" s="663"/>
      <c r="J314" s="663"/>
      <c r="K314" s="663"/>
      <c r="L314" s="663"/>
      <c r="M314" s="663"/>
      <c r="N314" s="663"/>
      <c r="O314" s="663"/>
      <c r="P314" s="663"/>
      <c r="Q314" s="663"/>
      <c r="R314" s="663"/>
      <c r="S314" s="663"/>
      <c r="T314" s="663"/>
      <c r="U314" s="663"/>
      <c r="V314" s="663"/>
      <c r="W314" s="663"/>
      <c r="X314" s="663"/>
      <c r="Y314" s="663"/>
      <c r="Z314" s="663"/>
      <c r="AA314" s="663"/>
      <c r="AB314" s="663"/>
      <c r="AC314" s="663"/>
      <c r="AD314" s="1020"/>
      <c r="AE314" s="551"/>
      <c r="AF314" s="551"/>
      <c r="AG314" s="539"/>
      <c r="AH314" s="551"/>
      <c r="AI314" s="551"/>
      <c r="AJ314" s="550"/>
      <c r="AK314" s="550"/>
      <c r="AL314" s="550"/>
      <c r="AM314" s="550"/>
      <c r="AN314" s="73"/>
      <c r="AO314" s="14"/>
      <c r="AP314" s="557" t="s">
        <v>1856</v>
      </c>
    </row>
    <row r="315" spans="1:44" ht="12.75" hidden="1" customHeight="1">
      <c r="A315" s="550"/>
      <c r="B315" s="551"/>
      <c r="C315" s="730"/>
      <c r="D315" s="730"/>
      <c r="E315" s="547"/>
      <c r="F315" s="652"/>
      <c r="G315" s="642"/>
      <c r="H315" s="642"/>
      <c r="I315" s="642"/>
      <c r="J315" s="642"/>
      <c r="K315" s="642"/>
      <c r="L315" s="642"/>
      <c r="M315" s="642"/>
      <c r="N315" s="642"/>
      <c r="O315" s="642"/>
      <c r="P315" s="642"/>
      <c r="Q315" s="642"/>
      <c r="R315" s="642"/>
      <c r="S315" s="642"/>
      <c r="T315" s="642"/>
      <c r="U315" s="642"/>
      <c r="V315" s="642"/>
      <c r="W315" s="642"/>
      <c r="X315" s="642"/>
      <c r="Y315" s="642"/>
      <c r="Z315" s="642"/>
      <c r="AA315" s="642"/>
      <c r="AB315" s="642"/>
      <c r="AC315" s="642"/>
      <c r="AD315" s="653"/>
      <c r="AE315" s="551"/>
      <c r="AF315" s="551"/>
      <c r="AG315" s="539"/>
      <c r="AH315" s="551"/>
      <c r="AI315" s="551"/>
      <c r="AJ315" s="550"/>
      <c r="AK315" s="550"/>
      <c r="AL315" s="550"/>
      <c r="AM315" s="550"/>
      <c r="AN315" s="73"/>
      <c r="AO315" s="14"/>
      <c r="AP315" s="30"/>
    </row>
    <row r="316" spans="1:44" ht="12.75" hidden="1" customHeight="1">
      <c r="A316" s="550"/>
      <c r="B316" s="551"/>
      <c r="C316" s="730"/>
      <c r="D316" s="730"/>
      <c r="E316" s="547"/>
      <c r="F316" s="2508" t="s">
        <v>1184</v>
      </c>
      <c r="G316" s="2509"/>
      <c r="H316" s="2509"/>
      <c r="I316" s="2509"/>
      <c r="J316" s="2509"/>
      <c r="K316" s="2509"/>
      <c r="L316" s="2509"/>
      <c r="M316" s="2509"/>
      <c r="N316" s="2509"/>
      <c r="O316" s="2509"/>
      <c r="P316" s="2509"/>
      <c r="Q316" s="2509"/>
      <c r="R316" s="2509"/>
      <c r="S316" s="2509"/>
      <c r="T316" s="2509"/>
      <c r="U316" s="2509"/>
      <c r="V316" s="2509"/>
      <c r="W316" s="2509"/>
      <c r="X316" s="2509"/>
      <c r="Y316" s="2509"/>
      <c r="Z316" s="2509"/>
      <c r="AA316" s="2509"/>
      <c r="AB316" s="2509"/>
      <c r="AC316" s="2509"/>
      <c r="AD316" s="2510"/>
      <c r="AE316" s="642"/>
      <c r="AF316" s="642"/>
      <c r="AG316" s="642"/>
      <c r="AH316" s="642"/>
      <c r="AI316" s="642"/>
      <c r="AJ316" s="642"/>
      <c r="AK316" s="642"/>
      <c r="AL316" s="550"/>
      <c r="AM316" s="550"/>
      <c r="AN316" s="73"/>
      <c r="AO316" s="14"/>
      <c r="AP316" s="30"/>
    </row>
    <row r="317" spans="1:44" hidden="1">
      <c r="A317" s="550"/>
      <c r="B317" s="551"/>
      <c r="C317" s="730"/>
      <c r="D317" s="730"/>
      <c r="E317" s="547"/>
      <c r="F317" s="2508"/>
      <c r="G317" s="2509"/>
      <c r="H317" s="2509"/>
      <c r="I317" s="2509"/>
      <c r="J317" s="2509"/>
      <c r="K317" s="2509"/>
      <c r="L317" s="2509"/>
      <c r="M317" s="2509"/>
      <c r="N317" s="2509"/>
      <c r="O317" s="2509"/>
      <c r="P317" s="2509"/>
      <c r="Q317" s="2509"/>
      <c r="R317" s="2509"/>
      <c r="S317" s="2509"/>
      <c r="T317" s="2509"/>
      <c r="U317" s="2509"/>
      <c r="V317" s="2509"/>
      <c r="W317" s="2509"/>
      <c r="X317" s="2509"/>
      <c r="Y317" s="2509"/>
      <c r="Z317" s="2509"/>
      <c r="AA317" s="2509"/>
      <c r="AB317" s="2509"/>
      <c r="AC317" s="2509"/>
      <c r="AD317" s="2510"/>
      <c r="AE317" s="551"/>
      <c r="AF317" s="551"/>
      <c r="AG317" s="539"/>
      <c r="AH317" s="551"/>
      <c r="AI317" s="551"/>
      <c r="AJ317" s="550"/>
      <c r="AK317" s="550"/>
      <c r="AL317" s="550"/>
      <c r="AM317" s="550"/>
      <c r="AN317" s="73"/>
      <c r="AO317" s="14"/>
      <c r="AP317" s="30"/>
    </row>
    <row r="318" spans="1:44" hidden="1">
      <c r="A318" s="550"/>
      <c r="B318" s="551"/>
      <c r="C318" s="730"/>
      <c r="D318" s="730"/>
      <c r="E318" s="547"/>
      <c r="F318" s="2508"/>
      <c r="G318" s="2509"/>
      <c r="H318" s="2509"/>
      <c r="I318" s="2509"/>
      <c r="J318" s="2509"/>
      <c r="K318" s="2509"/>
      <c r="L318" s="2509"/>
      <c r="M318" s="2509"/>
      <c r="N318" s="2509"/>
      <c r="O318" s="2509"/>
      <c r="P318" s="2509"/>
      <c r="Q318" s="2509"/>
      <c r="R318" s="2509"/>
      <c r="S318" s="2509"/>
      <c r="T318" s="2509"/>
      <c r="U318" s="2509"/>
      <c r="V318" s="2509"/>
      <c r="W318" s="2509"/>
      <c r="X318" s="2509"/>
      <c r="Y318" s="2509"/>
      <c r="Z318" s="2509"/>
      <c r="AA318" s="2509"/>
      <c r="AB318" s="2509"/>
      <c r="AC318" s="2509"/>
      <c r="AD318" s="2510"/>
      <c r="AE318" s="551"/>
      <c r="AF318" s="551"/>
      <c r="AG318" s="539"/>
      <c r="AH318" s="551"/>
      <c r="AI318" s="551"/>
      <c r="AJ318" s="550"/>
      <c r="AK318" s="550"/>
      <c r="AL318" s="550"/>
      <c r="AM318" s="550"/>
      <c r="AN318" s="73"/>
      <c r="AO318" s="14"/>
      <c r="AP318" s="30"/>
    </row>
    <row r="319" spans="1:44" hidden="1">
      <c r="A319" s="550"/>
      <c r="B319" s="551"/>
      <c r="C319" s="730"/>
      <c r="D319" s="730"/>
      <c r="E319" s="547"/>
      <c r="F319" s="2508"/>
      <c r="G319" s="2509"/>
      <c r="H319" s="2509"/>
      <c r="I319" s="2509"/>
      <c r="J319" s="2509"/>
      <c r="K319" s="2509"/>
      <c r="L319" s="2509"/>
      <c r="M319" s="2509"/>
      <c r="N319" s="2509"/>
      <c r="O319" s="2509"/>
      <c r="P319" s="2509"/>
      <c r="Q319" s="2509"/>
      <c r="R319" s="2509"/>
      <c r="S319" s="2509"/>
      <c r="T319" s="2509"/>
      <c r="U319" s="2509"/>
      <c r="V319" s="2509"/>
      <c r="W319" s="2509"/>
      <c r="X319" s="2509"/>
      <c r="Y319" s="2509"/>
      <c r="Z319" s="2509"/>
      <c r="AA319" s="2509"/>
      <c r="AB319" s="2509"/>
      <c r="AC319" s="2509"/>
      <c r="AD319" s="2510"/>
      <c r="AE319" s="551"/>
      <c r="AF319" s="551"/>
      <c r="AG319" s="539"/>
      <c r="AH319" s="551"/>
      <c r="AI319" s="551"/>
      <c r="AJ319" s="550"/>
      <c r="AK319" s="550"/>
      <c r="AL319" s="550"/>
      <c r="AM319" s="550"/>
      <c r="AN319" s="73"/>
      <c r="AO319" s="14"/>
      <c r="AP319" s="30"/>
    </row>
    <row r="320" spans="1:44" hidden="1">
      <c r="A320" s="550"/>
      <c r="B320" s="551"/>
      <c r="C320" s="730"/>
      <c r="D320" s="730"/>
      <c r="E320" s="547"/>
      <c r="F320" s="2511"/>
      <c r="G320" s="2512"/>
      <c r="H320" s="2512"/>
      <c r="I320" s="2512"/>
      <c r="J320" s="2512"/>
      <c r="K320" s="2512"/>
      <c r="L320" s="2512"/>
      <c r="M320" s="2512"/>
      <c r="N320" s="2512"/>
      <c r="O320" s="2512"/>
      <c r="P320" s="2512"/>
      <c r="Q320" s="2512"/>
      <c r="R320" s="2512"/>
      <c r="S320" s="2512"/>
      <c r="T320" s="2512"/>
      <c r="U320" s="2512"/>
      <c r="V320" s="2512"/>
      <c r="W320" s="2512"/>
      <c r="X320" s="2512"/>
      <c r="Y320" s="2512"/>
      <c r="Z320" s="2512"/>
      <c r="AA320" s="2512"/>
      <c r="AB320" s="2512"/>
      <c r="AC320" s="2512"/>
      <c r="AD320" s="2513"/>
      <c r="AE320" s="551"/>
      <c r="AF320" s="551"/>
      <c r="AG320" s="539"/>
      <c r="AH320" s="551"/>
      <c r="AI320" s="551"/>
      <c r="AJ320" s="550"/>
      <c r="AK320" s="550"/>
      <c r="AL320" s="550"/>
      <c r="AM320" s="550"/>
      <c r="AN320" s="73"/>
      <c r="AO320" s="14"/>
      <c r="AP320" s="30"/>
    </row>
    <row r="321" spans="1:42" hidden="1">
      <c r="A321" s="550"/>
      <c r="B321" s="551"/>
      <c r="C321" s="730"/>
      <c r="D321" s="730"/>
      <c r="E321" s="547"/>
      <c r="F321" s="975"/>
      <c r="G321" s="642"/>
      <c r="H321" s="642"/>
      <c r="I321" s="642"/>
      <c r="J321" s="642"/>
      <c r="K321" s="642"/>
      <c r="L321" s="642"/>
      <c r="M321" s="642"/>
      <c r="N321" s="642"/>
      <c r="O321" s="642"/>
      <c r="P321" s="642"/>
      <c r="Q321" s="642"/>
      <c r="R321" s="642"/>
      <c r="S321" s="642"/>
      <c r="T321" s="642"/>
      <c r="U321" s="642"/>
      <c r="V321" s="642"/>
      <c r="W321" s="642"/>
      <c r="X321" s="642"/>
      <c r="Y321" s="642"/>
      <c r="Z321" s="642"/>
      <c r="AA321" s="642"/>
      <c r="AB321" s="642"/>
      <c r="AC321" s="642"/>
      <c r="AD321" s="653"/>
      <c r="AE321" s="551"/>
      <c r="AF321" s="551"/>
      <c r="AG321" s="539"/>
      <c r="AH321" s="551"/>
      <c r="AI321" s="551"/>
      <c r="AJ321" s="550"/>
      <c r="AK321" s="550"/>
      <c r="AL321" s="550"/>
      <c r="AM321" s="550"/>
      <c r="AN321" s="73"/>
      <c r="AO321" s="14"/>
      <c r="AP321" s="30"/>
    </row>
    <row r="322" spans="1:42" hidden="1">
      <c r="A322" s="550"/>
      <c r="B322" s="551"/>
      <c r="C322" s="730"/>
      <c r="D322" s="730"/>
      <c r="E322" s="547"/>
      <c r="F322" s="654" t="s">
        <v>1731</v>
      </c>
      <c r="G322" s="551"/>
      <c r="H322" s="551"/>
      <c r="I322" s="551"/>
      <c r="J322" s="551"/>
      <c r="K322" s="551"/>
      <c r="L322" s="551"/>
      <c r="M322" s="551"/>
      <c r="N322" s="551"/>
      <c r="O322" s="551"/>
      <c r="P322" s="551"/>
      <c r="Q322" s="551"/>
      <c r="R322" s="551"/>
      <c r="S322" s="551"/>
      <c r="T322" s="551"/>
      <c r="U322" s="551"/>
      <c r="V322" s="551"/>
      <c r="W322" s="551"/>
      <c r="X322" s="551"/>
      <c r="Y322" s="551"/>
      <c r="Z322" s="551"/>
      <c r="AA322" s="551"/>
      <c r="AB322" s="551"/>
      <c r="AC322" s="551"/>
      <c r="AD322" s="655"/>
      <c r="AE322" s="551"/>
      <c r="AF322" s="551"/>
      <c r="AG322" s="539"/>
      <c r="AH322" s="551"/>
      <c r="AI322" s="551"/>
      <c r="AJ322" s="550"/>
      <c r="AK322" s="550"/>
      <c r="AL322" s="550"/>
      <c r="AM322" s="550"/>
      <c r="AN322" s="73"/>
      <c r="AO322" s="14"/>
      <c r="AP322" s="30"/>
    </row>
    <row r="323" spans="1:42" hidden="1">
      <c r="A323" s="550"/>
      <c r="B323" s="551"/>
      <c r="C323" s="730"/>
      <c r="D323" s="730"/>
      <c r="E323" s="547"/>
      <c r="F323" s="654"/>
      <c r="G323" s="551"/>
      <c r="H323" s="551"/>
      <c r="I323" s="551"/>
      <c r="J323" s="551"/>
      <c r="K323" s="551"/>
      <c r="L323" s="551"/>
      <c r="M323" s="551"/>
      <c r="N323" s="551"/>
      <c r="O323" s="551"/>
      <c r="P323" s="551"/>
      <c r="Q323" s="551"/>
      <c r="R323" s="551"/>
      <c r="S323" s="551"/>
      <c r="T323" s="551"/>
      <c r="U323" s="551"/>
      <c r="V323" s="551"/>
      <c r="W323" s="551"/>
      <c r="X323" s="551"/>
      <c r="Y323" s="551"/>
      <c r="Z323" s="551"/>
      <c r="AA323" s="551"/>
      <c r="AB323" s="551"/>
      <c r="AC323" s="551"/>
      <c r="AD323" s="655"/>
      <c r="AE323" s="551"/>
      <c r="AF323" s="551"/>
      <c r="AG323" s="539"/>
      <c r="AH323" s="551"/>
      <c r="AI323" s="551"/>
      <c r="AJ323" s="550"/>
      <c r="AK323" s="550"/>
      <c r="AL323" s="550"/>
      <c r="AM323" s="550"/>
      <c r="AN323" s="73"/>
      <c r="AO323" s="14"/>
      <c r="AP323" s="557" t="s">
        <v>1184</v>
      </c>
    </row>
    <row r="324" spans="1:42" ht="12.75" hidden="1" customHeight="1">
      <c r="A324" s="550"/>
      <c r="B324" s="551"/>
      <c r="C324" s="730"/>
      <c r="D324" s="730"/>
      <c r="E324" s="547"/>
      <c r="F324" s="656"/>
      <c r="G324" s="575" t="s">
        <v>687</v>
      </c>
      <c r="H324" s="575"/>
      <c r="I324" s="2514" t="s">
        <v>1184</v>
      </c>
      <c r="J324" s="2514"/>
      <c r="K324" s="2514"/>
      <c r="L324" s="2514"/>
      <c r="M324" s="2514"/>
      <c r="N324" s="2514"/>
      <c r="O324" s="2514"/>
      <c r="P324" s="2514"/>
      <c r="Q324" s="2514"/>
      <c r="R324" s="2514"/>
      <c r="S324" s="2514"/>
      <c r="T324" s="2514"/>
      <c r="U324" s="2514"/>
      <c r="V324" s="2514"/>
      <c r="W324" s="2514"/>
      <c r="X324" s="2514"/>
      <c r="Y324" s="2514"/>
      <c r="Z324" s="2514"/>
      <c r="AA324" s="2514"/>
      <c r="AB324" s="2514"/>
      <c r="AC324" s="2514"/>
      <c r="AD324" s="2515"/>
      <c r="AE324" s="551"/>
      <c r="AF324" s="551"/>
      <c r="AG324" s="539"/>
      <c r="AH324" s="551"/>
      <c r="AI324" s="551"/>
      <c r="AJ324" s="550"/>
      <c r="AK324" s="550"/>
      <c r="AL324" s="550"/>
      <c r="AM324" s="550"/>
      <c r="AN324" s="73"/>
      <c r="AO324" s="14"/>
      <c r="AP324" s="557" t="s">
        <v>1637</v>
      </c>
    </row>
    <row r="325" spans="1:42" hidden="1">
      <c r="A325" s="550"/>
      <c r="B325" s="551"/>
      <c r="C325" s="730"/>
      <c r="D325" s="730"/>
      <c r="E325" s="547"/>
      <c r="F325" s="656"/>
      <c r="G325" s="575"/>
      <c r="H325" s="575"/>
      <c r="I325" s="2514"/>
      <c r="J325" s="2514"/>
      <c r="K325" s="2514"/>
      <c r="L325" s="2514"/>
      <c r="M325" s="2514"/>
      <c r="N325" s="2514"/>
      <c r="O325" s="2514"/>
      <c r="P325" s="2514"/>
      <c r="Q325" s="2514"/>
      <c r="R325" s="2514"/>
      <c r="S325" s="2514"/>
      <c r="T325" s="2514"/>
      <c r="U325" s="2514"/>
      <c r="V325" s="2514"/>
      <c r="W325" s="2514"/>
      <c r="X325" s="2514"/>
      <c r="Y325" s="2514"/>
      <c r="Z325" s="2514"/>
      <c r="AA325" s="2514"/>
      <c r="AB325" s="2514"/>
      <c r="AC325" s="2514"/>
      <c r="AD325" s="2515"/>
      <c r="AE325" s="551"/>
      <c r="AF325" s="551"/>
      <c r="AG325" s="539"/>
      <c r="AH325" s="551"/>
      <c r="AI325" s="551"/>
      <c r="AJ325" s="550"/>
      <c r="AK325" s="550"/>
      <c r="AL325" s="550"/>
      <c r="AM325" s="550"/>
      <c r="AN325" s="73"/>
      <c r="AO325" s="14"/>
      <c r="AP325" s="557" t="s">
        <v>1733</v>
      </c>
    </row>
    <row r="326" spans="1:42" hidden="1">
      <c r="A326" s="550"/>
      <c r="B326" s="551"/>
      <c r="C326" s="651"/>
      <c r="D326" s="651"/>
      <c r="E326" s="547"/>
      <c r="F326" s="656"/>
      <c r="G326" s="575"/>
      <c r="H326" s="575"/>
      <c r="I326" s="2514"/>
      <c r="J326" s="2514"/>
      <c r="K326" s="2514"/>
      <c r="L326" s="2514"/>
      <c r="M326" s="2514"/>
      <c r="N326" s="2514"/>
      <c r="O326" s="2514"/>
      <c r="P326" s="2514"/>
      <c r="Q326" s="2514"/>
      <c r="R326" s="2514"/>
      <c r="S326" s="2514"/>
      <c r="T326" s="2514"/>
      <c r="U326" s="2514"/>
      <c r="V326" s="2514"/>
      <c r="W326" s="2514"/>
      <c r="X326" s="2514"/>
      <c r="Y326" s="2514"/>
      <c r="Z326" s="2514"/>
      <c r="AA326" s="2514"/>
      <c r="AB326" s="2514"/>
      <c r="AC326" s="2514"/>
      <c r="AD326" s="2515"/>
      <c r="AE326" s="551"/>
      <c r="AF326" s="551"/>
      <c r="AG326" s="539"/>
      <c r="AH326" s="551"/>
      <c r="AI326" s="551"/>
      <c r="AJ326" s="550"/>
      <c r="AK326" s="550"/>
      <c r="AL326" s="550"/>
      <c r="AM326" s="550"/>
      <c r="AN326" s="73"/>
      <c r="AO326" s="14"/>
      <c r="AP326" s="557" t="s">
        <v>1735</v>
      </c>
    </row>
    <row r="327" spans="1:42" hidden="1">
      <c r="A327" s="550"/>
      <c r="B327" s="551"/>
      <c r="C327" s="651"/>
      <c r="D327" s="651"/>
      <c r="E327" s="547"/>
      <c r="F327" s="654"/>
      <c r="G327" s="551"/>
      <c r="H327" s="551"/>
      <c r="I327" s="2516"/>
      <c r="J327" s="2516"/>
      <c r="K327" s="2516"/>
      <c r="L327" s="2516"/>
      <c r="M327" s="2516"/>
      <c r="N327" s="2516"/>
      <c r="O327" s="2516"/>
      <c r="P327" s="2516"/>
      <c r="Q327" s="2516"/>
      <c r="R327" s="2516"/>
      <c r="S327" s="2516"/>
      <c r="T327" s="2516"/>
      <c r="U327" s="2516"/>
      <c r="V327" s="2516"/>
      <c r="W327" s="2516"/>
      <c r="X327" s="2516"/>
      <c r="Y327" s="2516"/>
      <c r="Z327" s="2516"/>
      <c r="AA327" s="2516"/>
      <c r="AB327" s="2516"/>
      <c r="AC327" s="2516"/>
      <c r="AD327" s="2517"/>
      <c r="AE327" s="551"/>
      <c r="AF327" s="551"/>
      <c r="AG327" s="539"/>
      <c r="AH327" s="551"/>
      <c r="AI327" s="551"/>
      <c r="AJ327" s="550"/>
      <c r="AK327" s="550"/>
      <c r="AL327" s="550"/>
      <c r="AM327" s="550"/>
      <c r="AN327" s="73"/>
      <c r="AO327" s="14"/>
      <c r="AP327" s="557" t="s">
        <v>1734</v>
      </c>
    </row>
    <row r="328" spans="1:42" hidden="1">
      <c r="A328" s="550"/>
      <c r="B328" s="551"/>
      <c r="C328" s="651"/>
      <c r="D328" s="651"/>
      <c r="E328" s="547"/>
      <c r="F328" s="654"/>
      <c r="G328" s="551"/>
      <c r="H328" s="551"/>
      <c r="I328" s="551"/>
      <c r="J328" s="551"/>
      <c r="K328" s="551"/>
      <c r="L328" s="551"/>
      <c r="M328" s="551"/>
      <c r="N328" s="551"/>
      <c r="O328" s="551"/>
      <c r="P328" s="551"/>
      <c r="Q328" s="551"/>
      <c r="R328" s="551"/>
      <c r="S328" s="551"/>
      <c r="T328" s="551"/>
      <c r="U328" s="551"/>
      <c r="V328" s="551"/>
      <c r="W328" s="551"/>
      <c r="X328" s="551"/>
      <c r="Y328" s="551"/>
      <c r="Z328" s="551"/>
      <c r="AA328" s="551"/>
      <c r="AB328" s="551"/>
      <c r="AC328" s="551"/>
      <c r="AD328" s="655"/>
      <c r="AE328" s="551"/>
      <c r="AF328" s="551"/>
      <c r="AG328" s="539"/>
      <c r="AH328" s="551"/>
      <c r="AI328" s="551"/>
      <c r="AJ328" s="550"/>
      <c r="AK328" s="550"/>
      <c r="AL328" s="550"/>
      <c r="AM328" s="550"/>
      <c r="AN328" s="73"/>
      <c r="AO328" s="14"/>
      <c r="AP328" s="30"/>
    </row>
    <row r="329" spans="1:42" hidden="1">
      <c r="A329" s="550"/>
      <c r="B329" s="551"/>
      <c r="C329" s="651"/>
      <c r="D329" s="651"/>
      <c r="E329" s="547"/>
      <c r="F329" s="654"/>
      <c r="G329" s="551" t="s">
        <v>509</v>
      </c>
      <c r="H329" s="551"/>
      <c r="I329" s="2514" t="s">
        <v>1184</v>
      </c>
      <c r="J329" s="2514"/>
      <c r="K329" s="2514"/>
      <c r="L329" s="2514"/>
      <c r="M329" s="2514"/>
      <c r="N329" s="2514"/>
      <c r="O329" s="2514"/>
      <c r="P329" s="2514"/>
      <c r="Q329" s="2514"/>
      <c r="R329" s="2514"/>
      <c r="S329" s="2514"/>
      <c r="T329" s="2514"/>
      <c r="U329" s="2514"/>
      <c r="V329" s="2514"/>
      <c r="W329" s="2514"/>
      <c r="X329" s="2514"/>
      <c r="Y329" s="2514"/>
      <c r="Z329" s="2514"/>
      <c r="AA329" s="2514"/>
      <c r="AB329" s="2514"/>
      <c r="AC329" s="2514"/>
      <c r="AD329" s="2515"/>
      <c r="AE329" s="551"/>
      <c r="AF329" s="551"/>
      <c r="AG329" s="539"/>
      <c r="AH329" s="551"/>
      <c r="AI329" s="551"/>
      <c r="AJ329" s="550"/>
      <c r="AK329" s="550"/>
      <c r="AL329" s="550"/>
      <c r="AM329" s="550"/>
      <c r="AN329" s="73"/>
      <c r="AO329" s="14"/>
    </row>
    <row r="330" spans="1:42" hidden="1">
      <c r="A330" s="550"/>
      <c r="B330" s="551"/>
      <c r="C330" s="651"/>
      <c r="D330" s="651"/>
      <c r="E330" s="547"/>
      <c r="F330" s="654"/>
      <c r="G330" s="551"/>
      <c r="H330" s="551"/>
      <c r="I330" s="2514"/>
      <c r="J330" s="2514"/>
      <c r="K330" s="2514"/>
      <c r="L330" s="2514"/>
      <c r="M330" s="2514"/>
      <c r="N330" s="2514"/>
      <c r="O330" s="2514"/>
      <c r="P330" s="2514"/>
      <c r="Q330" s="2514"/>
      <c r="R330" s="2514"/>
      <c r="S330" s="2514"/>
      <c r="T330" s="2514"/>
      <c r="U330" s="2514"/>
      <c r="V330" s="2514"/>
      <c r="W330" s="2514"/>
      <c r="X330" s="2514"/>
      <c r="Y330" s="2514"/>
      <c r="Z330" s="2514"/>
      <c r="AA330" s="2514"/>
      <c r="AB330" s="2514"/>
      <c r="AC330" s="2514"/>
      <c r="AD330" s="2515"/>
      <c r="AE330" s="551"/>
      <c r="AF330" s="551"/>
      <c r="AG330" s="539"/>
      <c r="AH330" s="551"/>
      <c r="AI330" s="551"/>
      <c r="AJ330" s="550"/>
      <c r="AK330" s="550"/>
      <c r="AL330" s="550"/>
      <c r="AM330" s="550"/>
      <c r="AN330" s="73"/>
      <c r="AO330" s="14"/>
      <c r="AP330" s="557" t="s">
        <v>1184</v>
      </c>
    </row>
    <row r="331" spans="1:42" hidden="1">
      <c r="A331" s="550"/>
      <c r="B331" s="551"/>
      <c r="C331" s="651"/>
      <c r="D331" s="651"/>
      <c r="E331" s="547"/>
      <c r="F331" s="657"/>
      <c r="G331" s="658"/>
      <c r="H331" s="658"/>
      <c r="I331" s="2516"/>
      <c r="J331" s="2516"/>
      <c r="K331" s="2516"/>
      <c r="L331" s="2516"/>
      <c r="M331" s="2516"/>
      <c r="N331" s="2516"/>
      <c r="O331" s="2516"/>
      <c r="P331" s="2516"/>
      <c r="Q331" s="2516"/>
      <c r="R331" s="2516"/>
      <c r="S331" s="2516"/>
      <c r="T331" s="2516"/>
      <c r="U331" s="2516"/>
      <c r="V331" s="2516"/>
      <c r="W331" s="2516"/>
      <c r="X331" s="2516"/>
      <c r="Y331" s="2516"/>
      <c r="Z331" s="2516"/>
      <c r="AA331" s="2516"/>
      <c r="AB331" s="2516"/>
      <c r="AC331" s="2516"/>
      <c r="AD331" s="2517"/>
      <c r="AE331" s="551"/>
      <c r="AF331" s="551"/>
      <c r="AG331" s="539"/>
      <c r="AH331" s="551"/>
      <c r="AI331" s="551"/>
      <c r="AJ331" s="550"/>
      <c r="AK331" s="550"/>
      <c r="AL331" s="550"/>
      <c r="AM331" s="550"/>
      <c r="AN331" s="73"/>
      <c r="AO331" s="14"/>
      <c r="AP331" s="557" t="s">
        <v>1391</v>
      </c>
    </row>
    <row r="332" spans="1:42" hidden="1">
      <c r="A332" s="550"/>
      <c r="B332" s="551"/>
      <c r="C332" s="550"/>
      <c r="D332" s="551"/>
      <c r="E332" s="550"/>
      <c r="F332" s="616"/>
      <c r="G332" s="551"/>
      <c r="H332" s="551"/>
      <c r="I332" s="551"/>
      <c r="J332" s="551"/>
      <c r="K332" s="551"/>
      <c r="L332" s="551"/>
      <c r="M332" s="551"/>
      <c r="N332" s="551"/>
      <c r="O332" s="551"/>
      <c r="P332" s="551"/>
      <c r="Q332" s="551"/>
      <c r="R332" s="551"/>
      <c r="S332" s="551"/>
      <c r="T332" s="551"/>
      <c r="U332" s="551"/>
      <c r="V332" s="551"/>
      <c r="W332" s="551"/>
      <c r="X332" s="551"/>
      <c r="Y332" s="551"/>
      <c r="Z332" s="551"/>
      <c r="AA332" s="551"/>
      <c r="AB332" s="551"/>
      <c r="AC332" s="551"/>
      <c r="AD332" s="551"/>
      <c r="AE332" s="551"/>
      <c r="AF332" s="551"/>
      <c r="AG332" s="551"/>
      <c r="AH332" s="551"/>
      <c r="AI332" s="551"/>
      <c r="AJ332" s="550"/>
      <c r="AK332" s="550"/>
      <c r="AL332" s="550"/>
      <c r="AM332" s="550"/>
      <c r="AN332" s="73"/>
      <c r="AO332" s="14"/>
      <c r="AP332" s="557" t="s">
        <v>1638</v>
      </c>
    </row>
    <row r="333" spans="1:42" ht="12.75" hidden="1" customHeight="1">
      <c r="A333" s="1628" t="s">
        <v>1392</v>
      </c>
      <c r="B333" s="1628"/>
      <c r="C333" s="2476" t="s">
        <v>591</v>
      </c>
      <c r="D333" s="2476"/>
      <c r="E333" s="547"/>
      <c r="F333" s="2400" t="s">
        <v>2028</v>
      </c>
      <c r="G333" s="2401"/>
      <c r="H333" s="2401"/>
      <c r="I333" s="2401"/>
      <c r="J333" s="2401"/>
      <c r="K333" s="2401"/>
      <c r="L333" s="2401"/>
      <c r="M333" s="2401"/>
      <c r="N333" s="2401"/>
      <c r="O333" s="2401"/>
      <c r="P333" s="2401"/>
      <c r="Q333" s="2401"/>
      <c r="R333" s="2401"/>
      <c r="S333" s="2401"/>
      <c r="T333" s="2401"/>
      <c r="U333" s="2401"/>
      <c r="V333" s="2401"/>
      <c r="W333" s="2401"/>
      <c r="X333" s="2401"/>
      <c r="Y333" s="2401"/>
      <c r="Z333" s="2401"/>
      <c r="AA333" s="2401"/>
      <c r="AB333" s="2401"/>
      <c r="AC333" s="2401"/>
      <c r="AD333" s="2402"/>
      <c r="AE333" s="551"/>
      <c r="AF333" s="551"/>
      <c r="AG333" s="539" t="s">
        <v>1388</v>
      </c>
      <c r="AH333" s="551"/>
      <c r="AI333" s="551"/>
      <c r="AJ333" s="550"/>
      <c r="AK333" s="550"/>
      <c r="AL333" s="550"/>
      <c r="AM333" s="550"/>
      <c r="AN333" s="73"/>
      <c r="AO333" s="14"/>
    </row>
    <row r="334" spans="1:42" ht="15" hidden="1" customHeight="1">
      <c r="A334" s="550"/>
      <c r="B334" s="551"/>
      <c r="C334" s="551"/>
      <c r="D334" s="551"/>
      <c r="E334" s="551"/>
      <c r="F334" s="2406"/>
      <c r="G334" s="2407"/>
      <c r="H334" s="2407"/>
      <c r="I334" s="2407"/>
      <c r="J334" s="2407"/>
      <c r="K334" s="2407"/>
      <c r="L334" s="2407"/>
      <c r="M334" s="2407"/>
      <c r="N334" s="2407"/>
      <c r="O334" s="2407"/>
      <c r="P334" s="2407"/>
      <c r="Q334" s="2407"/>
      <c r="R334" s="2407"/>
      <c r="S334" s="2407"/>
      <c r="T334" s="2407"/>
      <c r="U334" s="2407"/>
      <c r="V334" s="2407"/>
      <c r="W334" s="2407"/>
      <c r="X334" s="2407"/>
      <c r="Y334" s="2407"/>
      <c r="Z334" s="2407"/>
      <c r="AA334" s="2407"/>
      <c r="AB334" s="2407"/>
      <c r="AC334" s="2407"/>
      <c r="AD334" s="2408"/>
      <c r="AE334" s="551"/>
      <c r="AF334" s="551"/>
      <c r="AG334" s="551"/>
      <c r="AH334" s="551"/>
      <c r="AI334" s="551"/>
      <c r="AJ334" s="550"/>
      <c r="AK334" s="550"/>
      <c r="AL334" s="550"/>
      <c r="AM334" s="550"/>
      <c r="AN334" s="73"/>
      <c r="AO334" s="14"/>
    </row>
    <row r="335" spans="1:42" ht="15" hidden="1" customHeight="1">
      <c r="A335" s="550"/>
      <c r="B335" s="551"/>
      <c r="C335" s="551"/>
      <c r="D335" s="551"/>
      <c r="E335" s="551"/>
      <c r="F335" s="2406"/>
      <c r="G335" s="2407"/>
      <c r="H335" s="2407"/>
      <c r="I335" s="2407"/>
      <c r="J335" s="2407"/>
      <c r="K335" s="2407"/>
      <c r="L335" s="2407"/>
      <c r="M335" s="2407"/>
      <c r="N335" s="2407"/>
      <c r="O335" s="2407"/>
      <c r="P335" s="2407"/>
      <c r="Q335" s="2407"/>
      <c r="R335" s="2407"/>
      <c r="S335" s="2407"/>
      <c r="T335" s="2407"/>
      <c r="U335" s="2407"/>
      <c r="V335" s="2407"/>
      <c r="W335" s="2407"/>
      <c r="X335" s="2407"/>
      <c r="Y335" s="2407"/>
      <c r="Z335" s="2407"/>
      <c r="AA335" s="2407"/>
      <c r="AB335" s="2407"/>
      <c r="AC335" s="2407"/>
      <c r="AD335" s="2408"/>
      <c r="AE335" s="551"/>
      <c r="AF335" s="551"/>
      <c r="AG335" s="551"/>
      <c r="AH335" s="551"/>
      <c r="AI335" s="551"/>
      <c r="AJ335" s="550"/>
      <c r="AK335" s="550"/>
      <c r="AL335" s="550"/>
      <c r="AM335" s="659"/>
      <c r="AN335" s="14"/>
      <c r="AO335" s="14"/>
    </row>
    <row r="336" spans="1:42" hidden="1">
      <c r="A336" s="550"/>
      <c r="B336" s="551"/>
      <c r="C336" s="550"/>
      <c r="D336" s="551"/>
      <c r="E336" s="550"/>
      <c r="F336" s="660" t="s">
        <v>1393</v>
      </c>
      <c r="G336" s="661"/>
      <c r="H336" s="661"/>
      <c r="I336" s="661"/>
      <c r="J336" s="661"/>
      <c r="K336" s="661"/>
      <c r="L336" s="661"/>
      <c r="M336" s="661"/>
      <c r="N336" s="661"/>
      <c r="O336" s="661"/>
      <c r="P336" s="661"/>
      <c r="Q336" s="661"/>
      <c r="R336" s="661"/>
      <c r="S336" s="661"/>
      <c r="T336" s="661"/>
      <c r="U336" s="661"/>
      <c r="V336" s="661"/>
      <c r="W336" s="661"/>
      <c r="X336" s="661"/>
      <c r="Y336" s="661"/>
      <c r="Z336" s="661"/>
      <c r="AA336" s="661"/>
      <c r="AB336" s="661"/>
      <c r="AC336" s="661"/>
      <c r="AD336" s="662"/>
      <c r="AE336" s="551"/>
      <c r="AF336" s="551"/>
      <c r="AG336" s="551"/>
      <c r="AH336" s="551"/>
      <c r="AI336" s="551"/>
      <c r="AJ336" s="550"/>
      <c r="AK336" s="550"/>
      <c r="AL336" s="550"/>
      <c r="AM336" s="659"/>
      <c r="AN336" s="30"/>
    </row>
    <row r="337" spans="1:44" hidden="1">
      <c r="A337" s="550"/>
      <c r="B337" s="551"/>
      <c r="C337" s="550"/>
      <c r="D337" s="551"/>
      <c r="E337" s="550"/>
      <c r="F337" s="663"/>
      <c r="G337" s="663"/>
      <c r="H337" s="663"/>
      <c r="I337" s="663"/>
      <c r="J337" s="663"/>
      <c r="K337" s="663"/>
      <c r="L337" s="663"/>
      <c r="M337" s="663"/>
      <c r="N337" s="663"/>
      <c r="O337" s="663"/>
      <c r="P337" s="663"/>
      <c r="Q337" s="663"/>
      <c r="R337" s="663"/>
      <c r="S337" s="663"/>
      <c r="T337" s="663"/>
      <c r="U337" s="663"/>
      <c r="V337" s="663"/>
      <c r="W337" s="663"/>
      <c r="X337" s="663"/>
      <c r="Y337" s="663"/>
      <c r="Z337" s="663"/>
      <c r="AA337" s="663"/>
      <c r="AB337" s="663"/>
      <c r="AC337" s="663"/>
      <c r="AD337" s="663"/>
      <c r="AE337" s="551"/>
      <c r="AF337" s="551"/>
      <c r="AG337" s="551"/>
      <c r="AH337" s="551"/>
      <c r="AI337" s="551"/>
      <c r="AJ337" s="550"/>
      <c r="AK337" s="550"/>
      <c r="AL337" s="550"/>
      <c r="AM337" s="659"/>
      <c r="AN337" s="30"/>
    </row>
    <row r="338" spans="1:44">
      <c r="A338" s="606"/>
      <c r="B338" s="664"/>
      <c r="C338" s="664"/>
      <c r="D338" s="664"/>
      <c r="E338" s="664"/>
      <c r="F338" s="664"/>
      <c r="G338" s="664"/>
      <c r="H338" s="664"/>
      <c r="I338" s="664"/>
      <c r="J338" s="664"/>
      <c r="K338" s="664"/>
      <c r="L338" s="664"/>
      <c r="M338" s="664"/>
      <c r="N338" s="664"/>
      <c r="O338" s="664"/>
      <c r="P338" s="664"/>
      <c r="Q338" s="664"/>
      <c r="R338" s="664"/>
      <c r="S338" s="664"/>
      <c r="T338" s="664"/>
      <c r="U338" s="664"/>
      <c r="V338" s="664"/>
      <c r="W338" s="664"/>
      <c r="X338" s="664"/>
      <c r="Y338" s="664"/>
      <c r="Z338" s="664"/>
      <c r="AA338" s="664"/>
      <c r="AB338" s="664"/>
      <c r="AC338" s="665"/>
      <c r="AD338" s="664"/>
      <c r="AE338" s="564"/>
      <c r="AF338" s="564"/>
      <c r="AG338" s="564"/>
      <c r="AH338" s="564"/>
      <c r="AI338" s="565"/>
      <c r="AJ338" s="565" t="s">
        <v>1452</v>
      </c>
      <c r="AK338" s="2479">
        <f>IF(NOT(OR(Application!M355="Yes",Application!M356="Yes")),0,AP295)</f>
        <v>9</v>
      </c>
      <c r="AL338" s="2480"/>
      <c r="AM338" s="2481"/>
      <c r="AN338" s="30"/>
    </row>
    <row r="339" spans="1:44" s="550" customFormat="1" ht="12.75" customHeight="1" thickBot="1">
      <c r="A339" s="621"/>
      <c r="B339" s="621"/>
      <c r="C339" s="621"/>
      <c r="D339" s="621"/>
      <c r="E339" s="621"/>
      <c r="F339" s="621"/>
      <c r="G339" s="621"/>
      <c r="H339" s="621"/>
      <c r="I339" s="621"/>
      <c r="J339" s="621"/>
      <c r="K339" s="621"/>
      <c r="L339" s="621"/>
      <c r="M339" s="621"/>
      <c r="N339" s="621"/>
      <c r="O339" s="621"/>
      <c r="P339" s="621"/>
      <c r="Q339" s="621"/>
      <c r="R339" s="621"/>
      <c r="S339" s="621"/>
      <c r="T339" s="621"/>
      <c r="U339" s="621"/>
      <c r="V339" s="621"/>
      <c r="W339" s="621"/>
      <c r="X339" s="621"/>
      <c r="Y339" s="621"/>
      <c r="Z339" s="621"/>
      <c r="AA339" s="621"/>
      <c r="AB339" s="621"/>
      <c r="AC339" s="621"/>
      <c r="AD339" s="621"/>
      <c r="AE339" s="621"/>
      <c r="AF339" s="621"/>
      <c r="AG339" s="621"/>
      <c r="AH339" s="621"/>
      <c r="AI339" s="621"/>
      <c r="AJ339" s="621"/>
      <c r="AK339" s="621"/>
      <c r="AL339" s="621"/>
      <c r="AM339" s="621"/>
      <c r="AN339" s="597"/>
    </row>
    <row r="340" spans="1:44" s="550" customFormat="1" ht="12.75" customHeight="1" thickTop="1">
      <c r="A340" s="14"/>
      <c r="B340" s="14"/>
      <c r="C340" s="14"/>
      <c r="D340" s="14"/>
      <c r="E340" s="14"/>
      <c r="F340" s="14"/>
      <c r="G340" s="14"/>
      <c r="H340" s="14"/>
      <c r="I340" s="14"/>
      <c r="J340" s="14"/>
      <c r="K340" s="14"/>
      <c r="L340" s="14"/>
      <c r="M340" s="14"/>
      <c r="N340" s="14"/>
      <c r="O340" s="14"/>
      <c r="P340" s="14"/>
      <c r="Q340" s="14"/>
      <c r="R340" s="14"/>
      <c r="S340" s="14"/>
      <c r="T340" s="14"/>
      <c r="U340" s="14"/>
      <c r="V340" s="14"/>
      <c r="W340" s="14"/>
      <c r="X340" s="14"/>
      <c r="Y340" s="14"/>
      <c r="Z340" s="14"/>
      <c r="AA340" s="14"/>
      <c r="AB340" s="14"/>
      <c r="AC340" s="14"/>
      <c r="AD340" s="14"/>
      <c r="AE340" s="14"/>
      <c r="AF340" s="14"/>
      <c r="AG340" s="14"/>
      <c r="AH340" s="14"/>
      <c r="AI340" s="14"/>
      <c r="AJ340" s="14"/>
      <c r="AK340" s="14"/>
      <c r="AL340" s="14"/>
      <c r="AM340" s="14"/>
      <c r="AN340" s="597"/>
    </row>
    <row r="341" spans="1:44" s="550" customFormat="1" ht="12.75" customHeight="1">
      <c r="A341" s="539" t="s">
        <v>1453</v>
      </c>
      <c r="B341" s="539" t="s">
        <v>845</v>
      </c>
      <c r="C341" s="536"/>
      <c r="AC341" s="539"/>
      <c r="AE341" s="2409" t="s">
        <v>1314</v>
      </c>
      <c r="AF341" s="2409"/>
      <c r="AG341" s="2409"/>
      <c r="AH341" s="2409"/>
      <c r="AI341" s="2409"/>
      <c r="AJ341" s="2409"/>
      <c r="AK341" s="2409"/>
      <c r="AL341" s="539"/>
      <c r="AM341" s="539"/>
      <c r="AN341" s="592"/>
    </row>
    <row r="342" spans="1:44" s="550" customFormat="1" ht="12.75" customHeight="1">
      <c r="A342" s="539"/>
      <c r="B342" s="539"/>
      <c r="C342" s="536"/>
      <c r="AC342" s="539"/>
      <c r="AE342" s="543"/>
      <c r="AF342" s="543"/>
      <c r="AG342" s="543"/>
      <c r="AH342" s="543"/>
      <c r="AI342" s="543"/>
      <c r="AJ342" s="543"/>
      <c r="AK342" s="543"/>
      <c r="AL342" s="539"/>
      <c r="AM342" s="539"/>
      <c r="AN342" s="592"/>
    </row>
    <row r="343" spans="1:44" s="550" customFormat="1" ht="12.75" customHeight="1">
      <c r="A343" s="603"/>
      <c r="B343" s="611"/>
      <c r="C343" s="2518" t="s">
        <v>1454</v>
      </c>
      <c r="D343" s="2518"/>
      <c r="E343" s="2518"/>
      <c r="F343" s="2518"/>
      <c r="G343" s="2518"/>
      <c r="H343" s="2518"/>
      <c r="I343" s="2518"/>
      <c r="J343" s="2518"/>
      <c r="K343" s="2518"/>
      <c r="L343" s="2518"/>
      <c r="M343" s="2518"/>
      <c r="N343" s="2518"/>
      <c r="O343" s="2518"/>
      <c r="P343" s="2518"/>
      <c r="Q343" s="2518"/>
      <c r="R343" s="2518"/>
      <c r="S343" s="2518"/>
      <c r="T343" s="2518"/>
      <c r="U343" s="2518"/>
      <c r="V343" s="2518"/>
      <c r="W343" s="2518"/>
      <c r="X343" s="2518"/>
      <c r="Y343" s="2518"/>
      <c r="Z343" s="2518"/>
      <c r="AA343" s="2518"/>
      <c r="AB343" s="2518"/>
      <c r="AC343" s="2518"/>
      <c r="AD343" s="2518"/>
      <c r="AE343" s="2518"/>
      <c r="AF343" s="2518"/>
      <c r="AG343" s="2518"/>
      <c r="AH343" s="2518"/>
      <c r="AI343" s="2518"/>
      <c r="AJ343" s="2518"/>
      <c r="AK343" s="603"/>
      <c r="AL343" s="603"/>
      <c r="AM343" s="603"/>
      <c r="AN343" s="597"/>
    </row>
    <row r="344" spans="1:44" s="550" customFormat="1" ht="12.75" customHeight="1">
      <c r="A344" s="603"/>
      <c r="B344" s="611"/>
      <c r="C344" s="2518"/>
      <c r="D344" s="2518"/>
      <c r="E344" s="2518"/>
      <c r="F344" s="2518"/>
      <c r="G344" s="2518"/>
      <c r="H344" s="2518"/>
      <c r="I344" s="2518"/>
      <c r="J344" s="2518"/>
      <c r="K344" s="2518"/>
      <c r="L344" s="2518"/>
      <c r="M344" s="2518"/>
      <c r="N344" s="2518"/>
      <c r="O344" s="2518"/>
      <c r="P344" s="2518"/>
      <c r="Q344" s="2518"/>
      <c r="R344" s="2518"/>
      <c r="S344" s="2518"/>
      <c r="T344" s="2518"/>
      <c r="U344" s="2518"/>
      <c r="V344" s="2518"/>
      <c r="W344" s="2518"/>
      <c r="X344" s="2518"/>
      <c r="Y344" s="2518"/>
      <c r="Z344" s="2518"/>
      <c r="AA344" s="2518"/>
      <c r="AB344" s="2518"/>
      <c r="AC344" s="2518"/>
      <c r="AD344" s="2518"/>
      <c r="AE344" s="2518"/>
      <c r="AF344" s="2518"/>
      <c r="AG344" s="2518"/>
      <c r="AH344" s="2518"/>
      <c r="AI344" s="2518"/>
      <c r="AJ344" s="2518"/>
      <c r="AK344" s="603"/>
      <c r="AL344" s="603"/>
      <c r="AM344" s="603"/>
      <c r="AN344" s="597"/>
    </row>
    <row r="345" spans="1:44" s="550" customFormat="1" ht="12.75" customHeight="1">
      <c r="A345" s="603"/>
      <c r="B345" s="611"/>
      <c r="C345" s="2518"/>
      <c r="D345" s="2518"/>
      <c r="E345" s="2518"/>
      <c r="F345" s="2518"/>
      <c r="G345" s="2518"/>
      <c r="H345" s="2518"/>
      <c r="I345" s="2518"/>
      <c r="J345" s="2518"/>
      <c r="K345" s="2518"/>
      <c r="L345" s="2518"/>
      <c r="M345" s="2518"/>
      <c r="N345" s="2518"/>
      <c r="O345" s="2518"/>
      <c r="P345" s="2518"/>
      <c r="Q345" s="2518"/>
      <c r="R345" s="2518"/>
      <c r="S345" s="2518"/>
      <c r="T345" s="2518"/>
      <c r="U345" s="2518"/>
      <c r="V345" s="2518"/>
      <c r="W345" s="2518"/>
      <c r="X345" s="2518"/>
      <c r="Y345" s="2518"/>
      <c r="Z345" s="2518"/>
      <c r="AA345" s="2518"/>
      <c r="AB345" s="2518"/>
      <c r="AC345" s="2518"/>
      <c r="AD345" s="2518"/>
      <c r="AE345" s="2518"/>
      <c r="AF345" s="2518"/>
      <c r="AG345" s="2518"/>
      <c r="AH345" s="2518"/>
      <c r="AI345" s="2518"/>
      <c r="AJ345" s="2518"/>
      <c r="AK345" s="603"/>
      <c r="AL345" s="603"/>
      <c r="AM345" s="603"/>
      <c r="AN345" s="597"/>
      <c r="AQ345" s="570"/>
    </row>
    <row r="346" spans="1:44" s="550" customFormat="1" ht="12.75" customHeight="1">
      <c r="A346" s="603"/>
      <c r="B346" s="611"/>
      <c r="C346" s="2518"/>
      <c r="D346" s="2518"/>
      <c r="E346" s="2518"/>
      <c r="F346" s="2518"/>
      <c r="G346" s="2518"/>
      <c r="H346" s="2518"/>
      <c r="I346" s="2518"/>
      <c r="J346" s="2518"/>
      <c r="K346" s="2518"/>
      <c r="L346" s="2518"/>
      <c r="M346" s="2518"/>
      <c r="N346" s="2518"/>
      <c r="O346" s="2518"/>
      <c r="P346" s="2518"/>
      <c r="Q346" s="2518"/>
      <c r="R346" s="2518"/>
      <c r="S346" s="2518"/>
      <c r="T346" s="2518"/>
      <c r="U346" s="2518"/>
      <c r="V346" s="2518"/>
      <c r="W346" s="2518"/>
      <c r="X346" s="2518"/>
      <c r="Y346" s="2518"/>
      <c r="Z346" s="2518"/>
      <c r="AA346" s="2518"/>
      <c r="AB346" s="2518"/>
      <c r="AC346" s="2518"/>
      <c r="AD346" s="2518"/>
      <c r="AE346" s="2518"/>
      <c r="AF346" s="2518"/>
      <c r="AG346" s="2518"/>
      <c r="AH346" s="2518"/>
      <c r="AI346" s="2518"/>
      <c r="AJ346" s="2518"/>
      <c r="AK346" s="603"/>
      <c r="AL346" s="603"/>
      <c r="AM346" s="603"/>
      <c r="AN346" s="597"/>
      <c r="AQ346" s="570"/>
    </row>
    <row r="347" spans="1:44" s="550" customFormat="1" ht="12.4" customHeight="1">
      <c r="A347" s="603"/>
      <c r="B347" s="611"/>
      <c r="C347" s="2518"/>
      <c r="D347" s="2518"/>
      <c r="E347" s="2518"/>
      <c r="F347" s="2518"/>
      <c r="G347" s="2518"/>
      <c r="H347" s="2518"/>
      <c r="I347" s="2518"/>
      <c r="J347" s="2518"/>
      <c r="K347" s="2518"/>
      <c r="L347" s="2518"/>
      <c r="M347" s="2518"/>
      <c r="N347" s="2518"/>
      <c r="O347" s="2518"/>
      <c r="P347" s="2518"/>
      <c r="Q347" s="2518"/>
      <c r="R347" s="2518"/>
      <c r="S347" s="2518"/>
      <c r="T347" s="2518"/>
      <c r="U347" s="2518"/>
      <c r="V347" s="2518"/>
      <c r="W347" s="2518"/>
      <c r="X347" s="2518"/>
      <c r="Y347" s="2518"/>
      <c r="Z347" s="2518"/>
      <c r="AA347" s="2518"/>
      <c r="AB347" s="2518"/>
      <c r="AC347" s="2518"/>
      <c r="AD347" s="2518"/>
      <c r="AE347" s="2518"/>
      <c r="AF347" s="2518"/>
      <c r="AG347" s="2518"/>
      <c r="AH347" s="2518"/>
      <c r="AI347" s="2518"/>
      <c r="AJ347" s="2518"/>
      <c r="AK347" s="603"/>
      <c r="AL347" s="603"/>
      <c r="AM347" s="603"/>
      <c r="AN347" s="597"/>
      <c r="AQ347" s="570"/>
      <c r="AR347" s="570"/>
    </row>
    <row r="348" spans="1:44" s="550" customFormat="1" ht="45.75" customHeight="1">
      <c r="A348" s="603"/>
      <c r="B348" s="611"/>
      <c r="C348" s="2518" t="s">
        <v>2093</v>
      </c>
      <c r="D348" s="2518"/>
      <c r="E348" s="2518"/>
      <c r="F348" s="2518"/>
      <c r="G348" s="2518"/>
      <c r="H348" s="2518"/>
      <c r="I348" s="2518"/>
      <c r="J348" s="2518"/>
      <c r="K348" s="2518"/>
      <c r="L348" s="2518"/>
      <c r="M348" s="2518"/>
      <c r="N348" s="2518"/>
      <c r="O348" s="2518"/>
      <c r="P348" s="2518"/>
      <c r="Q348" s="2518"/>
      <c r="R348" s="2518"/>
      <c r="S348" s="2518"/>
      <c r="T348" s="2518"/>
      <c r="U348" s="2518"/>
      <c r="V348" s="2518"/>
      <c r="W348" s="2518"/>
      <c r="X348" s="2518"/>
      <c r="Y348" s="2518"/>
      <c r="Z348" s="2518"/>
      <c r="AA348" s="2518"/>
      <c r="AB348" s="2518"/>
      <c r="AC348" s="2518"/>
      <c r="AD348" s="2518"/>
      <c r="AE348" s="2518"/>
      <c r="AF348" s="2518"/>
      <c r="AG348" s="2518"/>
      <c r="AH348" s="2518"/>
      <c r="AI348" s="2518"/>
      <c r="AJ348" s="2518"/>
      <c r="AK348" s="603"/>
      <c r="AL348" s="603"/>
      <c r="AM348" s="603"/>
      <c r="AN348" s="597"/>
      <c r="AQ348" s="570"/>
      <c r="AR348" s="570"/>
    </row>
    <row r="349" spans="1:44" s="550" customFormat="1" ht="12.4" customHeight="1">
      <c r="A349" s="603"/>
      <c r="B349" s="611"/>
      <c r="C349" s="693"/>
      <c r="D349" s="693"/>
      <c r="E349" s="693"/>
      <c r="F349" s="693"/>
      <c r="G349" s="693"/>
      <c r="H349" s="693"/>
      <c r="I349" s="693"/>
      <c r="J349" s="693"/>
      <c r="K349" s="693"/>
      <c r="L349" s="693"/>
      <c r="M349" s="693"/>
      <c r="N349" s="693"/>
      <c r="O349" s="693"/>
      <c r="P349" s="693"/>
      <c r="Q349" s="693"/>
      <c r="R349" s="693"/>
      <c r="S349" s="693"/>
      <c r="T349" s="693"/>
      <c r="U349" s="693"/>
      <c r="V349" s="693"/>
      <c r="W349" s="693"/>
      <c r="X349" s="693"/>
      <c r="Y349" s="693"/>
      <c r="Z349" s="693"/>
      <c r="AA349" s="693"/>
      <c r="AB349" s="693"/>
      <c r="AC349" s="693"/>
      <c r="AD349" s="693"/>
      <c r="AE349" s="693"/>
      <c r="AF349" s="693"/>
      <c r="AG349" s="693"/>
      <c r="AH349" s="693"/>
      <c r="AI349" s="693"/>
      <c r="AJ349" s="693"/>
      <c r="AK349" s="603"/>
      <c r="AL349" s="603"/>
      <c r="AM349" s="603"/>
      <c r="AN349" s="597"/>
      <c r="AQ349" s="570"/>
      <c r="AR349" s="570"/>
    </row>
    <row r="350" spans="1:44" s="550" customFormat="1" ht="12.75" customHeight="1">
      <c r="A350" s="603"/>
      <c r="B350" s="611"/>
      <c r="C350" s="2518" t="s">
        <v>2208</v>
      </c>
      <c r="D350" s="2518"/>
      <c r="E350" s="2518"/>
      <c r="F350" s="2518"/>
      <c r="G350" s="2518"/>
      <c r="H350" s="2518"/>
      <c r="I350" s="2518"/>
      <c r="J350" s="2518"/>
      <c r="K350" s="2518"/>
      <c r="L350" s="2518"/>
      <c r="M350" s="2518"/>
      <c r="N350" s="2518"/>
      <c r="O350" s="2518"/>
      <c r="P350" s="2518"/>
      <c r="Q350" s="2518"/>
      <c r="R350" s="2518"/>
      <c r="S350" s="2518"/>
      <c r="T350" s="2518"/>
      <c r="U350" s="2518"/>
      <c r="V350" s="2518"/>
      <c r="W350" s="2518"/>
      <c r="X350" s="2518"/>
      <c r="Y350" s="2518"/>
      <c r="Z350" s="2518"/>
      <c r="AA350" s="2518"/>
      <c r="AB350" s="2518"/>
      <c r="AC350" s="2518"/>
      <c r="AD350" s="2518"/>
      <c r="AE350" s="2518"/>
      <c r="AF350" s="2518"/>
      <c r="AG350" s="2518"/>
      <c r="AH350" s="2518"/>
      <c r="AI350" s="2518"/>
      <c r="AJ350" s="2518"/>
      <c r="AK350" s="603"/>
      <c r="AL350" s="603"/>
      <c r="AM350" s="603"/>
      <c r="AN350" s="597"/>
      <c r="AQ350" s="570"/>
      <c r="AR350" s="570"/>
    </row>
    <row r="351" spans="1:44" s="550" customFormat="1" ht="30" customHeight="1">
      <c r="A351" s="603"/>
      <c r="B351" s="611"/>
      <c r="C351" s="2518"/>
      <c r="D351" s="2518"/>
      <c r="E351" s="2518"/>
      <c r="F351" s="2518"/>
      <c r="G351" s="2518"/>
      <c r="H351" s="2518"/>
      <c r="I351" s="2518"/>
      <c r="J351" s="2518"/>
      <c r="K351" s="2518"/>
      <c r="L351" s="2518"/>
      <c r="M351" s="2518"/>
      <c r="N351" s="2518"/>
      <c r="O351" s="2518"/>
      <c r="P351" s="2518"/>
      <c r="Q351" s="2518"/>
      <c r="R351" s="2518"/>
      <c r="S351" s="2518"/>
      <c r="T351" s="2518"/>
      <c r="U351" s="2518"/>
      <c r="V351" s="2518"/>
      <c r="W351" s="2518"/>
      <c r="X351" s="2518"/>
      <c r="Y351" s="2518"/>
      <c r="Z351" s="2518"/>
      <c r="AA351" s="2518"/>
      <c r="AB351" s="2518"/>
      <c r="AC351" s="2518"/>
      <c r="AD351" s="2518"/>
      <c r="AE351" s="2518"/>
      <c r="AF351" s="2518"/>
      <c r="AG351" s="2518"/>
      <c r="AH351" s="2518"/>
      <c r="AI351" s="2518"/>
      <c r="AJ351" s="2518"/>
      <c r="AK351" s="603"/>
      <c r="AL351" s="603"/>
      <c r="AM351" s="603"/>
      <c r="AN351" s="597"/>
      <c r="AR351" s="570"/>
    </row>
    <row r="352" spans="1:44" s="550" customFormat="1" ht="12.75" customHeight="1">
      <c r="A352" s="603"/>
      <c r="B352" s="611"/>
      <c r="C352" s="2518"/>
      <c r="D352" s="2518"/>
      <c r="E352" s="2518"/>
      <c r="F352" s="2518"/>
      <c r="G352" s="2518"/>
      <c r="H352" s="2518"/>
      <c r="I352" s="2518"/>
      <c r="J352" s="2518"/>
      <c r="K352" s="2518"/>
      <c r="L352" s="2518"/>
      <c r="M352" s="2518"/>
      <c r="N352" s="2518"/>
      <c r="O352" s="2518"/>
      <c r="P352" s="2518"/>
      <c r="Q352" s="2518"/>
      <c r="R352" s="2518"/>
      <c r="S352" s="2518"/>
      <c r="T352" s="2518"/>
      <c r="U352" s="2518"/>
      <c r="V352" s="2518"/>
      <c r="W352" s="2518"/>
      <c r="X352" s="2518"/>
      <c r="Y352" s="2518"/>
      <c r="Z352" s="2518"/>
      <c r="AA352" s="2518"/>
      <c r="AB352" s="2518"/>
      <c r="AC352" s="2518"/>
      <c r="AD352" s="2518"/>
      <c r="AE352" s="2518"/>
      <c r="AF352" s="2518"/>
      <c r="AG352" s="2518"/>
      <c r="AH352" s="2518"/>
      <c r="AI352" s="2518"/>
      <c r="AJ352" s="2518"/>
      <c r="AK352" s="603"/>
      <c r="AL352" s="603"/>
      <c r="AM352" s="603"/>
      <c r="AN352" s="597"/>
      <c r="AR352" s="570"/>
    </row>
    <row r="353" spans="1:46" s="550" customFormat="1" ht="12.75" customHeight="1">
      <c r="A353" s="603"/>
      <c r="B353" s="611"/>
      <c r="C353" s="2518" t="s">
        <v>1455</v>
      </c>
      <c r="D353" s="2518"/>
      <c r="E353" s="2518"/>
      <c r="F353" s="2518"/>
      <c r="G353" s="2518"/>
      <c r="H353" s="2518"/>
      <c r="I353" s="2518"/>
      <c r="J353" s="2518"/>
      <c r="K353" s="2518"/>
      <c r="L353" s="2518"/>
      <c r="M353" s="2518"/>
      <c r="N353" s="2518"/>
      <c r="O353" s="2518"/>
      <c r="P353" s="2518"/>
      <c r="Q353" s="2518"/>
      <c r="R353" s="2518"/>
      <c r="S353" s="2518"/>
      <c r="T353" s="2518"/>
      <c r="U353" s="2518"/>
      <c r="V353" s="2518"/>
      <c r="W353" s="2518"/>
      <c r="X353" s="2518"/>
      <c r="Y353" s="2518"/>
      <c r="Z353" s="2518"/>
      <c r="AA353" s="2518"/>
      <c r="AB353" s="2518"/>
      <c r="AC353" s="2518"/>
      <c r="AD353" s="2518"/>
      <c r="AE353" s="2518"/>
      <c r="AF353" s="2518"/>
      <c r="AG353" s="2518"/>
      <c r="AH353" s="2518"/>
      <c r="AI353" s="2518"/>
      <c r="AJ353" s="2518"/>
      <c r="AK353" s="603"/>
      <c r="AL353" s="603"/>
      <c r="AM353" s="603"/>
      <c r="AN353" s="597"/>
      <c r="AQ353" s="570"/>
      <c r="AR353" s="570"/>
    </row>
    <row r="354" spans="1:46" s="550" customFormat="1" ht="12.75" customHeight="1">
      <c r="A354" s="603"/>
      <c r="B354" s="611"/>
      <c r="C354" s="2518"/>
      <c r="D354" s="2518"/>
      <c r="E354" s="2518"/>
      <c r="F354" s="2518"/>
      <c r="G354" s="2518"/>
      <c r="H354" s="2518"/>
      <c r="I354" s="2518"/>
      <c r="J354" s="2518"/>
      <c r="K354" s="2518"/>
      <c r="L354" s="2518"/>
      <c r="M354" s="2518"/>
      <c r="N354" s="2518"/>
      <c r="O354" s="2518"/>
      <c r="P354" s="2518"/>
      <c r="Q354" s="2518"/>
      <c r="R354" s="2518"/>
      <c r="S354" s="2518"/>
      <c r="T354" s="2518"/>
      <c r="U354" s="2518"/>
      <c r="V354" s="2518"/>
      <c r="W354" s="2518"/>
      <c r="X354" s="2518"/>
      <c r="Y354" s="2518"/>
      <c r="Z354" s="2518"/>
      <c r="AA354" s="2518"/>
      <c r="AB354" s="2518"/>
      <c r="AC354" s="2518"/>
      <c r="AD354" s="2518"/>
      <c r="AE354" s="2518"/>
      <c r="AF354" s="2518"/>
      <c r="AG354" s="2518"/>
      <c r="AH354" s="2518"/>
      <c r="AI354" s="2518"/>
      <c r="AJ354" s="2518"/>
      <c r="AK354" s="603"/>
      <c r="AL354" s="603"/>
      <c r="AM354" s="603"/>
      <c r="AN354" s="597"/>
      <c r="AQ354" s="570"/>
      <c r="AR354" s="570"/>
    </row>
    <row r="355" spans="1:46" s="550" customFormat="1" ht="13.15" customHeight="1">
      <c r="A355" s="603"/>
      <c r="B355" s="611"/>
      <c r="C355" s="2518"/>
      <c r="D355" s="2518"/>
      <c r="E355" s="2518"/>
      <c r="F355" s="2518"/>
      <c r="G355" s="2518"/>
      <c r="H355" s="2518"/>
      <c r="I355" s="2518"/>
      <c r="J355" s="2518"/>
      <c r="K355" s="2518"/>
      <c r="L355" s="2518"/>
      <c r="M355" s="2518"/>
      <c r="N355" s="2518"/>
      <c r="O355" s="2518"/>
      <c r="P355" s="2518"/>
      <c r="Q355" s="2518"/>
      <c r="R355" s="2518"/>
      <c r="S355" s="2518"/>
      <c r="T355" s="2518"/>
      <c r="U355" s="2518"/>
      <c r="V355" s="2518"/>
      <c r="W355" s="2518"/>
      <c r="X355" s="2518"/>
      <c r="Y355" s="2518"/>
      <c r="Z355" s="2518"/>
      <c r="AA355" s="2518"/>
      <c r="AB355" s="2518"/>
      <c r="AC355" s="2518"/>
      <c r="AD355" s="2518"/>
      <c r="AE355" s="2518"/>
      <c r="AF355" s="2518"/>
      <c r="AG355" s="2518"/>
      <c r="AH355" s="2518"/>
      <c r="AI355" s="2518"/>
      <c r="AJ355" s="2518"/>
      <c r="AK355" s="603"/>
      <c r="AL355" s="603"/>
      <c r="AM355" s="603"/>
      <c r="AN355" s="597"/>
      <c r="AQ355" s="570"/>
      <c r="AR355" s="570"/>
    </row>
    <row r="356" spans="1:46" s="550" customFormat="1" ht="12.75" customHeight="1">
      <c r="A356" s="603"/>
      <c r="B356" s="611"/>
      <c r="C356" s="2518"/>
      <c r="D356" s="2518"/>
      <c r="E356" s="2518"/>
      <c r="F356" s="2518"/>
      <c r="G356" s="2518"/>
      <c r="H356" s="2518"/>
      <c r="I356" s="2518"/>
      <c r="J356" s="2518"/>
      <c r="K356" s="2518"/>
      <c r="L356" s="2518"/>
      <c r="M356" s="2518"/>
      <c r="N356" s="2518"/>
      <c r="O356" s="2518"/>
      <c r="P356" s="2518"/>
      <c r="Q356" s="2518"/>
      <c r="R356" s="2518"/>
      <c r="S356" s="2518"/>
      <c r="T356" s="2518"/>
      <c r="U356" s="2518"/>
      <c r="V356" s="2518"/>
      <c r="W356" s="2518"/>
      <c r="X356" s="2518"/>
      <c r="Y356" s="2518"/>
      <c r="Z356" s="2518"/>
      <c r="AA356" s="2518"/>
      <c r="AB356" s="2518"/>
      <c r="AC356" s="2518"/>
      <c r="AD356" s="2518"/>
      <c r="AE356" s="2518"/>
      <c r="AF356" s="2518"/>
      <c r="AG356" s="2518"/>
      <c r="AH356" s="2518"/>
      <c r="AI356" s="2518"/>
      <c r="AJ356" s="2518"/>
      <c r="AK356" s="603"/>
      <c r="AL356" s="603"/>
      <c r="AM356" s="603"/>
      <c r="AN356" s="597"/>
      <c r="AO356" s="694"/>
      <c r="AP356" s="694"/>
      <c r="AQ356" s="570"/>
    </row>
    <row r="357" spans="1:46" s="550" customFormat="1" ht="11.85" customHeight="1">
      <c r="A357" s="603"/>
      <c r="B357" s="611"/>
      <c r="C357" s="2518"/>
      <c r="D357" s="2518"/>
      <c r="E357" s="2518"/>
      <c r="F357" s="2518"/>
      <c r="G357" s="2518"/>
      <c r="H357" s="2518"/>
      <c r="I357" s="2518"/>
      <c r="J357" s="2518"/>
      <c r="K357" s="2518"/>
      <c r="L357" s="2518"/>
      <c r="M357" s="2518"/>
      <c r="N357" s="2518"/>
      <c r="O357" s="2518"/>
      <c r="P357" s="2518"/>
      <c r="Q357" s="2518"/>
      <c r="R357" s="2518"/>
      <c r="S357" s="2518"/>
      <c r="T357" s="2518"/>
      <c r="U357" s="2518"/>
      <c r="V357" s="2518"/>
      <c r="W357" s="2518"/>
      <c r="X357" s="2518"/>
      <c r="Y357" s="2518"/>
      <c r="Z357" s="2518"/>
      <c r="AA357" s="2518"/>
      <c r="AB357" s="2518"/>
      <c r="AC357" s="2518"/>
      <c r="AD357" s="2518"/>
      <c r="AE357" s="2518"/>
      <c r="AF357" s="2518"/>
      <c r="AG357" s="2518"/>
      <c r="AH357" s="2518"/>
      <c r="AI357" s="2518"/>
      <c r="AJ357" s="2518"/>
      <c r="AK357" s="603"/>
      <c r="AL357" s="603"/>
      <c r="AM357" s="603"/>
      <c r="AN357" s="597"/>
      <c r="AO357" s="695" t="s">
        <v>112</v>
      </c>
      <c r="AP357" s="696">
        <f>IF(C381="Yes",5,0)</f>
        <v>0</v>
      </c>
      <c r="AS357" s="539" t="s">
        <v>1456</v>
      </c>
    </row>
    <row r="358" spans="1:46" s="550" customFormat="1" ht="12.75" customHeight="1">
      <c r="A358" s="603"/>
      <c r="B358" s="611"/>
      <c r="C358" s="2518"/>
      <c r="D358" s="2518"/>
      <c r="E358" s="2518"/>
      <c r="F358" s="2518"/>
      <c r="G358" s="2518"/>
      <c r="H358" s="2518"/>
      <c r="I358" s="2518"/>
      <c r="J358" s="2518"/>
      <c r="K358" s="2518"/>
      <c r="L358" s="2518"/>
      <c r="M358" s="2518"/>
      <c r="N358" s="2518"/>
      <c r="O358" s="2518"/>
      <c r="P358" s="2518"/>
      <c r="Q358" s="2518"/>
      <c r="R358" s="2518"/>
      <c r="S358" s="2518"/>
      <c r="T358" s="2518"/>
      <c r="U358" s="2518"/>
      <c r="V358" s="2518"/>
      <c r="W358" s="2518"/>
      <c r="X358" s="2518"/>
      <c r="Y358" s="2518"/>
      <c r="Z358" s="2518"/>
      <c r="AA358" s="2518"/>
      <c r="AB358" s="2518"/>
      <c r="AC358" s="2518"/>
      <c r="AD358" s="2518"/>
      <c r="AE358" s="2518"/>
      <c r="AF358" s="2518"/>
      <c r="AG358" s="2518"/>
      <c r="AH358" s="2518"/>
      <c r="AI358" s="2518"/>
      <c r="AJ358" s="2518"/>
      <c r="AK358" s="603"/>
      <c r="AL358" s="603"/>
      <c r="AM358" s="603"/>
      <c r="AN358" s="597"/>
      <c r="AO358" s="695" t="s">
        <v>113</v>
      </c>
      <c r="AP358" s="696">
        <f>IF(C389="Yes",5,0)</f>
        <v>0</v>
      </c>
      <c r="AS358" s="2539">
        <f>IF(Application!D211="Non-Targeted",(SUM(AQ366+AQ375)),AS362)</f>
        <v>10</v>
      </c>
      <c r="AT358" s="2539"/>
    </row>
    <row r="359" spans="1:46" s="550" customFormat="1" ht="12.75" customHeight="1">
      <c r="A359" s="603"/>
      <c r="B359" s="611"/>
      <c r="C359" s="2518"/>
      <c r="D359" s="2518"/>
      <c r="E359" s="2518"/>
      <c r="F359" s="2518"/>
      <c r="G359" s="2518"/>
      <c r="H359" s="2518"/>
      <c r="I359" s="2518"/>
      <c r="J359" s="2518"/>
      <c r="K359" s="2518"/>
      <c r="L359" s="2518"/>
      <c r="M359" s="2518"/>
      <c r="N359" s="2518"/>
      <c r="O359" s="2518"/>
      <c r="P359" s="2518"/>
      <c r="Q359" s="2518"/>
      <c r="R359" s="2518"/>
      <c r="S359" s="2518"/>
      <c r="T359" s="2518"/>
      <c r="U359" s="2518"/>
      <c r="V359" s="2518"/>
      <c r="W359" s="2518"/>
      <c r="X359" s="2518"/>
      <c r="Y359" s="2518"/>
      <c r="Z359" s="2518"/>
      <c r="AA359" s="2518"/>
      <c r="AB359" s="2518"/>
      <c r="AC359" s="2518"/>
      <c r="AD359" s="2518"/>
      <c r="AE359" s="2518"/>
      <c r="AF359" s="2518"/>
      <c r="AG359" s="2518"/>
      <c r="AH359" s="2518"/>
      <c r="AI359" s="2518"/>
      <c r="AJ359" s="2518"/>
      <c r="AK359" s="603"/>
      <c r="AL359" s="603"/>
      <c r="AM359" s="603"/>
      <c r="AN359" s="597"/>
      <c r="AO359" s="695" t="s">
        <v>119</v>
      </c>
      <c r="AP359" s="696">
        <f>IF(C397="Yes",7,0)</f>
        <v>7</v>
      </c>
      <c r="AS359" s="539" t="s">
        <v>1457</v>
      </c>
    </row>
    <row r="360" spans="1:46" s="550" customFormat="1" ht="12.75" customHeight="1">
      <c r="A360" s="603"/>
      <c r="B360" s="611"/>
      <c r="C360" s="2518"/>
      <c r="D360" s="2518"/>
      <c r="E360" s="2518"/>
      <c r="F360" s="2518"/>
      <c r="G360" s="2518"/>
      <c r="H360" s="2518"/>
      <c r="I360" s="2518"/>
      <c r="J360" s="2518"/>
      <c r="K360" s="2518"/>
      <c r="L360" s="2518"/>
      <c r="M360" s="2518"/>
      <c r="N360" s="2518"/>
      <c r="O360" s="2518"/>
      <c r="P360" s="2518"/>
      <c r="Q360" s="2518"/>
      <c r="R360" s="2518"/>
      <c r="S360" s="2518"/>
      <c r="T360" s="2518"/>
      <c r="U360" s="2518"/>
      <c r="V360" s="2518"/>
      <c r="W360" s="2518"/>
      <c r="X360" s="2518"/>
      <c r="Y360" s="2518"/>
      <c r="Z360" s="2518"/>
      <c r="AA360" s="2518"/>
      <c r="AB360" s="2518"/>
      <c r="AC360" s="2518"/>
      <c r="AD360" s="2518"/>
      <c r="AE360" s="2518"/>
      <c r="AF360" s="2518"/>
      <c r="AG360" s="2518"/>
      <c r="AH360" s="2518"/>
      <c r="AI360" s="2518"/>
      <c r="AJ360" s="2518"/>
      <c r="AK360" s="603"/>
      <c r="AL360" s="603"/>
      <c r="AM360" s="603"/>
      <c r="AN360" s="597"/>
      <c r="AO360" s="597"/>
      <c r="AP360" s="696">
        <f>IF(C399="Yes",5,0)</f>
        <v>0</v>
      </c>
      <c r="AS360" s="2539">
        <f>IF(AND(AQ366&gt;0,AQ375&gt;0),(AQ366+AQ375)/2,0)</f>
        <v>0</v>
      </c>
      <c r="AT360" s="2539"/>
    </row>
    <row r="361" spans="1:46" s="550" customFormat="1" ht="12.75" customHeight="1">
      <c r="A361" s="603"/>
      <c r="B361" s="611"/>
      <c r="C361" s="2518"/>
      <c r="D361" s="2518"/>
      <c r="E361" s="2518"/>
      <c r="F361" s="2518"/>
      <c r="G361" s="2518"/>
      <c r="H361" s="2518"/>
      <c r="I361" s="2518"/>
      <c r="J361" s="2518"/>
      <c r="K361" s="2518"/>
      <c r="L361" s="2518"/>
      <c r="M361" s="2518"/>
      <c r="N361" s="2518"/>
      <c r="O361" s="2518"/>
      <c r="P361" s="2518"/>
      <c r="Q361" s="2518"/>
      <c r="R361" s="2518"/>
      <c r="S361" s="2518"/>
      <c r="T361" s="2518"/>
      <c r="U361" s="2518"/>
      <c r="V361" s="2518"/>
      <c r="W361" s="2518"/>
      <c r="X361" s="2518"/>
      <c r="Y361" s="2518"/>
      <c r="Z361" s="2518"/>
      <c r="AA361" s="2518"/>
      <c r="AB361" s="2518"/>
      <c r="AC361" s="2518"/>
      <c r="AD361" s="2518"/>
      <c r="AE361" s="2518"/>
      <c r="AF361" s="2518"/>
      <c r="AG361" s="2518"/>
      <c r="AH361" s="2518"/>
      <c r="AI361" s="2518"/>
      <c r="AJ361" s="2518"/>
      <c r="AK361" s="603"/>
      <c r="AL361" s="603"/>
      <c r="AM361" s="603"/>
      <c r="AN361" s="597"/>
      <c r="AO361" s="695" t="s">
        <v>581</v>
      </c>
      <c r="AP361" s="696">
        <f>IF(C407="Yes",5,0)</f>
        <v>0</v>
      </c>
      <c r="AS361" s="539" t="s">
        <v>1879</v>
      </c>
    </row>
    <row r="362" spans="1:46" s="550" customFormat="1" ht="12.75" customHeight="1">
      <c r="A362" s="603"/>
      <c r="B362" s="611"/>
      <c r="C362" s="2540" t="s">
        <v>2233</v>
      </c>
      <c r="D362" s="2540"/>
      <c r="E362" s="2540"/>
      <c r="F362" s="2540"/>
      <c r="G362" s="2540"/>
      <c r="H362" s="2540"/>
      <c r="I362" s="2540"/>
      <c r="J362" s="2540"/>
      <c r="K362" s="2540"/>
      <c r="L362" s="2540"/>
      <c r="M362" s="2540"/>
      <c r="N362" s="2540"/>
      <c r="O362" s="2540"/>
      <c r="P362" s="2540"/>
      <c r="Q362" s="2540"/>
      <c r="R362" s="2540"/>
      <c r="S362" s="2540"/>
      <c r="T362" s="2540"/>
      <c r="U362" s="2540"/>
      <c r="V362" s="2540"/>
      <c r="W362" s="2540"/>
      <c r="X362" s="2540"/>
      <c r="Y362" s="2540"/>
      <c r="Z362" s="2540"/>
      <c r="AA362" s="2540"/>
      <c r="AB362" s="2540"/>
      <c r="AC362" s="2540"/>
      <c r="AD362" s="2540"/>
      <c r="AE362" s="2540"/>
      <c r="AF362" s="2540"/>
      <c r="AG362" s="2540"/>
      <c r="AH362" s="2540"/>
      <c r="AI362" s="2540"/>
      <c r="AJ362" s="2540"/>
      <c r="AK362" s="603"/>
      <c r="AL362" s="603"/>
      <c r="AM362" s="603"/>
      <c r="AN362" s="597"/>
      <c r="AO362" s="597"/>
      <c r="AP362" s="696">
        <f>IF(C409="Yes",3,0)</f>
        <v>3</v>
      </c>
      <c r="AS362" s="2539">
        <f>IF(AQ366=0,AQ375,AQ366)</f>
        <v>10</v>
      </c>
      <c r="AT362" s="2539"/>
    </row>
    <row r="363" spans="1:46" s="550" customFormat="1" ht="12.75" customHeight="1">
      <c r="A363" s="603"/>
      <c r="B363" s="611"/>
      <c r="C363" s="2540"/>
      <c r="D363" s="2540"/>
      <c r="E363" s="2540"/>
      <c r="F363" s="2540"/>
      <c r="G363" s="2540"/>
      <c r="H363" s="2540"/>
      <c r="I363" s="2540"/>
      <c r="J363" s="2540"/>
      <c r="K363" s="2540"/>
      <c r="L363" s="2540"/>
      <c r="M363" s="2540"/>
      <c r="N363" s="2540"/>
      <c r="O363" s="2540"/>
      <c r="P363" s="2540"/>
      <c r="Q363" s="2540"/>
      <c r="R363" s="2540"/>
      <c r="S363" s="2540"/>
      <c r="T363" s="2540"/>
      <c r="U363" s="2540"/>
      <c r="V363" s="2540"/>
      <c r="W363" s="2540"/>
      <c r="X363" s="2540"/>
      <c r="Y363" s="2540"/>
      <c r="Z363" s="2540"/>
      <c r="AA363" s="2540"/>
      <c r="AB363" s="2540"/>
      <c r="AC363" s="2540"/>
      <c r="AD363" s="2540"/>
      <c r="AE363" s="2540"/>
      <c r="AF363" s="2540"/>
      <c r="AG363" s="2540"/>
      <c r="AH363" s="2540"/>
      <c r="AI363" s="2540"/>
      <c r="AJ363" s="2540"/>
      <c r="AK363" s="603"/>
      <c r="AL363" s="603"/>
      <c r="AM363" s="603"/>
      <c r="AN363" s="597"/>
      <c r="AO363" s="695" t="s">
        <v>763</v>
      </c>
      <c r="AP363" s="696">
        <f>IF(C412="Yes",5,0)</f>
        <v>0</v>
      </c>
    </row>
    <row r="364" spans="1:46" s="550" customFormat="1" ht="12.75" customHeight="1">
      <c r="A364" s="603"/>
      <c r="B364" s="611"/>
      <c r="C364" s="2540"/>
      <c r="D364" s="2540"/>
      <c r="E364" s="2540"/>
      <c r="F364" s="2540"/>
      <c r="G364" s="2540"/>
      <c r="H364" s="2540"/>
      <c r="I364" s="2540"/>
      <c r="J364" s="2540"/>
      <c r="K364" s="2540"/>
      <c r="L364" s="2540"/>
      <c r="M364" s="2540"/>
      <c r="N364" s="2540"/>
      <c r="O364" s="2540"/>
      <c r="P364" s="2540"/>
      <c r="Q364" s="2540"/>
      <c r="R364" s="2540"/>
      <c r="S364" s="2540"/>
      <c r="T364" s="2540"/>
      <c r="U364" s="2540"/>
      <c r="V364" s="2540"/>
      <c r="W364" s="2540"/>
      <c r="X364" s="2540"/>
      <c r="Y364" s="2540"/>
      <c r="Z364" s="2540"/>
      <c r="AA364" s="2540"/>
      <c r="AB364" s="2540"/>
      <c r="AC364" s="2540"/>
      <c r="AD364" s="2540"/>
      <c r="AE364" s="2540"/>
      <c r="AF364" s="2540"/>
      <c r="AG364" s="2540"/>
      <c r="AH364" s="2540"/>
      <c r="AI364" s="2540"/>
      <c r="AJ364" s="2540"/>
      <c r="AK364" s="603"/>
      <c r="AL364" s="603"/>
      <c r="AM364" s="603"/>
      <c r="AN364" s="597"/>
      <c r="AO364" s="695" t="s">
        <v>584</v>
      </c>
      <c r="AP364" s="696">
        <f>IF(C421="Yes",5,0)</f>
        <v>0</v>
      </c>
    </row>
    <row r="365" spans="1:46" s="550" customFormat="1" ht="11.85" customHeight="1">
      <c r="A365" s="603"/>
      <c r="B365" s="611"/>
      <c r="C365" s="2540"/>
      <c r="D365" s="2540"/>
      <c r="E365" s="2540"/>
      <c r="F365" s="2540"/>
      <c r="G365" s="2540"/>
      <c r="H365" s="2540"/>
      <c r="I365" s="2540"/>
      <c r="J365" s="2540"/>
      <c r="K365" s="2540"/>
      <c r="L365" s="2540"/>
      <c r="M365" s="2540"/>
      <c r="N365" s="2540"/>
      <c r="O365" s="2540"/>
      <c r="P365" s="2540"/>
      <c r="Q365" s="2540"/>
      <c r="R365" s="2540"/>
      <c r="S365" s="2540"/>
      <c r="T365" s="2540"/>
      <c r="U365" s="2540"/>
      <c r="V365" s="2540"/>
      <c r="W365" s="2540"/>
      <c r="X365" s="2540"/>
      <c r="Y365" s="2540"/>
      <c r="Z365" s="2540"/>
      <c r="AA365" s="2540"/>
      <c r="AB365" s="2540"/>
      <c r="AC365" s="2540"/>
      <c r="AD365" s="2540"/>
      <c r="AE365" s="2540"/>
      <c r="AF365" s="2540"/>
      <c r="AG365" s="2540"/>
      <c r="AH365" s="2540"/>
      <c r="AI365" s="2540"/>
      <c r="AJ365" s="2540"/>
      <c r="AK365" s="603"/>
      <c r="AL365" s="603"/>
      <c r="AM365" s="603"/>
      <c r="AN365" s="597"/>
      <c r="AO365" s="697"/>
      <c r="AP365" s="698">
        <f>IF(C423="Yes",3,0)</f>
        <v>0</v>
      </c>
    </row>
    <row r="366" spans="1:46" s="550" customFormat="1" ht="12.4" customHeight="1">
      <c r="A366" s="603"/>
      <c r="B366" s="611"/>
      <c r="C366" s="2540"/>
      <c r="D366" s="2540"/>
      <c r="E366" s="2540"/>
      <c r="F366" s="2540"/>
      <c r="G366" s="2540"/>
      <c r="H366" s="2540"/>
      <c r="I366" s="2540"/>
      <c r="J366" s="2540"/>
      <c r="K366" s="2540"/>
      <c r="L366" s="2540"/>
      <c r="M366" s="2540"/>
      <c r="N366" s="2540"/>
      <c r="O366" s="2540"/>
      <c r="P366" s="2540"/>
      <c r="Q366" s="2540"/>
      <c r="R366" s="2540"/>
      <c r="S366" s="2540"/>
      <c r="T366" s="2540"/>
      <c r="U366" s="2540"/>
      <c r="V366" s="2540"/>
      <c r="W366" s="2540"/>
      <c r="X366" s="2540"/>
      <c r="Y366" s="2540"/>
      <c r="Z366" s="2540"/>
      <c r="AA366" s="2540"/>
      <c r="AB366" s="2540"/>
      <c r="AC366" s="2540"/>
      <c r="AD366" s="2540"/>
      <c r="AE366" s="2540"/>
      <c r="AF366" s="2540"/>
      <c r="AG366" s="2540"/>
      <c r="AH366" s="2540"/>
      <c r="AI366" s="2540"/>
      <c r="AJ366" s="2540"/>
      <c r="AK366" s="603"/>
      <c r="AL366" s="603"/>
      <c r="AM366" s="603"/>
      <c r="AN366" s="597"/>
      <c r="AO366" s="699" t="s">
        <v>226</v>
      </c>
      <c r="AP366" s="700">
        <f>SUM(AP357:AP365)</f>
        <v>10</v>
      </c>
      <c r="AQ366" s="2541">
        <f>IF(AP366&gt;0,AP366,0)</f>
        <v>10</v>
      </c>
      <c r="AR366" s="2541"/>
    </row>
    <row r="367" spans="1:46" s="550" customFormat="1" ht="12.75" customHeight="1">
      <c r="A367" s="603"/>
      <c r="B367" s="611"/>
      <c r="C367" s="2540"/>
      <c r="D367" s="2540"/>
      <c r="E367" s="2540"/>
      <c r="F367" s="2540"/>
      <c r="G367" s="2540"/>
      <c r="H367" s="2540"/>
      <c r="I367" s="2540"/>
      <c r="J367" s="2540"/>
      <c r="K367" s="2540"/>
      <c r="L367" s="2540"/>
      <c r="M367" s="2540"/>
      <c r="N367" s="2540"/>
      <c r="O367" s="2540"/>
      <c r="P367" s="2540"/>
      <c r="Q367" s="2540"/>
      <c r="R367" s="2540"/>
      <c r="S367" s="2540"/>
      <c r="T367" s="2540"/>
      <c r="U367" s="2540"/>
      <c r="V367" s="2540"/>
      <c r="W367" s="2540"/>
      <c r="X367" s="2540"/>
      <c r="Y367" s="2540"/>
      <c r="Z367" s="2540"/>
      <c r="AA367" s="2540"/>
      <c r="AB367" s="2540"/>
      <c r="AC367" s="2540"/>
      <c r="AD367" s="2540"/>
      <c r="AE367" s="2540"/>
      <c r="AF367" s="2540"/>
      <c r="AG367" s="2540"/>
      <c r="AH367" s="2540"/>
      <c r="AI367" s="2540"/>
      <c r="AJ367" s="2540"/>
      <c r="AK367" s="603"/>
      <c r="AL367" s="603"/>
      <c r="AM367" s="603"/>
      <c r="AN367" s="597"/>
      <c r="AP367" s="570"/>
    </row>
    <row r="368" spans="1:46" s="550" customFormat="1" ht="12.75" customHeight="1">
      <c r="A368" s="603"/>
      <c r="B368" s="611"/>
      <c r="C368" s="692"/>
      <c r="D368" s="692"/>
      <c r="E368" s="692"/>
      <c r="F368" s="692"/>
      <c r="G368" s="692"/>
      <c r="H368" s="692"/>
      <c r="I368" s="692"/>
      <c r="J368" s="692"/>
      <c r="K368" s="692"/>
      <c r="L368" s="692"/>
      <c r="M368" s="692"/>
      <c r="N368" s="692"/>
      <c r="O368" s="692"/>
      <c r="P368" s="692"/>
      <c r="Q368" s="692"/>
      <c r="R368" s="692"/>
      <c r="S368" s="692"/>
      <c r="T368" s="692"/>
      <c r="U368" s="692"/>
      <c r="V368" s="692"/>
      <c r="W368" s="692"/>
      <c r="X368" s="692"/>
      <c r="Y368" s="692"/>
      <c r="Z368" s="692"/>
      <c r="AA368" s="692"/>
      <c r="AB368" s="692"/>
      <c r="AC368" s="692"/>
      <c r="AD368" s="692"/>
      <c r="AE368" s="692"/>
      <c r="AF368" s="692"/>
      <c r="AG368" s="692"/>
      <c r="AH368" s="692"/>
      <c r="AI368" s="692"/>
      <c r="AJ368" s="692"/>
      <c r="AK368" s="603"/>
      <c r="AL368" s="603"/>
      <c r="AM368" s="603"/>
      <c r="AN368" s="597"/>
      <c r="AO368" s="695" t="s">
        <v>455</v>
      </c>
      <c r="AP368" s="696">
        <f>IF(C430="Yes",5,0)</f>
        <v>0</v>
      </c>
    </row>
    <row r="369" spans="1:81" s="550" customFormat="1" ht="12.75" customHeight="1">
      <c r="A369" s="603"/>
      <c r="B369" s="611"/>
      <c r="C369" s="2518" t="s">
        <v>1458</v>
      </c>
      <c r="D369" s="2518"/>
      <c r="E369" s="2518"/>
      <c r="F369" s="2518"/>
      <c r="G369" s="2518"/>
      <c r="H369" s="2518"/>
      <c r="I369" s="2518"/>
      <c r="J369" s="2518"/>
      <c r="K369" s="2518"/>
      <c r="L369" s="2518"/>
      <c r="M369" s="2518"/>
      <c r="N369" s="2518"/>
      <c r="O369" s="2518"/>
      <c r="P369" s="2518"/>
      <c r="Q369" s="2518"/>
      <c r="R369" s="2518"/>
      <c r="S369" s="2518"/>
      <c r="T369" s="2518"/>
      <c r="U369" s="2518"/>
      <c r="V369" s="2518"/>
      <c r="W369" s="2518"/>
      <c r="X369" s="2518"/>
      <c r="Y369" s="2518"/>
      <c r="Z369" s="2518"/>
      <c r="AA369" s="2518"/>
      <c r="AB369" s="2518"/>
      <c r="AC369" s="2518"/>
      <c r="AD369" s="2518"/>
      <c r="AE369" s="2518"/>
      <c r="AF369" s="2518"/>
      <c r="AG369" s="2518"/>
      <c r="AH369" s="2518"/>
      <c r="AI369" s="2518"/>
      <c r="AJ369" s="2518"/>
      <c r="AK369" s="603"/>
      <c r="AL369" s="603"/>
      <c r="AM369" s="603"/>
      <c r="AN369" s="597"/>
      <c r="AO369" s="695" t="s">
        <v>456</v>
      </c>
      <c r="AP369" s="696">
        <f>IF(C442="Yes",5,0)</f>
        <v>0</v>
      </c>
    </row>
    <row r="370" spans="1:81" s="550" customFormat="1" ht="12.75" customHeight="1">
      <c r="A370" s="603"/>
      <c r="B370" s="611"/>
      <c r="C370" s="2518"/>
      <c r="D370" s="2518"/>
      <c r="E370" s="2518"/>
      <c r="F370" s="2518"/>
      <c r="G370" s="2518"/>
      <c r="H370" s="2518"/>
      <c r="I370" s="2518"/>
      <c r="J370" s="2518"/>
      <c r="K370" s="2518"/>
      <c r="L370" s="2518"/>
      <c r="M370" s="2518"/>
      <c r="N370" s="2518"/>
      <c r="O370" s="2518"/>
      <c r="P370" s="2518"/>
      <c r="Q370" s="2518"/>
      <c r="R370" s="2518"/>
      <c r="S370" s="2518"/>
      <c r="T370" s="2518"/>
      <c r="U370" s="2518"/>
      <c r="V370" s="2518"/>
      <c r="W370" s="2518"/>
      <c r="X370" s="2518"/>
      <c r="Y370" s="2518"/>
      <c r="Z370" s="2518"/>
      <c r="AA370" s="2518"/>
      <c r="AB370" s="2518"/>
      <c r="AC370" s="2518"/>
      <c r="AD370" s="2518"/>
      <c r="AE370" s="2518"/>
      <c r="AF370" s="2518"/>
      <c r="AG370" s="2518"/>
      <c r="AH370" s="2518"/>
      <c r="AI370" s="2518"/>
      <c r="AJ370" s="2518"/>
      <c r="AK370" s="603"/>
      <c r="AL370" s="603"/>
      <c r="AM370" s="603"/>
      <c r="AN370" s="597"/>
      <c r="AO370" s="695" t="s">
        <v>461</v>
      </c>
      <c r="AP370" s="696">
        <f>IF(C449="Yes",5,0)</f>
        <v>0</v>
      </c>
    </row>
    <row r="371" spans="1:81" s="550" customFormat="1" ht="68.099999999999994" customHeight="1">
      <c r="A371" s="603"/>
      <c r="B371" s="611"/>
      <c r="C371" s="2518"/>
      <c r="D371" s="2518"/>
      <c r="E371" s="2518"/>
      <c r="F371" s="2518"/>
      <c r="G371" s="2518"/>
      <c r="H371" s="2518"/>
      <c r="I371" s="2518"/>
      <c r="J371" s="2518"/>
      <c r="K371" s="2518"/>
      <c r="L371" s="2518"/>
      <c r="M371" s="2518"/>
      <c r="N371" s="2518"/>
      <c r="O371" s="2518"/>
      <c r="P371" s="2518"/>
      <c r="Q371" s="2518"/>
      <c r="R371" s="2518"/>
      <c r="S371" s="2518"/>
      <c r="T371" s="2518"/>
      <c r="U371" s="2518"/>
      <c r="V371" s="2518"/>
      <c r="W371" s="2518"/>
      <c r="X371" s="2518"/>
      <c r="Y371" s="2518"/>
      <c r="Z371" s="2518"/>
      <c r="AA371" s="2518"/>
      <c r="AB371" s="2518"/>
      <c r="AC371" s="2518"/>
      <c r="AD371" s="2518"/>
      <c r="AE371" s="2518"/>
      <c r="AF371" s="2518"/>
      <c r="AG371" s="2518"/>
      <c r="AH371" s="2518"/>
      <c r="AI371" s="2518"/>
      <c r="AJ371" s="2518"/>
      <c r="AK371" s="603"/>
      <c r="AL371" s="603"/>
      <c r="AM371" s="603"/>
      <c r="AN371" s="597"/>
      <c r="AO371" s="695" t="s">
        <v>646</v>
      </c>
      <c r="AP371" s="701">
        <f>IF(C453="Yes",5,0)</f>
        <v>0</v>
      </c>
    </row>
    <row r="372" spans="1:81" s="550" customFormat="1" ht="12.4" customHeight="1">
      <c r="A372" s="603"/>
      <c r="B372" s="611"/>
      <c r="C372" s="550" t="s">
        <v>1459</v>
      </c>
      <c r="AF372" s="603"/>
      <c r="AG372" s="603"/>
      <c r="AH372" s="603"/>
      <c r="AI372" s="603"/>
      <c r="AJ372" s="603"/>
      <c r="AK372" s="603"/>
      <c r="AL372" s="603"/>
      <c r="AM372" s="603"/>
      <c r="AN372" s="597"/>
      <c r="AO372" s="695" t="s">
        <v>361</v>
      </c>
      <c r="AP372" s="696">
        <f>IF(C457="Yes",5,0)</f>
        <v>0</v>
      </c>
    </row>
    <row r="373" spans="1:81" s="550" customFormat="1" ht="12.75" customHeight="1">
      <c r="A373" s="603"/>
      <c r="B373" s="611"/>
      <c r="C373" s="702" t="s">
        <v>2211</v>
      </c>
      <c r="D373" s="703"/>
      <c r="E373" s="703"/>
      <c r="F373" s="703"/>
      <c r="G373" s="703"/>
      <c r="H373" s="703"/>
      <c r="I373" s="703"/>
      <c r="J373" s="703"/>
      <c r="K373" s="703"/>
      <c r="L373" s="703"/>
      <c r="M373" s="667"/>
      <c r="N373" s="667"/>
      <c r="O373" s="704"/>
      <c r="P373" s="703"/>
      <c r="Q373" s="703"/>
      <c r="R373" s="667"/>
      <c r="S373" s="667"/>
      <c r="T373" s="703"/>
      <c r="U373" s="2626">
        <f>Application!DU802-U374</f>
        <v>234</v>
      </c>
      <c r="V373" s="2626"/>
      <c r="W373" s="2626"/>
      <c r="X373" s="703"/>
      <c r="Y373" s="703"/>
      <c r="Z373" s="703"/>
      <c r="AA373" s="705"/>
      <c r="AB373" s="706"/>
      <c r="AC373" s="706"/>
      <c r="AD373" s="706"/>
      <c r="AE373" s="603"/>
      <c r="AF373" s="603"/>
      <c r="AG373" s="603"/>
      <c r="AH373" s="603"/>
      <c r="AI373" s="603"/>
      <c r="AJ373" s="603"/>
      <c r="AK373" s="603"/>
      <c r="AL373" s="603"/>
      <c r="AM373" s="603"/>
      <c r="AN373" s="597"/>
      <c r="AO373" s="695" t="s">
        <v>362</v>
      </c>
      <c r="AP373" s="696">
        <f>IF(C466="Yes",5,0)</f>
        <v>0</v>
      </c>
    </row>
    <row r="374" spans="1:81" s="550" customFormat="1" ht="12.75" customHeight="1">
      <c r="A374" s="603"/>
      <c r="B374" s="611"/>
      <c r="C374" s="707" t="s">
        <v>2212</v>
      </c>
      <c r="D374" s="694"/>
      <c r="E374" s="694"/>
      <c r="F374" s="694"/>
      <c r="G374" s="694"/>
      <c r="H374" s="694"/>
      <c r="I374" s="694"/>
      <c r="J374" s="694"/>
      <c r="K374" s="694"/>
      <c r="L374" s="694"/>
      <c r="M374" s="694"/>
      <c r="N374" s="694"/>
      <c r="O374" s="694"/>
      <c r="P374" s="694"/>
      <c r="Q374" s="694"/>
      <c r="R374" s="694"/>
      <c r="S374" s="694"/>
      <c r="T374" s="694"/>
      <c r="U374" s="2627">
        <f>IF(Application!D211="SRO",Application!DU755,Application!AG756)</f>
        <v>0</v>
      </c>
      <c r="V374" s="2627"/>
      <c r="W374" s="2627"/>
      <c r="X374" s="694"/>
      <c r="Y374" s="694"/>
      <c r="Z374" s="694"/>
      <c r="AA374" s="708"/>
      <c r="AC374" s="709"/>
      <c r="AD374" s="709"/>
      <c r="AE374" s="603"/>
      <c r="AF374" s="603"/>
      <c r="AG374" s="603"/>
      <c r="AH374" s="603"/>
      <c r="AI374" s="603"/>
      <c r="AJ374" s="603"/>
      <c r="AK374" s="603"/>
      <c r="AL374" s="603"/>
      <c r="AM374" s="603"/>
      <c r="AN374" s="597"/>
      <c r="AO374" s="697"/>
      <c r="AP374" s="698"/>
    </row>
    <row r="375" spans="1:81" s="550" customFormat="1" ht="12.75" customHeight="1">
      <c r="A375" s="603"/>
      <c r="B375" s="611"/>
      <c r="C375" s="596"/>
      <c r="U375" s="787"/>
      <c r="V375" s="787"/>
      <c r="W375" s="787"/>
      <c r="AC375" s="709"/>
      <c r="AD375" s="709"/>
      <c r="AE375" s="603"/>
      <c r="AF375" s="603"/>
      <c r="AG375" s="603"/>
      <c r="AH375" s="603"/>
      <c r="AI375" s="603"/>
      <c r="AJ375" s="603"/>
      <c r="AK375" s="603"/>
      <c r="AL375" s="603"/>
      <c r="AM375" s="603"/>
      <c r="AN375" s="597"/>
      <c r="AO375" s="710" t="s">
        <v>226</v>
      </c>
      <c r="AP375" s="711">
        <f>SUM(AP368:AP373)</f>
        <v>0</v>
      </c>
      <c r="AQ375" s="2541">
        <f>IF(AP375&gt;0,AP375,0)</f>
        <v>0</v>
      </c>
      <c r="AR375" s="2541"/>
    </row>
    <row r="376" spans="1:81" s="550" customFormat="1" ht="12.75" customHeight="1">
      <c r="A376" s="603"/>
      <c r="B376" s="14"/>
      <c r="C376" s="712" t="s">
        <v>2209</v>
      </c>
      <c r="D376" s="603"/>
      <c r="E376" s="603"/>
      <c r="F376" s="603"/>
      <c r="G376" s="603"/>
      <c r="H376" s="603"/>
      <c r="I376" s="603"/>
      <c r="J376" s="603"/>
      <c r="K376" s="603"/>
      <c r="L376" s="603"/>
      <c r="M376" s="603"/>
      <c r="N376" s="603"/>
      <c r="O376" s="603"/>
      <c r="P376" s="603"/>
      <c r="Q376" s="603"/>
      <c r="R376" s="603"/>
      <c r="S376" s="603"/>
      <c r="T376" s="603"/>
      <c r="U376" s="603"/>
      <c r="V376" s="603"/>
      <c r="W376" s="603"/>
      <c r="X376" s="603"/>
      <c r="Y376" s="603"/>
      <c r="Z376" s="603"/>
      <c r="AA376" s="603"/>
      <c r="AB376" s="603"/>
      <c r="AC376" s="603"/>
      <c r="AD376" s="603"/>
      <c r="AE376" s="603"/>
      <c r="AF376" s="603"/>
      <c r="AG376" s="603"/>
      <c r="AH376" s="603"/>
      <c r="AI376" s="603"/>
      <c r="AJ376" s="603"/>
      <c r="AK376" s="603"/>
      <c r="AL376" s="603"/>
      <c r="AM376" s="603"/>
      <c r="AN376" s="597"/>
      <c r="BS376" s="30"/>
      <c r="BT376" s="30"/>
      <c r="BU376" s="14"/>
      <c r="BV376" s="14"/>
      <c r="BW376" s="14"/>
    </row>
    <row r="377" spans="1:81" s="550" customFormat="1" ht="12.75" customHeight="1">
      <c r="A377" s="536"/>
      <c r="B377" s="14"/>
      <c r="C377" s="713"/>
      <c r="D377" s="714"/>
      <c r="E377" s="715" t="s">
        <v>1315</v>
      </c>
      <c r="F377" s="2522" t="s">
        <v>1460</v>
      </c>
      <c r="G377" s="2522"/>
      <c r="H377" s="2522"/>
      <c r="I377" s="2522"/>
      <c r="J377" s="2522"/>
      <c r="K377" s="2522"/>
      <c r="L377" s="2522"/>
      <c r="M377" s="2522"/>
      <c r="N377" s="2522"/>
      <c r="O377" s="2522"/>
      <c r="P377" s="2522"/>
      <c r="Q377" s="2522"/>
      <c r="R377" s="2522"/>
      <c r="S377" s="2522"/>
      <c r="T377" s="2522"/>
      <c r="U377" s="2522"/>
      <c r="V377" s="2522"/>
      <c r="W377" s="2522"/>
      <c r="X377" s="2522"/>
      <c r="Y377" s="2522"/>
      <c r="Z377" s="2522"/>
      <c r="AA377" s="2522"/>
      <c r="AB377" s="2522"/>
      <c r="AC377" s="2522"/>
      <c r="AD377" s="2522"/>
      <c r="AE377" s="2522"/>
      <c r="AF377" s="2522"/>
      <c r="AG377" s="716"/>
      <c r="AH377" s="716"/>
      <c r="AI377" s="716"/>
      <c r="AJ377" s="716"/>
      <c r="AK377" s="716"/>
      <c r="AL377" s="717"/>
      <c r="AM377" s="570"/>
      <c r="AN377" s="597"/>
      <c r="AP377" s="570"/>
      <c r="BS377" s="30"/>
      <c r="BT377" s="30"/>
      <c r="BU377" s="14"/>
      <c r="BV377" s="14"/>
      <c r="BW377" s="14"/>
      <c r="BX377" s="14"/>
      <c r="BY377" s="14"/>
      <c r="BZ377" s="14"/>
      <c r="CA377" s="14"/>
      <c r="CB377" s="14"/>
      <c r="CC377" s="14"/>
    </row>
    <row r="378" spans="1:81" s="550" customFormat="1" ht="12.75" customHeight="1">
      <c r="A378" s="536"/>
      <c r="B378" s="14"/>
      <c r="C378" s="718"/>
      <c r="D378" s="536"/>
      <c r="E378" s="719"/>
      <c r="F378" s="2523"/>
      <c r="G378" s="2523"/>
      <c r="H378" s="2523"/>
      <c r="I378" s="2523"/>
      <c r="J378" s="2523"/>
      <c r="K378" s="2523"/>
      <c r="L378" s="2523"/>
      <c r="M378" s="2523"/>
      <c r="N378" s="2523"/>
      <c r="O378" s="2523"/>
      <c r="P378" s="2523"/>
      <c r="Q378" s="2523"/>
      <c r="R378" s="2523"/>
      <c r="S378" s="2523"/>
      <c r="T378" s="2523"/>
      <c r="U378" s="2523"/>
      <c r="V378" s="2523"/>
      <c r="W378" s="2523"/>
      <c r="X378" s="2523"/>
      <c r="Y378" s="2523"/>
      <c r="Z378" s="2523"/>
      <c r="AA378" s="2523"/>
      <c r="AB378" s="2523"/>
      <c r="AC378" s="2523"/>
      <c r="AD378" s="2523"/>
      <c r="AE378" s="2523"/>
      <c r="AF378" s="2523"/>
      <c r="AG378" s="539"/>
      <c r="AH378" s="539"/>
      <c r="AI378" s="539"/>
      <c r="AJ378" s="539"/>
      <c r="AK378" s="539"/>
      <c r="AL378" s="720"/>
      <c r="AM378" s="570"/>
      <c r="AN378" s="597"/>
      <c r="AP378" s="570"/>
      <c r="BS378" s="30"/>
      <c r="BT378" s="30"/>
      <c r="BU378" s="14"/>
      <c r="BV378" s="14"/>
      <c r="BW378" s="14"/>
      <c r="BX378" s="14"/>
      <c r="BY378" s="14"/>
      <c r="BZ378" s="14"/>
      <c r="CA378" s="14"/>
      <c r="CB378" s="14"/>
      <c r="CC378" s="14"/>
    </row>
    <row r="379" spans="1:81" s="550" customFormat="1" ht="12.75" customHeight="1">
      <c r="A379" s="536"/>
      <c r="B379" s="14"/>
      <c r="C379" s="718"/>
      <c r="D379" s="536"/>
      <c r="E379" s="719"/>
      <c r="F379" s="2523"/>
      <c r="G379" s="2523"/>
      <c r="H379" s="2523"/>
      <c r="I379" s="2523"/>
      <c r="J379" s="2523"/>
      <c r="K379" s="2523"/>
      <c r="L379" s="2523"/>
      <c r="M379" s="2523"/>
      <c r="N379" s="2523"/>
      <c r="O379" s="2523"/>
      <c r="P379" s="2523"/>
      <c r="Q379" s="2523"/>
      <c r="R379" s="2523"/>
      <c r="S379" s="2523"/>
      <c r="T379" s="2523"/>
      <c r="U379" s="2523"/>
      <c r="V379" s="2523"/>
      <c r="W379" s="2523"/>
      <c r="X379" s="2523"/>
      <c r="Y379" s="2523"/>
      <c r="Z379" s="2523"/>
      <c r="AA379" s="2523"/>
      <c r="AB379" s="2523"/>
      <c r="AC379" s="2523"/>
      <c r="AD379" s="2523"/>
      <c r="AE379" s="2523"/>
      <c r="AF379" s="2523"/>
      <c r="AG379" s="539"/>
      <c r="AH379" s="539"/>
      <c r="AI379" s="539"/>
      <c r="AJ379" s="539"/>
      <c r="AK379" s="539"/>
      <c r="AL379" s="720"/>
      <c r="AM379" s="570"/>
      <c r="AN379" s="597"/>
      <c r="BS379" s="30"/>
      <c r="BT379" s="30"/>
      <c r="BU379" s="14"/>
      <c r="BV379" s="14"/>
      <c r="BW379" s="14"/>
      <c r="BX379" s="14"/>
      <c r="BY379" s="14"/>
      <c r="BZ379" s="14"/>
      <c r="CA379" s="14"/>
      <c r="CB379" s="14"/>
      <c r="CC379" s="14"/>
    </row>
    <row r="380" spans="1:81" s="550" customFormat="1" ht="12.75" customHeight="1">
      <c r="A380" s="536"/>
      <c r="B380" s="14"/>
      <c r="C380" s="718"/>
      <c r="D380" s="536"/>
      <c r="E380" s="719"/>
      <c r="F380" s="2523"/>
      <c r="G380" s="2523"/>
      <c r="H380" s="2523"/>
      <c r="I380" s="2523"/>
      <c r="J380" s="2523"/>
      <c r="K380" s="2523"/>
      <c r="L380" s="2523"/>
      <c r="M380" s="2523"/>
      <c r="N380" s="2523"/>
      <c r="O380" s="2523"/>
      <c r="P380" s="2523"/>
      <c r="Q380" s="2523"/>
      <c r="R380" s="2523"/>
      <c r="S380" s="2523"/>
      <c r="T380" s="2523"/>
      <c r="U380" s="2523"/>
      <c r="V380" s="2523"/>
      <c r="W380" s="2523"/>
      <c r="X380" s="2523"/>
      <c r="Y380" s="2523"/>
      <c r="Z380" s="2523"/>
      <c r="AA380" s="2523"/>
      <c r="AB380" s="2523"/>
      <c r="AC380" s="2523"/>
      <c r="AD380" s="2523"/>
      <c r="AE380" s="2523"/>
      <c r="AF380" s="2523"/>
      <c r="AG380" s="539"/>
      <c r="AH380" s="539"/>
      <c r="AI380" s="539"/>
      <c r="AJ380" s="539"/>
      <c r="AK380" s="539"/>
      <c r="AL380" s="720"/>
      <c r="AM380" s="570"/>
      <c r="AN380" s="597"/>
      <c r="BS380" s="30"/>
      <c r="BT380" s="30"/>
      <c r="BU380" s="14"/>
      <c r="BV380" s="14"/>
      <c r="BW380" s="14"/>
      <c r="BX380" s="14"/>
      <c r="BY380" s="14"/>
      <c r="BZ380" s="14"/>
      <c r="CA380" s="14"/>
      <c r="CB380" s="14"/>
      <c r="CC380" s="14"/>
    </row>
    <row r="381" spans="1:81" s="550" customFormat="1" ht="12.75" customHeight="1">
      <c r="A381" s="536"/>
      <c r="B381" s="14"/>
      <c r="C381" s="2519" t="s">
        <v>591</v>
      </c>
      <c r="D381" s="2476"/>
      <c r="E381" s="719"/>
      <c r="F381" s="721" t="s">
        <v>1461</v>
      </c>
      <c r="G381" s="603"/>
      <c r="H381" s="603"/>
      <c r="I381" s="603"/>
      <c r="J381" s="603"/>
      <c r="K381" s="603"/>
      <c r="L381" s="603"/>
      <c r="M381" s="603"/>
      <c r="N381" s="603"/>
      <c r="O381" s="603"/>
      <c r="P381" s="603"/>
      <c r="Q381" s="603"/>
      <c r="R381" s="603"/>
      <c r="S381" s="603"/>
      <c r="T381" s="603"/>
      <c r="U381" s="603"/>
      <c r="V381" s="603"/>
      <c r="W381" s="603"/>
      <c r="X381" s="603"/>
      <c r="Y381" s="603"/>
      <c r="Z381" s="603"/>
      <c r="AA381" s="603"/>
      <c r="AB381" s="603"/>
      <c r="AC381" s="603"/>
      <c r="AD381" s="603"/>
      <c r="AF381" s="2520" t="s">
        <v>1462</v>
      </c>
      <c r="AG381" s="2520"/>
      <c r="AH381" s="2520"/>
      <c r="AI381" s="2520"/>
      <c r="AJ381" s="2520"/>
      <c r="AK381" s="2520"/>
      <c r="AL381" s="2521"/>
      <c r="AM381" s="722"/>
      <c r="BS381" s="30"/>
      <c r="BT381" s="30"/>
      <c r="BU381" s="14"/>
      <c r="BV381" s="14"/>
      <c r="BW381" s="14"/>
      <c r="BX381" s="14"/>
      <c r="BY381" s="14"/>
      <c r="BZ381" s="14"/>
      <c r="CA381" s="14"/>
      <c r="CB381" s="14"/>
      <c r="CC381" s="14"/>
    </row>
    <row r="382" spans="1:81" s="550" customFormat="1" ht="12.75" customHeight="1">
      <c r="A382" s="536"/>
      <c r="B382" s="14"/>
      <c r="C382" s="756"/>
      <c r="D382" s="723"/>
      <c r="E382" s="724"/>
      <c r="F382" s="725"/>
      <c r="G382" s="726"/>
      <c r="H382" s="726"/>
      <c r="I382" s="726"/>
      <c r="J382" s="726"/>
      <c r="K382" s="726"/>
      <c r="L382" s="726"/>
      <c r="M382" s="726"/>
      <c r="N382" s="726"/>
      <c r="O382" s="726"/>
      <c r="P382" s="726"/>
      <c r="Q382" s="726"/>
      <c r="R382" s="726"/>
      <c r="S382" s="726"/>
      <c r="T382" s="726"/>
      <c r="U382" s="726"/>
      <c r="V382" s="726"/>
      <c r="W382" s="726"/>
      <c r="X382" s="726"/>
      <c r="Y382" s="726"/>
      <c r="Z382" s="726"/>
      <c r="AA382" s="726"/>
      <c r="AB382" s="726"/>
      <c r="AC382" s="726"/>
      <c r="AD382" s="726"/>
      <c r="AE382" s="727"/>
      <c r="AF382" s="727"/>
      <c r="AG382" s="727"/>
      <c r="AH382" s="727"/>
      <c r="AI382" s="727"/>
      <c r="AJ382" s="727"/>
      <c r="AK382" s="727"/>
      <c r="AL382" s="757"/>
      <c r="AM382" s="729"/>
      <c r="AN382" s="597"/>
      <c r="CC382" s="14"/>
    </row>
    <row r="383" spans="1:81" s="550" customFormat="1" ht="12.75" customHeight="1">
      <c r="A383" s="536"/>
      <c r="B383" s="14"/>
      <c r="C383" s="730"/>
      <c r="D383" s="730"/>
      <c r="E383" s="719"/>
      <c r="F383" s="676"/>
      <c r="G383" s="676"/>
      <c r="H383" s="676"/>
      <c r="I383" s="676"/>
      <c r="J383" s="676"/>
      <c r="K383" s="676"/>
      <c r="L383" s="676"/>
      <c r="M383" s="676"/>
      <c r="N383" s="676"/>
      <c r="O383" s="676"/>
      <c r="P383" s="676"/>
      <c r="Q383" s="676"/>
      <c r="R383" s="676"/>
      <c r="S383" s="676"/>
      <c r="T383" s="676"/>
      <c r="U383" s="676"/>
      <c r="V383" s="676"/>
      <c r="W383" s="676"/>
      <c r="X383" s="676"/>
      <c r="Y383" s="676"/>
      <c r="Z383" s="676"/>
      <c r="AA383" s="676"/>
      <c r="AB383" s="676"/>
      <c r="AC383" s="676"/>
      <c r="AD383" s="676"/>
      <c r="AE383" s="591"/>
      <c r="AF383" s="591"/>
      <c r="AG383" s="591"/>
      <c r="AH383" s="591"/>
      <c r="AI383" s="591"/>
      <c r="AJ383" s="591"/>
      <c r="AK383" s="591"/>
      <c r="AL383" s="591"/>
      <c r="AM383" s="570"/>
      <c r="AN383" s="597"/>
      <c r="BS383" s="30"/>
      <c r="BT383" s="30"/>
      <c r="BU383" s="14"/>
      <c r="BV383" s="14"/>
      <c r="BW383" s="14"/>
      <c r="BX383" s="14"/>
      <c r="BY383" s="14"/>
      <c r="BZ383" s="14"/>
      <c r="CA383" s="14"/>
      <c r="CB383" s="14"/>
      <c r="CC383" s="14"/>
    </row>
    <row r="384" spans="1:81" s="550" customFormat="1" ht="12.75" customHeight="1">
      <c r="A384" s="536"/>
      <c r="B384" s="14"/>
      <c r="C384" s="713"/>
      <c r="D384" s="714"/>
      <c r="E384" s="715" t="s">
        <v>1317</v>
      </c>
      <c r="F384" s="2522" t="s">
        <v>1463</v>
      </c>
      <c r="G384" s="2522"/>
      <c r="H384" s="2522"/>
      <c r="I384" s="2522"/>
      <c r="J384" s="2522"/>
      <c r="K384" s="2522"/>
      <c r="L384" s="2522"/>
      <c r="M384" s="2522"/>
      <c r="N384" s="2522"/>
      <c r="O384" s="2522"/>
      <c r="P384" s="2522"/>
      <c r="Q384" s="2522"/>
      <c r="R384" s="2522"/>
      <c r="S384" s="2522"/>
      <c r="T384" s="2522"/>
      <c r="U384" s="2522"/>
      <c r="V384" s="2522"/>
      <c r="W384" s="2522"/>
      <c r="X384" s="2522"/>
      <c r="Y384" s="2522"/>
      <c r="Z384" s="2522"/>
      <c r="AA384" s="2522"/>
      <c r="AB384" s="2522"/>
      <c r="AC384" s="2522"/>
      <c r="AD384" s="2522"/>
      <c r="AE384" s="2522"/>
      <c r="AF384" s="2522"/>
      <c r="AG384" s="716"/>
      <c r="AH384" s="716"/>
      <c r="AI384" s="716"/>
      <c r="AJ384" s="716"/>
      <c r="AK384" s="716"/>
      <c r="AL384" s="717"/>
      <c r="AM384" s="570"/>
      <c r="AN384" s="597"/>
      <c r="BS384" s="30"/>
      <c r="BT384" s="30"/>
      <c r="BU384" s="14"/>
      <c r="BV384" s="14"/>
      <c r="BW384" s="14"/>
      <c r="BX384" s="14"/>
      <c r="BY384" s="14"/>
      <c r="BZ384" s="14"/>
      <c r="CA384" s="14"/>
      <c r="CB384" s="14"/>
      <c r="CC384" s="14"/>
    </row>
    <row r="385" spans="1:81" s="550" customFormat="1" ht="12.75" customHeight="1">
      <c r="A385" s="536"/>
      <c r="B385" s="14"/>
      <c r="C385" s="731"/>
      <c r="D385" s="14"/>
      <c r="E385" s="691"/>
      <c r="F385" s="2523"/>
      <c r="G385" s="2523"/>
      <c r="H385" s="2523"/>
      <c r="I385" s="2523"/>
      <c r="J385" s="2523"/>
      <c r="K385" s="2523"/>
      <c r="L385" s="2523"/>
      <c r="M385" s="2523"/>
      <c r="N385" s="2523"/>
      <c r="O385" s="2523"/>
      <c r="P385" s="2523"/>
      <c r="Q385" s="2523"/>
      <c r="R385" s="2523"/>
      <c r="S385" s="2523"/>
      <c r="T385" s="2523"/>
      <c r="U385" s="2523"/>
      <c r="V385" s="2523"/>
      <c r="W385" s="2523"/>
      <c r="X385" s="2523"/>
      <c r="Y385" s="2523"/>
      <c r="Z385" s="2523"/>
      <c r="AA385" s="2523"/>
      <c r="AB385" s="2523"/>
      <c r="AC385" s="2523"/>
      <c r="AD385" s="2523"/>
      <c r="AE385" s="2523"/>
      <c r="AF385" s="2523"/>
      <c r="AG385" s="539"/>
      <c r="AH385" s="539"/>
      <c r="AI385" s="539"/>
      <c r="AJ385" s="539"/>
      <c r="AK385" s="539"/>
      <c r="AL385" s="720"/>
      <c r="AM385" s="570"/>
      <c r="AN385" s="597"/>
      <c r="BS385" s="30"/>
      <c r="BT385" s="30"/>
      <c r="BU385" s="14"/>
      <c r="BV385" s="14"/>
      <c r="BW385" s="14"/>
      <c r="BX385" s="14"/>
      <c r="BY385" s="14"/>
      <c r="BZ385" s="14"/>
      <c r="CA385" s="14"/>
      <c r="CB385" s="14"/>
      <c r="CC385" s="14"/>
    </row>
    <row r="386" spans="1:81" s="550" customFormat="1" ht="12.75" customHeight="1">
      <c r="A386" s="536"/>
      <c r="B386" s="14"/>
      <c r="C386" s="731"/>
      <c r="D386" s="14"/>
      <c r="E386" s="691"/>
      <c r="F386" s="2523"/>
      <c r="G386" s="2523"/>
      <c r="H386" s="2523"/>
      <c r="I386" s="2523"/>
      <c r="J386" s="2523"/>
      <c r="K386" s="2523"/>
      <c r="L386" s="2523"/>
      <c r="M386" s="2523"/>
      <c r="N386" s="2523"/>
      <c r="O386" s="2523"/>
      <c r="P386" s="2523"/>
      <c r="Q386" s="2523"/>
      <c r="R386" s="2523"/>
      <c r="S386" s="2523"/>
      <c r="T386" s="2523"/>
      <c r="U386" s="2523"/>
      <c r="V386" s="2523"/>
      <c r="W386" s="2523"/>
      <c r="X386" s="2523"/>
      <c r="Y386" s="2523"/>
      <c r="Z386" s="2523"/>
      <c r="AA386" s="2523"/>
      <c r="AB386" s="2523"/>
      <c r="AC386" s="2523"/>
      <c r="AD386" s="2523"/>
      <c r="AE386" s="2523"/>
      <c r="AF386" s="2523"/>
      <c r="AG386" s="539"/>
      <c r="AH386" s="539"/>
      <c r="AI386" s="539"/>
      <c r="AJ386" s="539"/>
      <c r="AK386" s="539"/>
      <c r="AL386" s="720"/>
      <c r="AM386" s="570"/>
      <c r="AN386" s="597"/>
      <c r="BS386" s="30"/>
      <c r="BT386" s="30"/>
      <c r="BU386" s="14"/>
      <c r="BV386" s="14"/>
      <c r="BW386" s="14"/>
      <c r="BX386" s="14"/>
      <c r="BY386" s="14"/>
      <c r="BZ386" s="14"/>
      <c r="CA386" s="14"/>
      <c r="CB386" s="14"/>
      <c r="CC386" s="14"/>
    </row>
    <row r="387" spans="1:81" s="550" customFormat="1" ht="12.75" customHeight="1">
      <c r="A387" s="536"/>
      <c r="B387" s="14"/>
      <c r="C387" s="731"/>
      <c r="D387" s="14"/>
      <c r="E387" s="691"/>
      <c r="F387" s="2523"/>
      <c r="G387" s="2523"/>
      <c r="H387" s="2523"/>
      <c r="I387" s="2523"/>
      <c r="J387" s="2523"/>
      <c r="K387" s="2523"/>
      <c r="L387" s="2523"/>
      <c r="M387" s="2523"/>
      <c r="N387" s="2523"/>
      <c r="O387" s="2523"/>
      <c r="P387" s="2523"/>
      <c r="Q387" s="2523"/>
      <c r="R387" s="2523"/>
      <c r="S387" s="2523"/>
      <c r="T387" s="2523"/>
      <c r="U387" s="2523"/>
      <c r="V387" s="2523"/>
      <c r="W387" s="2523"/>
      <c r="X387" s="2523"/>
      <c r="Y387" s="2523"/>
      <c r="Z387" s="2523"/>
      <c r="AA387" s="2523"/>
      <c r="AB387" s="2523"/>
      <c r="AC387" s="2523"/>
      <c r="AD387" s="2523"/>
      <c r="AE387" s="2523"/>
      <c r="AF387" s="2523"/>
      <c r="AG387" s="539"/>
      <c r="AH387" s="539"/>
      <c r="AI387" s="539"/>
      <c r="AJ387" s="539"/>
      <c r="AK387" s="539"/>
      <c r="AL387" s="720"/>
      <c r="AM387" s="570"/>
      <c r="AN387" s="597"/>
      <c r="BS387" s="30"/>
      <c r="BT387" s="30"/>
      <c r="BU387" s="14"/>
      <c r="BV387" s="14"/>
      <c r="BW387" s="14"/>
      <c r="BX387" s="14"/>
      <c r="BY387" s="14"/>
      <c r="BZ387" s="14"/>
      <c r="CA387" s="14"/>
      <c r="CB387" s="14"/>
      <c r="CC387" s="14"/>
    </row>
    <row r="388" spans="1:81" s="550" customFormat="1" ht="12.75" customHeight="1">
      <c r="A388" s="536"/>
      <c r="B388" s="14"/>
      <c r="C388" s="731"/>
      <c r="D388" s="14"/>
      <c r="E388" s="691"/>
      <c r="F388" s="2523"/>
      <c r="G388" s="2523"/>
      <c r="H388" s="2523"/>
      <c r="I388" s="2523"/>
      <c r="J388" s="2523"/>
      <c r="K388" s="2523"/>
      <c r="L388" s="2523"/>
      <c r="M388" s="2523"/>
      <c r="N388" s="2523"/>
      <c r="O388" s="2523"/>
      <c r="P388" s="2523"/>
      <c r="Q388" s="2523"/>
      <c r="R388" s="2523"/>
      <c r="S388" s="2523"/>
      <c r="T388" s="2523"/>
      <c r="U388" s="2523"/>
      <c r="V388" s="2523"/>
      <c r="W388" s="2523"/>
      <c r="X388" s="2523"/>
      <c r="Y388" s="2523"/>
      <c r="Z388" s="2523"/>
      <c r="AA388" s="2523"/>
      <c r="AB388" s="2523"/>
      <c r="AC388" s="2523"/>
      <c r="AD388" s="2523"/>
      <c r="AE388" s="2523"/>
      <c r="AF388" s="2523"/>
      <c r="AL388" s="732"/>
      <c r="AN388" s="597"/>
      <c r="BS388" s="30"/>
      <c r="BT388" s="30"/>
      <c r="BU388" s="14"/>
      <c r="BV388" s="14"/>
      <c r="BW388" s="14"/>
      <c r="BX388" s="14"/>
      <c r="BY388" s="14"/>
      <c r="BZ388" s="14"/>
      <c r="CA388" s="14"/>
      <c r="CB388" s="14"/>
      <c r="CC388" s="14"/>
    </row>
    <row r="389" spans="1:81" s="550" customFormat="1" ht="12.75" customHeight="1">
      <c r="A389" s="536"/>
      <c r="B389" s="14"/>
      <c r="C389" s="2519" t="s">
        <v>591</v>
      </c>
      <c r="D389" s="2476"/>
      <c r="E389" s="691"/>
      <c r="F389" s="721" t="s">
        <v>1464</v>
      </c>
      <c r="G389" s="603"/>
      <c r="H389" s="603"/>
      <c r="I389" s="603"/>
      <c r="J389" s="603"/>
      <c r="K389" s="603"/>
      <c r="L389" s="603"/>
      <c r="M389" s="603"/>
      <c r="N389" s="603"/>
      <c r="O389" s="603"/>
      <c r="P389" s="603"/>
      <c r="Q389" s="603"/>
      <c r="R389" s="603"/>
      <c r="S389" s="603"/>
      <c r="T389" s="603"/>
      <c r="U389" s="603"/>
      <c r="V389" s="603"/>
      <c r="W389" s="603"/>
      <c r="X389" s="603"/>
      <c r="Y389" s="603"/>
      <c r="Z389" s="603"/>
      <c r="AA389" s="603"/>
      <c r="AB389" s="603"/>
      <c r="AC389" s="603"/>
      <c r="AD389" s="603"/>
      <c r="AF389" s="2520" t="s">
        <v>1462</v>
      </c>
      <c r="AG389" s="2520"/>
      <c r="AH389" s="2520"/>
      <c r="AI389" s="2520"/>
      <c r="AJ389" s="2520"/>
      <c r="AK389" s="2520"/>
      <c r="AL389" s="2521"/>
      <c r="AM389" s="729"/>
      <c r="AN389" s="597"/>
      <c r="BS389" s="30"/>
      <c r="BT389" s="30"/>
      <c r="BU389" s="14"/>
      <c r="BV389" s="14"/>
      <c r="BW389" s="14"/>
      <c r="BX389" s="14"/>
      <c r="BY389" s="14"/>
      <c r="BZ389" s="14"/>
      <c r="CA389" s="14"/>
      <c r="CB389" s="14"/>
      <c r="CC389" s="14"/>
    </row>
    <row r="390" spans="1:81" s="550" customFormat="1" ht="12.75" customHeight="1">
      <c r="A390" s="536"/>
      <c r="B390" s="14"/>
      <c r="C390" s="740"/>
      <c r="D390" s="733"/>
      <c r="E390" s="734"/>
      <c r="F390" s="735"/>
      <c r="G390" s="736"/>
      <c r="H390" s="736"/>
      <c r="I390" s="736"/>
      <c r="J390" s="736"/>
      <c r="K390" s="736"/>
      <c r="L390" s="736"/>
      <c r="M390" s="736"/>
      <c r="N390" s="736"/>
      <c r="O390" s="736"/>
      <c r="P390" s="736"/>
      <c r="Q390" s="736"/>
      <c r="R390" s="736"/>
      <c r="S390" s="736"/>
      <c r="T390" s="736"/>
      <c r="U390" s="736"/>
      <c r="V390" s="736"/>
      <c r="W390" s="736"/>
      <c r="X390" s="736"/>
      <c r="Y390" s="736"/>
      <c r="Z390" s="736"/>
      <c r="AA390" s="736"/>
      <c r="AB390" s="736"/>
      <c r="AC390" s="736"/>
      <c r="AD390" s="736"/>
      <c r="AE390" s="737"/>
      <c r="AF390" s="583"/>
      <c r="AG390" s="737"/>
      <c r="AH390" s="727"/>
      <c r="AI390" s="727"/>
      <c r="AJ390" s="727"/>
      <c r="AK390" s="727"/>
      <c r="AL390" s="742"/>
      <c r="AM390" s="729"/>
      <c r="AN390" s="597"/>
      <c r="BS390" s="30"/>
      <c r="BT390" s="30"/>
      <c r="BU390" s="14"/>
      <c r="BV390" s="14"/>
      <c r="BW390" s="14"/>
      <c r="BX390" s="14"/>
      <c r="BY390" s="14"/>
      <c r="BZ390" s="14"/>
      <c r="CA390" s="14"/>
      <c r="CB390" s="14"/>
      <c r="CC390" s="14"/>
    </row>
    <row r="391" spans="1:81" s="550" customFormat="1" ht="12.75" customHeight="1">
      <c r="A391" s="536"/>
      <c r="B391" s="14"/>
      <c r="C391" s="14"/>
      <c r="D391" s="14"/>
      <c r="E391" s="691"/>
      <c r="F391" s="676"/>
      <c r="G391" s="676"/>
      <c r="H391" s="676"/>
      <c r="I391" s="676"/>
      <c r="J391" s="676"/>
      <c r="K391" s="676"/>
      <c r="L391" s="676"/>
      <c r="M391" s="676"/>
      <c r="N391" s="676"/>
      <c r="O391" s="676"/>
      <c r="P391" s="676"/>
      <c r="Q391" s="676"/>
      <c r="R391" s="676"/>
      <c r="S391" s="676"/>
      <c r="T391" s="676"/>
      <c r="U391" s="676"/>
      <c r="V391" s="676"/>
      <c r="W391" s="676"/>
      <c r="X391" s="676"/>
      <c r="Y391" s="676"/>
      <c r="Z391" s="676"/>
      <c r="AA391" s="676"/>
      <c r="AB391" s="676"/>
      <c r="AC391" s="676"/>
      <c r="AD391" s="676"/>
      <c r="AE391" s="536"/>
      <c r="AF391" s="539"/>
      <c r="AG391" s="536"/>
      <c r="AM391" s="570"/>
      <c r="AN391" s="597"/>
      <c r="BS391" s="30"/>
      <c r="BT391" s="30"/>
      <c r="BU391" s="14"/>
      <c r="BV391" s="14"/>
      <c r="BW391" s="14"/>
      <c r="BX391" s="14"/>
      <c r="BY391" s="14"/>
      <c r="BZ391" s="14"/>
      <c r="CA391" s="14"/>
      <c r="CB391" s="14"/>
      <c r="CC391" s="14"/>
    </row>
    <row r="392" spans="1:81" s="550" customFormat="1" ht="12.75" customHeight="1">
      <c r="A392" s="536"/>
      <c r="B392" s="14"/>
      <c r="C392" s="713"/>
      <c r="D392" s="714"/>
      <c r="E392" s="715" t="s">
        <v>1320</v>
      </c>
      <c r="F392" s="2522" t="s">
        <v>1465</v>
      </c>
      <c r="G392" s="2522"/>
      <c r="H392" s="2522"/>
      <c r="I392" s="2522"/>
      <c r="J392" s="2522"/>
      <c r="K392" s="2522"/>
      <c r="L392" s="2522"/>
      <c r="M392" s="2522"/>
      <c r="N392" s="2522"/>
      <c r="O392" s="2522"/>
      <c r="P392" s="2522"/>
      <c r="Q392" s="2522"/>
      <c r="R392" s="2522"/>
      <c r="S392" s="2522"/>
      <c r="T392" s="2522"/>
      <c r="U392" s="2522"/>
      <c r="V392" s="2522"/>
      <c r="W392" s="2522"/>
      <c r="X392" s="2522"/>
      <c r="Y392" s="2522"/>
      <c r="Z392" s="2522"/>
      <c r="AA392" s="2522"/>
      <c r="AB392" s="2522"/>
      <c r="AC392" s="2522"/>
      <c r="AD392" s="2522"/>
      <c r="AE392" s="2522"/>
      <c r="AF392" s="2522"/>
      <c r="AG392" s="716"/>
      <c r="AH392" s="716"/>
      <c r="AI392" s="716"/>
      <c r="AJ392" s="716"/>
      <c r="AK392" s="716"/>
      <c r="AL392" s="717"/>
      <c r="AM392" s="570"/>
      <c r="AN392" s="597"/>
      <c r="BS392" s="570"/>
      <c r="BT392" s="570"/>
      <c r="BU392" s="570"/>
      <c r="BV392" s="570"/>
      <c r="BW392" s="570"/>
      <c r="BX392" s="570"/>
      <c r="BY392" s="570"/>
      <c r="BZ392" s="570"/>
      <c r="CA392" s="570"/>
      <c r="CB392" s="570"/>
      <c r="CC392" s="570"/>
    </row>
    <row r="393" spans="1:81" s="550" customFormat="1" ht="12.75" customHeight="1">
      <c r="A393" s="536"/>
      <c r="B393" s="14"/>
      <c r="C393" s="731"/>
      <c r="D393" s="14"/>
      <c r="E393" s="691"/>
      <c r="F393" s="2523"/>
      <c r="G393" s="2523"/>
      <c r="H393" s="2523"/>
      <c r="I393" s="2523"/>
      <c r="J393" s="2523"/>
      <c r="K393" s="2523"/>
      <c r="L393" s="2523"/>
      <c r="M393" s="2523"/>
      <c r="N393" s="2523"/>
      <c r="O393" s="2523"/>
      <c r="P393" s="2523"/>
      <c r="Q393" s="2523"/>
      <c r="R393" s="2523"/>
      <c r="S393" s="2523"/>
      <c r="T393" s="2523"/>
      <c r="U393" s="2523"/>
      <c r="V393" s="2523"/>
      <c r="W393" s="2523"/>
      <c r="X393" s="2523"/>
      <c r="Y393" s="2523"/>
      <c r="Z393" s="2523"/>
      <c r="AA393" s="2523"/>
      <c r="AB393" s="2523"/>
      <c r="AC393" s="2523"/>
      <c r="AD393" s="2523"/>
      <c r="AE393" s="2523"/>
      <c r="AF393" s="2523"/>
      <c r="AG393" s="539"/>
      <c r="AH393" s="539"/>
      <c r="AI393" s="539"/>
      <c r="AJ393" s="539"/>
      <c r="AK393" s="539"/>
      <c r="AL393" s="720"/>
      <c r="AM393" s="570"/>
      <c r="AN393" s="597"/>
      <c r="BS393" s="570"/>
      <c r="BT393" s="570"/>
      <c r="BU393" s="570"/>
      <c r="BV393" s="570"/>
      <c r="BW393" s="570"/>
      <c r="BX393" s="570"/>
      <c r="BY393" s="570"/>
      <c r="BZ393" s="570"/>
      <c r="CA393" s="570"/>
      <c r="CB393" s="570"/>
      <c r="CC393" s="570"/>
    </row>
    <row r="394" spans="1:81" s="550" customFormat="1" ht="12.75" customHeight="1">
      <c r="A394" s="536"/>
      <c r="B394" s="14"/>
      <c r="C394" s="731"/>
      <c r="D394" s="14"/>
      <c r="E394" s="691"/>
      <c r="F394" s="2523"/>
      <c r="G394" s="2523"/>
      <c r="H394" s="2523"/>
      <c r="I394" s="2523"/>
      <c r="J394" s="2523"/>
      <c r="K394" s="2523"/>
      <c r="L394" s="2523"/>
      <c r="M394" s="2523"/>
      <c r="N394" s="2523"/>
      <c r="O394" s="2523"/>
      <c r="P394" s="2523"/>
      <c r="Q394" s="2523"/>
      <c r="R394" s="2523"/>
      <c r="S394" s="2523"/>
      <c r="T394" s="2523"/>
      <c r="U394" s="2523"/>
      <c r="V394" s="2523"/>
      <c r="W394" s="2523"/>
      <c r="X394" s="2523"/>
      <c r="Y394" s="2523"/>
      <c r="Z394" s="2523"/>
      <c r="AA394" s="2523"/>
      <c r="AB394" s="2523"/>
      <c r="AC394" s="2523"/>
      <c r="AD394" s="2523"/>
      <c r="AE394" s="2523"/>
      <c r="AF394" s="2523"/>
      <c r="AG394" s="539"/>
      <c r="AH394" s="539"/>
      <c r="AI394" s="539"/>
      <c r="AJ394" s="539"/>
      <c r="AK394" s="539"/>
      <c r="AL394" s="720"/>
      <c r="AM394" s="570"/>
      <c r="AN394" s="597"/>
      <c r="BS394" s="570"/>
      <c r="BT394" s="570"/>
      <c r="BU394" s="570"/>
      <c r="BV394" s="570"/>
      <c r="BW394" s="570"/>
      <c r="BX394" s="570"/>
      <c r="BY394" s="570"/>
      <c r="BZ394" s="570"/>
      <c r="CA394" s="570"/>
      <c r="CB394" s="570"/>
      <c r="CC394" s="570"/>
    </row>
    <row r="395" spans="1:81" s="550" customFormat="1" ht="12.75" customHeight="1">
      <c r="A395" s="536"/>
      <c r="B395" s="14"/>
      <c r="C395" s="731"/>
      <c r="D395" s="14"/>
      <c r="E395" s="691"/>
      <c r="F395" s="2523"/>
      <c r="G395" s="2523"/>
      <c r="H395" s="2523"/>
      <c r="I395" s="2523"/>
      <c r="J395" s="2523"/>
      <c r="K395" s="2523"/>
      <c r="L395" s="2523"/>
      <c r="M395" s="2523"/>
      <c r="N395" s="2523"/>
      <c r="O395" s="2523"/>
      <c r="P395" s="2523"/>
      <c r="Q395" s="2523"/>
      <c r="R395" s="2523"/>
      <c r="S395" s="2523"/>
      <c r="T395" s="2523"/>
      <c r="U395" s="2523"/>
      <c r="V395" s="2523"/>
      <c r="W395" s="2523"/>
      <c r="X395" s="2523"/>
      <c r="Y395" s="2523"/>
      <c r="Z395" s="2523"/>
      <c r="AA395" s="2523"/>
      <c r="AB395" s="2523"/>
      <c r="AC395" s="2523"/>
      <c r="AD395" s="2523"/>
      <c r="AE395" s="2523"/>
      <c r="AF395" s="2523"/>
      <c r="AG395" s="539"/>
      <c r="AH395" s="539"/>
      <c r="AI395" s="539"/>
      <c r="AJ395" s="539"/>
      <c r="AK395" s="539"/>
      <c r="AL395" s="720"/>
      <c r="AM395" s="570"/>
      <c r="AN395" s="597"/>
      <c r="BS395" s="570"/>
      <c r="BT395" s="570"/>
      <c r="BU395" s="570"/>
      <c r="BV395" s="570"/>
      <c r="BW395" s="570"/>
      <c r="BX395" s="570"/>
      <c r="BY395" s="570"/>
      <c r="BZ395" s="570"/>
      <c r="CA395" s="570"/>
      <c r="CB395" s="570"/>
      <c r="CC395" s="570"/>
    </row>
    <row r="396" spans="1:81" s="550" customFormat="1" ht="12.75" customHeight="1">
      <c r="A396" s="536"/>
      <c r="B396" s="14"/>
      <c r="C396" s="731"/>
      <c r="D396" s="14"/>
      <c r="E396" s="691"/>
      <c r="F396" s="2523"/>
      <c r="G396" s="2523"/>
      <c r="H396" s="2523"/>
      <c r="I396" s="2523"/>
      <c r="J396" s="2523"/>
      <c r="K396" s="2523"/>
      <c r="L396" s="2523"/>
      <c r="M396" s="2523"/>
      <c r="N396" s="2523"/>
      <c r="O396" s="2523"/>
      <c r="P396" s="2523"/>
      <c r="Q396" s="2523"/>
      <c r="R396" s="2523"/>
      <c r="S396" s="2523"/>
      <c r="T396" s="2523"/>
      <c r="U396" s="2523"/>
      <c r="V396" s="2523"/>
      <c r="W396" s="2523"/>
      <c r="X396" s="2523"/>
      <c r="Y396" s="2523"/>
      <c r="Z396" s="2523"/>
      <c r="AA396" s="2523"/>
      <c r="AB396" s="2523"/>
      <c r="AC396" s="2523"/>
      <c r="AD396" s="2523"/>
      <c r="AE396" s="2523"/>
      <c r="AF396" s="2523"/>
      <c r="AG396" s="539"/>
      <c r="AH396" s="539"/>
      <c r="AI396" s="539"/>
      <c r="AJ396" s="539"/>
      <c r="AK396" s="539"/>
      <c r="AL396" s="720"/>
      <c r="AM396" s="570"/>
      <c r="AN396" s="597"/>
      <c r="BS396" s="570"/>
      <c r="BT396" s="570"/>
      <c r="BU396" s="570"/>
      <c r="BV396" s="570"/>
      <c r="BW396" s="570"/>
      <c r="BX396" s="570"/>
      <c r="BY396" s="570"/>
      <c r="BZ396" s="570"/>
      <c r="CA396" s="570"/>
      <c r="CB396" s="570"/>
      <c r="CC396" s="570"/>
    </row>
    <row r="397" spans="1:81" s="550" customFormat="1" ht="12.75" customHeight="1">
      <c r="A397" s="536"/>
      <c r="B397" s="14"/>
      <c r="C397" s="2519" t="s">
        <v>545</v>
      </c>
      <c r="D397" s="2476"/>
      <c r="E397" s="691"/>
      <c r="F397" s="721" t="s">
        <v>1466</v>
      </c>
      <c r="G397" s="603"/>
      <c r="H397" s="603"/>
      <c r="I397" s="603"/>
      <c r="J397" s="603"/>
      <c r="K397" s="603"/>
      <c r="L397" s="603"/>
      <c r="M397" s="603"/>
      <c r="N397" s="603"/>
      <c r="O397" s="603"/>
      <c r="P397" s="603"/>
      <c r="Q397" s="603"/>
      <c r="R397" s="603"/>
      <c r="S397" s="603"/>
      <c r="T397" s="603"/>
      <c r="U397" s="603"/>
      <c r="V397" s="603"/>
      <c r="W397" s="603"/>
      <c r="X397" s="603"/>
      <c r="Y397" s="603"/>
      <c r="Z397" s="603"/>
      <c r="AA397" s="603"/>
      <c r="AB397" s="603"/>
      <c r="AC397" s="603"/>
      <c r="AD397" s="603"/>
      <c r="AF397" s="2520" t="s">
        <v>1467</v>
      </c>
      <c r="AG397" s="2520"/>
      <c r="AH397" s="2520"/>
      <c r="AI397" s="2520"/>
      <c r="AJ397" s="2520"/>
      <c r="AK397" s="2520"/>
      <c r="AL397" s="2521"/>
      <c r="AM397" s="722"/>
      <c r="BS397" s="570"/>
      <c r="BT397" s="570"/>
      <c r="BU397" s="570"/>
      <c r="BV397" s="570"/>
      <c r="BW397" s="570"/>
      <c r="BX397" s="570"/>
      <c r="BY397" s="570"/>
      <c r="BZ397" s="570"/>
      <c r="CA397" s="570"/>
      <c r="CB397" s="570"/>
      <c r="CC397" s="570"/>
    </row>
    <row r="398" spans="1:81" s="550" customFormat="1" ht="12.75" customHeight="1">
      <c r="A398" s="536"/>
      <c r="B398" s="14"/>
      <c r="C398" s="731"/>
      <c r="D398" s="14"/>
      <c r="E398" s="691"/>
      <c r="F398" s="573"/>
      <c r="G398" s="573"/>
      <c r="H398" s="573"/>
      <c r="I398" s="573"/>
      <c r="J398" s="573"/>
      <c r="K398" s="573"/>
      <c r="L398" s="573"/>
      <c r="M398" s="573"/>
      <c r="N398" s="573"/>
      <c r="O398" s="573"/>
      <c r="P398" s="573"/>
      <c r="Q398" s="573"/>
      <c r="R398" s="573"/>
      <c r="S398" s="573"/>
      <c r="T398" s="573"/>
      <c r="U398" s="573"/>
      <c r="V398" s="573"/>
      <c r="W398" s="573"/>
      <c r="X398" s="573"/>
      <c r="Y398" s="573"/>
      <c r="Z398" s="573"/>
      <c r="AA398" s="573"/>
      <c r="AB398" s="573"/>
      <c r="AC398" s="573"/>
      <c r="AD398" s="573"/>
      <c r="AL398" s="732"/>
      <c r="AM398" s="570"/>
      <c r="AN398" s="597"/>
      <c r="BS398" s="570"/>
      <c r="BT398" s="570"/>
      <c r="BU398" s="570"/>
      <c r="BV398" s="570"/>
      <c r="BW398" s="570"/>
      <c r="BX398" s="570"/>
      <c r="BY398" s="570"/>
      <c r="BZ398" s="570"/>
      <c r="CA398" s="570"/>
      <c r="CB398" s="570"/>
      <c r="CC398" s="570"/>
    </row>
    <row r="399" spans="1:81" s="550" customFormat="1" ht="12.75" customHeight="1">
      <c r="A399" s="536"/>
      <c r="B399" s="14"/>
      <c r="C399" s="2519" t="s">
        <v>591</v>
      </c>
      <c r="D399" s="2476"/>
      <c r="E399" s="691"/>
      <c r="F399" s="738" t="s">
        <v>1468</v>
      </c>
      <c r="G399" s="573"/>
      <c r="H399" s="573"/>
      <c r="I399" s="573"/>
      <c r="J399" s="573"/>
      <c r="K399" s="573"/>
      <c r="L399" s="573"/>
      <c r="M399" s="573"/>
      <c r="N399" s="573"/>
      <c r="O399" s="573"/>
      <c r="P399" s="573"/>
      <c r="Q399" s="573"/>
      <c r="R399" s="573"/>
      <c r="S399" s="573"/>
      <c r="T399" s="573"/>
      <c r="U399" s="573"/>
      <c r="V399" s="573"/>
      <c r="W399" s="573"/>
      <c r="X399" s="573"/>
      <c r="Y399" s="573"/>
      <c r="Z399" s="573"/>
      <c r="AA399" s="573"/>
      <c r="AB399" s="573"/>
      <c r="AC399" s="573"/>
      <c r="AD399" s="573"/>
      <c r="AF399" s="2520" t="s">
        <v>1462</v>
      </c>
      <c r="AG399" s="2520"/>
      <c r="AH399" s="2520"/>
      <c r="AI399" s="2520"/>
      <c r="AJ399" s="2520"/>
      <c r="AK399" s="2520"/>
      <c r="AL399" s="2521"/>
      <c r="AM399" s="570"/>
      <c r="AN399" s="597"/>
      <c r="BS399" s="570"/>
      <c r="BT399" s="570"/>
      <c r="BU399" s="570"/>
    </row>
    <row r="400" spans="1:81" s="550" customFormat="1" ht="12.75" customHeight="1">
      <c r="A400" s="536"/>
      <c r="B400" s="14"/>
      <c r="C400" s="739"/>
      <c r="E400" s="691"/>
      <c r="G400" s="573"/>
      <c r="H400" s="573"/>
      <c r="I400" s="573"/>
      <c r="J400" s="573"/>
      <c r="K400" s="573"/>
      <c r="L400" s="573"/>
      <c r="M400" s="573"/>
      <c r="N400" s="573"/>
      <c r="O400" s="573"/>
      <c r="P400" s="573"/>
      <c r="Q400" s="573"/>
      <c r="R400" s="573"/>
      <c r="S400" s="573"/>
      <c r="T400" s="573"/>
      <c r="U400" s="573"/>
      <c r="V400" s="573"/>
      <c r="W400" s="573"/>
      <c r="X400" s="573"/>
      <c r="Y400" s="573"/>
      <c r="Z400" s="573"/>
      <c r="AA400" s="573"/>
      <c r="AB400" s="573"/>
      <c r="AC400" s="573"/>
      <c r="AD400" s="573"/>
      <c r="AL400" s="732"/>
      <c r="AM400" s="570"/>
      <c r="AN400" s="597"/>
      <c r="BS400" s="570"/>
      <c r="BT400" s="570"/>
      <c r="BU400" s="570"/>
    </row>
    <row r="401" spans="1:81" s="550" customFormat="1" ht="12.75" customHeight="1">
      <c r="A401" s="536"/>
      <c r="B401" s="14"/>
      <c r="C401" s="740"/>
      <c r="D401" s="733"/>
      <c r="E401" s="734"/>
      <c r="F401" s="741" t="s">
        <v>1469</v>
      </c>
      <c r="G401" s="735"/>
      <c r="H401" s="735"/>
      <c r="I401" s="735"/>
      <c r="J401" s="735"/>
      <c r="K401" s="735"/>
      <c r="L401" s="735"/>
      <c r="M401" s="735"/>
      <c r="N401" s="735"/>
      <c r="O401" s="735"/>
      <c r="P401" s="735"/>
      <c r="Q401" s="735"/>
      <c r="R401" s="735"/>
      <c r="S401" s="735"/>
      <c r="T401" s="735"/>
      <c r="U401" s="735"/>
      <c r="V401" s="735"/>
      <c r="W401" s="735"/>
      <c r="X401" s="735"/>
      <c r="Y401" s="735"/>
      <c r="Z401" s="735"/>
      <c r="AA401" s="735"/>
      <c r="AB401" s="735"/>
      <c r="AC401" s="735"/>
      <c r="AD401" s="735"/>
      <c r="AE401" s="737"/>
      <c r="AF401" s="583"/>
      <c r="AG401" s="737"/>
      <c r="AH401" s="727"/>
      <c r="AI401" s="727"/>
      <c r="AJ401" s="727"/>
      <c r="AK401" s="727"/>
      <c r="AL401" s="742"/>
      <c r="AM401" s="570"/>
      <c r="AN401" s="597"/>
      <c r="BS401" s="570"/>
      <c r="BT401" s="570"/>
      <c r="BU401" s="570"/>
    </row>
    <row r="402" spans="1:81" s="550" customFormat="1" ht="12.75" customHeight="1">
      <c r="A402" s="536"/>
      <c r="B402" s="14"/>
      <c r="C402" s="14"/>
      <c r="D402" s="14"/>
      <c r="E402" s="691"/>
      <c r="F402" s="676"/>
      <c r="G402" s="676"/>
      <c r="H402" s="676"/>
      <c r="I402" s="676"/>
      <c r="J402" s="676"/>
      <c r="K402" s="676"/>
      <c r="L402" s="676"/>
      <c r="M402" s="676"/>
      <c r="N402" s="676"/>
      <c r="O402" s="676"/>
      <c r="P402" s="676"/>
      <c r="Q402" s="676"/>
      <c r="R402" s="676"/>
      <c r="S402" s="676"/>
      <c r="T402" s="676"/>
      <c r="U402" s="676"/>
      <c r="V402" s="676"/>
      <c r="W402" s="676"/>
      <c r="X402" s="676"/>
      <c r="Y402" s="676"/>
      <c r="Z402" s="676"/>
      <c r="AA402" s="676"/>
      <c r="AB402" s="676"/>
      <c r="AC402" s="676"/>
      <c r="AD402" s="676"/>
      <c r="AE402" s="536"/>
      <c r="AF402" s="539"/>
      <c r="AG402" s="536"/>
      <c r="AM402" s="570"/>
      <c r="AN402" s="597"/>
      <c r="BS402" s="570"/>
      <c r="BT402" s="570"/>
      <c r="BU402" s="570"/>
    </row>
    <row r="403" spans="1:81" s="550" customFormat="1" ht="12.75" customHeight="1">
      <c r="A403" s="536"/>
      <c r="B403" s="14"/>
      <c r="C403" s="713"/>
      <c r="D403" s="714"/>
      <c r="E403" s="715" t="s">
        <v>1470</v>
      </c>
      <c r="F403" s="2522" t="s">
        <v>1471</v>
      </c>
      <c r="G403" s="2522"/>
      <c r="H403" s="2522"/>
      <c r="I403" s="2522"/>
      <c r="J403" s="2522"/>
      <c r="K403" s="2522"/>
      <c r="L403" s="2522"/>
      <c r="M403" s="2522"/>
      <c r="N403" s="2522"/>
      <c r="O403" s="2522"/>
      <c r="P403" s="2522"/>
      <c r="Q403" s="2522"/>
      <c r="R403" s="2522"/>
      <c r="S403" s="2522"/>
      <c r="T403" s="2522"/>
      <c r="U403" s="2522"/>
      <c r="V403" s="2522"/>
      <c r="W403" s="2522"/>
      <c r="X403" s="2522"/>
      <c r="Y403" s="2522"/>
      <c r="Z403" s="2522"/>
      <c r="AA403" s="2522"/>
      <c r="AB403" s="2522"/>
      <c r="AC403" s="2522"/>
      <c r="AD403" s="2522"/>
      <c r="AE403" s="2522"/>
      <c r="AF403" s="2522"/>
      <c r="AG403" s="716"/>
      <c r="AH403" s="716"/>
      <c r="AI403" s="716"/>
      <c r="AJ403" s="716"/>
      <c r="AK403" s="716"/>
      <c r="AL403" s="717"/>
      <c r="AM403" s="570"/>
      <c r="AN403" s="597"/>
      <c r="BS403" s="570"/>
      <c r="BT403" s="570"/>
      <c r="BU403" s="570"/>
      <c r="BV403" s="570"/>
      <c r="BW403" s="570"/>
      <c r="BX403" s="570"/>
      <c r="BY403" s="570"/>
      <c r="BZ403" s="570"/>
      <c r="CA403" s="570"/>
      <c r="CB403" s="570"/>
      <c r="CC403" s="570"/>
    </row>
    <row r="404" spans="1:81" s="550" customFormat="1" ht="12.75" customHeight="1">
      <c r="A404" s="536"/>
      <c r="B404" s="14"/>
      <c r="C404" s="731"/>
      <c r="D404" s="14"/>
      <c r="E404" s="691"/>
      <c r="F404" s="2523"/>
      <c r="G404" s="2523"/>
      <c r="H404" s="2523"/>
      <c r="I404" s="2523"/>
      <c r="J404" s="2523"/>
      <c r="K404" s="2523"/>
      <c r="L404" s="2523"/>
      <c r="M404" s="2523"/>
      <c r="N404" s="2523"/>
      <c r="O404" s="2523"/>
      <c r="P404" s="2523"/>
      <c r="Q404" s="2523"/>
      <c r="R404" s="2523"/>
      <c r="S404" s="2523"/>
      <c r="T404" s="2523"/>
      <c r="U404" s="2523"/>
      <c r="V404" s="2523"/>
      <c r="W404" s="2523"/>
      <c r="X404" s="2523"/>
      <c r="Y404" s="2523"/>
      <c r="Z404" s="2523"/>
      <c r="AA404" s="2523"/>
      <c r="AB404" s="2523"/>
      <c r="AC404" s="2523"/>
      <c r="AD404" s="2523"/>
      <c r="AE404" s="2523"/>
      <c r="AF404" s="2523"/>
      <c r="AG404" s="539"/>
      <c r="AH404" s="539"/>
      <c r="AI404" s="539"/>
      <c r="AJ404" s="539"/>
      <c r="AK404" s="539"/>
      <c r="AL404" s="720"/>
      <c r="AM404" s="570"/>
      <c r="AN404" s="597"/>
      <c r="BS404" s="570"/>
      <c r="BT404" s="570"/>
      <c r="BU404" s="570"/>
      <c r="BV404" s="570"/>
      <c r="BW404" s="570"/>
      <c r="BX404" s="570"/>
      <c r="BY404" s="570"/>
      <c r="BZ404" s="570"/>
      <c r="CA404" s="570"/>
      <c r="CB404" s="570"/>
      <c r="CC404" s="570"/>
    </row>
    <row r="405" spans="1:81">
      <c r="A405" s="536"/>
      <c r="C405" s="731"/>
      <c r="E405" s="691"/>
      <c r="F405" s="2523"/>
      <c r="G405" s="2523"/>
      <c r="H405" s="2523"/>
      <c r="I405" s="2523"/>
      <c r="J405" s="2523"/>
      <c r="K405" s="2523"/>
      <c r="L405" s="2523"/>
      <c r="M405" s="2523"/>
      <c r="N405" s="2523"/>
      <c r="O405" s="2523"/>
      <c r="P405" s="2523"/>
      <c r="Q405" s="2523"/>
      <c r="R405" s="2523"/>
      <c r="S405" s="2523"/>
      <c r="T405" s="2523"/>
      <c r="U405" s="2523"/>
      <c r="V405" s="2523"/>
      <c r="W405" s="2523"/>
      <c r="X405" s="2523"/>
      <c r="Y405" s="2523"/>
      <c r="Z405" s="2523"/>
      <c r="AA405" s="2523"/>
      <c r="AB405" s="2523"/>
      <c r="AC405" s="2523"/>
      <c r="AD405" s="2523"/>
      <c r="AE405" s="2523"/>
      <c r="AF405" s="2523"/>
      <c r="AG405" s="539"/>
      <c r="AH405" s="539"/>
      <c r="AI405" s="539"/>
      <c r="AJ405" s="539"/>
      <c r="AK405" s="539"/>
      <c r="AL405" s="720"/>
      <c r="AM405" s="570"/>
      <c r="BS405" s="570"/>
      <c r="BT405" s="570"/>
      <c r="BU405" s="570"/>
      <c r="BV405" s="570"/>
      <c r="BW405" s="570"/>
      <c r="BX405" s="570"/>
      <c r="BY405" s="570"/>
      <c r="BZ405" s="570"/>
      <c r="CA405" s="570"/>
      <c r="CB405" s="570"/>
      <c r="CC405" s="570"/>
    </row>
    <row r="406" spans="1:81" s="550" customFormat="1" ht="12.75" customHeight="1">
      <c r="A406" s="536"/>
      <c r="B406" s="14"/>
      <c r="C406" s="731"/>
      <c r="D406" s="14"/>
      <c r="E406" s="691"/>
      <c r="F406" s="2523"/>
      <c r="G406" s="2523"/>
      <c r="H406" s="2523"/>
      <c r="I406" s="2523"/>
      <c r="J406" s="2523"/>
      <c r="K406" s="2523"/>
      <c r="L406" s="2523"/>
      <c r="M406" s="2523"/>
      <c r="N406" s="2523"/>
      <c r="O406" s="2523"/>
      <c r="P406" s="2523"/>
      <c r="Q406" s="2523"/>
      <c r="R406" s="2523"/>
      <c r="S406" s="2523"/>
      <c r="T406" s="2523"/>
      <c r="U406" s="2523"/>
      <c r="V406" s="2523"/>
      <c r="W406" s="2523"/>
      <c r="X406" s="2523"/>
      <c r="Y406" s="2523"/>
      <c r="Z406" s="2523"/>
      <c r="AA406" s="2523"/>
      <c r="AB406" s="2523"/>
      <c r="AC406" s="2523"/>
      <c r="AD406" s="2523"/>
      <c r="AE406" s="2523"/>
      <c r="AF406" s="2523"/>
      <c r="AG406" s="539"/>
      <c r="AH406" s="539"/>
      <c r="AI406" s="539"/>
      <c r="AJ406" s="539"/>
      <c r="AK406" s="539"/>
      <c r="AL406" s="720"/>
      <c r="AM406" s="570"/>
      <c r="AN406" s="597"/>
      <c r="BS406" s="570"/>
      <c r="BT406" s="570"/>
      <c r="BY406" s="570"/>
      <c r="BZ406" s="570"/>
      <c r="CA406" s="570"/>
      <c r="CB406" s="570"/>
      <c r="CC406" s="570"/>
    </row>
    <row r="407" spans="1:81" s="550" customFormat="1" ht="12.75" customHeight="1">
      <c r="A407" s="536"/>
      <c r="B407" s="14"/>
      <c r="C407" s="2519" t="s">
        <v>591</v>
      </c>
      <c r="D407" s="2476"/>
      <c r="E407" s="691"/>
      <c r="F407" s="721" t="s">
        <v>1472</v>
      </c>
      <c r="G407" s="603"/>
      <c r="H407" s="603"/>
      <c r="I407" s="603"/>
      <c r="J407" s="603"/>
      <c r="K407" s="603"/>
      <c r="L407" s="603"/>
      <c r="M407" s="603"/>
      <c r="N407" s="603"/>
      <c r="O407" s="603"/>
      <c r="P407" s="603"/>
      <c r="Q407" s="603"/>
      <c r="R407" s="603"/>
      <c r="S407" s="603"/>
      <c r="T407" s="603"/>
      <c r="U407" s="603"/>
      <c r="V407" s="603"/>
      <c r="W407" s="603"/>
      <c r="X407" s="603"/>
      <c r="Y407" s="603"/>
      <c r="Z407" s="603"/>
      <c r="AA407" s="603"/>
      <c r="AB407" s="603"/>
      <c r="AC407" s="603"/>
      <c r="AD407" s="603"/>
      <c r="AF407" s="2520" t="s">
        <v>1462</v>
      </c>
      <c r="AG407" s="2520"/>
      <c r="AH407" s="2520"/>
      <c r="AI407" s="2520"/>
      <c r="AJ407" s="2520"/>
      <c r="AK407" s="2520"/>
      <c r="AL407" s="2521"/>
      <c r="AM407" s="570"/>
      <c r="AN407" s="597"/>
      <c r="BS407" s="570"/>
      <c r="BT407" s="570"/>
      <c r="BY407" s="570"/>
      <c r="BZ407" s="570"/>
      <c r="CA407" s="570"/>
      <c r="CB407" s="570"/>
      <c r="CC407" s="570"/>
    </row>
    <row r="408" spans="1:81" s="550" customFormat="1" ht="12.75" customHeight="1">
      <c r="A408" s="536"/>
      <c r="B408" s="14"/>
      <c r="C408" s="731"/>
      <c r="D408" s="14"/>
      <c r="E408" s="691"/>
      <c r="G408" s="603"/>
      <c r="H408" s="603"/>
      <c r="I408" s="603"/>
      <c r="J408" s="603"/>
      <c r="K408" s="603"/>
      <c r="L408" s="603"/>
      <c r="M408" s="603"/>
      <c r="N408" s="603"/>
      <c r="O408" s="603"/>
      <c r="P408" s="603"/>
      <c r="Q408" s="603"/>
      <c r="R408" s="603"/>
      <c r="S408" s="603"/>
      <c r="T408" s="603"/>
      <c r="U408" s="603"/>
      <c r="V408" s="603"/>
      <c r="W408" s="603"/>
      <c r="X408" s="603"/>
      <c r="Y408" s="603"/>
      <c r="Z408" s="603"/>
      <c r="AA408" s="603"/>
      <c r="AB408" s="603"/>
      <c r="AC408" s="603"/>
      <c r="AD408" s="603"/>
      <c r="AL408" s="732"/>
      <c r="AM408" s="570"/>
      <c r="AN408" s="597"/>
      <c r="BS408" s="570"/>
      <c r="BT408" s="570"/>
      <c r="BY408" s="570"/>
      <c r="BZ408" s="570"/>
      <c r="CA408" s="570"/>
      <c r="CB408" s="570"/>
      <c r="CC408" s="570"/>
    </row>
    <row r="409" spans="1:81" s="550" customFormat="1" ht="12.75" customHeight="1">
      <c r="A409" s="536"/>
      <c r="B409" s="14"/>
      <c r="C409" s="2519" t="s">
        <v>545</v>
      </c>
      <c r="D409" s="2476"/>
      <c r="E409" s="719"/>
      <c r="F409" s="721" t="s">
        <v>1473</v>
      </c>
      <c r="G409" s="603"/>
      <c r="H409" s="603"/>
      <c r="I409" s="603"/>
      <c r="J409" s="603"/>
      <c r="K409" s="603"/>
      <c r="L409" s="603"/>
      <c r="M409" s="603"/>
      <c r="N409" s="603"/>
      <c r="O409" s="603"/>
      <c r="P409" s="603"/>
      <c r="Q409" s="603"/>
      <c r="R409" s="603"/>
      <c r="S409" s="603"/>
      <c r="T409" s="603"/>
      <c r="U409" s="603"/>
      <c r="V409" s="603"/>
      <c r="W409" s="603"/>
      <c r="X409" s="603"/>
      <c r="Y409" s="603"/>
      <c r="Z409" s="603"/>
      <c r="AA409" s="603"/>
      <c r="AB409" s="603"/>
      <c r="AC409" s="603"/>
      <c r="AD409" s="603"/>
      <c r="AF409" s="2520" t="s">
        <v>1474</v>
      </c>
      <c r="AG409" s="2520"/>
      <c r="AH409" s="2520"/>
      <c r="AI409" s="2520"/>
      <c r="AJ409" s="2520"/>
      <c r="AK409" s="2520"/>
      <c r="AL409" s="2521"/>
      <c r="AM409" s="570"/>
      <c r="AN409" s="597"/>
      <c r="BS409" s="570"/>
      <c r="BT409" s="570"/>
      <c r="BY409" s="570"/>
      <c r="BZ409" s="570"/>
      <c r="CA409" s="570"/>
      <c r="CB409" s="570"/>
      <c r="CC409" s="570"/>
    </row>
    <row r="410" spans="1:81" s="550" customFormat="1" ht="12.75" customHeight="1">
      <c r="A410" s="536"/>
      <c r="B410" s="14"/>
      <c r="C410" s="743"/>
      <c r="D410" s="727"/>
      <c r="E410" s="724"/>
      <c r="F410" s="727"/>
      <c r="G410" s="726"/>
      <c r="H410" s="726"/>
      <c r="I410" s="726"/>
      <c r="J410" s="726"/>
      <c r="K410" s="726"/>
      <c r="L410" s="726"/>
      <c r="M410" s="726"/>
      <c r="N410" s="726"/>
      <c r="O410" s="726"/>
      <c r="P410" s="726"/>
      <c r="Q410" s="726"/>
      <c r="R410" s="726"/>
      <c r="S410" s="726"/>
      <c r="T410" s="726"/>
      <c r="U410" s="726"/>
      <c r="V410" s="726"/>
      <c r="W410" s="726"/>
      <c r="X410" s="726"/>
      <c r="Y410" s="726"/>
      <c r="Z410" s="726"/>
      <c r="AA410" s="726"/>
      <c r="AB410" s="726"/>
      <c r="AC410" s="726"/>
      <c r="AD410" s="726"/>
      <c r="AE410" s="727"/>
      <c r="AF410" s="727"/>
      <c r="AG410" s="727"/>
      <c r="AH410" s="727"/>
      <c r="AI410" s="727"/>
      <c r="AJ410" s="727"/>
      <c r="AK410" s="727"/>
      <c r="AL410" s="742"/>
      <c r="AM410" s="570"/>
      <c r="AN410" s="597"/>
      <c r="BS410" s="570"/>
      <c r="BT410" s="570"/>
      <c r="BY410" s="570"/>
      <c r="BZ410" s="570"/>
      <c r="CA410" s="570"/>
      <c r="CB410" s="570"/>
      <c r="CC410" s="570"/>
    </row>
    <row r="411" spans="1:81" s="550" customFormat="1" ht="12.75" customHeight="1">
      <c r="A411" s="536"/>
      <c r="B411" s="14"/>
      <c r="C411" s="14"/>
      <c r="D411" s="14"/>
      <c r="E411" s="691"/>
      <c r="G411" s="603"/>
      <c r="H411" s="603"/>
      <c r="I411" s="603"/>
      <c r="J411" s="603"/>
      <c r="K411" s="603"/>
      <c r="L411" s="603"/>
      <c r="M411" s="603"/>
      <c r="N411" s="603"/>
      <c r="O411" s="603"/>
      <c r="P411" s="603"/>
      <c r="Q411" s="603"/>
      <c r="R411" s="603"/>
      <c r="S411" s="603"/>
      <c r="T411" s="603"/>
      <c r="U411" s="603"/>
      <c r="V411" s="603"/>
      <c r="W411" s="603"/>
      <c r="X411" s="603"/>
      <c r="Y411" s="603"/>
      <c r="Z411" s="603"/>
      <c r="AA411" s="603"/>
      <c r="AB411" s="603"/>
      <c r="AC411" s="603"/>
      <c r="AD411" s="603"/>
      <c r="AE411" s="536"/>
      <c r="AF411" s="539"/>
      <c r="AG411" s="536"/>
      <c r="AM411" s="570"/>
      <c r="AN411" s="597"/>
      <c r="BS411" s="570"/>
      <c r="BT411" s="570"/>
      <c r="BY411" s="570"/>
      <c r="BZ411" s="570"/>
      <c r="CA411" s="570"/>
      <c r="CB411" s="570"/>
      <c r="CC411" s="570"/>
    </row>
    <row r="412" spans="1:81" s="550" customFormat="1" ht="12.75" customHeight="1">
      <c r="A412" s="536"/>
      <c r="B412" s="14"/>
      <c r="C412" s="2519" t="s">
        <v>591</v>
      </c>
      <c r="D412" s="2476"/>
      <c r="E412" s="715" t="s">
        <v>1475</v>
      </c>
      <c r="F412" s="2522" t="s">
        <v>1476</v>
      </c>
      <c r="G412" s="2522"/>
      <c r="H412" s="2522"/>
      <c r="I412" s="2522"/>
      <c r="J412" s="2522"/>
      <c r="K412" s="2522"/>
      <c r="L412" s="2522"/>
      <c r="M412" s="2522"/>
      <c r="N412" s="2522"/>
      <c r="O412" s="2522"/>
      <c r="P412" s="2522"/>
      <c r="Q412" s="2522"/>
      <c r="R412" s="2522"/>
      <c r="S412" s="2522"/>
      <c r="T412" s="2522"/>
      <c r="U412" s="2522"/>
      <c r="V412" s="2522"/>
      <c r="W412" s="2522"/>
      <c r="X412" s="2522"/>
      <c r="Y412" s="2522"/>
      <c r="Z412" s="2522"/>
      <c r="AA412" s="2522"/>
      <c r="AB412" s="2522"/>
      <c r="AC412" s="2522"/>
      <c r="AD412" s="2522"/>
      <c r="AE412" s="2522"/>
      <c r="AF412" s="716"/>
      <c r="AG412" s="744"/>
      <c r="AH412" s="714"/>
      <c r="AI412" s="714"/>
      <c r="AJ412" s="714"/>
      <c r="AK412" s="714"/>
      <c r="AL412" s="745"/>
      <c r="AM412" s="570"/>
      <c r="AN412" s="597"/>
      <c r="BS412" s="570"/>
      <c r="BT412" s="570"/>
      <c r="BY412" s="570"/>
      <c r="BZ412" s="570"/>
      <c r="CA412" s="570"/>
      <c r="CB412" s="570"/>
      <c r="CC412" s="570"/>
    </row>
    <row r="413" spans="1:81" s="550" customFormat="1" ht="12.75" customHeight="1">
      <c r="A413" s="536"/>
      <c r="B413" s="14"/>
      <c r="C413" s="739"/>
      <c r="F413" s="2523"/>
      <c r="G413" s="2523"/>
      <c r="H413" s="2523"/>
      <c r="I413" s="2523"/>
      <c r="J413" s="2523"/>
      <c r="K413" s="2523"/>
      <c r="L413" s="2523"/>
      <c r="M413" s="2523"/>
      <c r="N413" s="2523"/>
      <c r="O413" s="2523"/>
      <c r="P413" s="2523"/>
      <c r="Q413" s="2523"/>
      <c r="R413" s="2523"/>
      <c r="S413" s="2523"/>
      <c r="T413" s="2523"/>
      <c r="U413" s="2523"/>
      <c r="V413" s="2523"/>
      <c r="W413" s="2523"/>
      <c r="X413" s="2523"/>
      <c r="Y413" s="2523"/>
      <c r="Z413" s="2523"/>
      <c r="AA413" s="2523"/>
      <c r="AB413" s="2523"/>
      <c r="AC413" s="2523"/>
      <c r="AD413" s="2523"/>
      <c r="AE413" s="2523"/>
      <c r="AF413" s="2444" t="s">
        <v>1462</v>
      </c>
      <c r="AG413" s="2444"/>
      <c r="AH413" s="2444"/>
      <c r="AI413" s="2444"/>
      <c r="AJ413" s="2444"/>
      <c r="AK413" s="2444"/>
      <c r="AL413" s="2524"/>
      <c r="AM413" s="570"/>
      <c r="AN413" s="597"/>
      <c r="BS413" s="570"/>
      <c r="BT413" s="570"/>
      <c r="BY413" s="570"/>
      <c r="BZ413" s="570"/>
      <c r="CA413" s="570"/>
      <c r="CB413" s="570"/>
      <c r="CC413" s="570"/>
    </row>
    <row r="414" spans="1:81" s="550" customFormat="1" ht="12.75" customHeight="1">
      <c r="A414" s="536"/>
      <c r="B414" s="14"/>
      <c r="C414" s="731"/>
      <c r="D414" s="14"/>
      <c r="E414" s="691"/>
      <c r="F414" s="2523"/>
      <c r="G414" s="2523"/>
      <c r="H414" s="2523"/>
      <c r="I414" s="2523"/>
      <c r="J414" s="2523"/>
      <c r="K414" s="2523"/>
      <c r="L414" s="2523"/>
      <c r="M414" s="2523"/>
      <c r="N414" s="2523"/>
      <c r="O414" s="2523"/>
      <c r="P414" s="2523"/>
      <c r="Q414" s="2523"/>
      <c r="R414" s="2523"/>
      <c r="S414" s="2523"/>
      <c r="T414" s="2523"/>
      <c r="U414" s="2523"/>
      <c r="V414" s="2523"/>
      <c r="W414" s="2523"/>
      <c r="X414" s="2523"/>
      <c r="Y414" s="2523"/>
      <c r="Z414" s="2523"/>
      <c r="AA414" s="2523"/>
      <c r="AB414" s="2523"/>
      <c r="AC414" s="2523"/>
      <c r="AD414" s="2523"/>
      <c r="AE414" s="2523"/>
      <c r="AL414" s="732"/>
      <c r="AM414" s="570"/>
      <c r="AN414" s="597"/>
      <c r="BS414" s="570"/>
      <c r="BT414" s="570"/>
      <c r="BU414" s="570"/>
      <c r="BV414" s="570"/>
      <c r="BW414" s="570"/>
      <c r="BX414" s="570"/>
      <c r="BY414" s="570"/>
      <c r="BZ414" s="570"/>
      <c r="CA414" s="570"/>
      <c r="CB414" s="570"/>
      <c r="CC414" s="570"/>
    </row>
    <row r="415" spans="1:81" s="550" customFormat="1" ht="12.75" customHeight="1">
      <c r="A415" s="536"/>
      <c r="B415" s="14"/>
      <c r="C415" s="740"/>
      <c r="D415" s="733"/>
      <c r="E415" s="734"/>
      <c r="F415" s="2542"/>
      <c r="G415" s="2542"/>
      <c r="H415" s="2542"/>
      <c r="I415" s="2542"/>
      <c r="J415" s="2542"/>
      <c r="K415" s="2542"/>
      <c r="L415" s="2542"/>
      <c r="M415" s="2542"/>
      <c r="N415" s="2542"/>
      <c r="O415" s="2542"/>
      <c r="P415" s="2542"/>
      <c r="Q415" s="2542"/>
      <c r="R415" s="2542"/>
      <c r="S415" s="2542"/>
      <c r="T415" s="2542"/>
      <c r="U415" s="2542"/>
      <c r="V415" s="2542"/>
      <c r="W415" s="2542"/>
      <c r="X415" s="2542"/>
      <c r="Y415" s="2542"/>
      <c r="Z415" s="2542"/>
      <c r="AA415" s="2542"/>
      <c r="AB415" s="2542"/>
      <c r="AC415" s="2542"/>
      <c r="AD415" s="2542"/>
      <c r="AE415" s="2542"/>
      <c r="AF415" s="583"/>
      <c r="AG415" s="737"/>
      <c r="AH415" s="727"/>
      <c r="AI415" s="727"/>
      <c r="AJ415" s="727"/>
      <c r="AK415" s="727"/>
      <c r="AL415" s="742"/>
      <c r="AM415" s="570"/>
      <c r="AN415" s="597"/>
    </row>
    <row r="416" spans="1:81">
      <c r="A416" s="536"/>
      <c r="E416" s="691"/>
      <c r="F416" s="603"/>
      <c r="G416" s="603"/>
      <c r="H416" s="603"/>
      <c r="I416" s="603"/>
      <c r="J416" s="603"/>
      <c r="K416" s="603"/>
      <c r="L416" s="603"/>
      <c r="M416" s="603"/>
      <c r="N416" s="603"/>
      <c r="O416" s="603"/>
      <c r="P416" s="603"/>
      <c r="Q416" s="603"/>
      <c r="R416" s="603"/>
      <c r="S416" s="603"/>
      <c r="T416" s="603"/>
      <c r="U416" s="603"/>
      <c r="V416" s="603"/>
      <c r="W416" s="603"/>
      <c r="X416" s="603"/>
      <c r="Y416" s="603"/>
      <c r="Z416" s="603"/>
      <c r="AA416" s="603"/>
      <c r="AB416" s="603"/>
      <c r="AC416" s="603"/>
      <c r="AD416" s="603"/>
      <c r="AE416" s="536"/>
      <c r="AF416" s="539"/>
      <c r="AG416" s="536"/>
      <c r="AH416" s="550"/>
      <c r="AI416" s="550"/>
      <c r="AJ416" s="550"/>
      <c r="AK416" s="550"/>
      <c r="AL416" s="550"/>
      <c r="AM416" s="570"/>
    </row>
    <row r="417" spans="1:55" ht="12.75" customHeight="1">
      <c r="A417" s="536"/>
      <c r="C417" s="746"/>
      <c r="D417" s="747"/>
      <c r="E417" s="715" t="s">
        <v>1477</v>
      </c>
      <c r="F417" s="2522" t="s">
        <v>1478</v>
      </c>
      <c r="G417" s="2522"/>
      <c r="H417" s="2522"/>
      <c r="I417" s="2522"/>
      <c r="J417" s="2522"/>
      <c r="K417" s="2522"/>
      <c r="L417" s="2522"/>
      <c r="M417" s="2522"/>
      <c r="N417" s="2522"/>
      <c r="O417" s="2522"/>
      <c r="P417" s="2522"/>
      <c r="Q417" s="2522"/>
      <c r="R417" s="2522"/>
      <c r="S417" s="2522"/>
      <c r="T417" s="2522"/>
      <c r="U417" s="2522"/>
      <c r="V417" s="2522"/>
      <c r="W417" s="2522"/>
      <c r="X417" s="2522"/>
      <c r="Y417" s="2522"/>
      <c r="Z417" s="2522"/>
      <c r="AA417" s="2522"/>
      <c r="AB417" s="2522"/>
      <c r="AC417" s="2522"/>
      <c r="AD417" s="2522"/>
      <c r="AE417" s="2522"/>
      <c r="AF417" s="747"/>
      <c r="AG417" s="747"/>
      <c r="AH417" s="747"/>
      <c r="AI417" s="747"/>
      <c r="AJ417" s="747"/>
      <c r="AK417" s="747"/>
      <c r="AL417" s="748"/>
      <c r="AM417" s="570"/>
    </row>
    <row r="418" spans="1:55">
      <c r="A418" s="536"/>
      <c r="C418" s="731"/>
      <c r="E418" s="691"/>
      <c r="F418" s="2523"/>
      <c r="G418" s="2523"/>
      <c r="H418" s="2523"/>
      <c r="I418" s="2523"/>
      <c r="J418" s="2523"/>
      <c r="K418" s="2523"/>
      <c r="L418" s="2523"/>
      <c r="M418" s="2523"/>
      <c r="N418" s="2523"/>
      <c r="O418" s="2523"/>
      <c r="P418" s="2523"/>
      <c r="Q418" s="2523"/>
      <c r="R418" s="2523"/>
      <c r="S418" s="2523"/>
      <c r="T418" s="2523"/>
      <c r="U418" s="2523"/>
      <c r="V418" s="2523"/>
      <c r="W418" s="2523"/>
      <c r="X418" s="2523"/>
      <c r="Y418" s="2523"/>
      <c r="Z418" s="2523"/>
      <c r="AA418" s="2523"/>
      <c r="AB418" s="2523"/>
      <c r="AC418" s="2523"/>
      <c r="AD418" s="2523"/>
      <c r="AE418" s="2523"/>
      <c r="AF418" s="539"/>
      <c r="AG418" s="536"/>
      <c r="AH418" s="550"/>
      <c r="AI418" s="550"/>
      <c r="AJ418" s="550"/>
      <c r="AK418" s="550"/>
      <c r="AL418" s="732"/>
      <c r="AM418" s="570"/>
    </row>
    <row r="419" spans="1:55" s="550" customFormat="1" ht="12.75" customHeight="1">
      <c r="A419" s="536"/>
      <c r="B419" s="14"/>
      <c r="C419" s="731"/>
      <c r="D419" s="14"/>
      <c r="E419" s="691"/>
      <c r="F419" s="2523"/>
      <c r="G419" s="2523"/>
      <c r="H419" s="2523"/>
      <c r="I419" s="2523"/>
      <c r="J419" s="2523"/>
      <c r="K419" s="2523"/>
      <c r="L419" s="2523"/>
      <c r="M419" s="2523"/>
      <c r="N419" s="2523"/>
      <c r="O419" s="2523"/>
      <c r="P419" s="2523"/>
      <c r="Q419" s="2523"/>
      <c r="R419" s="2523"/>
      <c r="S419" s="2523"/>
      <c r="T419" s="2523"/>
      <c r="U419" s="2523"/>
      <c r="V419" s="2523"/>
      <c r="W419" s="2523"/>
      <c r="X419" s="2523"/>
      <c r="Y419" s="2523"/>
      <c r="Z419" s="2523"/>
      <c r="AA419" s="2523"/>
      <c r="AB419" s="2523"/>
      <c r="AC419" s="2523"/>
      <c r="AD419" s="2523"/>
      <c r="AE419" s="2523"/>
      <c r="AL419" s="732"/>
      <c r="AM419" s="570"/>
      <c r="AN419" s="597"/>
    </row>
    <row r="420" spans="1:55" s="550" customFormat="1" ht="12.75" customHeight="1">
      <c r="A420" s="536"/>
      <c r="B420" s="14"/>
      <c r="C420" s="739"/>
      <c r="F420" s="2523"/>
      <c r="G420" s="2523"/>
      <c r="H420" s="2523"/>
      <c r="I420" s="2523"/>
      <c r="J420" s="2523"/>
      <c r="K420" s="2523"/>
      <c r="L420" s="2523"/>
      <c r="M420" s="2523"/>
      <c r="N420" s="2523"/>
      <c r="O420" s="2523"/>
      <c r="P420" s="2523"/>
      <c r="Q420" s="2523"/>
      <c r="R420" s="2523"/>
      <c r="S420" s="2523"/>
      <c r="T420" s="2523"/>
      <c r="U420" s="2523"/>
      <c r="V420" s="2523"/>
      <c r="W420" s="2523"/>
      <c r="X420" s="2523"/>
      <c r="Y420" s="2523"/>
      <c r="Z420" s="2523"/>
      <c r="AA420" s="2523"/>
      <c r="AB420" s="2523"/>
      <c r="AC420" s="2523"/>
      <c r="AD420" s="2523"/>
      <c r="AE420" s="2523"/>
      <c r="AL420" s="732"/>
      <c r="AM420" s="570"/>
      <c r="AN420" s="597"/>
    </row>
    <row r="421" spans="1:55" s="550" customFormat="1" ht="12.75" customHeight="1">
      <c r="A421" s="536"/>
      <c r="B421" s="14"/>
      <c r="C421" s="2519" t="s">
        <v>591</v>
      </c>
      <c r="D421" s="2476"/>
      <c r="E421" s="691"/>
      <c r="F421" s="721" t="s">
        <v>1479</v>
      </c>
      <c r="G421" s="603"/>
      <c r="H421" s="603"/>
      <c r="I421" s="603"/>
      <c r="J421" s="603"/>
      <c r="K421" s="603"/>
      <c r="L421" s="603"/>
      <c r="M421" s="603"/>
      <c r="N421" s="603"/>
      <c r="O421" s="603"/>
      <c r="P421" s="603"/>
      <c r="Q421" s="603"/>
      <c r="R421" s="603"/>
      <c r="S421" s="603"/>
      <c r="T421" s="603"/>
      <c r="U421" s="603"/>
      <c r="V421" s="603"/>
      <c r="W421" s="603"/>
      <c r="X421" s="603"/>
      <c r="Y421" s="603"/>
      <c r="Z421" s="603"/>
      <c r="AA421" s="603"/>
      <c r="AB421" s="603"/>
      <c r="AC421" s="603"/>
      <c r="AD421" s="603"/>
      <c r="AF421" s="2444" t="s">
        <v>1462</v>
      </c>
      <c r="AG421" s="2444"/>
      <c r="AH421" s="2444"/>
      <c r="AI421" s="2444"/>
      <c r="AJ421" s="2444"/>
      <c r="AK421" s="2444"/>
      <c r="AL421" s="2524"/>
      <c r="AM421" s="570"/>
      <c r="AN421" s="597"/>
    </row>
    <row r="422" spans="1:55" s="550" customFormat="1" ht="12.75" customHeight="1">
      <c r="A422" s="536"/>
      <c r="B422" s="14"/>
      <c r="C422" s="739"/>
      <c r="AL422" s="732"/>
      <c r="AM422" s="570"/>
      <c r="AN422" s="597"/>
    </row>
    <row r="423" spans="1:55" s="550" customFormat="1" ht="12.75" customHeight="1">
      <c r="A423" s="536"/>
      <c r="B423" s="14"/>
      <c r="C423" s="2519" t="s">
        <v>591</v>
      </c>
      <c r="D423" s="2476"/>
      <c r="E423" s="719"/>
      <c r="F423" s="721" t="s">
        <v>1480</v>
      </c>
      <c r="G423" s="603"/>
      <c r="H423" s="603"/>
      <c r="I423" s="603"/>
      <c r="J423" s="603"/>
      <c r="K423" s="603"/>
      <c r="L423" s="603"/>
      <c r="M423" s="603"/>
      <c r="N423" s="603"/>
      <c r="O423" s="603"/>
      <c r="P423" s="603"/>
      <c r="Q423" s="603"/>
      <c r="R423" s="603"/>
      <c r="S423" s="603"/>
      <c r="T423" s="603"/>
      <c r="U423" s="603"/>
      <c r="V423" s="603"/>
      <c r="W423" s="603"/>
      <c r="X423" s="603"/>
      <c r="Y423" s="603"/>
      <c r="Z423" s="603"/>
      <c r="AA423" s="603"/>
      <c r="AB423" s="603"/>
      <c r="AC423" s="603"/>
      <c r="AD423" s="603"/>
      <c r="AF423" s="2444" t="s">
        <v>1474</v>
      </c>
      <c r="AG423" s="2444"/>
      <c r="AH423" s="2444"/>
      <c r="AI423" s="2444"/>
      <c r="AJ423" s="2444"/>
      <c r="AK423" s="2444"/>
      <c r="AL423" s="2524"/>
      <c r="AM423" s="570"/>
      <c r="AN423" s="597"/>
      <c r="AO423" s="596"/>
      <c r="AP423" s="596"/>
      <c r="BC423" s="14"/>
    </row>
    <row r="424" spans="1:55" s="550" customFormat="1" ht="12.75" customHeight="1">
      <c r="A424" s="536"/>
      <c r="B424" s="14"/>
      <c r="C424" s="733"/>
      <c r="D424" s="733"/>
      <c r="E424" s="734"/>
      <c r="F424" s="725"/>
      <c r="G424" s="726"/>
      <c r="H424" s="726"/>
      <c r="I424" s="726"/>
      <c r="J424" s="726"/>
      <c r="K424" s="726"/>
      <c r="L424" s="726"/>
      <c r="M424" s="726"/>
      <c r="N424" s="726"/>
      <c r="O424" s="726"/>
      <c r="P424" s="726"/>
      <c r="Q424" s="726"/>
      <c r="R424" s="726"/>
      <c r="S424" s="726"/>
      <c r="T424" s="726"/>
      <c r="U424" s="726"/>
      <c r="V424" s="726"/>
      <c r="W424" s="726"/>
      <c r="X424" s="726"/>
      <c r="Y424" s="726"/>
      <c r="Z424" s="726"/>
      <c r="AA424" s="726"/>
      <c r="AB424" s="726"/>
      <c r="AC424" s="726"/>
      <c r="AD424" s="726"/>
      <c r="AE424" s="737"/>
      <c r="AF424" s="583"/>
      <c r="AG424" s="737"/>
      <c r="AH424" s="727"/>
      <c r="AI424" s="727"/>
      <c r="AJ424" s="727"/>
      <c r="AK424" s="727"/>
      <c r="AL424" s="742"/>
      <c r="AM424" s="570"/>
      <c r="AN424" s="597"/>
    </row>
    <row r="425" spans="1:55" s="550" customFormat="1" ht="12.75" customHeight="1">
      <c r="A425" s="536"/>
      <c r="B425" s="14"/>
      <c r="C425" s="14"/>
      <c r="D425" s="14"/>
      <c r="E425" s="691"/>
      <c r="F425" s="721"/>
      <c r="G425" s="603"/>
      <c r="H425" s="603"/>
      <c r="I425" s="603"/>
      <c r="J425" s="603"/>
      <c r="K425" s="603"/>
      <c r="L425" s="603"/>
      <c r="M425" s="603"/>
      <c r="N425" s="603"/>
      <c r="O425" s="603"/>
      <c r="P425" s="603"/>
      <c r="Q425" s="603"/>
      <c r="R425" s="603"/>
      <c r="S425" s="603"/>
      <c r="T425" s="603"/>
      <c r="U425" s="603"/>
      <c r="V425" s="603"/>
      <c r="W425" s="603"/>
      <c r="X425" s="603"/>
      <c r="Y425" s="603"/>
      <c r="Z425" s="603"/>
      <c r="AA425" s="603"/>
      <c r="AB425" s="603"/>
      <c r="AC425" s="603"/>
      <c r="AD425" s="603"/>
      <c r="AE425" s="536"/>
      <c r="AF425" s="539"/>
      <c r="AG425" s="536"/>
      <c r="AM425" s="570"/>
      <c r="AN425" s="597"/>
    </row>
    <row r="426" spans="1:55" s="550" customFormat="1" ht="12.75" customHeight="1">
      <c r="A426" s="536"/>
      <c r="B426" s="14"/>
      <c r="C426" s="712" t="s">
        <v>2210</v>
      </c>
      <c r="D426" s="14"/>
      <c r="E426" s="691"/>
      <c r="F426" s="603"/>
      <c r="G426" s="603"/>
      <c r="H426" s="603"/>
      <c r="I426" s="603"/>
      <c r="J426" s="603"/>
      <c r="K426" s="603"/>
      <c r="L426" s="603"/>
      <c r="M426" s="603"/>
      <c r="N426" s="603"/>
      <c r="O426" s="603"/>
      <c r="P426" s="603"/>
      <c r="Q426" s="603"/>
      <c r="R426" s="603"/>
      <c r="S426" s="603"/>
      <c r="T426" s="603"/>
      <c r="U426" s="603"/>
      <c r="V426" s="603"/>
      <c r="W426" s="603"/>
      <c r="X426" s="603"/>
      <c r="Y426" s="603"/>
      <c r="Z426" s="603"/>
      <c r="AA426" s="603"/>
      <c r="AB426" s="603"/>
      <c r="AC426" s="603"/>
      <c r="AD426" s="603"/>
      <c r="AE426" s="536"/>
      <c r="AF426" s="539"/>
      <c r="AG426" s="536"/>
      <c r="AM426" s="570"/>
      <c r="AN426" s="597"/>
    </row>
    <row r="427" spans="1:55" s="550" customFormat="1" ht="12.75" customHeight="1">
      <c r="A427" s="536"/>
      <c r="B427" s="14"/>
      <c r="C427" s="713"/>
      <c r="D427" s="714"/>
      <c r="E427" s="715" t="s">
        <v>1481</v>
      </c>
      <c r="F427" s="2522" t="s">
        <v>1482</v>
      </c>
      <c r="G427" s="2522"/>
      <c r="H427" s="2522"/>
      <c r="I427" s="2522"/>
      <c r="J427" s="2522"/>
      <c r="K427" s="2522"/>
      <c r="L427" s="2522"/>
      <c r="M427" s="2522"/>
      <c r="N427" s="2522"/>
      <c r="O427" s="2522"/>
      <c r="P427" s="2522"/>
      <c r="Q427" s="2522"/>
      <c r="R427" s="2522"/>
      <c r="S427" s="2522"/>
      <c r="T427" s="2522"/>
      <c r="U427" s="2522"/>
      <c r="V427" s="2522"/>
      <c r="W427" s="2522"/>
      <c r="X427" s="2522"/>
      <c r="Y427" s="2522"/>
      <c r="Z427" s="2522"/>
      <c r="AA427" s="2522"/>
      <c r="AB427" s="2522"/>
      <c r="AC427" s="2522"/>
      <c r="AD427" s="2522"/>
      <c r="AE427" s="2522"/>
      <c r="AF427" s="714"/>
      <c r="AG427" s="714"/>
      <c r="AH427" s="714"/>
      <c r="AI427" s="714"/>
      <c r="AJ427" s="714"/>
      <c r="AK427" s="714"/>
      <c r="AL427" s="745"/>
      <c r="AM427" s="570"/>
      <c r="AN427" s="597"/>
    </row>
    <row r="428" spans="1:55" s="550" customFormat="1" ht="12.75" customHeight="1">
      <c r="A428" s="536"/>
      <c r="B428" s="14"/>
      <c r="C428" s="731"/>
      <c r="D428" s="14"/>
      <c r="E428" s="691"/>
      <c r="F428" s="2523"/>
      <c r="G428" s="2523"/>
      <c r="H428" s="2523"/>
      <c r="I428" s="2523"/>
      <c r="J428" s="2523"/>
      <c r="K428" s="2523"/>
      <c r="L428" s="2523"/>
      <c r="M428" s="2523"/>
      <c r="N428" s="2523"/>
      <c r="O428" s="2523"/>
      <c r="P428" s="2523"/>
      <c r="Q428" s="2523"/>
      <c r="R428" s="2523"/>
      <c r="S428" s="2523"/>
      <c r="T428" s="2523"/>
      <c r="U428" s="2523"/>
      <c r="V428" s="2523"/>
      <c r="W428" s="2523"/>
      <c r="X428" s="2523"/>
      <c r="Y428" s="2523"/>
      <c r="Z428" s="2523"/>
      <c r="AA428" s="2523"/>
      <c r="AB428" s="2523"/>
      <c r="AC428" s="2523"/>
      <c r="AD428" s="2523"/>
      <c r="AE428" s="2523"/>
      <c r="AF428" s="539"/>
      <c r="AG428" s="536"/>
      <c r="AL428" s="732"/>
      <c r="AM428" s="570"/>
      <c r="AN428" s="597"/>
    </row>
    <row r="429" spans="1:55" s="550" customFormat="1" ht="12.4" customHeight="1">
      <c r="A429" s="536"/>
      <c r="B429" s="14"/>
      <c r="C429" s="731"/>
      <c r="D429" s="14"/>
      <c r="E429" s="691"/>
      <c r="F429" s="2523"/>
      <c r="G429" s="2523"/>
      <c r="H429" s="2523"/>
      <c r="I429" s="2523"/>
      <c r="J429" s="2523"/>
      <c r="K429" s="2523"/>
      <c r="L429" s="2523"/>
      <c r="M429" s="2523"/>
      <c r="N429" s="2523"/>
      <c r="O429" s="2523"/>
      <c r="P429" s="2523"/>
      <c r="Q429" s="2523"/>
      <c r="R429" s="2523"/>
      <c r="S429" s="2523"/>
      <c r="T429" s="2523"/>
      <c r="U429" s="2523"/>
      <c r="V429" s="2523"/>
      <c r="W429" s="2523"/>
      <c r="X429" s="2523"/>
      <c r="Y429" s="2523"/>
      <c r="Z429" s="2523"/>
      <c r="AA429" s="2523"/>
      <c r="AB429" s="2523"/>
      <c r="AC429" s="2523"/>
      <c r="AD429" s="2523"/>
      <c r="AE429" s="2523"/>
      <c r="AL429" s="732"/>
      <c r="AM429" s="570"/>
      <c r="AN429" s="597"/>
    </row>
    <row r="430" spans="1:55" s="550" customFormat="1" ht="12.75" customHeight="1">
      <c r="A430" s="536"/>
      <c r="B430" s="14"/>
      <c r="C430" s="2519" t="s">
        <v>591</v>
      </c>
      <c r="D430" s="2476"/>
      <c r="E430" s="691"/>
      <c r="F430" s="721" t="s">
        <v>1483</v>
      </c>
      <c r="G430" s="749"/>
      <c r="H430" s="749"/>
      <c r="I430" s="749"/>
      <c r="J430" s="749"/>
      <c r="K430" s="749"/>
      <c r="L430" s="749"/>
      <c r="M430" s="749"/>
      <c r="N430" s="749"/>
      <c r="O430" s="749"/>
      <c r="P430" s="749"/>
      <c r="Q430" s="749"/>
      <c r="R430" s="749"/>
      <c r="S430" s="749"/>
      <c r="T430" s="749"/>
      <c r="U430" s="749"/>
      <c r="V430" s="749"/>
      <c r="W430" s="749"/>
      <c r="X430" s="749"/>
      <c r="Y430" s="749"/>
      <c r="Z430" s="749"/>
      <c r="AA430" s="749"/>
      <c r="AB430" s="749"/>
      <c r="AC430" s="749"/>
      <c r="AD430" s="749"/>
      <c r="AF430" s="2444" t="s">
        <v>1462</v>
      </c>
      <c r="AG430" s="2444"/>
      <c r="AH430" s="2444"/>
      <c r="AI430" s="2444"/>
      <c r="AJ430" s="2444"/>
      <c r="AK430" s="2444"/>
      <c r="AL430" s="2524"/>
      <c r="AM430" s="570"/>
      <c r="AN430" s="597"/>
    </row>
    <row r="431" spans="1:55" s="550" customFormat="1" ht="12.75" customHeight="1">
      <c r="A431" s="536"/>
      <c r="B431" s="14"/>
      <c r="C431" s="743"/>
      <c r="D431" s="727"/>
      <c r="E431" s="724"/>
      <c r="F431" s="741"/>
      <c r="G431" s="726"/>
      <c r="H431" s="726"/>
      <c r="I431" s="726"/>
      <c r="J431" s="726"/>
      <c r="K431" s="726"/>
      <c r="L431" s="726"/>
      <c r="M431" s="726"/>
      <c r="N431" s="726"/>
      <c r="O431" s="726"/>
      <c r="P431" s="726"/>
      <c r="Q431" s="726"/>
      <c r="R431" s="726"/>
      <c r="S431" s="726"/>
      <c r="T431" s="726"/>
      <c r="U431" s="726"/>
      <c r="V431" s="726"/>
      <c r="W431" s="726"/>
      <c r="X431" s="726"/>
      <c r="Y431" s="726"/>
      <c r="Z431" s="726"/>
      <c r="AA431" s="726"/>
      <c r="AB431" s="726"/>
      <c r="AC431" s="726"/>
      <c r="AD431" s="726"/>
      <c r="AE431" s="727"/>
      <c r="AF431" s="727"/>
      <c r="AG431" s="727"/>
      <c r="AH431" s="727"/>
      <c r="AI431" s="727"/>
      <c r="AJ431" s="727"/>
      <c r="AK431" s="727"/>
      <c r="AL431" s="742"/>
      <c r="AM431" s="570"/>
      <c r="AN431" s="597"/>
    </row>
    <row r="432" spans="1:55" s="550" customFormat="1" ht="12.75" customHeight="1">
      <c r="A432" s="536"/>
      <c r="B432" s="14"/>
      <c r="C432" s="730"/>
      <c r="D432" s="730"/>
      <c r="E432" s="719"/>
      <c r="F432" s="721"/>
      <c r="G432" s="603"/>
      <c r="H432" s="603"/>
      <c r="I432" s="603"/>
      <c r="J432" s="603"/>
      <c r="K432" s="603"/>
      <c r="L432" s="603"/>
      <c r="M432" s="603"/>
      <c r="N432" s="603"/>
      <c r="O432" s="603"/>
      <c r="P432" s="603"/>
      <c r="Q432" s="603"/>
      <c r="R432" s="603"/>
      <c r="S432" s="603"/>
      <c r="T432" s="603"/>
      <c r="U432" s="603"/>
      <c r="V432" s="603"/>
      <c r="W432" s="603"/>
      <c r="X432" s="603"/>
      <c r="Y432" s="603"/>
      <c r="Z432" s="603"/>
      <c r="AA432" s="603"/>
      <c r="AB432" s="603"/>
      <c r="AC432" s="603"/>
      <c r="AD432" s="603"/>
      <c r="AE432" s="536"/>
      <c r="AM432" s="570"/>
      <c r="AN432" s="597"/>
    </row>
    <row r="433" spans="1:60" ht="13.15" customHeight="1">
      <c r="A433" s="536"/>
      <c r="C433" s="746"/>
      <c r="D433" s="747"/>
      <c r="E433" s="715" t="s">
        <v>1484</v>
      </c>
      <c r="F433" s="2522" t="s">
        <v>1485</v>
      </c>
      <c r="G433" s="2522"/>
      <c r="H433" s="2522"/>
      <c r="I433" s="2522"/>
      <c r="J433" s="2522"/>
      <c r="K433" s="2522"/>
      <c r="L433" s="2522"/>
      <c r="M433" s="2522"/>
      <c r="N433" s="2522"/>
      <c r="O433" s="2522"/>
      <c r="P433" s="2522"/>
      <c r="Q433" s="2522"/>
      <c r="R433" s="2522"/>
      <c r="S433" s="2522"/>
      <c r="T433" s="2522"/>
      <c r="U433" s="2522"/>
      <c r="V433" s="2522"/>
      <c r="W433" s="2522"/>
      <c r="X433" s="2522"/>
      <c r="Y433" s="2522"/>
      <c r="Z433" s="2522"/>
      <c r="AA433" s="2522"/>
      <c r="AB433" s="2522"/>
      <c r="AC433" s="2522"/>
      <c r="AD433" s="2522"/>
      <c r="AE433" s="2522"/>
      <c r="AF433" s="747"/>
      <c r="AG433" s="747"/>
      <c r="AH433" s="747"/>
      <c r="AI433" s="747"/>
      <c r="AJ433" s="747"/>
      <c r="AK433" s="747"/>
      <c r="AL433" s="748"/>
      <c r="AM433" s="570"/>
      <c r="AO433" s="550"/>
      <c r="AP433" s="550"/>
      <c r="BD433" s="14"/>
      <c r="BE433" s="14"/>
      <c r="BF433" s="14"/>
      <c r="BG433" s="14"/>
      <c r="BH433" s="14"/>
    </row>
    <row r="434" spans="1:60">
      <c r="A434" s="536"/>
      <c r="C434" s="731"/>
      <c r="E434" s="691"/>
      <c r="F434" s="2523"/>
      <c r="G434" s="2523"/>
      <c r="H434" s="2523"/>
      <c r="I434" s="2523"/>
      <c r="J434" s="2523"/>
      <c r="K434" s="2523"/>
      <c r="L434" s="2523"/>
      <c r="M434" s="2523"/>
      <c r="N434" s="2523"/>
      <c r="O434" s="2523"/>
      <c r="P434" s="2523"/>
      <c r="Q434" s="2523"/>
      <c r="R434" s="2523"/>
      <c r="S434" s="2523"/>
      <c r="T434" s="2523"/>
      <c r="U434" s="2523"/>
      <c r="V434" s="2523"/>
      <c r="W434" s="2523"/>
      <c r="X434" s="2523"/>
      <c r="Y434" s="2523"/>
      <c r="Z434" s="2523"/>
      <c r="AA434" s="2523"/>
      <c r="AB434" s="2523"/>
      <c r="AC434" s="2523"/>
      <c r="AD434" s="2523"/>
      <c r="AE434" s="2523"/>
      <c r="AF434" s="594"/>
      <c r="AG434" s="594"/>
      <c r="AH434" s="594"/>
      <c r="AI434" s="594"/>
      <c r="AJ434" s="594"/>
      <c r="AK434" s="594"/>
      <c r="AL434" s="750"/>
      <c r="AM434" s="570"/>
      <c r="AO434" s="550"/>
      <c r="AP434" s="550"/>
    </row>
    <row r="435" spans="1:60" s="550" customFormat="1" ht="12.75" customHeight="1">
      <c r="A435" s="536"/>
      <c r="B435" s="14"/>
      <c r="C435" s="731"/>
      <c r="D435" s="14"/>
      <c r="E435" s="691"/>
      <c r="F435" s="2523"/>
      <c r="G435" s="2523"/>
      <c r="H435" s="2523"/>
      <c r="I435" s="2523"/>
      <c r="J435" s="2523"/>
      <c r="K435" s="2523"/>
      <c r="L435" s="2523"/>
      <c r="M435" s="2523"/>
      <c r="N435" s="2523"/>
      <c r="O435" s="2523"/>
      <c r="P435" s="2523"/>
      <c r="Q435" s="2523"/>
      <c r="R435" s="2523"/>
      <c r="S435" s="2523"/>
      <c r="T435" s="2523"/>
      <c r="U435" s="2523"/>
      <c r="V435" s="2523"/>
      <c r="W435" s="2523"/>
      <c r="X435" s="2523"/>
      <c r="Y435" s="2523"/>
      <c r="Z435" s="2523"/>
      <c r="AA435" s="2523"/>
      <c r="AB435" s="2523"/>
      <c r="AC435" s="2523"/>
      <c r="AD435" s="2523"/>
      <c r="AE435" s="2523"/>
      <c r="AF435" s="594"/>
      <c r="AG435" s="594"/>
      <c r="AH435" s="594"/>
      <c r="AI435" s="594"/>
      <c r="AJ435" s="594"/>
      <c r="AK435" s="594"/>
      <c r="AL435" s="750"/>
      <c r="AM435" s="570"/>
      <c r="AN435" s="597"/>
    </row>
    <row r="436" spans="1:60" s="550" customFormat="1" ht="12.75" customHeight="1">
      <c r="A436" s="536"/>
      <c r="B436" s="14"/>
      <c r="C436" s="751"/>
      <c r="D436" s="730"/>
      <c r="E436" s="719"/>
      <c r="F436" s="2523"/>
      <c r="G436" s="2523"/>
      <c r="H436" s="2523"/>
      <c r="I436" s="2523"/>
      <c r="J436" s="2523"/>
      <c r="K436" s="2523"/>
      <c r="L436" s="2523"/>
      <c r="M436" s="2523"/>
      <c r="N436" s="2523"/>
      <c r="O436" s="2523"/>
      <c r="P436" s="2523"/>
      <c r="Q436" s="2523"/>
      <c r="R436" s="2523"/>
      <c r="S436" s="2523"/>
      <c r="T436" s="2523"/>
      <c r="U436" s="2523"/>
      <c r="V436" s="2523"/>
      <c r="W436" s="2523"/>
      <c r="X436" s="2523"/>
      <c r="Y436" s="2523"/>
      <c r="Z436" s="2523"/>
      <c r="AA436" s="2523"/>
      <c r="AB436" s="2523"/>
      <c r="AC436" s="2523"/>
      <c r="AD436" s="2523"/>
      <c r="AE436" s="2523"/>
      <c r="AF436" s="594"/>
      <c r="AG436" s="594"/>
      <c r="AH436" s="594"/>
      <c r="AI436" s="594"/>
      <c r="AJ436" s="594"/>
      <c r="AK436" s="594"/>
      <c r="AL436" s="750"/>
      <c r="AM436" s="570"/>
      <c r="AN436" s="597"/>
      <c r="AO436" s="30"/>
      <c r="AP436" s="14"/>
    </row>
    <row r="437" spans="1:60" s="550" customFormat="1" ht="12.75" customHeight="1">
      <c r="A437" s="536"/>
      <c r="B437" s="14"/>
      <c r="C437" s="751"/>
      <c r="D437" s="730"/>
      <c r="E437" s="719"/>
      <c r="F437" s="2523"/>
      <c r="G437" s="2523"/>
      <c r="H437" s="2523"/>
      <c r="I437" s="2523"/>
      <c r="J437" s="2523"/>
      <c r="K437" s="2523"/>
      <c r="L437" s="2523"/>
      <c r="M437" s="2523"/>
      <c r="N437" s="2523"/>
      <c r="O437" s="2523"/>
      <c r="P437" s="2523"/>
      <c r="Q437" s="2523"/>
      <c r="R437" s="2523"/>
      <c r="S437" s="2523"/>
      <c r="T437" s="2523"/>
      <c r="U437" s="2523"/>
      <c r="V437" s="2523"/>
      <c r="W437" s="2523"/>
      <c r="X437" s="2523"/>
      <c r="Y437" s="2523"/>
      <c r="Z437" s="2523"/>
      <c r="AA437" s="2523"/>
      <c r="AB437" s="2523"/>
      <c r="AC437" s="2523"/>
      <c r="AD437" s="2523"/>
      <c r="AE437" s="2523"/>
      <c r="AF437" s="594"/>
      <c r="AG437" s="594"/>
      <c r="AH437" s="594"/>
      <c r="AI437" s="594"/>
      <c r="AJ437" s="594"/>
      <c r="AK437" s="594"/>
      <c r="AL437" s="750"/>
      <c r="AM437" s="570"/>
      <c r="AN437" s="597"/>
    </row>
    <row r="438" spans="1:60" s="550" customFormat="1" ht="12.75" customHeight="1">
      <c r="A438" s="536"/>
      <c r="B438" s="14"/>
      <c r="C438" s="751"/>
      <c r="D438" s="730"/>
      <c r="E438" s="719"/>
      <c r="F438" s="2523"/>
      <c r="G438" s="2523"/>
      <c r="H438" s="2523"/>
      <c r="I438" s="2523"/>
      <c r="J438" s="2523"/>
      <c r="K438" s="2523"/>
      <c r="L438" s="2523"/>
      <c r="M438" s="2523"/>
      <c r="N438" s="2523"/>
      <c r="O438" s="2523"/>
      <c r="P438" s="2523"/>
      <c r="Q438" s="2523"/>
      <c r="R438" s="2523"/>
      <c r="S438" s="2523"/>
      <c r="T438" s="2523"/>
      <c r="U438" s="2523"/>
      <c r="V438" s="2523"/>
      <c r="W438" s="2523"/>
      <c r="X438" s="2523"/>
      <c r="Y438" s="2523"/>
      <c r="Z438" s="2523"/>
      <c r="AA438" s="2523"/>
      <c r="AB438" s="2523"/>
      <c r="AC438" s="2523"/>
      <c r="AD438" s="2523"/>
      <c r="AE438" s="2523"/>
      <c r="AF438" s="594"/>
      <c r="AG438" s="594"/>
      <c r="AH438" s="594"/>
      <c r="AI438" s="594"/>
      <c r="AJ438" s="594"/>
      <c r="AK438" s="594"/>
      <c r="AL438" s="750"/>
      <c r="AM438" s="570"/>
      <c r="AN438" s="597"/>
    </row>
    <row r="439" spans="1:60" s="550" customFormat="1" ht="12.75" customHeight="1">
      <c r="A439" s="536"/>
      <c r="B439" s="14"/>
      <c r="C439" s="751"/>
      <c r="D439" s="730"/>
      <c r="E439" s="719"/>
      <c r="F439" s="2523"/>
      <c r="G439" s="2523"/>
      <c r="H439" s="2523"/>
      <c r="I439" s="2523"/>
      <c r="J439" s="2523"/>
      <c r="K439" s="2523"/>
      <c r="L439" s="2523"/>
      <c r="M439" s="2523"/>
      <c r="N439" s="2523"/>
      <c r="O439" s="2523"/>
      <c r="P439" s="2523"/>
      <c r="Q439" s="2523"/>
      <c r="R439" s="2523"/>
      <c r="S439" s="2523"/>
      <c r="T439" s="2523"/>
      <c r="U439" s="2523"/>
      <c r="V439" s="2523"/>
      <c r="W439" s="2523"/>
      <c r="X439" s="2523"/>
      <c r="Y439" s="2523"/>
      <c r="Z439" s="2523"/>
      <c r="AA439" s="2523"/>
      <c r="AB439" s="2523"/>
      <c r="AC439" s="2523"/>
      <c r="AD439" s="2523"/>
      <c r="AE439" s="2523"/>
      <c r="AF439" s="594"/>
      <c r="AG439" s="594"/>
      <c r="AH439" s="594"/>
      <c r="AI439" s="594"/>
      <c r="AJ439" s="594"/>
      <c r="AK439" s="594"/>
      <c r="AL439" s="750"/>
      <c r="AM439" s="570"/>
      <c r="AN439" s="597"/>
    </row>
    <row r="440" spans="1:60" s="550" customFormat="1" ht="12.75" customHeight="1">
      <c r="A440" s="536"/>
      <c r="B440" s="14"/>
      <c r="C440" s="751"/>
      <c r="D440" s="730"/>
      <c r="E440" s="719"/>
      <c r="F440" s="2523"/>
      <c r="G440" s="2523"/>
      <c r="H440" s="2523"/>
      <c r="I440" s="2523"/>
      <c r="J440" s="2523"/>
      <c r="K440" s="2523"/>
      <c r="L440" s="2523"/>
      <c r="M440" s="2523"/>
      <c r="N440" s="2523"/>
      <c r="O440" s="2523"/>
      <c r="P440" s="2523"/>
      <c r="Q440" s="2523"/>
      <c r="R440" s="2523"/>
      <c r="S440" s="2523"/>
      <c r="T440" s="2523"/>
      <c r="U440" s="2523"/>
      <c r="V440" s="2523"/>
      <c r="W440" s="2523"/>
      <c r="X440" s="2523"/>
      <c r="Y440" s="2523"/>
      <c r="Z440" s="2523"/>
      <c r="AA440" s="2523"/>
      <c r="AB440" s="2523"/>
      <c r="AC440" s="2523"/>
      <c r="AD440" s="2523"/>
      <c r="AE440" s="2523"/>
      <c r="AF440" s="594"/>
      <c r="AG440" s="594"/>
      <c r="AH440" s="594"/>
      <c r="AI440" s="594"/>
      <c r="AJ440" s="594"/>
      <c r="AK440" s="594"/>
      <c r="AL440" s="750"/>
      <c r="AM440" s="570"/>
      <c r="AN440" s="597"/>
    </row>
    <row r="441" spans="1:60" s="550" customFormat="1" ht="17.25" customHeight="1">
      <c r="A441" s="536"/>
      <c r="B441" s="14"/>
      <c r="C441" s="751"/>
      <c r="D441" s="730"/>
      <c r="E441" s="719"/>
      <c r="F441" s="2523"/>
      <c r="G441" s="2523"/>
      <c r="H441" s="2523"/>
      <c r="I441" s="2523"/>
      <c r="J441" s="2523"/>
      <c r="K441" s="2523"/>
      <c r="L441" s="2523"/>
      <c r="M441" s="2523"/>
      <c r="N441" s="2523"/>
      <c r="O441" s="2523"/>
      <c r="P441" s="2523"/>
      <c r="Q441" s="2523"/>
      <c r="R441" s="2523"/>
      <c r="S441" s="2523"/>
      <c r="T441" s="2523"/>
      <c r="U441" s="2523"/>
      <c r="V441" s="2523"/>
      <c r="W441" s="2523"/>
      <c r="X441" s="2523"/>
      <c r="Y441" s="2523"/>
      <c r="Z441" s="2523"/>
      <c r="AA441" s="2523"/>
      <c r="AB441" s="2523"/>
      <c r="AC441" s="2523"/>
      <c r="AD441" s="2523"/>
      <c r="AE441" s="2523"/>
      <c r="AL441" s="732"/>
      <c r="AM441" s="570"/>
      <c r="AN441" s="597"/>
    </row>
    <row r="442" spans="1:60" s="550" customFormat="1" ht="12.75" customHeight="1">
      <c r="A442" s="536"/>
      <c r="B442" s="14"/>
      <c r="C442" s="2519" t="s">
        <v>591</v>
      </c>
      <c r="D442" s="2476"/>
      <c r="E442" s="719"/>
      <c r="F442" s="596" t="s">
        <v>1486</v>
      </c>
      <c r="G442" s="676"/>
      <c r="H442" s="676"/>
      <c r="I442" s="676"/>
      <c r="J442" s="676"/>
      <c r="K442" s="676"/>
      <c r="L442" s="676"/>
      <c r="M442" s="676"/>
      <c r="N442" s="676"/>
      <c r="O442" s="676"/>
      <c r="P442" s="676"/>
      <c r="Q442" s="676"/>
      <c r="R442" s="676"/>
      <c r="S442" s="676"/>
      <c r="T442" s="676"/>
      <c r="U442" s="676"/>
      <c r="V442" s="676"/>
      <c r="W442" s="676"/>
      <c r="X442" s="676"/>
      <c r="Y442" s="676"/>
      <c r="Z442" s="676"/>
      <c r="AA442" s="676"/>
      <c r="AB442" s="676"/>
      <c r="AC442" s="676"/>
      <c r="AD442" s="676"/>
      <c r="AF442" s="2444" t="s">
        <v>1462</v>
      </c>
      <c r="AG442" s="2444"/>
      <c r="AH442" s="2444"/>
      <c r="AI442" s="2444"/>
      <c r="AJ442" s="2444"/>
      <c r="AK442" s="2444"/>
      <c r="AL442" s="2524"/>
      <c r="AM442" s="570"/>
      <c r="AN442" s="597"/>
    </row>
    <row r="443" spans="1:60" s="550" customFormat="1" ht="12.75" customHeight="1">
      <c r="A443" s="536"/>
      <c r="B443" s="14"/>
      <c r="C443" s="743"/>
      <c r="D443" s="727"/>
      <c r="E443" s="724"/>
      <c r="F443" s="741"/>
      <c r="G443" s="726"/>
      <c r="H443" s="726"/>
      <c r="I443" s="726"/>
      <c r="J443" s="726"/>
      <c r="K443" s="726"/>
      <c r="L443" s="726"/>
      <c r="M443" s="726"/>
      <c r="N443" s="726"/>
      <c r="O443" s="726"/>
      <c r="P443" s="726"/>
      <c r="Q443" s="726"/>
      <c r="R443" s="726"/>
      <c r="S443" s="726"/>
      <c r="T443" s="726"/>
      <c r="U443" s="726"/>
      <c r="V443" s="726"/>
      <c r="W443" s="726"/>
      <c r="X443" s="726"/>
      <c r="Y443" s="726"/>
      <c r="Z443" s="726"/>
      <c r="AA443" s="726"/>
      <c r="AB443" s="726"/>
      <c r="AC443" s="726"/>
      <c r="AD443" s="726"/>
      <c r="AE443" s="727"/>
      <c r="AF443" s="727"/>
      <c r="AG443" s="727"/>
      <c r="AH443" s="727"/>
      <c r="AI443" s="727"/>
      <c r="AJ443" s="727"/>
      <c r="AK443" s="727"/>
      <c r="AL443" s="742"/>
      <c r="AM443" s="570"/>
      <c r="AN443" s="597"/>
    </row>
    <row r="444" spans="1:60" s="550" customFormat="1" ht="12.75" customHeight="1">
      <c r="A444" s="536"/>
      <c r="B444" s="14"/>
      <c r="C444" s="730"/>
      <c r="D444" s="730"/>
      <c r="E444" s="719"/>
      <c r="F444" s="721"/>
      <c r="G444" s="603"/>
      <c r="H444" s="603"/>
      <c r="I444" s="603"/>
      <c r="J444" s="603"/>
      <c r="K444" s="603"/>
      <c r="L444" s="603"/>
      <c r="M444" s="603"/>
      <c r="N444" s="603"/>
      <c r="O444" s="603"/>
      <c r="P444" s="603"/>
      <c r="Q444" s="603"/>
      <c r="R444" s="603"/>
      <c r="S444" s="603"/>
      <c r="T444" s="603"/>
      <c r="U444" s="603"/>
      <c r="V444" s="603"/>
      <c r="W444" s="603"/>
      <c r="X444" s="603"/>
      <c r="Y444" s="603"/>
      <c r="Z444" s="603"/>
      <c r="AA444" s="603"/>
      <c r="AB444" s="603"/>
      <c r="AC444" s="603"/>
      <c r="AD444" s="603"/>
      <c r="AE444" s="591"/>
      <c r="AF444" s="591"/>
      <c r="AG444" s="591"/>
      <c r="AH444" s="591"/>
      <c r="AI444" s="591"/>
      <c r="AJ444" s="591"/>
      <c r="AK444" s="591"/>
      <c r="AL444" s="591"/>
      <c r="AM444" s="570"/>
      <c r="AN444" s="597"/>
    </row>
    <row r="445" spans="1:60" s="550" customFormat="1" ht="12.75" customHeight="1">
      <c r="A445" s="536"/>
      <c r="B445" s="14"/>
      <c r="C445" s="713"/>
      <c r="D445" s="714"/>
      <c r="E445" s="715" t="s">
        <v>1487</v>
      </c>
      <c r="F445" s="2522" t="s">
        <v>1488</v>
      </c>
      <c r="G445" s="2522"/>
      <c r="H445" s="2522"/>
      <c r="I445" s="2522"/>
      <c r="J445" s="2522"/>
      <c r="K445" s="2522"/>
      <c r="L445" s="2522"/>
      <c r="M445" s="2522"/>
      <c r="N445" s="2522"/>
      <c r="O445" s="2522"/>
      <c r="P445" s="2522"/>
      <c r="Q445" s="2522"/>
      <c r="R445" s="2522"/>
      <c r="S445" s="2522"/>
      <c r="T445" s="2522"/>
      <c r="U445" s="2522"/>
      <c r="V445" s="2522"/>
      <c r="W445" s="2522"/>
      <c r="X445" s="2522"/>
      <c r="Y445" s="2522"/>
      <c r="Z445" s="2522"/>
      <c r="AA445" s="2522"/>
      <c r="AB445" s="2522"/>
      <c r="AC445" s="2522"/>
      <c r="AD445" s="2522"/>
      <c r="AE445" s="2522"/>
      <c r="AF445" s="714"/>
      <c r="AG445" s="714"/>
      <c r="AH445" s="714"/>
      <c r="AI445" s="714"/>
      <c r="AJ445" s="714"/>
      <c r="AK445" s="714"/>
      <c r="AL445" s="745"/>
      <c r="AM445" s="570"/>
      <c r="AN445" s="597"/>
    </row>
    <row r="446" spans="1:60" s="550" customFormat="1" ht="12.75" customHeight="1">
      <c r="A446" s="536"/>
      <c r="B446" s="14"/>
      <c r="C446" s="751"/>
      <c r="D446" s="730"/>
      <c r="E446" s="719"/>
      <c r="F446" s="2523"/>
      <c r="G446" s="2523"/>
      <c r="H446" s="2523"/>
      <c r="I446" s="2523"/>
      <c r="J446" s="2523"/>
      <c r="K446" s="2523"/>
      <c r="L446" s="2523"/>
      <c r="M446" s="2523"/>
      <c r="N446" s="2523"/>
      <c r="O446" s="2523"/>
      <c r="P446" s="2523"/>
      <c r="Q446" s="2523"/>
      <c r="R446" s="2523"/>
      <c r="S446" s="2523"/>
      <c r="T446" s="2523"/>
      <c r="U446" s="2523"/>
      <c r="V446" s="2523"/>
      <c r="W446" s="2523"/>
      <c r="X446" s="2523"/>
      <c r="Y446" s="2523"/>
      <c r="Z446" s="2523"/>
      <c r="AA446" s="2523"/>
      <c r="AB446" s="2523"/>
      <c r="AC446" s="2523"/>
      <c r="AD446" s="2523"/>
      <c r="AE446" s="2523"/>
      <c r="AF446" s="591"/>
      <c r="AG446" s="591"/>
      <c r="AH446" s="591"/>
      <c r="AI446" s="591"/>
      <c r="AJ446" s="591"/>
      <c r="AK446" s="591"/>
      <c r="AL446" s="720"/>
      <c r="AM446" s="570"/>
      <c r="AN446" s="597"/>
    </row>
    <row r="447" spans="1:60" s="550" customFormat="1" ht="12.75" customHeight="1">
      <c r="A447" s="536"/>
      <c r="B447" s="14"/>
      <c r="C447" s="751"/>
      <c r="D447" s="730"/>
      <c r="E447" s="719"/>
      <c r="F447" s="2523"/>
      <c r="G447" s="2523"/>
      <c r="H447" s="2523"/>
      <c r="I447" s="2523"/>
      <c r="J447" s="2523"/>
      <c r="K447" s="2523"/>
      <c r="L447" s="2523"/>
      <c r="M447" s="2523"/>
      <c r="N447" s="2523"/>
      <c r="O447" s="2523"/>
      <c r="P447" s="2523"/>
      <c r="Q447" s="2523"/>
      <c r="R447" s="2523"/>
      <c r="S447" s="2523"/>
      <c r="T447" s="2523"/>
      <c r="U447" s="2523"/>
      <c r="V447" s="2523"/>
      <c r="W447" s="2523"/>
      <c r="X447" s="2523"/>
      <c r="Y447" s="2523"/>
      <c r="Z447" s="2523"/>
      <c r="AA447" s="2523"/>
      <c r="AB447" s="2523"/>
      <c r="AC447" s="2523"/>
      <c r="AD447" s="2523"/>
      <c r="AE447" s="2523"/>
      <c r="AF447" s="591"/>
      <c r="AG447" s="591"/>
      <c r="AH447" s="591"/>
      <c r="AI447" s="591"/>
      <c r="AJ447" s="591"/>
      <c r="AK447" s="591"/>
      <c r="AL447" s="720"/>
      <c r="AM447" s="570"/>
      <c r="AN447" s="597"/>
    </row>
    <row r="448" spans="1:60" s="550" customFormat="1" ht="12.75" customHeight="1">
      <c r="A448" s="536"/>
      <c r="B448" s="14"/>
      <c r="C448" s="751"/>
      <c r="D448" s="730"/>
      <c r="E448" s="719"/>
      <c r="F448" s="2523"/>
      <c r="G448" s="2523"/>
      <c r="H448" s="2523"/>
      <c r="I448" s="2523"/>
      <c r="J448" s="2523"/>
      <c r="K448" s="2523"/>
      <c r="L448" s="2523"/>
      <c r="M448" s="2523"/>
      <c r="N448" s="2523"/>
      <c r="O448" s="2523"/>
      <c r="P448" s="2523"/>
      <c r="Q448" s="2523"/>
      <c r="R448" s="2523"/>
      <c r="S448" s="2523"/>
      <c r="T448" s="2523"/>
      <c r="U448" s="2523"/>
      <c r="V448" s="2523"/>
      <c r="W448" s="2523"/>
      <c r="X448" s="2523"/>
      <c r="Y448" s="2523"/>
      <c r="Z448" s="2523"/>
      <c r="AA448" s="2523"/>
      <c r="AB448" s="2523"/>
      <c r="AC448" s="2523"/>
      <c r="AD448" s="2523"/>
      <c r="AE448" s="2523"/>
      <c r="AL448" s="732"/>
      <c r="AM448" s="570"/>
      <c r="AN448" s="597"/>
    </row>
    <row r="449" spans="1:40" s="550" customFormat="1" ht="12.75" customHeight="1">
      <c r="A449" s="536"/>
      <c r="B449" s="14"/>
      <c r="C449" s="2519" t="s">
        <v>591</v>
      </c>
      <c r="D449" s="2476"/>
      <c r="E449" s="719"/>
      <c r="F449" s="721" t="s">
        <v>1492</v>
      </c>
      <c r="G449" s="603"/>
      <c r="H449" s="603"/>
      <c r="I449" s="603"/>
      <c r="J449" s="603"/>
      <c r="K449" s="603"/>
      <c r="L449" s="603"/>
      <c r="M449" s="603"/>
      <c r="N449" s="603"/>
      <c r="O449" s="603"/>
      <c r="P449" s="603"/>
      <c r="Q449" s="603"/>
      <c r="R449" s="603"/>
      <c r="S449" s="603"/>
      <c r="T449" s="603"/>
      <c r="U449" s="603"/>
      <c r="V449" s="603"/>
      <c r="W449" s="603"/>
      <c r="X449" s="603"/>
      <c r="Y449" s="603"/>
      <c r="Z449" s="603"/>
      <c r="AA449" s="603"/>
      <c r="AB449" s="603"/>
      <c r="AC449" s="603"/>
      <c r="AD449" s="603"/>
      <c r="AF449" s="2444" t="s">
        <v>1462</v>
      </c>
      <c r="AG449" s="2444"/>
      <c r="AH449" s="2444"/>
      <c r="AI449" s="2444"/>
      <c r="AJ449" s="2444"/>
      <c r="AK449" s="2444"/>
      <c r="AL449" s="2524"/>
      <c r="AM449" s="570"/>
      <c r="AN449" s="753"/>
    </row>
    <row r="450" spans="1:40" s="550" customFormat="1" ht="12.75" customHeight="1">
      <c r="A450" s="536"/>
      <c r="B450" s="14"/>
      <c r="C450" s="751"/>
      <c r="D450" s="730"/>
      <c r="E450" s="719"/>
      <c r="F450" s="721"/>
      <c r="G450" s="603"/>
      <c r="H450" s="603"/>
      <c r="I450" s="603"/>
      <c r="J450" s="603"/>
      <c r="K450" s="603"/>
      <c r="L450" s="603"/>
      <c r="M450" s="603"/>
      <c r="N450" s="603"/>
      <c r="O450" s="603"/>
      <c r="P450" s="603"/>
      <c r="Q450" s="603"/>
      <c r="R450" s="603"/>
      <c r="S450" s="603"/>
      <c r="T450" s="603"/>
      <c r="U450" s="603"/>
      <c r="V450" s="603"/>
      <c r="W450" s="603"/>
      <c r="X450" s="603"/>
      <c r="Y450" s="603"/>
      <c r="Z450" s="603"/>
      <c r="AA450" s="603"/>
      <c r="AB450" s="603"/>
      <c r="AC450" s="603"/>
      <c r="AD450" s="603"/>
      <c r="AE450" s="591"/>
      <c r="AL450" s="732"/>
      <c r="AM450" s="570"/>
      <c r="AN450" s="753"/>
    </row>
    <row r="451" spans="1:40" s="550" customFormat="1" ht="12.75" customHeight="1">
      <c r="A451" s="536"/>
      <c r="B451" s="14"/>
      <c r="C451" s="740"/>
      <c r="D451" s="733"/>
      <c r="E451" s="734"/>
      <c r="F451" s="727" t="s">
        <v>1469</v>
      </c>
      <c r="G451" s="735"/>
      <c r="H451" s="735"/>
      <c r="I451" s="735"/>
      <c r="J451" s="735"/>
      <c r="K451" s="735"/>
      <c r="L451" s="735"/>
      <c r="M451" s="735"/>
      <c r="N451" s="735"/>
      <c r="O451" s="735"/>
      <c r="P451" s="735"/>
      <c r="Q451" s="735"/>
      <c r="R451" s="735"/>
      <c r="S451" s="735"/>
      <c r="T451" s="735"/>
      <c r="U451" s="735"/>
      <c r="V451" s="735"/>
      <c r="W451" s="735"/>
      <c r="X451" s="735"/>
      <c r="Y451" s="735"/>
      <c r="Z451" s="735"/>
      <c r="AA451" s="735"/>
      <c r="AB451" s="735"/>
      <c r="AC451" s="735"/>
      <c r="AD451" s="735"/>
      <c r="AE451" s="737"/>
      <c r="AF451" s="583"/>
      <c r="AG451" s="737"/>
      <c r="AH451" s="727"/>
      <c r="AI451" s="727"/>
      <c r="AJ451" s="727"/>
      <c r="AK451" s="727"/>
      <c r="AL451" s="742"/>
      <c r="AM451" s="570"/>
      <c r="AN451" s="753"/>
    </row>
    <row r="452" spans="1:40" s="550" customFormat="1" ht="12.75" customHeight="1">
      <c r="A452" s="536"/>
      <c r="B452" s="14"/>
      <c r="C452" s="730"/>
      <c r="D452" s="730"/>
      <c r="E452" s="719"/>
      <c r="F452" s="721"/>
      <c r="G452" s="603"/>
      <c r="H452" s="603"/>
      <c r="I452" s="603"/>
      <c r="J452" s="603"/>
      <c r="K452" s="603"/>
      <c r="L452" s="603"/>
      <c r="M452" s="603"/>
      <c r="N452" s="603"/>
      <c r="O452" s="603"/>
      <c r="P452" s="603"/>
      <c r="Q452" s="603"/>
      <c r="R452" s="603"/>
      <c r="S452" s="603"/>
      <c r="T452" s="603"/>
      <c r="U452" s="603"/>
      <c r="V452" s="603"/>
      <c r="W452" s="603"/>
      <c r="X452" s="603"/>
      <c r="Y452" s="603"/>
      <c r="Z452" s="603"/>
      <c r="AA452" s="603"/>
      <c r="AB452" s="603"/>
      <c r="AC452" s="603"/>
      <c r="AD452" s="603"/>
      <c r="AE452" s="591"/>
      <c r="AM452" s="570"/>
      <c r="AN452" s="753"/>
    </row>
    <row r="453" spans="1:40" s="550" customFormat="1" ht="12.75" customHeight="1">
      <c r="A453" s="536"/>
      <c r="B453" s="14"/>
      <c r="C453" s="2525" t="s">
        <v>591</v>
      </c>
      <c r="D453" s="2526"/>
      <c r="E453" s="715" t="s">
        <v>1497</v>
      </c>
      <c r="F453" s="2522" t="s">
        <v>1498</v>
      </c>
      <c r="G453" s="2522"/>
      <c r="H453" s="2522"/>
      <c r="I453" s="2522"/>
      <c r="J453" s="2522"/>
      <c r="K453" s="2522"/>
      <c r="L453" s="2522"/>
      <c r="M453" s="2522"/>
      <c r="N453" s="2522"/>
      <c r="O453" s="2522"/>
      <c r="P453" s="2522"/>
      <c r="Q453" s="2522"/>
      <c r="R453" s="2522"/>
      <c r="S453" s="2522"/>
      <c r="T453" s="2522"/>
      <c r="U453" s="2522"/>
      <c r="V453" s="2522"/>
      <c r="W453" s="2522"/>
      <c r="X453" s="2522"/>
      <c r="Y453" s="2522"/>
      <c r="Z453" s="2522"/>
      <c r="AA453" s="2522"/>
      <c r="AB453" s="2522"/>
      <c r="AC453" s="2522"/>
      <c r="AD453" s="2522"/>
      <c r="AE453" s="2522"/>
      <c r="AF453" s="2543" t="s">
        <v>1462</v>
      </c>
      <c r="AG453" s="2543"/>
      <c r="AH453" s="2543"/>
      <c r="AI453" s="2543"/>
      <c r="AJ453" s="2543"/>
      <c r="AK453" s="2543"/>
      <c r="AL453" s="2544"/>
      <c r="AM453" s="570"/>
      <c r="AN453" s="753"/>
    </row>
    <row r="454" spans="1:40" s="550" customFormat="1" ht="12.75" customHeight="1">
      <c r="A454" s="536"/>
      <c r="B454" s="14"/>
      <c r="C454" s="751"/>
      <c r="D454" s="730"/>
      <c r="E454" s="719"/>
      <c r="F454" s="2523"/>
      <c r="G454" s="2523"/>
      <c r="H454" s="2523"/>
      <c r="I454" s="2523"/>
      <c r="J454" s="2523"/>
      <c r="K454" s="2523"/>
      <c r="L454" s="2523"/>
      <c r="M454" s="2523"/>
      <c r="N454" s="2523"/>
      <c r="O454" s="2523"/>
      <c r="P454" s="2523"/>
      <c r="Q454" s="2523"/>
      <c r="R454" s="2523"/>
      <c r="S454" s="2523"/>
      <c r="T454" s="2523"/>
      <c r="U454" s="2523"/>
      <c r="V454" s="2523"/>
      <c r="W454" s="2523"/>
      <c r="X454" s="2523"/>
      <c r="Y454" s="2523"/>
      <c r="Z454" s="2523"/>
      <c r="AA454" s="2523"/>
      <c r="AB454" s="2523"/>
      <c r="AC454" s="2523"/>
      <c r="AD454" s="2523"/>
      <c r="AE454" s="2523"/>
      <c r="AF454" s="591"/>
      <c r="AG454" s="591"/>
      <c r="AH454" s="591"/>
      <c r="AI454" s="591"/>
      <c r="AJ454" s="591"/>
      <c r="AK454" s="591"/>
      <c r="AL454" s="720"/>
      <c r="AM454" s="570"/>
      <c r="AN454" s="754"/>
    </row>
    <row r="455" spans="1:40" s="550" customFormat="1" ht="17.649999999999999" customHeight="1">
      <c r="A455" s="536"/>
      <c r="B455" s="14"/>
      <c r="C455" s="756"/>
      <c r="D455" s="723"/>
      <c r="E455" s="724"/>
      <c r="F455" s="2542"/>
      <c r="G455" s="2542"/>
      <c r="H455" s="2542"/>
      <c r="I455" s="2542"/>
      <c r="J455" s="2542"/>
      <c r="K455" s="2542"/>
      <c r="L455" s="2542"/>
      <c r="M455" s="2542"/>
      <c r="N455" s="2542"/>
      <c r="O455" s="2542"/>
      <c r="P455" s="2542"/>
      <c r="Q455" s="2542"/>
      <c r="R455" s="2542"/>
      <c r="S455" s="2542"/>
      <c r="T455" s="2542"/>
      <c r="U455" s="2542"/>
      <c r="V455" s="2542"/>
      <c r="W455" s="2542"/>
      <c r="X455" s="2542"/>
      <c r="Y455" s="2542"/>
      <c r="Z455" s="2542"/>
      <c r="AA455" s="2542"/>
      <c r="AB455" s="2542"/>
      <c r="AC455" s="2542"/>
      <c r="AD455" s="2542"/>
      <c r="AE455" s="2542"/>
      <c r="AF455" s="728"/>
      <c r="AG455" s="728"/>
      <c r="AH455" s="728"/>
      <c r="AI455" s="728"/>
      <c r="AJ455" s="728"/>
      <c r="AK455" s="728"/>
      <c r="AL455" s="757"/>
      <c r="AM455" s="570"/>
      <c r="AN455" s="535"/>
    </row>
    <row r="456" spans="1:40" s="550" customFormat="1" ht="12.75" customHeight="1">
      <c r="A456" s="536"/>
      <c r="B456" s="14"/>
      <c r="C456" s="730"/>
      <c r="D456" s="730"/>
      <c r="E456" s="719"/>
      <c r="F456" s="721"/>
      <c r="G456" s="603"/>
      <c r="H456" s="603"/>
      <c r="I456" s="603"/>
      <c r="J456" s="603"/>
      <c r="K456" s="603"/>
      <c r="L456" s="603"/>
      <c r="M456" s="603"/>
      <c r="N456" s="603"/>
      <c r="O456" s="603"/>
      <c r="P456" s="603"/>
      <c r="Q456" s="603"/>
      <c r="R456" s="603"/>
      <c r="S456" s="603"/>
      <c r="T456" s="603"/>
      <c r="U456" s="603"/>
      <c r="V456" s="603"/>
      <c r="W456" s="603"/>
      <c r="X456" s="603"/>
      <c r="Y456" s="603"/>
      <c r="Z456" s="603"/>
      <c r="AA456" s="603"/>
      <c r="AB456" s="603"/>
      <c r="AC456" s="603"/>
      <c r="AD456" s="603"/>
      <c r="AE456" s="591"/>
      <c r="AM456" s="570"/>
      <c r="AN456" s="535"/>
    </row>
    <row r="457" spans="1:40" s="550" customFormat="1" ht="12.75" customHeight="1">
      <c r="A457" s="536"/>
      <c r="B457" s="14"/>
      <c r="C457" s="2519" t="s">
        <v>591</v>
      </c>
      <c r="D457" s="2476"/>
      <c r="E457" s="715" t="s">
        <v>1503</v>
      </c>
      <c r="F457" s="2522" t="s">
        <v>1504</v>
      </c>
      <c r="G457" s="2522"/>
      <c r="H457" s="2522"/>
      <c r="I457" s="2522"/>
      <c r="J457" s="2522"/>
      <c r="K457" s="2522"/>
      <c r="L457" s="2522"/>
      <c r="M457" s="2522"/>
      <c r="N457" s="2522"/>
      <c r="O457" s="2522"/>
      <c r="P457" s="2522"/>
      <c r="Q457" s="2522"/>
      <c r="R457" s="2522"/>
      <c r="S457" s="2522"/>
      <c r="T457" s="2522"/>
      <c r="U457" s="2522"/>
      <c r="V457" s="2522"/>
      <c r="W457" s="2522"/>
      <c r="X457" s="2522"/>
      <c r="Y457" s="2522"/>
      <c r="Z457" s="2522"/>
      <c r="AA457" s="2522"/>
      <c r="AB457" s="2522"/>
      <c r="AC457" s="2522"/>
      <c r="AD457" s="2522"/>
      <c r="AE457" s="2522"/>
      <c r="AF457" s="2543" t="s">
        <v>1462</v>
      </c>
      <c r="AG457" s="2543"/>
      <c r="AH457" s="2543"/>
      <c r="AI457" s="2543"/>
      <c r="AJ457" s="2543"/>
      <c r="AK457" s="2543"/>
      <c r="AL457" s="2544"/>
      <c r="AM457" s="570"/>
      <c r="AN457" s="535"/>
    </row>
    <row r="458" spans="1:40" s="550" customFormat="1" ht="12.75" customHeight="1">
      <c r="A458" s="536"/>
      <c r="B458" s="14"/>
      <c r="C458" s="731"/>
      <c r="D458" s="14"/>
      <c r="E458" s="691"/>
      <c r="F458" s="2523"/>
      <c r="G458" s="2523"/>
      <c r="H458" s="2523"/>
      <c r="I458" s="2523"/>
      <c r="J458" s="2523"/>
      <c r="K458" s="2523"/>
      <c r="L458" s="2523"/>
      <c r="M458" s="2523"/>
      <c r="N458" s="2523"/>
      <c r="O458" s="2523"/>
      <c r="P458" s="2523"/>
      <c r="Q458" s="2523"/>
      <c r="R458" s="2523"/>
      <c r="S458" s="2523"/>
      <c r="T458" s="2523"/>
      <c r="U458" s="2523"/>
      <c r="V458" s="2523"/>
      <c r="W458" s="2523"/>
      <c r="X458" s="2523"/>
      <c r="Y458" s="2523"/>
      <c r="Z458" s="2523"/>
      <c r="AA458" s="2523"/>
      <c r="AB458" s="2523"/>
      <c r="AC458" s="2523"/>
      <c r="AD458" s="2523"/>
      <c r="AE458" s="2523"/>
      <c r="AF458" s="539"/>
      <c r="AG458" s="536"/>
      <c r="AL458" s="732"/>
      <c r="AM458" s="570"/>
      <c r="AN458" s="535"/>
    </row>
    <row r="459" spans="1:40" s="550" customFormat="1" ht="12.75" customHeight="1">
      <c r="A459" s="536"/>
      <c r="B459" s="14"/>
      <c r="C459" s="731"/>
      <c r="D459" s="14"/>
      <c r="E459" s="691"/>
      <c r="F459" s="2523"/>
      <c r="G459" s="2523"/>
      <c r="H459" s="2523"/>
      <c r="I459" s="2523"/>
      <c r="J459" s="2523"/>
      <c r="K459" s="2523"/>
      <c r="L459" s="2523"/>
      <c r="M459" s="2523"/>
      <c r="N459" s="2523"/>
      <c r="O459" s="2523"/>
      <c r="P459" s="2523"/>
      <c r="Q459" s="2523"/>
      <c r="R459" s="2523"/>
      <c r="S459" s="2523"/>
      <c r="T459" s="2523"/>
      <c r="U459" s="2523"/>
      <c r="V459" s="2523"/>
      <c r="W459" s="2523"/>
      <c r="X459" s="2523"/>
      <c r="Y459" s="2523"/>
      <c r="Z459" s="2523"/>
      <c r="AA459" s="2523"/>
      <c r="AB459" s="2523"/>
      <c r="AC459" s="2523"/>
      <c r="AD459" s="2523"/>
      <c r="AE459" s="2523"/>
      <c r="AF459" s="539"/>
      <c r="AG459" s="536"/>
      <c r="AL459" s="732"/>
      <c r="AM459" s="570"/>
      <c r="AN459" s="535"/>
    </row>
    <row r="460" spans="1:40" s="550" customFormat="1" ht="12.75" customHeight="1">
      <c r="A460" s="536"/>
      <c r="B460" s="14"/>
      <c r="C460" s="756"/>
      <c r="D460" s="723"/>
      <c r="E460" s="724"/>
      <c r="F460" s="2542"/>
      <c r="G460" s="2542"/>
      <c r="H460" s="2542"/>
      <c r="I460" s="2542"/>
      <c r="J460" s="2542"/>
      <c r="K460" s="2542"/>
      <c r="L460" s="2542"/>
      <c r="M460" s="2542"/>
      <c r="N460" s="2542"/>
      <c r="O460" s="2542"/>
      <c r="P460" s="2542"/>
      <c r="Q460" s="2542"/>
      <c r="R460" s="2542"/>
      <c r="S460" s="2542"/>
      <c r="T460" s="2542"/>
      <c r="U460" s="2542"/>
      <c r="V460" s="2542"/>
      <c r="W460" s="2542"/>
      <c r="X460" s="2542"/>
      <c r="Y460" s="2542"/>
      <c r="Z460" s="2542"/>
      <c r="AA460" s="2542"/>
      <c r="AB460" s="2542"/>
      <c r="AC460" s="2542"/>
      <c r="AD460" s="2542"/>
      <c r="AE460" s="2542"/>
      <c r="AF460" s="728"/>
      <c r="AG460" s="728"/>
      <c r="AH460" s="728"/>
      <c r="AI460" s="728"/>
      <c r="AJ460" s="728"/>
      <c r="AK460" s="728"/>
      <c r="AL460" s="757"/>
      <c r="AM460" s="570"/>
      <c r="AN460" s="597"/>
    </row>
    <row r="461" spans="1:40" s="550" customFormat="1" ht="12.75" customHeight="1">
      <c r="A461" s="536"/>
      <c r="B461" s="14"/>
      <c r="G461" s="603"/>
      <c r="H461" s="603"/>
      <c r="I461" s="603"/>
      <c r="J461" s="603"/>
      <c r="K461" s="603"/>
      <c r="L461" s="603"/>
      <c r="M461" s="603"/>
      <c r="N461" s="603"/>
      <c r="O461" s="603"/>
      <c r="P461" s="603"/>
      <c r="Q461" s="603"/>
      <c r="R461" s="603"/>
      <c r="S461" s="603"/>
      <c r="T461" s="603"/>
      <c r="U461" s="603"/>
      <c r="V461" s="603"/>
      <c r="W461" s="603"/>
      <c r="X461" s="603"/>
      <c r="Y461" s="603"/>
      <c r="Z461" s="603"/>
      <c r="AA461" s="603"/>
      <c r="AB461" s="603"/>
      <c r="AC461" s="603"/>
      <c r="AD461" s="603"/>
      <c r="AM461" s="570"/>
      <c r="AN461" s="597"/>
    </row>
    <row r="462" spans="1:40" s="550" customFormat="1" ht="12.75" customHeight="1">
      <c r="A462" s="536"/>
      <c r="B462" s="14"/>
      <c r="C462" s="713"/>
      <c r="D462" s="714"/>
      <c r="E462" s="715" t="s">
        <v>1506</v>
      </c>
      <c r="F462" s="2522" t="s">
        <v>1507</v>
      </c>
      <c r="G462" s="2522"/>
      <c r="H462" s="2522"/>
      <c r="I462" s="2522"/>
      <c r="J462" s="2522"/>
      <c r="K462" s="2522"/>
      <c r="L462" s="2522"/>
      <c r="M462" s="2522"/>
      <c r="N462" s="2522"/>
      <c r="O462" s="2522"/>
      <c r="P462" s="2522"/>
      <c r="Q462" s="2522"/>
      <c r="R462" s="2522"/>
      <c r="S462" s="2522"/>
      <c r="T462" s="2522"/>
      <c r="U462" s="2522"/>
      <c r="V462" s="2522"/>
      <c r="W462" s="2522"/>
      <c r="X462" s="2522"/>
      <c r="Y462" s="2522"/>
      <c r="Z462" s="2522"/>
      <c r="AA462" s="2522"/>
      <c r="AB462" s="2522"/>
      <c r="AC462" s="2522"/>
      <c r="AD462" s="2522"/>
      <c r="AE462" s="2522"/>
      <c r="AF462" s="2522"/>
      <c r="AG462" s="744"/>
      <c r="AH462" s="714"/>
      <c r="AI462" s="714"/>
      <c r="AJ462" s="714"/>
      <c r="AK462" s="714"/>
      <c r="AL462" s="745"/>
      <c r="AM462" s="570"/>
      <c r="AN462" s="597"/>
    </row>
    <row r="463" spans="1:40" s="550" customFormat="1" ht="12.75" customHeight="1">
      <c r="A463" s="536"/>
      <c r="B463" s="14"/>
      <c r="C463" s="731"/>
      <c r="D463" s="14"/>
      <c r="E463" s="691"/>
      <c r="F463" s="2523"/>
      <c r="G463" s="2523"/>
      <c r="H463" s="2523"/>
      <c r="I463" s="2523"/>
      <c r="J463" s="2523"/>
      <c r="K463" s="2523"/>
      <c r="L463" s="2523"/>
      <c r="M463" s="2523"/>
      <c r="N463" s="2523"/>
      <c r="O463" s="2523"/>
      <c r="P463" s="2523"/>
      <c r="Q463" s="2523"/>
      <c r="R463" s="2523"/>
      <c r="S463" s="2523"/>
      <c r="T463" s="2523"/>
      <c r="U463" s="2523"/>
      <c r="V463" s="2523"/>
      <c r="W463" s="2523"/>
      <c r="X463" s="2523"/>
      <c r="Y463" s="2523"/>
      <c r="Z463" s="2523"/>
      <c r="AA463" s="2523"/>
      <c r="AB463" s="2523"/>
      <c r="AC463" s="2523"/>
      <c r="AD463" s="2523"/>
      <c r="AE463" s="2523"/>
      <c r="AF463" s="2523"/>
      <c r="AL463" s="732"/>
      <c r="AM463" s="570"/>
      <c r="AN463" s="597"/>
    </row>
    <row r="464" spans="1:40" s="550" customFormat="1" ht="12.75" customHeight="1">
      <c r="A464" s="536"/>
      <c r="B464" s="14"/>
      <c r="C464" s="739"/>
      <c r="F464" s="2523"/>
      <c r="G464" s="2523"/>
      <c r="H464" s="2523"/>
      <c r="I464" s="2523"/>
      <c r="J464" s="2523"/>
      <c r="K464" s="2523"/>
      <c r="L464" s="2523"/>
      <c r="M464" s="2523"/>
      <c r="N464" s="2523"/>
      <c r="O464" s="2523"/>
      <c r="P464" s="2523"/>
      <c r="Q464" s="2523"/>
      <c r="R464" s="2523"/>
      <c r="S464" s="2523"/>
      <c r="T464" s="2523"/>
      <c r="U464" s="2523"/>
      <c r="V464" s="2523"/>
      <c r="W464" s="2523"/>
      <c r="X464" s="2523"/>
      <c r="Y464" s="2523"/>
      <c r="Z464" s="2523"/>
      <c r="AA464" s="2523"/>
      <c r="AB464" s="2523"/>
      <c r="AC464" s="2523"/>
      <c r="AD464" s="2523"/>
      <c r="AE464" s="2523"/>
      <c r="AF464" s="2523"/>
      <c r="AL464" s="732"/>
      <c r="AM464" s="570"/>
      <c r="AN464" s="597"/>
    </row>
    <row r="465" spans="1:58" s="550" customFormat="1" ht="12.75" customHeight="1">
      <c r="A465" s="536"/>
      <c r="B465" s="14"/>
      <c r="C465" s="739"/>
      <c r="F465" s="2523"/>
      <c r="G465" s="2523"/>
      <c r="H465" s="2523"/>
      <c r="I465" s="2523"/>
      <c r="J465" s="2523"/>
      <c r="K465" s="2523"/>
      <c r="L465" s="2523"/>
      <c r="M465" s="2523"/>
      <c r="N465" s="2523"/>
      <c r="O465" s="2523"/>
      <c r="P465" s="2523"/>
      <c r="Q465" s="2523"/>
      <c r="R465" s="2523"/>
      <c r="S465" s="2523"/>
      <c r="T465" s="2523"/>
      <c r="U465" s="2523"/>
      <c r="V465" s="2523"/>
      <c r="W465" s="2523"/>
      <c r="X465" s="2523"/>
      <c r="Y465" s="2523"/>
      <c r="Z465" s="2523"/>
      <c r="AA465" s="2523"/>
      <c r="AB465" s="2523"/>
      <c r="AC465" s="2523"/>
      <c r="AD465" s="2523"/>
      <c r="AE465" s="2523"/>
      <c r="AF465" s="2523"/>
      <c r="AL465" s="732"/>
      <c r="AM465" s="570"/>
      <c r="AN465" s="597"/>
    </row>
    <row r="466" spans="1:58" s="550" customFormat="1" ht="12.75" customHeight="1">
      <c r="A466" s="536"/>
      <c r="B466" s="14"/>
      <c r="C466" s="2519" t="s">
        <v>591</v>
      </c>
      <c r="D466" s="2476"/>
      <c r="E466" s="719"/>
      <c r="F466" s="721" t="s">
        <v>1479</v>
      </c>
      <c r="G466" s="603"/>
      <c r="H466" s="603"/>
      <c r="I466" s="603"/>
      <c r="J466" s="603"/>
      <c r="K466" s="603"/>
      <c r="L466" s="603"/>
      <c r="M466" s="603"/>
      <c r="N466" s="603"/>
      <c r="O466" s="603"/>
      <c r="P466" s="603"/>
      <c r="Q466" s="603"/>
      <c r="R466" s="603"/>
      <c r="S466" s="603"/>
      <c r="T466" s="603"/>
      <c r="U466" s="603"/>
      <c r="V466" s="603"/>
      <c r="W466" s="603"/>
      <c r="X466" s="603"/>
      <c r="Y466" s="603"/>
      <c r="Z466" s="603"/>
      <c r="AA466" s="603"/>
      <c r="AB466" s="603"/>
      <c r="AC466" s="603"/>
      <c r="AD466" s="603"/>
      <c r="AF466" s="2520" t="s">
        <v>1462</v>
      </c>
      <c r="AG466" s="2520"/>
      <c r="AH466" s="2520"/>
      <c r="AI466" s="2520"/>
      <c r="AJ466" s="2520"/>
      <c r="AK466" s="2520"/>
      <c r="AL466" s="2521"/>
      <c r="AM466" s="570"/>
      <c r="AN466" s="597"/>
    </row>
    <row r="467" spans="1:58" s="550" customFormat="1" ht="12.75" customHeight="1">
      <c r="A467" s="536"/>
      <c r="B467" s="14"/>
      <c r="C467" s="740"/>
      <c r="D467" s="733"/>
      <c r="E467" s="734"/>
      <c r="F467" s="727"/>
      <c r="G467" s="727"/>
      <c r="H467" s="727"/>
      <c r="I467" s="727"/>
      <c r="J467" s="727"/>
      <c r="K467" s="727"/>
      <c r="L467" s="727"/>
      <c r="M467" s="727"/>
      <c r="N467" s="727"/>
      <c r="O467" s="727"/>
      <c r="P467" s="727"/>
      <c r="Q467" s="727"/>
      <c r="R467" s="727"/>
      <c r="S467" s="727"/>
      <c r="T467" s="727"/>
      <c r="U467" s="727"/>
      <c r="V467" s="727"/>
      <c r="W467" s="727"/>
      <c r="X467" s="727"/>
      <c r="Y467" s="727"/>
      <c r="Z467" s="727"/>
      <c r="AA467" s="727"/>
      <c r="AB467" s="727"/>
      <c r="AC467" s="727"/>
      <c r="AD467" s="727"/>
      <c r="AE467" s="727"/>
      <c r="AF467" s="727"/>
      <c r="AG467" s="727"/>
      <c r="AH467" s="727"/>
      <c r="AI467" s="727"/>
      <c r="AJ467" s="727"/>
      <c r="AK467" s="727"/>
      <c r="AL467" s="742"/>
      <c r="AN467" s="597"/>
    </row>
    <row r="468" spans="1:58" s="550" customFormat="1" ht="12.75" customHeight="1">
      <c r="A468" s="536"/>
      <c r="B468" s="14"/>
      <c r="C468" s="1016"/>
      <c r="D468" s="570"/>
      <c r="F468" s="721"/>
      <c r="G468" s="603"/>
      <c r="H468" s="603"/>
      <c r="I468" s="603"/>
      <c r="J468" s="603"/>
      <c r="K468" s="603"/>
      <c r="L468" s="603"/>
      <c r="M468" s="603"/>
      <c r="N468" s="603"/>
      <c r="O468" s="603"/>
      <c r="P468" s="603"/>
      <c r="Q468" s="603"/>
      <c r="R468" s="603"/>
      <c r="S468" s="603"/>
      <c r="T468" s="603"/>
      <c r="U468" s="603"/>
      <c r="V468" s="603"/>
      <c r="W468" s="603"/>
      <c r="X468" s="603"/>
      <c r="Y468" s="603"/>
      <c r="Z468" s="603"/>
      <c r="AA468" s="603"/>
      <c r="AB468" s="603"/>
      <c r="AC468" s="603"/>
      <c r="AD468" s="603"/>
      <c r="AF468" s="613"/>
      <c r="AG468" s="613"/>
      <c r="AH468" s="613"/>
      <c r="AI468" s="613"/>
      <c r="AJ468" s="613"/>
      <c r="AK468" s="613"/>
      <c r="AL468" s="613"/>
      <c r="AN468" s="597"/>
    </row>
    <row r="469" spans="1:58" s="550" customFormat="1" ht="12.75" customHeight="1">
      <c r="A469" s="600"/>
      <c r="B469" s="857" t="s">
        <v>1508</v>
      </c>
      <c r="D469" s="677"/>
      <c r="E469" s="601"/>
      <c r="F469" s="601"/>
      <c r="G469" s="601"/>
      <c r="H469" s="601"/>
      <c r="I469" s="601"/>
      <c r="J469" s="601"/>
      <c r="K469" s="601"/>
      <c r="L469" s="601"/>
      <c r="M469" s="601"/>
      <c r="N469" s="601"/>
      <c r="O469" s="601"/>
      <c r="P469" s="601"/>
      <c r="Q469" s="601"/>
      <c r="R469" s="601"/>
      <c r="S469" s="601"/>
      <c r="T469" s="601"/>
      <c r="U469" s="601"/>
      <c r="V469" s="601"/>
      <c r="W469" s="601"/>
      <c r="X469" s="601"/>
      <c r="Y469" s="601"/>
      <c r="Z469" s="601"/>
      <c r="AA469" s="601"/>
      <c r="AB469" s="601"/>
      <c r="AC469" s="601"/>
      <c r="AD469" s="601"/>
      <c r="AE469" s="564"/>
      <c r="AF469" s="564"/>
      <c r="AG469" s="564"/>
      <c r="AH469" s="564"/>
      <c r="AI469" s="565"/>
      <c r="AJ469" s="565" t="s">
        <v>1509</v>
      </c>
      <c r="AK469" s="2479">
        <f>IF(Application!D214="N/A",AS358,AS360)</f>
        <v>10</v>
      </c>
      <c r="AL469" s="2480"/>
      <c r="AM469" s="2481"/>
      <c r="AN469" s="597"/>
    </row>
    <row r="470" spans="1:58" s="550" customFormat="1" ht="12.75" customHeight="1" thickBot="1">
      <c r="A470" s="759"/>
      <c r="B470" s="759"/>
      <c r="C470" s="759"/>
      <c r="D470" s="759"/>
      <c r="E470" s="759"/>
      <c r="F470" s="759"/>
      <c r="G470" s="759"/>
      <c r="H470" s="759"/>
      <c r="I470" s="759"/>
      <c r="J470" s="759"/>
      <c r="K470" s="759"/>
      <c r="L470" s="759"/>
      <c r="M470" s="759"/>
      <c r="N470" s="759"/>
      <c r="O470" s="759"/>
      <c r="P470" s="759"/>
      <c r="Q470" s="759"/>
      <c r="R470" s="759"/>
      <c r="S470" s="759"/>
      <c r="T470" s="759"/>
      <c r="U470" s="759"/>
      <c r="V470" s="759"/>
      <c r="W470" s="759"/>
      <c r="X470" s="759"/>
      <c r="Y470" s="759"/>
      <c r="Z470" s="759"/>
      <c r="AA470" s="759"/>
      <c r="AB470" s="759"/>
      <c r="AC470" s="759"/>
      <c r="AD470" s="759"/>
      <c r="AE470" s="759"/>
      <c r="AF470" s="759"/>
      <c r="AG470" s="759"/>
      <c r="AH470" s="759"/>
      <c r="AI470" s="759"/>
      <c r="AJ470" s="759"/>
      <c r="AK470" s="759"/>
      <c r="AL470" s="759"/>
      <c r="AM470" s="760"/>
      <c r="AN470" s="597"/>
    </row>
    <row r="471" spans="1:58" s="550" customFormat="1" ht="12.75" hidden="1" customHeight="1" thickTop="1">
      <c r="A471" s="86"/>
      <c r="B471" s="571"/>
      <c r="C471" s="572"/>
      <c r="D471" s="572"/>
      <c r="E471" s="572"/>
      <c r="F471" s="572"/>
      <c r="G471" s="572"/>
      <c r="H471" s="572"/>
      <c r="I471" s="573"/>
      <c r="J471" s="573"/>
      <c r="K471" s="573"/>
      <c r="L471" s="573"/>
      <c r="M471" s="573"/>
      <c r="N471" s="573"/>
      <c r="O471" s="573"/>
      <c r="P471" s="573"/>
      <c r="Q471" s="573"/>
      <c r="R471" s="570"/>
      <c r="S471" s="539"/>
      <c r="T471" s="539"/>
      <c r="U471" s="539"/>
      <c r="V471" s="539"/>
      <c r="W471" s="539"/>
      <c r="X471" s="539"/>
      <c r="Y471" s="539"/>
      <c r="Z471" s="539"/>
      <c r="AA471" s="539"/>
      <c r="AB471" s="539"/>
      <c r="AC471" s="539"/>
      <c r="AD471" s="539"/>
      <c r="AE471" s="539"/>
      <c r="AF471" s="570"/>
      <c r="AG471" s="539"/>
      <c r="AH471" s="539"/>
      <c r="AI471" s="539"/>
      <c r="AJ471" s="539"/>
      <c r="AM471" s="14"/>
      <c r="AN471" s="597"/>
      <c r="AO471" s="550" t="s">
        <v>591</v>
      </c>
      <c r="AP471" s="550">
        <v>0</v>
      </c>
      <c r="AT471" s="550" t="s">
        <v>591</v>
      </c>
      <c r="AU471" s="550">
        <v>0</v>
      </c>
      <c r="AV471" s="752"/>
    </row>
    <row r="472" spans="1:58" s="550" customFormat="1" ht="12.75" hidden="1" customHeight="1">
      <c r="A472" s="539" t="s">
        <v>1510</v>
      </c>
      <c r="C472" s="539"/>
      <c r="E472" s="596"/>
      <c r="AE472" s="2520" t="s">
        <v>1511</v>
      </c>
      <c r="AF472" s="2520"/>
      <c r="AG472" s="2520"/>
      <c r="AH472" s="2520"/>
      <c r="AI472" s="2520"/>
      <c r="AJ472" s="2520"/>
      <c r="AK472" s="2520"/>
      <c r="AL472" s="591"/>
      <c r="AN472" s="597"/>
      <c r="AO472" s="550" t="s">
        <v>1489</v>
      </c>
      <c r="AP472" s="550">
        <v>5</v>
      </c>
      <c r="AT472" s="550" t="s">
        <v>1489</v>
      </c>
      <c r="AU472" s="550">
        <v>5</v>
      </c>
      <c r="AV472" s="752"/>
    </row>
    <row r="473" spans="1:58" s="550" customFormat="1" ht="12.75" hidden="1" customHeight="1">
      <c r="A473" s="539"/>
      <c r="B473" s="536" t="s">
        <v>1512</v>
      </c>
      <c r="C473" s="539"/>
      <c r="E473" s="596"/>
      <c r="AE473" s="591"/>
      <c r="AF473" s="591"/>
      <c r="AG473" s="591"/>
      <c r="AH473" s="591"/>
      <c r="AI473" s="591"/>
      <c r="AJ473" s="591"/>
      <c r="AK473" s="591"/>
      <c r="AL473" s="591"/>
      <c r="AN473" s="597"/>
      <c r="AO473" s="550" t="s">
        <v>1513</v>
      </c>
      <c r="AP473" s="550">
        <v>5</v>
      </c>
      <c r="AT473" s="550" t="s">
        <v>1490</v>
      </c>
      <c r="AU473" s="550">
        <v>5</v>
      </c>
      <c r="AV473" s="752"/>
    </row>
    <row r="474" spans="1:58" s="550" customFormat="1" ht="12.75" hidden="1" customHeight="1">
      <c r="A474" s="539"/>
      <c r="B474" s="539" t="s">
        <v>1514</v>
      </c>
      <c r="C474" s="539"/>
      <c r="E474" s="596"/>
      <c r="AE474" s="591"/>
      <c r="AF474" s="591"/>
      <c r="AG474" s="591"/>
      <c r="AH474" s="591"/>
      <c r="AI474" s="591"/>
      <c r="AJ474" s="591"/>
      <c r="AK474" s="591"/>
      <c r="AL474" s="591"/>
      <c r="AN474" s="597"/>
      <c r="AO474" s="550" t="s">
        <v>1491</v>
      </c>
      <c r="AP474" s="550">
        <v>5</v>
      </c>
      <c r="AQ474" s="539"/>
      <c r="AR474" s="539"/>
      <c r="AS474" s="755"/>
      <c r="AT474" s="550" t="s">
        <v>1491</v>
      </c>
      <c r="AU474" s="550">
        <v>5</v>
      </c>
      <c r="AV474" s="536"/>
    </row>
    <row r="475" spans="1:58" s="550" customFormat="1" ht="12.75" hidden="1" customHeight="1">
      <c r="A475" s="539"/>
      <c r="B475" s="539" t="s">
        <v>1515</v>
      </c>
      <c r="C475" s="539"/>
      <c r="E475" s="596"/>
      <c r="AE475" s="591"/>
      <c r="AF475" s="591"/>
      <c r="AG475" s="591"/>
      <c r="AH475" s="591"/>
      <c r="AI475" s="591"/>
      <c r="AJ475" s="591"/>
      <c r="AK475" s="591"/>
      <c r="AL475" s="591"/>
      <c r="AN475" s="597"/>
      <c r="AO475" s="550" t="s">
        <v>1493</v>
      </c>
      <c r="AP475" s="550">
        <v>5</v>
      </c>
      <c r="AQ475" s="539"/>
      <c r="AR475" s="539"/>
      <c r="AT475" s="550" t="s">
        <v>1493</v>
      </c>
      <c r="AU475" s="550">
        <v>5</v>
      </c>
    </row>
    <row r="476" spans="1:58" s="550" customFormat="1" ht="12.75" hidden="1" customHeight="1">
      <c r="A476" s="539"/>
      <c r="C476" s="539"/>
      <c r="E476" s="596"/>
      <c r="AE476" s="591"/>
      <c r="AF476" s="591"/>
      <c r="AG476" s="591"/>
      <c r="AH476" s="591"/>
      <c r="AI476" s="591"/>
      <c r="AJ476" s="591"/>
      <c r="AK476" s="591"/>
      <c r="AL476" s="591"/>
      <c r="AN476" s="597"/>
      <c r="AO476" s="550" t="s">
        <v>1494</v>
      </c>
      <c r="AP476" s="550">
        <v>5</v>
      </c>
      <c r="AQ476" s="539"/>
      <c r="AR476" s="539"/>
      <c r="AT476" s="550" t="s">
        <v>1494</v>
      </c>
      <c r="AU476" s="550">
        <v>5</v>
      </c>
    </row>
    <row r="477" spans="1:58" s="550" customFormat="1" ht="12.75" hidden="1" customHeight="1">
      <c r="A477" s="539"/>
      <c r="C477" s="712" t="s">
        <v>1516</v>
      </c>
      <c r="D477" s="570"/>
      <c r="AE477" s="591"/>
      <c r="AF477" s="591"/>
      <c r="AG477" s="596"/>
      <c r="AH477" s="596"/>
      <c r="AI477" s="596"/>
      <c r="AJ477" s="596"/>
      <c r="AK477" s="596"/>
      <c r="AL477" s="596"/>
      <c r="AN477" s="597"/>
      <c r="AO477" s="550" t="s">
        <v>1495</v>
      </c>
      <c r="AP477" s="550">
        <v>5</v>
      </c>
      <c r="AT477" s="550" t="s">
        <v>1495</v>
      </c>
      <c r="AU477" s="550">
        <v>5</v>
      </c>
    </row>
    <row r="478" spans="1:58" s="550" customFormat="1" ht="12.75" hidden="1" customHeight="1">
      <c r="A478" s="539"/>
      <c r="C478" s="2545" t="s">
        <v>591</v>
      </c>
      <c r="D478" s="2546"/>
      <c r="E478" s="761" t="s">
        <v>507</v>
      </c>
      <c r="F478" s="2547" t="s">
        <v>1517</v>
      </c>
      <c r="G478" s="2547"/>
      <c r="H478" s="2547"/>
      <c r="I478" s="2547"/>
      <c r="J478" s="2547"/>
      <c r="K478" s="2547"/>
      <c r="L478" s="2547"/>
      <c r="M478" s="2547"/>
      <c r="N478" s="2547"/>
      <c r="O478" s="2547"/>
      <c r="P478" s="2547"/>
      <c r="Q478" s="2547"/>
      <c r="R478" s="2547"/>
      <c r="S478" s="2547"/>
      <c r="T478" s="2547"/>
      <c r="U478" s="2547"/>
      <c r="V478" s="2547"/>
      <c r="W478" s="2547"/>
      <c r="X478" s="2547"/>
      <c r="Y478" s="2547"/>
      <c r="Z478" s="2547"/>
      <c r="AA478" s="2547"/>
      <c r="AB478" s="2547"/>
      <c r="AC478" s="2547"/>
      <c r="AD478" s="2547"/>
      <c r="AE478" s="2547"/>
      <c r="AF478" s="714"/>
      <c r="AG478" s="714"/>
      <c r="AH478" s="714"/>
      <c r="AI478" s="714"/>
      <c r="AJ478" s="714"/>
      <c r="AK478" s="745"/>
      <c r="AN478" s="597"/>
      <c r="AO478" s="550" t="s">
        <v>1518</v>
      </c>
      <c r="AP478" s="550">
        <v>5</v>
      </c>
      <c r="AS478" s="758"/>
      <c r="AT478" s="550" t="s">
        <v>1496</v>
      </c>
      <c r="AU478" s="550">
        <v>5</v>
      </c>
    </row>
    <row r="479" spans="1:58" s="550" customFormat="1" ht="12.75" hidden="1" customHeight="1">
      <c r="C479" s="762"/>
      <c r="E479" s="763"/>
      <c r="F479" s="2548"/>
      <c r="G479" s="2548"/>
      <c r="H479" s="2548"/>
      <c r="I479" s="2548"/>
      <c r="J479" s="2548"/>
      <c r="K479" s="2548"/>
      <c r="L479" s="2548"/>
      <c r="M479" s="2548"/>
      <c r="N479" s="2548"/>
      <c r="O479" s="2548"/>
      <c r="P479" s="2548"/>
      <c r="Q479" s="2548"/>
      <c r="R479" s="2548"/>
      <c r="S479" s="2548"/>
      <c r="T479" s="2548"/>
      <c r="U479" s="2548"/>
      <c r="V479" s="2548"/>
      <c r="W479" s="2548"/>
      <c r="X479" s="2548"/>
      <c r="Y479" s="2548"/>
      <c r="Z479" s="2548"/>
      <c r="AA479" s="2548"/>
      <c r="AB479" s="2548"/>
      <c r="AC479" s="2548"/>
      <c r="AD479" s="2548"/>
      <c r="AE479" s="2548"/>
      <c r="AG479" s="551"/>
      <c r="AH479" s="551"/>
      <c r="AI479" s="551"/>
      <c r="AJ479" s="551"/>
      <c r="AK479" s="732"/>
      <c r="AN479" s="597"/>
      <c r="AO479" s="550" t="s">
        <v>1499</v>
      </c>
      <c r="AP479" s="550">
        <v>1</v>
      </c>
      <c r="AT479" s="550" t="s">
        <v>1499</v>
      </c>
      <c r="AU479" s="550">
        <v>1</v>
      </c>
    </row>
    <row r="480" spans="1:58" s="550" customFormat="1" ht="12.75" hidden="1" customHeight="1">
      <c r="C480" s="764"/>
      <c r="D480" s="727"/>
      <c r="E480" s="765"/>
      <c r="F480" s="2621" t="s">
        <v>591</v>
      </c>
      <c r="G480" s="2621"/>
      <c r="H480" s="2621"/>
      <c r="I480" s="2621"/>
      <c r="J480" s="2621"/>
      <c r="K480" s="2621"/>
      <c r="L480" s="2621"/>
      <c r="M480" s="2621"/>
      <c r="N480" s="2621"/>
      <c r="O480" s="2621"/>
      <c r="P480" s="2621"/>
      <c r="Q480" s="2621"/>
      <c r="R480" s="2621"/>
      <c r="S480" s="2621"/>
      <c r="T480" s="2621"/>
      <c r="U480" s="2621"/>
      <c r="V480" s="2621"/>
      <c r="W480" s="2621"/>
      <c r="X480" s="2621"/>
      <c r="Y480" s="2621"/>
      <c r="Z480" s="2621"/>
      <c r="AA480" s="766"/>
      <c r="AB480" s="658"/>
      <c r="AC480" s="658"/>
      <c r="AD480" s="727"/>
      <c r="AE480" s="727"/>
      <c r="AF480" s="727"/>
      <c r="AG480" s="767">
        <f>IF($C$478="Yes",(VLOOKUP($F$480,$AT$471:$AU$479,2,FALSE)),0)</f>
        <v>0</v>
      </c>
      <c r="AH480" s="768" t="s">
        <v>1328</v>
      </c>
      <c r="AI480" s="767"/>
      <c r="AJ480" s="767"/>
      <c r="AK480" s="742"/>
      <c r="AN480" s="597"/>
      <c r="AS480" s="755"/>
      <c r="AX480" s="755"/>
      <c r="BB480" s="755" t="s">
        <v>1500</v>
      </c>
      <c r="BF480" s="755" t="s">
        <v>1501</v>
      </c>
    </row>
    <row r="481" spans="1:81" s="550" customFormat="1" ht="12.75" hidden="1" customHeight="1">
      <c r="C481" s="551"/>
      <c r="E481" s="763"/>
      <c r="F481" s="593"/>
      <c r="G481" s="593"/>
      <c r="H481" s="593"/>
      <c r="I481" s="593"/>
      <c r="J481" s="593"/>
      <c r="K481" s="593"/>
      <c r="L481" s="593"/>
      <c r="M481" s="593"/>
      <c r="N481" s="593"/>
      <c r="O481" s="593"/>
      <c r="P481" s="593"/>
      <c r="Q481" s="593"/>
      <c r="R481" s="593"/>
      <c r="S481" s="593"/>
      <c r="T481" s="593"/>
      <c r="U481" s="593"/>
      <c r="V481" s="593"/>
      <c r="W481" s="593"/>
      <c r="X481" s="593"/>
      <c r="Y481" s="593"/>
      <c r="Z481" s="593"/>
      <c r="AA481" s="570"/>
      <c r="AB481" s="551"/>
      <c r="AC481" s="551"/>
      <c r="AG481" s="551"/>
      <c r="AH481" s="551"/>
      <c r="AI481" s="551"/>
      <c r="AJ481" s="551"/>
      <c r="AN481" s="597"/>
      <c r="AO481" s="550" t="s">
        <v>591</v>
      </c>
      <c r="AP481" s="637">
        <v>0</v>
      </c>
      <c r="AT481" s="550" t="s">
        <v>591</v>
      </c>
      <c r="AU481" s="637">
        <v>0</v>
      </c>
      <c r="AW481" s="550" t="s">
        <v>591</v>
      </c>
      <c r="AX481" s="637">
        <v>0</v>
      </c>
      <c r="AY481" s="593"/>
      <c r="BB481" s="550" t="s">
        <v>591</v>
      </c>
      <c r="BC481" s="593">
        <v>0</v>
      </c>
      <c r="BF481" s="550" t="s">
        <v>591</v>
      </c>
      <c r="BG481" s="593">
        <v>0</v>
      </c>
    </row>
    <row r="482" spans="1:81" s="550" customFormat="1" ht="12.75" hidden="1" customHeight="1">
      <c r="C482" s="2622" t="s">
        <v>545</v>
      </c>
      <c r="D482" s="2623"/>
      <c r="E482" s="761" t="s">
        <v>757</v>
      </c>
      <c r="F482" s="769" t="s">
        <v>1519</v>
      </c>
      <c r="G482" s="649"/>
      <c r="H482" s="649"/>
      <c r="I482" s="649"/>
      <c r="J482" s="649"/>
      <c r="K482" s="649"/>
      <c r="L482" s="649"/>
      <c r="M482" s="649"/>
      <c r="N482" s="649"/>
      <c r="O482" s="649"/>
      <c r="P482" s="649"/>
      <c r="Q482" s="649"/>
      <c r="R482" s="649"/>
      <c r="S482" s="649"/>
      <c r="T482" s="649"/>
      <c r="U482" s="649"/>
      <c r="V482" s="649"/>
      <c r="W482" s="649"/>
      <c r="X482" s="649"/>
      <c r="Y482" s="649"/>
      <c r="Z482" s="649"/>
      <c r="AA482" s="649"/>
      <c r="AB482" s="649"/>
      <c r="AC482" s="649"/>
      <c r="AD482" s="714"/>
      <c r="AE482" s="714"/>
      <c r="AF482" s="714"/>
      <c r="AG482" s="649"/>
      <c r="AH482" s="649"/>
      <c r="AI482" s="649"/>
      <c r="AJ482" s="649"/>
      <c r="AK482" s="745"/>
      <c r="AN482" s="597"/>
      <c r="AO482" s="758">
        <v>0.15</v>
      </c>
      <c r="AP482" s="637">
        <v>3</v>
      </c>
      <c r="AT482" s="758">
        <v>7.0000000000000007E-2</v>
      </c>
      <c r="AU482" s="637">
        <v>3</v>
      </c>
      <c r="AW482" s="550" t="s">
        <v>1502</v>
      </c>
      <c r="AX482" s="637">
        <v>3</v>
      </c>
      <c r="AY482" s="593"/>
      <c r="BB482" s="758">
        <v>0.4</v>
      </c>
      <c r="BC482" s="593">
        <v>3</v>
      </c>
      <c r="BF482" s="758">
        <v>0.4</v>
      </c>
      <c r="BG482" s="593">
        <v>4</v>
      </c>
    </row>
    <row r="483" spans="1:81" s="550" customFormat="1" ht="12.75" hidden="1" customHeight="1">
      <c r="C483" s="770" t="s">
        <v>1520</v>
      </c>
      <c r="F483" s="771" t="s">
        <v>1521</v>
      </c>
      <c r="G483" s="551"/>
      <c r="H483" s="551"/>
      <c r="I483" s="551"/>
      <c r="J483" s="551"/>
      <c r="K483" s="551"/>
      <c r="L483" s="551"/>
      <c r="M483" s="551"/>
      <c r="N483" s="551"/>
      <c r="O483" s="551"/>
      <c r="P483" s="551"/>
      <c r="Q483" s="551"/>
      <c r="R483" s="551"/>
      <c r="S483" s="551"/>
      <c r="T483" s="551"/>
      <c r="U483" s="551"/>
      <c r="V483" s="551"/>
      <c r="W483" s="551"/>
      <c r="X483" s="551"/>
      <c r="Y483" s="551"/>
      <c r="Z483" s="551"/>
      <c r="AA483" s="551"/>
      <c r="AB483" s="551"/>
      <c r="AC483" s="591"/>
      <c r="AG483" s="613"/>
      <c r="AH483" s="613"/>
      <c r="AI483" s="613"/>
      <c r="AJ483" s="613"/>
      <c r="AK483" s="732"/>
      <c r="AN483" s="597"/>
      <c r="AO483" s="758">
        <v>0.2</v>
      </c>
      <c r="AP483" s="637">
        <v>5</v>
      </c>
      <c r="AT483" s="758">
        <v>0.12</v>
      </c>
      <c r="AU483" s="637">
        <v>5</v>
      </c>
      <c r="AW483" s="550" t="s">
        <v>1505</v>
      </c>
      <c r="AX483" s="637">
        <v>5</v>
      </c>
      <c r="AY483" s="593"/>
      <c r="BB483" s="758">
        <v>0.6</v>
      </c>
      <c r="BC483" s="593">
        <v>4</v>
      </c>
      <c r="BF483" s="758">
        <v>0.6</v>
      </c>
      <c r="BG483" s="593">
        <v>5</v>
      </c>
    </row>
    <row r="484" spans="1:81" s="550" customFormat="1" ht="12.75" hidden="1" customHeight="1">
      <c r="C484" s="751"/>
      <c r="D484" s="730"/>
      <c r="E484" s="772"/>
      <c r="F484" s="771" t="s">
        <v>1522</v>
      </c>
      <c r="G484" s="771"/>
      <c r="H484" s="771"/>
      <c r="I484" s="771"/>
      <c r="J484" s="771"/>
      <c r="K484" s="771"/>
      <c r="L484" s="771"/>
      <c r="M484" s="771"/>
      <c r="N484" s="771"/>
      <c r="O484" s="771"/>
      <c r="P484" s="771"/>
      <c r="Q484" s="771"/>
      <c r="R484" s="771"/>
      <c r="S484" s="771"/>
      <c r="T484" s="771"/>
      <c r="U484" s="771"/>
      <c r="V484" s="771"/>
      <c r="W484" s="771"/>
      <c r="X484" s="771"/>
      <c r="Y484" s="771"/>
      <c r="Z484" s="771"/>
      <c r="AA484" s="771"/>
      <c r="AB484" s="771"/>
      <c r="AC484" s="773"/>
      <c r="AD484" s="609"/>
      <c r="AE484" s="609"/>
      <c r="AF484" s="609"/>
      <c r="AG484" s="774"/>
      <c r="AH484" s="613"/>
      <c r="AI484" s="613"/>
      <c r="AJ484" s="613"/>
      <c r="AK484" s="732"/>
      <c r="AN484" s="678"/>
      <c r="AO484" s="758"/>
      <c r="AP484" s="593"/>
      <c r="AT484" s="758"/>
      <c r="AU484" s="593"/>
      <c r="AX484" s="758"/>
      <c r="AY484" s="593"/>
      <c r="BB484" s="758">
        <v>0.8</v>
      </c>
      <c r="BC484" s="593">
        <v>5</v>
      </c>
      <c r="BF484" s="758"/>
      <c r="BG484" s="593"/>
    </row>
    <row r="485" spans="1:81" s="596" customFormat="1" ht="12.75" hidden="1" customHeight="1">
      <c r="A485" s="637"/>
      <c r="B485" s="550"/>
      <c r="C485" s="762"/>
      <c r="D485" s="550"/>
      <c r="E485" s="763"/>
      <c r="F485" s="775" t="s">
        <v>1523</v>
      </c>
      <c r="G485" s="550"/>
      <c r="H485" s="550"/>
      <c r="I485" s="771"/>
      <c r="J485" s="771"/>
      <c r="K485" s="771"/>
      <c r="L485" s="771"/>
      <c r="M485" s="771"/>
      <c r="N485" s="771"/>
      <c r="O485" s="771"/>
      <c r="P485" s="771"/>
      <c r="Q485" s="771"/>
      <c r="R485" s="771"/>
      <c r="S485" s="771"/>
      <c r="T485" s="771"/>
      <c r="U485" s="771"/>
      <c r="V485" s="2620" t="s">
        <v>591</v>
      </c>
      <c r="W485" s="2620"/>
      <c r="X485" s="2620"/>
      <c r="Y485" s="771"/>
      <c r="Z485" s="771"/>
      <c r="AA485" s="771"/>
      <c r="AB485" s="771"/>
      <c r="AC485" s="771"/>
      <c r="AD485" s="609"/>
      <c r="AE485" s="609"/>
      <c r="AF485" s="609"/>
      <c r="AG485" s="613">
        <f>IF(AND($C$482="Yes",$V$487="N/A",$V$492="N/A",$V$496="N/A",$V$498="N/A"),(VLOOKUP(V485,$AW$481:$AX$483,2,FALSE)),0)</f>
        <v>0</v>
      </c>
      <c r="AH485" s="640" t="s">
        <v>1328</v>
      </c>
      <c r="AI485" s="551"/>
      <c r="AJ485" s="551"/>
      <c r="AK485" s="732"/>
      <c r="AL485" s="550"/>
      <c r="AM485" s="550"/>
      <c r="AN485" s="597"/>
      <c r="AT485" s="550" t="s">
        <v>591</v>
      </c>
      <c r="AU485" s="637">
        <v>0</v>
      </c>
      <c r="AV485" s="550"/>
      <c r="AW485" s="550"/>
      <c r="AX485" s="550"/>
      <c r="AY485" s="550"/>
      <c r="AZ485" s="550"/>
      <c r="BA485" s="550"/>
      <c r="BB485" s="758"/>
      <c r="BC485" s="593"/>
      <c r="BD485" s="550"/>
      <c r="BE485" s="550"/>
      <c r="BF485" s="550"/>
      <c r="BG485" s="550"/>
    </row>
    <row r="486" spans="1:81" s="596" customFormat="1" ht="12.75" hidden="1" customHeight="1">
      <c r="A486" s="637"/>
      <c r="B486" s="550"/>
      <c r="C486" s="762"/>
      <c r="D486" s="550"/>
      <c r="E486" s="763"/>
      <c r="F486" s="775"/>
      <c r="G486" s="550"/>
      <c r="H486" s="550"/>
      <c r="I486" s="771"/>
      <c r="J486" s="771"/>
      <c r="K486" s="771"/>
      <c r="L486" s="771"/>
      <c r="M486" s="771"/>
      <c r="N486" s="771"/>
      <c r="O486" s="771"/>
      <c r="P486" s="771"/>
      <c r="Q486" s="771"/>
      <c r="R486" s="771"/>
      <c r="S486" s="771"/>
      <c r="T486" s="771"/>
      <c r="U486" s="771"/>
      <c r="V486" s="771"/>
      <c r="W486" s="771"/>
      <c r="X486" s="771"/>
      <c r="Y486" s="771"/>
      <c r="Z486" s="771"/>
      <c r="AA486" s="771"/>
      <c r="AB486" s="771"/>
      <c r="AC486" s="771"/>
      <c r="AD486" s="609"/>
      <c r="AE486" s="609"/>
      <c r="AF486" s="609"/>
      <c r="AG486" s="613"/>
      <c r="AH486" s="640"/>
      <c r="AI486" s="551"/>
      <c r="AJ486" s="551"/>
      <c r="AK486" s="732"/>
      <c r="AL486" s="550"/>
      <c r="AM486" s="550"/>
      <c r="AN486" s="597"/>
      <c r="AT486" s="758">
        <v>0.09</v>
      </c>
      <c r="AU486" s="637">
        <v>3</v>
      </c>
      <c r="AV486" s="550"/>
      <c r="AW486" s="550"/>
      <c r="AX486" s="755"/>
      <c r="AY486" s="550"/>
      <c r="AZ486" s="550"/>
      <c r="BA486" s="550"/>
      <c r="BB486" s="550"/>
      <c r="BC486" s="550"/>
      <c r="BD486" s="550"/>
      <c r="BE486" s="550"/>
      <c r="BF486" s="550"/>
      <c r="BG486" s="550"/>
    </row>
    <row r="487" spans="1:81" s="596" customFormat="1" ht="12.75" hidden="1" customHeight="1">
      <c r="A487" s="637"/>
      <c r="B487" s="550"/>
      <c r="C487" s="762"/>
      <c r="D487" s="550"/>
      <c r="E487" s="763"/>
      <c r="F487" s="775" t="s">
        <v>1524</v>
      </c>
      <c r="G487" s="550"/>
      <c r="H487" s="550"/>
      <c r="I487" s="771"/>
      <c r="J487" s="771"/>
      <c r="K487" s="771"/>
      <c r="L487" s="771"/>
      <c r="M487" s="771"/>
      <c r="N487" s="771"/>
      <c r="O487" s="771"/>
      <c r="P487" s="771"/>
      <c r="Q487" s="771"/>
      <c r="R487" s="771"/>
      <c r="S487" s="771"/>
      <c r="T487" s="771"/>
      <c r="U487" s="771"/>
      <c r="V487" s="2620" t="s">
        <v>591</v>
      </c>
      <c r="W487" s="2620"/>
      <c r="X487" s="2620"/>
      <c r="Y487" s="771"/>
      <c r="Z487" s="771"/>
      <c r="AA487" s="771"/>
      <c r="AB487" s="771"/>
      <c r="AC487" s="771"/>
      <c r="AD487" s="609"/>
      <c r="AE487" s="609"/>
      <c r="AF487" s="609"/>
      <c r="AG487" s="613">
        <f>IF(AND($C$482="Yes",$V$485="N/A", $V$492="N/A",$V$496="N/A",$V$498="N/A"),(VLOOKUP(V487,$AT$481:$AU$483,2,FALSE)),0)</f>
        <v>0</v>
      </c>
      <c r="AH487" s="640" t="s">
        <v>1328</v>
      </c>
      <c r="AI487" s="551"/>
      <c r="AJ487" s="551"/>
      <c r="AK487" s="732"/>
      <c r="AL487" s="550"/>
      <c r="AM487" s="550"/>
      <c r="AN487" s="597"/>
      <c r="AT487" s="758">
        <v>0.15</v>
      </c>
      <c r="AU487" s="637">
        <v>5</v>
      </c>
      <c r="AV487" s="550"/>
      <c r="AW487" s="550"/>
      <c r="AX487" s="550"/>
      <c r="AY487" s="550"/>
      <c r="AZ487" s="550"/>
      <c r="BA487" s="550"/>
      <c r="BB487" s="550"/>
      <c r="BC487" s="550"/>
      <c r="BD487" s="550"/>
      <c r="BE487" s="550"/>
      <c r="BF487" s="550"/>
      <c r="BG487" s="550"/>
    </row>
    <row r="488" spans="1:81" s="550" customFormat="1" ht="12.75" hidden="1" customHeight="1">
      <c r="C488" s="762"/>
      <c r="E488" s="763"/>
      <c r="F488" s="596"/>
      <c r="G488" s="776"/>
      <c r="H488" s="776"/>
      <c r="I488" s="776"/>
      <c r="J488" s="776"/>
      <c r="K488" s="776"/>
      <c r="L488" s="776"/>
      <c r="M488" s="776"/>
      <c r="N488" s="776"/>
      <c r="O488" s="776"/>
      <c r="P488" s="776"/>
      <c r="Q488" s="551"/>
      <c r="R488" s="551"/>
      <c r="S488" s="551"/>
      <c r="T488" s="551"/>
      <c r="U488" s="551"/>
      <c r="V488" s="551"/>
      <c r="W488" s="551"/>
      <c r="X488" s="551"/>
      <c r="Y488" s="551"/>
      <c r="Z488" s="551"/>
      <c r="AA488" s="551"/>
      <c r="AB488" s="551"/>
      <c r="AC488" s="551"/>
      <c r="AG488" s="596"/>
      <c r="AH488" s="596"/>
      <c r="AI488" s="596"/>
      <c r="AJ488" s="596"/>
      <c r="AK488" s="732"/>
      <c r="AN488" s="597"/>
      <c r="AO488" s="550" t="s">
        <v>591</v>
      </c>
      <c r="AP488" s="550">
        <v>0</v>
      </c>
    </row>
    <row r="489" spans="1:81" s="550" customFormat="1" ht="12.75" hidden="1" customHeight="1">
      <c r="C489" s="762"/>
      <c r="E489" s="763"/>
      <c r="F489" s="776" t="s">
        <v>1525</v>
      </c>
      <c r="I489" s="763"/>
      <c r="J489" s="763"/>
      <c r="K489" s="763"/>
      <c r="L489" s="763"/>
      <c r="M489" s="763"/>
      <c r="N489" s="763"/>
      <c r="O489" s="763"/>
      <c r="P489" s="763"/>
      <c r="Q489" s="551"/>
      <c r="R489" s="551"/>
      <c r="S489" s="551"/>
      <c r="T489" s="551"/>
      <c r="U489" s="551"/>
      <c r="V489" s="551"/>
      <c r="W489" s="551"/>
      <c r="X489" s="551"/>
      <c r="Y489" s="551"/>
      <c r="Z489" s="551"/>
      <c r="AA489" s="551"/>
      <c r="AB489" s="551"/>
      <c r="AC489" s="551"/>
      <c r="AJ489" s="551"/>
      <c r="AK489" s="732"/>
      <c r="AN489" s="597"/>
      <c r="AO489" s="550" t="s">
        <v>1526</v>
      </c>
      <c r="AP489" s="637">
        <v>2</v>
      </c>
    </row>
    <row r="490" spans="1:81" s="550" customFormat="1" ht="12.75" hidden="1" customHeight="1">
      <c r="C490" s="762"/>
      <c r="F490" s="609" t="s">
        <v>1527</v>
      </c>
      <c r="M490" s="763"/>
      <c r="N490" s="763"/>
      <c r="O490" s="763"/>
      <c r="P490" s="763"/>
      <c r="Q490" s="551"/>
      <c r="R490" s="551"/>
      <c r="S490" s="551"/>
      <c r="T490" s="551"/>
      <c r="U490" s="551"/>
      <c r="V490" s="551"/>
      <c r="W490" s="551"/>
      <c r="X490" s="551"/>
      <c r="Y490" s="551"/>
      <c r="Z490" s="551"/>
      <c r="AA490" s="551"/>
      <c r="AB490" s="551"/>
      <c r="AC490" s="551"/>
      <c r="AG490" s="613"/>
      <c r="AH490" s="640"/>
      <c r="AI490" s="551"/>
      <c r="AJ490" s="551"/>
      <c r="AK490" s="732"/>
      <c r="AN490" s="597"/>
      <c r="AO490" s="550" t="s">
        <v>1528</v>
      </c>
      <c r="AP490" s="550">
        <v>2</v>
      </c>
    </row>
    <row r="491" spans="1:81" s="596" customFormat="1" ht="12.75" hidden="1" customHeight="1">
      <c r="A491" s="550"/>
      <c r="B491" s="550"/>
      <c r="C491" s="739"/>
      <c r="D491" s="570"/>
      <c r="E491" s="570"/>
      <c r="F491" s="609" t="s">
        <v>1529</v>
      </c>
      <c r="G491" s="550"/>
      <c r="H491" s="550"/>
      <c r="I491" s="550"/>
      <c r="J491" s="550"/>
      <c r="K491" s="550"/>
      <c r="L491" s="550"/>
      <c r="M491" s="763"/>
      <c r="N491" s="763"/>
      <c r="O491" s="763"/>
      <c r="P491" s="763"/>
      <c r="Q491" s="551"/>
      <c r="R491" s="551"/>
      <c r="S491" s="551"/>
      <c r="T491" s="551"/>
      <c r="U491" s="551"/>
      <c r="V491" s="551"/>
      <c r="W491" s="551"/>
      <c r="X491" s="551"/>
      <c r="Y491" s="551"/>
      <c r="Z491" s="551"/>
      <c r="AA491" s="551"/>
      <c r="AB491" s="551"/>
      <c r="AC491" s="551"/>
      <c r="AD491" s="550"/>
      <c r="AE491" s="550"/>
      <c r="AF491" s="550"/>
      <c r="AG491" s="613"/>
      <c r="AH491" s="640"/>
      <c r="AI491" s="551"/>
      <c r="AJ491" s="551"/>
      <c r="AK491" s="732"/>
      <c r="AL491" s="550"/>
      <c r="AM491" s="550"/>
      <c r="AN491" s="678"/>
      <c r="AO491" s="550" t="s">
        <v>1530</v>
      </c>
      <c r="AP491" s="550">
        <v>2</v>
      </c>
    </row>
    <row r="492" spans="1:81" s="550" customFormat="1" ht="12.75" hidden="1" customHeight="1">
      <c r="C492" s="777"/>
      <c r="F492" s="775" t="s">
        <v>1531</v>
      </c>
      <c r="M492" s="763"/>
      <c r="N492" s="763"/>
      <c r="O492" s="763"/>
      <c r="P492" s="763"/>
      <c r="Q492" s="551"/>
      <c r="R492" s="551"/>
      <c r="S492" s="551"/>
      <c r="T492" s="551"/>
      <c r="U492" s="551"/>
      <c r="V492" s="2620" t="s">
        <v>591</v>
      </c>
      <c r="W492" s="2620"/>
      <c r="X492" s="2620"/>
      <c r="Y492" s="551"/>
      <c r="Z492" s="551"/>
      <c r="AA492" s="551"/>
      <c r="AB492" s="551"/>
      <c r="AC492" s="551"/>
      <c r="AG492" s="613">
        <f>IF(AND($C$482="Yes",$V$485="N/A",$V$487="N/A", $V$496="N/A",$V$498="N/A"),(VLOOKUP($V$492,$AT$485:$AU$487,2,FALSE)),0)</f>
        <v>0</v>
      </c>
      <c r="AH492" s="640" t="s">
        <v>1328</v>
      </c>
      <c r="AI492" s="551"/>
      <c r="AJ492" s="551"/>
      <c r="AK492" s="732"/>
      <c r="AN492" s="535"/>
    </row>
    <row r="493" spans="1:81" s="550" customFormat="1" ht="12.75" hidden="1" customHeight="1">
      <c r="C493" s="762"/>
      <c r="M493" s="763"/>
      <c r="N493" s="763"/>
      <c r="O493" s="763"/>
      <c r="P493" s="763"/>
      <c r="Q493" s="551"/>
      <c r="R493" s="551"/>
      <c r="S493" s="551"/>
      <c r="T493" s="551"/>
      <c r="U493" s="551"/>
      <c r="V493" s="551"/>
      <c r="W493" s="551"/>
      <c r="X493" s="551"/>
      <c r="Y493" s="551"/>
      <c r="Z493" s="551"/>
      <c r="AA493" s="551"/>
      <c r="AB493" s="551"/>
      <c r="AC493" s="551"/>
      <c r="AJ493" s="551"/>
      <c r="AK493" s="732"/>
      <c r="AN493" s="778"/>
    </row>
    <row r="494" spans="1:81" s="596" customFormat="1" ht="12.75" hidden="1" customHeight="1">
      <c r="A494" s="550"/>
      <c r="B494" s="550"/>
      <c r="C494" s="779" t="s">
        <v>1532</v>
      </c>
      <c r="D494" s="714"/>
      <c r="E494" s="714"/>
      <c r="F494" s="780" t="s">
        <v>1533</v>
      </c>
      <c r="G494" s="714"/>
      <c r="H494" s="714"/>
      <c r="I494" s="714"/>
      <c r="J494" s="714"/>
      <c r="K494" s="714"/>
      <c r="L494" s="714"/>
      <c r="M494" s="714"/>
      <c r="N494" s="714"/>
      <c r="O494" s="714"/>
      <c r="P494" s="714"/>
      <c r="Q494" s="714"/>
      <c r="R494" s="714"/>
      <c r="S494" s="714"/>
      <c r="T494" s="714"/>
      <c r="U494" s="714"/>
      <c r="V494" s="714"/>
      <c r="W494" s="714"/>
      <c r="X494" s="714"/>
      <c r="Y494" s="714"/>
      <c r="Z494" s="714"/>
      <c r="AA494" s="714"/>
      <c r="AB494" s="714"/>
      <c r="AC494" s="714"/>
      <c r="AD494" s="714"/>
      <c r="AE494" s="714"/>
      <c r="AF494" s="714"/>
      <c r="AG494" s="714"/>
      <c r="AH494" s="714"/>
      <c r="AI494" s="714"/>
      <c r="AJ494" s="714"/>
      <c r="AK494" s="745"/>
      <c r="AL494" s="550"/>
      <c r="AM494" s="550"/>
      <c r="AN494" s="592"/>
      <c r="AO494" s="550" t="s">
        <v>591</v>
      </c>
      <c r="AP494" s="550">
        <v>0</v>
      </c>
      <c r="AQ494" s="539"/>
    </row>
    <row r="495" spans="1:81" s="596" customFormat="1" ht="12.75" hidden="1" customHeight="1">
      <c r="A495" s="550"/>
      <c r="B495" s="550"/>
      <c r="C495" s="781"/>
      <c r="D495" s="2610"/>
      <c r="E495" s="2610"/>
      <c r="F495" s="771" t="s">
        <v>1534</v>
      </c>
      <c r="I495" s="550"/>
      <c r="J495" s="550"/>
      <c r="K495" s="550"/>
      <c r="L495" s="550"/>
      <c r="M495" s="550"/>
      <c r="N495" s="550"/>
      <c r="O495" s="550"/>
      <c r="P495" s="550"/>
      <c r="Q495" s="550"/>
      <c r="R495" s="550"/>
      <c r="S495" s="550"/>
      <c r="T495" s="550"/>
      <c r="U495" s="550"/>
      <c r="Y495" s="550"/>
      <c r="Z495" s="550"/>
      <c r="AA495" s="550"/>
      <c r="AB495" s="550"/>
      <c r="AC495" s="550"/>
      <c r="AD495" s="550"/>
      <c r="AE495" s="550"/>
      <c r="AF495" s="550"/>
      <c r="AK495" s="732"/>
      <c r="AL495" s="550"/>
      <c r="AM495" s="550"/>
      <c r="AN495" s="592"/>
      <c r="AO495" s="550" t="s">
        <v>1535</v>
      </c>
      <c r="AP495" s="637">
        <v>5</v>
      </c>
      <c r="AQ495" s="539"/>
    </row>
    <row r="496" spans="1:81" s="570" customFormat="1" ht="12.75" hidden="1" customHeight="1">
      <c r="A496" s="679"/>
      <c r="B496" s="550"/>
      <c r="C496" s="762"/>
      <c r="D496" s="550"/>
      <c r="E496" s="550"/>
      <c r="F496" s="782" t="s">
        <v>1523</v>
      </c>
      <c r="G496" s="550"/>
      <c r="H496" s="550"/>
      <c r="I496" s="550"/>
      <c r="J496" s="550"/>
      <c r="K496" s="550"/>
      <c r="L496" s="550"/>
      <c r="M496" s="550"/>
      <c r="N496" s="550"/>
      <c r="O496" s="550"/>
      <c r="P496" s="550"/>
      <c r="Q496" s="550"/>
      <c r="R496" s="550"/>
      <c r="S496" s="550"/>
      <c r="T496" s="550"/>
      <c r="U496" s="550"/>
      <c r="V496" s="2620" t="s">
        <v>591</v>
      </c>
      <c r="W496" s="2620"/>
      <c r="X496" s="2620"/>
      <c r="Y496" s="550"/>
      <c r="Z496" s="550"/>
      <c r="AA496" s="550"/>
      <c r="AB496" s="550"/>
      <c r="AC496" s="550"/>
      <c r="AD496" s="550"/>
      <c r="AE496" s="550"/>
      <c r="AF496" s="550"/>
      <c r="AG496" s="613">
        <f>IF(AND($C$482="Yes",$V$485="N/A",V487="N/A",$V$492="N/A",$V$498="N/A"),(VLOOKUP($V$496,$BB$481:$BC$484,2,FALSE)),0)</f>
        <v>0</v>
      </c>
      <c r="AH496" s="640" t="s">
        <v>1328</v>
      </c>
      <c r="AI496" s="551"/>
      <c r="AJ496" s="550"/>
      <c r="AK496" s="732"/>
      <c r="AL496" s="550"/>
      <c r="AM496" s="550"/>
      <c r="AN496" s="684"/>
      <c r="AO496" s="550" t="s">
        <v>1536</v>
      </c>
      <c r="AP496" s="550">
        <v>5</v>
      </c>
      <c r="AS496" s="550"/>
      <c r="AT496" s="550"/>
      <c r="AU496" s="550"/>
      <c r="AV496" s="550"/>
      <c r="AW496" s="550"/>
      <c r="AX496" s="550"/>
      <c r="AY496" s="550"/>
      <c r="AZ496" s="550"/>
      <c r="BA496" s="550"/>
      <c r="BB496" s="550"/>
      <c r="BO496" s="550"/>
      <c r="BP496" s="550"/>
      <c r="BQ496" s="550"/>
      <c r="BR496" s="550"/>
      <c r="BS496" s="550"/>
      <c r="BT496" s="550"/>
      <c r="BU496" s="550"/>
      <c r="BV496" s="550"/>
      <c r="BW496" s="550"/>
      <c r="BX496" s="550"/>
      <c r="BY496" s="550"/>
      <c r="BZ496" s="550"/>
      <c r="CA496" s="550"/>
      <c r="CB496" s="550"/>
      <c r="CC496" s="550"/>
    </row>
    <row r="497" spans="1:81" s="570" customFormat="1" ht="12.75" hidden="1" customHeight="1">
      <c r="A497" s="679"/>
      <c r="B497" s="550"/>
      <c r="C497" s="762"/>
      <c r="D497" s="550"/>
      <c r="E497" s="550"/>
      <c r="I497" s="550"/>
      <c r="J497" s="550"/>
      <c r="K497" s="550"/>
      <c r="L497" s="550"/>
      <c r="M497" s="550"/>
      <c r="N497" s="550"/>
      <c r="O497" s="550"/>
      <c r="P497" s="550"/>
      <c r="Q497" s="550"/>
      <c r="R497" s="550"/>
      <c r="S497" s="550"/>
      <c r="T497" s="550"/>
      <c r="U497" s="550"/>
      <c r="V497" s="550"/>
      <c r="W497" s="550"/>
      <c r="X497" s="550"/>
      <c r="Y497" s="550"/>
      <c r="Z497" s="550"/>
      <c r="AA497" s="550"/>
      <c r="AB497" s="550"/>
      <c r="AC497" s="550"/>
      <c r="AD497" s="550"/>
      <c r="AE497" s="550"/>
      <c r="AF497" s="550"/>
      <c r="AK497" s="732"/>
      <c r="AL497" s="550"/>
      <c r="AM497" s="550"/>
      <c r="AN497" s="684"/>
      <c r="AO497" s="550" t="s">
        <v>1537</v>
      </c>
      <c r="AP497" s="550">
        <v>5</v>
      </c>
      <c r="AS497" s="550"/>
      <c r="AT497" s="550"/>
      <c r="AU497" s="550"/>
      <c r="AV497" s="550"/>
      <c r="AW497" s="550"/>
      <c r="AX497" s="550"/>
      <c r="AY497" s="550"/>
      <c r="AZ497" s="550"/>
      <c r="BA497" s="550"/>
      <c r="BB497" s="550"/>
      <c r="BC497" s="550"/>
      <c r="BD497" s="550"/>
      <c r="BE497" s="550"/>
      <c r="BF497" s="550"/>
      <c r="BG497" s="550"/>
      <c r="BH497" s="550"/>
      <c r="BI497" s="550"/>
      <c r="BJ497" s="550"/>
      <c r="BK497" s="550"/>
      <c r="BL497" s="550"/>
      <c r="BM497" s="550"/>
      <c r="BN497" s="550"/>
      <c r="BO497" s="550"/>
      <c r="BP497" s="550"/>
      <c r="BQ497" s="550"/>
      <c r="BR497" s="550"/>
      <c r="BS497" s="550"/>
      <c r="BT497" s="550"/>
      <c r="BU497" s="550"/>
      <c r="BV497" s="550"/>
      <c r="BW497" s="550"/>
      <c r="BX497" s="550"/>
      <c r="BY497" s="550"/>
      <c r="BZ497" s="550"/>
      <c r="CA497" s="550"/>
      <c r="CB497" s="550"/>
      <c r="CC497" s="550"/>
    </row>
    <row r="498" spans="1:81" s="539" customFormat="1" ht="12.75" hidden="1" customHeight="1">
      <c r="A498" s="679"/>
      <c r="B498" s="550"/>
      <c r="C498" s="764"/>
      <c r="D498" s="727"/>
      <c r="E498" s="727"/>
      <c r="F498" s="775" t="s">
        <v>1524</v>
      </c>
      <c r="G498" s="766"/>
      <c r="H498" s="766"/>
      <c r="I498" s="727"/>
      <c r="J498" s="727"/>
      <c r="K498" s="727"/>
      <c r="L498" s="727"/>
      <c r="M498" s="727"/>
      <c r="N498" s="727"/>
      <c r="O498" s="727"/>
      <c r="P498" s="727"/>
      <c r="Q498" s="727"/>
      <c r="R498" s="727"/>
      <c r="S498" s="727"/>
      <c r="T498" s="727"/>
      <c r="U498" s="727"/>
      <c r="V498" s="2620" t="s">
        <v>591</v>
      </c>
      <c r="W498" s="2620"/>
      <c r="X498" s="2620"/>
      <c r="Y498" s="727"/>
      <c r="Z498" s="727"/>
      <c r="AA498" s="727"/>
      <c r="AB498" s="727"/>
      <c r="AC498" s="727"/>
      <c r="AD498" s="727"/>
      <c r="AE498" s="727"/>
      <c r="AF498" s="727"/>
      <c r="AG498" s="783">
        <f>IF(AND($C$482="Yes",$V$485="N/A",$V$487="N/A",$V$492="N/A",$V$496="N/A"),(VLOOKUP($V$498,$BF$481:$BG$483,2,FALSE)),0)</f>
        <v>0</v>
      </c>
      <c r="AH498" s="768" t="s">
        <v>1328</v>
      </c>
      <c r="AI498" s="727"/>
      <c r="AJ498" s="727"/>
      <c r="AK498" s="742"/>
      <c r="AL498" s="550"/>
      <c r="AM498" s="550"/>
      <c r="AN498" s="784"/>
      <c r="AP498" s="596"/>
      <c r="AQ498" s="596"/>
      <c r="AR498" s="596"/>
      <c r="AS498" s="596"/>
      <c r="AT498" s="596"/>
      <c r="AU498" s="596"/>
      <c r="AV498" s="596"/>
      <c r="AW498" s="596"/>
      <c r="AX498" s="596"/>
      <c r="AY498" s="596"/>
      <c r="AZ498" s="596"/>
      <c r="BA498" s="596"/>
      <c r="BB498" s="596"/>
      <c r="BC498" s="596"/>
      <c r="BE498" s="596"/>
      <c r="BF498" s="596"/>
      <c r="BG498" s="596"/>
      <c r="BH498" s="596"/>
      <c r="BI498" s="596"/>
      <c r="BJ498" s="596"/>
      <c r="BK498" s="596"/>
      <c r="BL498" s="596"/>
      <c r="BM498" s="596"/>
      <c r="BN498" s="596"/>
      <c r="BO498" s="596"/>
      <c r="BP498" s="596"/>
      <c r="BQ498" s="596"/>
      <c r="BR498" s="596"/>
    </row>
    <row r="499" spans="1:81" s="539" customFormat="1" ht="12.75" hidden="1" customHeight="1">
      <c r="A499" s="679"/>
      <c r="B499" s="550"/>
      <c r="C499" s="551"/>
      <c r="D499" s="550"/>
      <c r="E499" s="763"/>
      <c r="F499" s="550"/>
      <c r="G499" s="550"/>
      <c r="H499" s="550"/>
      <c r="I499" s="550"/>
      <c r="J499" s="550"/>
      <c r="K499" s="550"/>
      <c r="L499" s="550"/>
      <c r="M499" s="550"/>
      <c r="N499" s="550"/>
      <c r="O499" s="550"/>
      <c r="P499" s="550"/>
      <c r="Q499" s="550"/>
      <c r="R499" s="550"/>
      <c r="S499" s="550"/>
      <c r="T499" s="550"/>
      <c r="U499" s="550"/>
      <c r="V499" s="550"/>
      <c r="W499" s="550"/>
      <c r="X499" s="550"/>
      <c r="Y499" s="550"/>
      <c r="Z499" s="550"/>
      <c r="AA499" s="550"/>
      <c r="AB499" s="550"/>
      <c r="AC499" s="550"/>
      <c r="AD499" s="550"/>
      <c r="AE499" s="550"/>
      <c r="AF499" s="550"/>
      <c r="AG499" s="550"/>
      <c r="AH499" s="550"/>
      <c r="AI499" s="550"/>
      <c r="AJ499" s="550"/>
      <c r="AK499" s="550"/>
      <c r="AL499" s="550"/>
      <c r="AM499" s="550"/>
      <c r="AN499" s="784"/>
      <c r="AO499" s="785"/>
      <c r="AP499" s="550"/>
      <c r="AQ499" s="550"/>
      <c r="AR499" s="550"/>
      <c r="AS499" s="550"/>
      <c r="AT499" s="550"/>
      <c r="AU499" s="786"/>
      <c r="AV499" s="786"/>
      <c r="AW499" s="786"/>
      <c r="AX499" s="786"/>
      <c r="AY499" s="786"/>
      <c r="AZ499" s="786"/>
      <c r="BA499" s="786"/>
      <c r="BB499" s="596"/>
      <c r="BC499" s="596"/>
      <c r="BE499" s="550"/>
      <c r="BF499" s="550"/>
      <c r="BG499" s="550"/>
      <c r="BH499" s="550"/>
      <c r="BI499" s="550"/>
      <c r="BJ499" s="786"/>
      <c r="BK499" s="786"/>
      <c r="BL499" s="786"/>
      <c r="BM499" s="786"/>
      <c r="BN499" s="786"/>
      <c r="BO499" s="786"/>
      <c r="BP499" s="786"/>
      <c r="BQ499" s="596"/>
      <c r="BR499" s="550"/>
    </row>
    <row r="500" spans="1:81" s="539" customFormat="1" ht="12.75" hidden="1" customHeight="1">
      <c r="A500" s="679"/>
      <c r="B500" s="550"/>
      <c r="C500" s="712" t="s">
        <v>1538</v>
      </c>
      <c r="D500" s="550"/>
      <c r="E500" s="763"/>
      <c r="F500" s="551"/>
      <c r="G500" s="551"/>
      <c r="H500" s="551"/>
      <c r="I500" s="551"/>
      <c r="J500" s="551"/>
      <c r="K500" s="551"/>
      <c r="L500" s="551"/>
      <c r="M500" s="551"/>
      <c r="N500" s="551"/>
      <c r="O500" s="551"/>
      <c r="P500" s="551"/>
      <c r="Q500" s="551"/>
      <c r="R500" s="551"/>
      <c r="S500" s="551"/>
      <c r="T500" s="551"/>
      <c r="U500" s="551"/>
      <c r="V500" s="551"/>
      <c r="W500" s="551"/>
      <c r="X500" s="551"/>
      <c r="Y500" s="551"/>
      <c r="Z500" s="551"/>
      <c r="AA500" s="551"/>
      <c r="AB500" s="551"/>
      <c r="AC500" s="551"/>
      <c r="AD500" s="550"/>
      <c r="AE500" s="550"/>
      <c r="AF500" s="550"/>
      <c r="AG500" s="551"/>
      <c r="AH500" s="551"/>
      <c r="AI500" s="551"/>
      <c r="AJ500" s="551"/>
      <c r="AK500" s="550"/>
      <c r="AL500" s="550"/>
      <c r="AM500" s="550"/>
      <c r="AN500" s="784"/>
      <c r="AO500" s="785"/>
      <c r="AP500" s="550"/>
      <c r="AQ500" s="550"/>
      <c r="AR500" s="550"/>
      <c r="AS500" s="550"/>
      <c r="AT500" s="550"/>
      <c r="AU500" s="786"/>
      <c r="AV500" s="786"/>
      <c r="AW500" s="786"/>
      <c r="AX500" s="786"/>
      <c r="AY500" s="786"/>
      <c r="AZ500" s="786"/>
      <c r="BA500" s="786"/>
      <c r="BB500" s="596"/>
      <c r="BC500" s="596"/>
      <c r="BE500" s="550"/>
      <c r="BF500" s="550"/>
      <c r="BG500" s="550"/>
      <c r="BH500" s="550"/>
      <c r="BI500" s="550"/>
      <c r="BJ500" s="786"/>
      <c r="BK500" s="786"/>
      <c r="BL500" s="786"/>
      <c r="BM500" s="786"/>
      <c r="BN500" s="786"/>
      <c r="BO500" s="786"/>
      <c r="BP500" s="786"/>
      <c r="BQ500" s="596"/>
      <c r="BR500" s="550"/>
    </row>
    <row r="501" spans="1:81" s="570" customFormat="1" ht="12.75" hidden="1" customHeight="1">
      <c r="A501" s="679"/>
      <c r="B501" s="550"/>
      <c r="C501" s="2545" t="s">
        <v>591</v>
      </c>
      <c r="D501" s="2546"/>
      <c r="E501" s="761" t="s">
        <v>507</v>
      </c>
      <c r="F501" s="2547" t="s">
        <v>1517</v>
      </c>
      <c r="G501" s="2547"/>
      <c r="H501" s="2547"/>
      <c r="I501" s="2547"/>
      <c r="J501" s="2547"/>
      <c r="K501" s="2547"/>
      <c r="L501" s="2547"/>
      <c r="M501" s="2547"/>
      <c r="N501" s="2547"/>
      <c r="O501" s="2547"/>
      <c r="P501" s="2547"/>
      <c r="Q501" s="2547"/>
      <c r="R501" s="2547"/>
      <c r="S501" s="2547"/>
      <c r="T501" s="2547"/>
      <c r="U501" s="2547"/>
      <c r="V501" s="2547"/>
      <c r="W501" s="2547"/>
      <c r="X501" s="2547"/>
      <c r="Y501" s="2547"/>
      <c r="Z501" s="2547"/>
      <c r="AA501" s="2547"/>
      <c r="AB501" s="2547"/>
      <c r="AC501" s="2547"/>
      <c r="AD501" s="2547"/>
      <c r="AE501" s="2547"/>
      <c r="AF501" s="714"/>
      <c r="AG501" s="716"/>
      <c r="AH501" s="716"/>
      <c r="AI501" s="716"/>
      <c r="AJ501" s="716"/>
      <c r="AK501" s="745"/>
      <c r="AL501" s="550"/>
      <c r="AM501" s="550"/>
      <c r="AN501" s="534"/>
      <c r="AO501" s="30"/>
      <c r="AP501" s="550"/>
      <c r="AQ501" s="550"/>
      <c r="AR501" s="550"/>
      <c r="AS501" s="550"/>
      <c r="AT501" s="550"/>
      <c r="AU501" s="787"/>
      <c r="AV501" s="787"/>
      <c r="AW501" s="787"/>
      <c r="AX501" s="787"/>
      <c r="AY501" s="787"/>
      <c r="AZ501" s="787"/>
      <c r="BA501" s="787"/>
      <c r="BB501" s="550"/>
      <c r="BC501" s="550"/>
      <c r="BD501" s="536"/>
      <c r="BE501" s="550"/>
      <c r="BF501" s="550"/>
      <c r="BG501" s="550"/>
      <c r="BH501" s="550"/>
      <c r="BI501" s="550"/>
      <c r="BJ501" s="787"/>
      <c r="BK501" s="787"/>
      <c r="BL501" s="787"/>
      <c r="BM501" s="787"/>
      <c r="BN501" s="787"/>
      <c r="BO501" s="787"/>
      <c r="BP501" s="787"/>
      <c r="BQ501" s="550"/>
      <c r="BR501" s="550"/>
      <c r="BS501" s="536"/>
      <c r="BT501" s="536"/>
      <c r="BU501" s="536"/>
      <c r="BV501" s="536"/>
      <c r="BW501" s="536"/>
      <c r="BX501" s="536"/>
      <c r="BY501" s="536"/>
      <c r="BZ501" s="536"/>
      <c r="CA501" s="536"/>
      <c r="CB501" s="536"/>
      <c r="CC501" s="536"/>
    </row>
    <row r="502" spans="1:81" s="570" customFormat="1" ht="12.75" hidden="1" customHeight="1">
      <c r="A502" s="679"/>
      <c r="B502" s="550"/>
      <c r="C502" s="762"/>
      <c r="D502" s="550"/>
      <c r="E502" s="763"/>
      <c r="F502" s="2548"/>
      <c r="G502" s="2548"/>
      <c r="H502" s="2548"/>
      <c r="I502" s="2548"/>
      <c r="J502" s="2548"/>
      <c r="K502" s="2548"/>
      <c r="L502" s="2548"/>
      <c r="M502" s="2548"/>
      <c r="N502" s="2548"/>
      <c r="O502" s="2548"/>
      <c r="P502" s="2548"/>
      <c r="Q502" s="2548"/>
      <c r="R502" s="2548"/>
      <c r="S502" s="2548"/>
      <c r="T502" s="2548"/>
      <c r="U502" s="2548"/>
      <c r="V502" s="2548"/>
      <c r="W502" s="2548"/>
      <c r="X502" s="2548"/>
      <c r="Y502" s="2548"/>
      <c r="Z502" s="2548"/>
      <c r="AA502" s="2548"/>
      <c r="AB502" s="2548"/>
      <c r="AC502" s="2548"/>
      <c r="AD502" s="2548"/>
      <c r="AE502" s="2548"/>
      <c r="AF502" s="550"/>
      <c r="AG502" s="551"/>
      <c r="AH502" s="551"/>
      <c r="AI502" s="551"/>
      <c r="AJ502" s="551"/>
      <c r="AK502" s="732"/>
      <c r="AL502" s="550"/>
      <c r="AM502" s="550"/>
      <c r="AN502" s="534"/>
      <c r="AO502" s="30"/>
      <c r="AP502" s="788"/>
      <c r="AQ502" s="788"/>
      <c r="AR502" s="788"/>
      <c r="AS502" s="679"/>
      <c r="AT502" s="550"/>
      <c r="AU502" s="789"/>
      <c r="AV502" s="789"/>
      <c r="AW502" s="789"/>
      <c r="AX502" s="789"/>
      <c r="AY502" s="789"/>
      <c r="AZ502" s="789"/>
      <c r="BA502" s="789"/>
      <c r="BB502" s="14"/>
      <c r="BC502" s="14"/>
      <c r="BD502" s="536"/>
      <c r="BE502" s="788"/>
      <c r="BF502" s="788"/>
      <c r="BG502" s="788"/>
      <c r="BH502" s="679"/>
      <c r="BI502" s="550"/>
      <c r="BJ502" s="790"/>
      <c r="BK502" s="789"/>
      <c r="BL502" s="789"/>
      <c r="BM502" s="789"/>
      <c r="BN502" s="789"/>
      <c r="BO502" s="789"/>
      <c r="BP502" s="789"/>
      <c r="BQ502" s="14"/>
      <c r="BR502" s="550"/>
      <c r="BS502" s="536"/>
      <c r="BT502" s="536"/>
      <c r="BU502" s="536"/>
      <c r="BV502" s="536"/>
      <c r="BW502" s="536"/>
      <c r="BX502" s="536"/>
      <c r="BY502" s="536"/>
      <c r="BZ502" s="536"/>
      <c r="CA502" s="536"/>
      <c r="CB502" s="536"/>
      <c r="CC502" s="536"/>
    </row>
    <row r="503" spans="1:81" s="570" customFormat="1" ht="12.75" hidden="1" customHeight="1">
      <c r="A503" s="679"/>
      <c r="B503" s="550"/>
      <c r="C503" s="764"/>
      <c r="D503" s="727"/>
      <c r="E503" s="765"/>
      <c r="F503" s="2616" t="s">
        <v>591</v>
      </c>
      <c r="G503" s="2616"/>
      <c r="H503" s="2616"/>
      <c r="I503" s="2616"/>
      <c r="J503" s="2616"/>
      <c r="K503" s="2616"/>
      <c r="L503" s="2616"/>
      <c r="M503" s="2616"/>
      <c r="N503" s="2616"/>
      <c r="O503" s="2616"/>
      <c r="P503" s="2616"/>
      <c r="Q503" s="2616"/>
      <c r="R503" s="2616"/>
      <c r="S503" s="2616"/>
      <c r="T503" s="2616"/>
      <c r="U503" s="2616"/>
      <c r="V503" s="2616"/>
      <c r="W503" s="2616"/>
      <c r="X503" s="2616"/>
      <c r="Y503" s="2616"/>
      <c r="Z503" s="2616"/>
      <c r="AA503" s="766"/>
      <c r="AB503" s="658"/>
      <c r="AC503" s="658"/>
      <c r="AD503" s="727"/>
      <c r="AE503" s="727"/>
      <c r="AF503" s="727"/>
      <c r="AG503" s="767">
        <f>IF($C$501="Yes",(VLOOKUP($F$503,$AO$471:$AP$479,2,FALSE)),0)</f>
        <v>0</v>
      </c>
      <c r="AH503" s="768" t="s">
        <v>1328</v>
      </c>
      <c r="AI503" s="767"/>
      <c r="AJ503" s="658"/>
      <c r="AK503" s="742"/>
      <c r="AL503" s="550"/>
      <c r="AM503" s="550"/>
      <c r="AN503" s="534"/>
      <c r="AO503" s="30"/>
      <c r="AP503" s="788"/>
      <c r="AQ503" s="788"/>
      <c r="AR503" s="788"/>
      <c r="AS503" s="679"/>
      <c r="AT503" s="550"/>
      <c r="AU503" s="789"/>
      <c r="AV503" s="789"/>
      <c r="AW503" s="789"/>
      <c r="AX503" s="789"/>
      <c r="AY503" s="789"/>
      <c r="AZ503" s="789"/>
      <c r="BA503" s="789"/>
      <c r="BB503" s="14"/>
      <c r="BC503" s="14"/>
      <c r="BD503" s="536"/>
      <c r="BE503" s="788"/>
      <c r="BF503" s="788"/>
      <c r="BG503" s="788"/>
      <c r="BH503" s="679"/>
      <c r="BI503" s="550"/>
      <c r="BJ503" s="790"/>
      <c r="BK503" s="789"/>
      <c r="BL503" s="789"/>
      <c r="BM503" s="789"/>
      <c r="BN503" s="789"/>
      <c r="BO503" s="789"/>
      <c r="BP503" s="789"/>
      <c r="BQ503" s="14"/>
      <c r="BR503" s="550"/>
      <c r="BS503" s="536"/>
      <c r="BT503" s="536"/>
      <c r="BU503" s="536"/>
      <c r="BV503" s="536"/>
      <c r="BW503" s="536"/>
      <c r="BX503" s="536"/>
      <c r="BY503" s="536"/>
      <c r="BZ503" s="536"/>
      <c r="CA503" s="536"/>
      <c r="CB503" s="536"/>
      <c r="CC503" s="536"/>
    </row>
    <row r="504" spans="1:81" s="570" customFormat="1" ht="12.75" hidden="1" customHeight="1">
      <c r="A504" s="679"/>
      <c r="B504" s="550"/>
      <c r="C504" s="712"/>
      <c r="D504" s="550"/>
      <c r="E504" s="763"/>
      <c r="F504" s="551"/>
      <c r="G504" s="551"/>
      <c r="H504" s="551"/>
      <c r="I504" s="551"/>
      <c r="J504" s="551"/>
      <c r="K504" s="551"/>
      <c r="L504" s="551"/>
      <c r="M504" s="551"/>
      <c r="N504" s="551"/>
      <c r="O504" s="551"/>
      <c r="P504" s="551"/>
      <c r="Q504" s="551"/>
      <c r="R504" s="551"/>
      <c r="S504" s="551"/>
      <c r="T504" s="551"/>
      <c r="U504" s="551"/>
      <c r="V504" s="551"/>
      <c r="W504" s="551"/>
      <c r="X504" s="551"/>
      <c r="Y504" s="551"/>
      <c r="Z504" s="551"/>
      <c r="AA504" s="551"/>
      <c r="AB504" s="551"/>
      <c r="AC504" s="551"/>
      <c r="AD504" s="550"/>
      <c r="AE504" s="550"/>
      <c r="AF504" s="550"/>
      <c r="AG504" s="551"/>
      <c r="AH504" s="551"/>
      <c r="AI504" s="551"/>
      <c r="AJ504" s="551"/>
      <c r="AK504" s="550"/>
      <c r="AL504" s="550"/>
      <c r="AM504" s="550"/>
      <c r="AN504" s="534"/>
      <c r="AO504" s="30"/>
      <c r="AP504" s="788"/>
      <c r="AQ504" s="788"/>
      <c r="AR504" s="788"/>
      <c r="AS504" s="679"/>
      <c r="AT504" s="550"/>
      <c r="AU504" s="789"/>
      <c r="AV504" s="789"/>
      <c r="AW504" s="789"/>
      <c r="AX504" s="789"/>
      <c r="AY504" s="789"/>
      <c r="AZ504" s="789"/>
      <c r="BA504" s="789"/>
      <c r="BB504" s="14"/>
      <c r="BC504" s="14"/>
      <c r="BD504" s="536"/>
      <c r="BE504" s="788"/>
      <c r="BF504" s="788"/>
      <c r="BG504" s="788"/>
      <c r="BH504" s="679"/>
      <c r="BI504" s="550"/>
      <c r="BJ504" s="790"/>
      <c r="BK504" s="789"/>
      <c r="BL504" s="789"/>
      <c r="BM504" s="789"/>
      <c r="BN504" s="789"/>
      <c r="BO504" s="789"/>
      <c r="BP504" s="789"/>
      <c r="BQ504" s="14"/>
      <c r="BR504" s="550"/>
      <c r="BS504" s="536"/>
      <c r="BT504" s="536"/>
      <c r="BU504" s="536"/>
      <c r="BV504" s="536"/>
      <c r="BW504" s="536"/>
      <c r="BX504" s="536"/>
      <c r="BY504" s="536"/>
      <c r="BZ504" s="536"/>
      <c r="CA504" s="536"/>
      <c r="CB504" s="536"/>
      <c r="CC504" s="536"/>
    </row>
    <row r="505" spans="1:81" s="570" customFormat="1" ht="12.75" hidden="1" customHeight="1">
      <c r="A505" s="550"/>
      <c r="B505" s="550"/>
      <c r="C505" s="2545" t="s">
        <v>591</v>
      </c>
      <c r="D505" s="2546"/>
      <c r="E505" s="761" t="s">
        <v>757</v>
      </c>
      <c r="F505" s="2617" t="s">
        <v>1539</v>
      </c>
      <c r="G505" s="2617"/>
      <c r="H505" s="2617"/>
      <c r="I505" s="2617"/>
      <c r="J505" s="2617"/>
      <c r="K505" s="2617"/>
      <c r="L505" s="2617"/>
      <c r="M505" s="2617"/>
      <c r="N505" s="2617"/>
      <c r="O505" s="2617"/>
      <c r="P505" s="2617"/>
      <c r="Q505" s="2617"/>
      <c r="R505" s="2617"/>
      <c r="S505" s="2617"/>
      <c r="T505" s="2617"/>
      <c r="U505" s="2617"/>
      <c r="V505" s="2617"/>
      <c r="W505" s="2617"/>
      <c r="X505" s="2617"/>
      <c r="Y505" s="2617"/>
      <c r="Z505" s="2617"/>
      <c r="AA505" s="2617"/>
      <c r="AB505" s="2617"/>
      <c r="AC505" s="2617"/>
      <c r="AD505" s="2617"/>
      <c r="AE505" s="2617"/>
      <c r="AF505" s="714"/>
      <c r="AG505" s="649"/>
      <c r="AH505" s="649"/>
      <c r="AI505" s="649"/>
      <c r="AJ505" s="649"/>
      <c r="AK505" s="745"/>
      <c r="AL505" s="550"/>
      <c r="AM505" s="550"/>
      <c r="AN505" s="534"/>
      <c r="AO505" s="30"/>
      <c r="AP505" s="788"/>
      <c r="AQ505" s="788"/>
      <c r="AR505" s="788"/>
      <c r="AS505" s="679"/>
      <c r="AT505" s="550"/>
      <c r="AU505" s="789"/>
      <c r="AV505" s="789"/>
      <c r="AW505" s="789"/>
      <c r="AX505" s="789"/>
      <c r="AY505" s="789"/>
      <c r="AZ505" s="789"/>
      <c r="BA505" s="789"/>
      <c r="BB505" s="14"/>
      <c r="BC505" s="14"/>
      <c r="BD505" s="536"/>
      <c r="BE505" s="788"/>
      <c r="BF505" s="788"/>
      <c r="BG505" s="788"/>
      <c r="BH505" s="679"/>
      <c r="BI505" s="550"/>
      <c r="BJ505" s="790"/>
      <c r="BK505" s="789"/>
      <c r="BL505" s="789"/>
      <c r="BM505" s="789"/>
      <c r="BN505" s="789"/>
      <c r="BO505" s="789"/>
      <c r="BP505" s="789"/>
      <c r="BQ505" s="14"/>
      <c r="BR505" s="550"/>
      <c r="BS505" s="536"/>
      <c r="BT505" s="536"/>
      <c r="BU505" s="536"/>
      <c r="BV505" s="536"/>
      <c r="BW505" s="536"/>
      <c r="BX505" s="536"/>
      <c r="BY505" s="536"/>
      <c r="BZ505" s="536"/>
      <c r="CA505" s="536"/>
      <c r="CB505" s="536"/>
      <c r="CC505" s="536"/>
    </row>
    <row r="506" spans="1:81" s="570" customFormat="1" ht="12.75" hidden="1" customHeight="1">
      <c r="A506" s="550"/>
      <c r="B506" s="550"/>
      <c r="C506" s="762"/>
      <c r="D506" s="550"/>
      <c r="E506" s="763"/>
      <c r="F506" s="2618"/>
      <c r="G506" s="2618"/>
      <c r="H506" s="2618"/>
      <c r="I506" s="2618"/>
      <c r="J506" s="2618"/>
      <c r="K506" s="2618"/>
      <c r="L506" s="2618"/>
      <c r="M506" s="2618"/>
      <c r="N506" s="2618"/>
      <c r="O506" s="2618"/>
      <c r="P506" s="2618"/>
      <c r="Q506" s="2618"/>
      <c r="R506" s="2618"/>
      <c r="S506" s="2618"/>
      <c r="T506" s="2618"/>
      <c r="U506" s="2618"/>
      <c r="V506" s="2618"/>
      <c r="W506" s="2618"/>
      <c r="X506" s="2618"/>
      <c r="Y506" s="2618"/>
      <c r="Z506" s="2618"/>
      <c r="AA506" s="2618"/>
      <c r="AB506" s="2618"/>
      <c r="AC506" s="2618"/>
      <c r="AD506" s="2618"/>
      <c r="AE506" s="2618"/>
      <c r="AF506" s="550"/>
      <c r="AG506" s="551"/>
      <c r="AH506" s="551"/>
      <c r="AI506" s="551"/>
      <c r="AJ506" s="551"/>
      <c r="AK506" s="732"/>
      <c r="AL506" s="550"/>
      <c r="AM506" s="550"/>
      <c r="AN506" s="534"/>
      <c r="AO506" s="30"/>
      <c r="AP506" s="788"/>
      <c r="AQ506" s="788"/>
      <c r="AR506" s="788"/>
      <c r="AS506" s="679"/>
      <c r="AT506" s="550"/>
      <c r="AU506" s="789"/>
      <c r="AV506" s="789"/>
      <c r="AW506" s="789"/>
      <c r="AX506" s="789"/>
      <c r="AY506" s="789"/>
      <c r="AZ506" s="789"/>
      <c r="BA506" s="789"/>
      <c r="BB506" s="14"/>
      <c r="BC506" s="14"/>
      <c r="BD506" s="536"/>
      <c r="BE506" s="788"/>
      <c r="BF506" s="788"/>
      <c r="BG506" s="788"/>
      <c r="BH506" s="679"/>
      <c r="BI506" s="550"/>
      <c r="BJ506" s="790"/>
      <c r="BK506" s="789"/>
      <c r="BL506" s="789"/>
      <c r="BM506" s="789"/>
      <c r="BN506" s="789"/>
      <c r="BO506" s="789"/>
      <c r="BP506" s="789"/>
      <c r="BQ506" s="14"/>
      <c r="BR506" s="550"/>
      <c r="BS506" s="536"/>
      <c r="BT506" s="536"/>
      <c r="BU506" s="536"/>
      <c r="BV506" s="536"/>
      <c r="BW506" s="536"/>
      <c r="BX506" s="536"/>
      <c r="BY506" s="536"/>
      <c r="BZ506" s="536"/>
      <c r="CA506" s="536"/>
      <c r="CB506" s="536"/>
      <c r="CC506" s="536"/>
    </row>
    <row r="507" spans="1:81" s="570" customFormat="1" ht="12.75" hidden="1" customHeight="1">
      <c r="A507" s="550"/>
      <c r="B507" s="550"/>
      <c r="C507" s="739"/>
      <c r="D507" s="550"/>
      <c r="E507" s="550"/>
      <c r="F507" s="782" t="s">
        <v>1540</v>
      </c>
      <c r="G507" s="551"/>
      <c r="H507" s="551"/>
      <c r="I507" s="551"/>
      <c r="J507" s="551"/>
      <c r="K507" s="551"/>
      <c r="L507" s="551"/>
      <c r="M507" s="551"/>
      <c r="N507" s="551"/>
      <c r="O507" s="551"/>
      <c r="P507" s="551"/>
      <c r="Q507" s="551"/>
      <c r="R507" s="551"/>
      <c r="S507" s="551"/>
      <c r="T507" s="551"/>
      <c r="U507" s="551"/>
      <c r="V507" s="551"/>
      <c r="W507" s="551"/>
      <c r="X507" s="551"/>
      <c r="Y507" s="551"/>
      <c r="Z507" s="551"/>
      <c r="AA507" s="551"/>
      <c r="AB507" s="551"/>
      <c r="AC507" s="591"/>
      <c r="AD507" s="550"/>
      <c r="AE507" s="550"/>
      <c r="AF507" s="550"/>
      <c r="AG507" s="613"/>
      <c r="AH507" s="613"/>
      <c r="AI507" s="613"/>
      <c r="AJ507" s="613"/>
      <c r="AK507" s="732"/>
      <c r="AL507" s="550"/>
      <c r="AM507" s="550"/>
      <c r="AN507" s="534"/>
      <c r="AO507" s="536"/>
      <c r="AP507" s="788"/>
      <c r="AQ507" s="788"/>
      <c r="AR507" s="788"/>
      <c r="AS507" s="679"/>
      <c r="AT507" s="550"/>
      <c r="AU507" s="789"/>
      <c r="AV507" s="789"/>
      <c r="AW507" s="789"/>
      <c r="AX507" s="789"/>
      <c r="AY507" s="789"/>
      <c r="AZ507" s="789"/>
      <c r="BA507" s="789"/>
      <c r="BB507" s="536"/>
      <c r="BC507" s="536"/>
      <c r="BD507" s="536"/>
      <c r="BE507" s="788"/>
      <c r="BF507" s="788"/>
      <c r="BG507" s="788"/>
      <c r="BH507" s="679"/>
      <c r="BI507" s="550"/>
      <c r="BJ507" s="790"/>
      <c r="BK507" s="789"/>
      <c r="BL507" s="789"/>
      <c r="BM507" s="789"/>
      <c r="BN507" s="789"/>
      <c r="BO507" s="789"/>
      <c r="BP507" s="789"/>
      <c r="BQ507" s="536"/>
      <c r="BR507" s="550"/>
      <c r="BS507" s="536"/>
      <c r="BT507" s="536"/>
      <c r="BU507" s="536"/>
      <c r="BV507" s="536"/>
      <c r="BW507" s="536"/>
      <c r="BX507" s="536"/>
      <c r="BY507" s="536"/>
      <c r="BZ507" s="536"/>
      <c r="CA507" s="536"/>
      <c r="CB507" s="536"/>
      <c r="CC507" s="536"/>
    </row>
    <row r="508" spans="1:81" s="570" customFormat="1" hidden="1">
      <c r="A508" s="550"/>
      <c r="B508" s="550"/>
      <c r="C508" s="764"/>
      <c r="D508" s="727"/>
      <c r="E508" s="765"/>
      <c r="F508" s="2619" t="s">
        <v>591</v>
      </c>
      <c r="G508" s="2619"/>
      <c r="H508" s="2619"/>
      <c r="I508" s="658"/>
      <c r="J508" s="658"/>
      <c r="K508" s="658"/>
      <c r="L508" s="658"/>
      <c r="M508" s="658"/>
      <c r="N508" s="658"/>
      <c r="O508" s="658"/>
      <c r="P508" s="658"/>
      <c r="Q508" s="658"/>
      <c r="R508" s="658"/>
      <c r="S508" s="658"/>
      <c r="T508" s="658"/>
      <c r="U508" s="658"/>
      <c r="V508" s="658"/>
      <c r="W508" s="658"/>
      <c r="X508" s="658"/>
      <c r="Y508" s="658"/>
      <c r="Z508" s="658"/>
      <c r="AA508" s="658"/>
      <c r="AB508" s="658"/>
      <c r="AC508" s="658"/>
      <c r="AD508" s="727"/>
      <c r="AE508" s="727"/>
      <c r="AF508" s="727"/>
      <c r="AG508" s="767">
        <f>IF($C$505="Yes",(VLOOKUP($F$508,$AO$481:$AP$483,2,FALSE)),0)</f>
        <v>0</v>
      </c>
      <c r="AH508" s="768" t="s">
        <v>1328</v>
      </c>
      <c r="AI508" s="658"/>
      <c r="AJ508" s="658"/>
      <c r="AK508" s="742"/>
      <c r="AL508" s="550"/>
      <c r="AM508" s="550"/>
      <c r="AN508" s="534"/>
      <c r="AO508" s="536"/>
      <c r="AP508" s="788"/>
      <c r="AQ508" s="788"/>
      <c r="AR508" s="788"/>
      <c r="AS508" s="787"/>
      <c r="AT508" s="550"/>
      <c r="AU508" s="789"/>
      <c r="AV508" s="789"/>
      <c r="AW508" s="789"/>
      <c r="AX508" s="789"/>
      <c r="AY508" s="789"/>
      <c r="AZ508" s="789"/>
      <c r="BA508" s="789"/>
      <c r="BB508" s="536"/>
      <c r="BC508" s="536"/>
      <c r="BD508" s="536"/>
      <c r="BE508" s="788"/>
      <c r="BF508" s="788"/>
      <c r="BG508" s="788"/>
      <c r="BH508" s="787"/>
      <c r="BI508" s="550"/>
      <c r="BJ508" s="790"/>
      <c r="BK508" s="789"/>
      <c r="BL508" s="789"/>
      <c r="BM508" s="789"/>
      <c r="BN508" s="789"/>
      <c r="BO508" s="789"/>
      <c r="BP508" s="789"/>
      <c r="BQ508" s="536"/>
      <c r="BR508" s="550"/>
      <c r="BS508" s="536"/>
      <c r="BT508" s="536"/>
      <c r="BU508" s="536"/>
      <c r="BV508" s="536"/>
      <c r="BW508" s="536"/>
      <c r="BX508" s="536"/>
      <c r="BY508" s="536"/>
      <c r="BZ508" s="536"/>
      <c r="CA508" s="536"/>
      <c r="CB508" s="536"/>
      <c r="CC508" s="536"/>
    </row>
    <row r="509" spans="1:81" s="570" customFormat="1" hidden="1">
      <c r="A509" s="551"/>
      <c r="B509" s="551"/>
      <c r="C509" s="551"/>
      <c r="D509" s="551"/>
      <c r="E509" s="551"/>
      <c r="F509" s="551"/>
      <c r="G509" s="551"/>
      <c r="H509" s="551"/>
      <c r="I509" s="551"/>
      <c r="J509" s="551"/>
      <c r="K509" s="551"/>
      <c r="L509" s="551"/>
      <c r="M509" s="551"/>
      <c r="N509" s="551"/>
      <c r="O509" s="551"/>
      <c r="P509" s="551"/>
      <c r="Q509" s="551"/>
      <c r="R509" s="551"/>
      <c r="S509" s="551"/>
      <c r="T509" s="551"/>
      <c r="U509" s="551"/>
      <c r="V509" s="551"/>
      <c r="W509" s="551"/>
      <c r="X509" s="551"/>
      <c r="Y509" s="551"/>
      <c r="Z509" s="551"/>
      <c r="AA509" s="551"/>
      <c r="AB509" s="551"/>
      <c r="AC509" s="551"/>
      <c r="AD509" s="551"/>
      <c r="AE509" s="550"/>
      <c r="AF509" s="550"/>
      <c r="AG509" s="613"/>
      <c r="AH509" s="640"/>
      <c r="AI509" s="551"/>
      <c r="AJ509" s="551"/>
      <c r="AK509" s="550"/>
      <c r="AL509" s="550"/>
      <c r="AM509" s="550"/>
      <c r="AN509" s="534"/>
      <c r="AO509" s="536"/>
      <c r="AP509" s="788"/>
      <c r="AQ509" s="788"/>
      <c r="AR509" s="788"/>
      <c r="AS509" s="787"/>
      <c r="AT509" s="550"/>
      <c r="AU509" s="789"/>
      <c r="AV509" s="789"/>
      <c r="AW509" s="789"/>
      <c r="AX509" s="789"/>
      <c r="AY509" s="789"/>
      <c r="AZ509" s="789"/>
      <c r="BA509" s="789"/>
      <c r="BB509" s="536"/>
      <c r="BC509" s="536"/>
      <c r="BD509" s="536"/>
      <c r="BE509" s="788"/>
      <c r="BF509" s="788"/>
      <c r="BG509" s="788"/>
      <c r="BH509" s="787"/>
      <c r="BI509" s="550"/>
      <c r="BJ509" s="790"/>
      <c r="BK509" s="789"/>
      <c r="BL509" s="789"/>
      <c r="BM509" s="789"/>
      <c r="BN509" s="789"/>
      <c r="BO509" s="789"/>
      <c r="BP509" s="789"/>
      <c r="BQ509" s="536"/>
      <c r="BR509" s="550"/>
      <c r="BS509" s="536"/>
      <c r="BT509" s="536"/>
      <c r="BU509" s="536"/>
      <c r="BV509" s="536"/>
      <c r="BW509" s="536"/>
      <c r="BX509" s="536"/>
      <c r="BY509" s="536"/>
      <c r="BZ509" s="536"/>
      <c r="CA509" s="536"/>
      <c r="CB509" s="536"/>
      <c r="CC509" s="536"/>
    </row>
    <row r="510" spans="1:81" s="570" customFormat="1" hidden="1">
      <c r="A510" s="550"/>
      <c r="B510" s="550"/>
      <c r="C510" s="2545" t="s">
        <v>591</v>
      </c>
      <c r="D510" s="2546"/>
      <c r="E510" s="761" t="s">
        <v>1541</v>
      </c>
      <c r="F510" s="780" t="s">
        <v>1542</v>
      </c>
      <c r="G510" s="649"/>
      <c r="H510" s="649"/>
      <c r="I510" s="649"/>
      <c r="J510" s="649"/>
      <c r="K510" s="649"/>
      <c r="L510" s="649"/>
      <c r="M510" s="649"/>
      <c r="N510" s="649"/>
      <c r="O510" s="649"/>
      <c r="P510" s="649"/>
      <c r="Q510" s="649"/>
      <c r="R510" s="649"/>
      <c r="S510" s="649"/>
      <c r="T510" s="649"/>
      <c r="U510" s="649"/>
      <c r="V510" s="649"/>
      <c r="W510" s="649"/>
      <c r="X510" s="649"/>
      <c r="Y510" s="649"/>
      <c r="Z510" s="649"/>
      <c r="AA510" s="649"/>
      <c r="AB510" s="649"/>
      <c r="AC510" s="791"/>
      <c r="AD510" s="714"/>
      <c r="AE510" s="714"/>
      <c r="AF510" s="714"/>
      <c r="AG510" s="792"/>
      <c r="AH510" s="792"/>
      <c r="AI510" s="792"/>
      <c r="AJ510" s="792"/>
      <c r="AK510" s="745"/>
      <c r="AL510" s="550"/>
      <c r="AM510" s="550"/>
      <c r="AN510" s="534"/>
      <c r="AO510" s="536"/>
      <c r="AP510" s="788"/>
      <c r="AQ510" s="788"/>
      <c r="AR510" s="788"/>
      <c r="AS510" s="787"/>
      <c r="AT510" s="550"/>
      <c r="AU510" s="789"/>
      <c r="AV510" s="789"/>
      <c r="AW510" s="789"/>
      <c r="AX510" s="789"/>
      <c r="AY510" s="789"/>
      <c r="AZ510" s="789"/>
      <c r="BA510" s="789"/>
      <c r="BB510" s="536"/>
      <c r="BC510" s="536"/>
      <c r="BD510" s="536"/>
      <c r="BE510" s="788"/>
      <c r="BF510" s="788"/>
      <c r="BG510" s="788"/>
      <c r="BH510" s="787"/>
      <c r="BI510" s="550"/>
      <c r="BJ510" s="790"/>
      <c r="BK510" s="789"/>
      <c r="BL510" s="789"/>
      <c r="BM510" s="789"/>
      <c r="BN510" s="789"/>
      <c r="BO510" s="789"/>
      <c r="BP510" s="789"/>
      <c r="BQ510" s="536"/>
      <c r="BR510" s="550"/>
      <c r="BS510" s="536"/>
      <c r="BT510" s="536"/>
      <c r="BU510" s="536"/>
      <c r="BV510" s="536"/>
      <c r="BW510" s="536"/>
      <c r="BX510" s="536"/>
      <c r="BY510" s="536"/>
      <c r="BZ510" s="536"/>
      <c r="CA510" s="536"/>
      <c r="CB510" s="536"/>
      <c r="CC510" s="536"/>
    </row>
    <row r="511" spans="1:81" s="570" customFormat="1" hidden="1">
      <c r="A511" s="550"/>
      <c r="B511" s="550"/>
      <c r="C511" s="762"/>
      <c r="D511" s="550"/>
      <c r="E511" s="763"/>
      <c r="F511" s="551"/>
      <c r="G511" s="551"/>
      <c r="H511" s="551"/>
      <c r="I511" s="551"/>
      <c r="J511" s="551"/>
      <c r="K511" s="551"/>
      <c r="L511" s="551"/>
      <c r="M511" s="551"/>
      <c r="N511" s="551"/>
      <c r="O511" s="551"/>
      <c r="P511" s="551"/>
      <c r="Q511" s="551"/>
      <c r="R511" s="551"/>
      <c r="S511" s="551"/>
      <c r="T511" s="551"/>
      <c r="U511" s="551"/>
      <c r="V511" s="551"/>
      <c r="W511" s="551"/>
      <c r="X511" s="551"/>
      <c r="Y511" s="551"/>
      <c r="Z511" s="551"/>
      <c r="AA511" s="551"/>
      <c r="AB511" s="551"/>
      <c r="AC511" s="551"/>
      <c r="AD511" s="550"/>
      <c r="AE511" s="550"/>
      <c r="AF511" s="550"/>
      <c r="AG511" s="551"/>
      <c r="AH511" s="551"/>
      <c r="AI511" s="551"/>
      <c r="AJ511" s="551"/>
      <c r="AK511" s="732"/>
      <c r="AL511" s="550"/>
      <c r="AM511" s="550"/>
      <c r="AN511" s="534"/>
      <c r="AO511" s="536"/>
      <c r="AP511" s="788"/>
      <c r="AQ511" s="788"/>
      <c r="AR511" s="788"/>
      <c r="AS511" s="787"/>
      <c r="AT511" s="550"/>
      <c r="AU511" s="789"/>
      <c r="AV511" s="789"/>
      <c r="AW511" s="789"/>
      <c r="AX511" s="789"/>
      <c r="AY511" s="789"/>
      <c r="AZ511" s="789"/>
      <c r="BA511" s="789"/>
      <c r="BB511" s="536"/>
      <c r="BC511" s="536"/>
      <c r="BD511" s="536"/>
      <c r="BE511" s="788"/>
      <c r="BF511" s="788"/>
      <c r="BG511" s="788"/>
      <c r="BH511" s="787"/>
      <c r="BI511" s="550"/>
      <c r="BJ511" s="790"/>
      <c r="BK511" s="789"/>
      <c r="BL511" s="789"/>
      <c r="BM511" s="789"/>
      <c r="BN511" s="789"/>
      <c r="BO511" s="789"/>
      <c r="BP511" s="789"/>
      <c r="BQ511" s="536"/>
      <c r="BR511" s="14"/>
      <c r="BS511" s="536"/>
      <c r="BT511" s="536"/>
      <c r="BU511" s="536"/>
      <c r="BV511" s="536"/>
      <c r="BW511" s="536"/>
      <c r="BX511" s="536"/>
      <c r="BY511" s="536"/>
      <c r="BZ511" s="536"/>
      <c r="CA511" s="536"/>
      <c r="CB511" s="536"/>
      <c r="CC511" s="536"/>
    </row>
    <row r="512" spans="1:81" s="570" customFormat="1" hidden="1">
      <c r="A512" s="550"/>
      <c r="B512" s="550"/>
      <c r="C512" s="2609"/>
      <c r="D512" s="2610"/>
      <c r="E512" s="772"/>
      <c r="F512" s="551" t="s">
        <v>1543</v>
      </c>
      <c r="G512" s="551"/>
      <c r="H512" s="551"/>
      <c r="I512" s="551"/>
      <c r="J512" s="551"/>
      <c r="K512" s="551"/>
      <c r="L512" s="551"/>
      <c r="M512" s="551"/>
      <c r="N512" s="551"/>
      <c r="O512" s="551"/>
      <c r="P512" s="551"/>
      <c r="Q512" s="551"/>
      <c r="R512" s="551"/>
      <c r="S512" s="551"/>
      <c r="T512" s="551"/>
      <c r="U512" s="551"/>
      <c r="V512" s="551"/>
      <c r="W512" s="551"/>
      <c r="X512" s="551"/>
      <c r="Y512" s="551"/>
      <c r="Z512" s="551"/>
      <c r="AA512" s="551"/>
      <c r="AB512" s="551"/>
      <c r="AC512" s="591"/>
      <c r="AD512" s="550"/>
      <c r="AE512" s="550"/>
      <c r="AF512" s="550"/>
      <c r="AG512" s="613">
        <f>IF($C$510="Yes",(VLOOKUP($G$513,$AO$488:$AP$491,2,FALSE)),0)</f>
        <v>0</v>
      </c>
      <c r="AH512" s="640" t="s">
        <v>1328</v>
      </c>
      <c r="AI512" s="551"/>
      <c r="AJ512" s="613"/>
      <c r="AK512" s="732"/>
      <c r="AL512" s="550"/>
      <c r="AM512" s="550"/>
      <c r="AN512" s="534"/>
      <c r="AO512" s="536"/>
      <c r="AP512" s="788"/>
      <c r="AQ512" s="788"/>
      <c r="AR512" s="788"/>
      <c r="AS512" s="787"/>
      <c r="AT512" s="550"/>
      <c r="AU512" s="789"/>
      <c r="AV512" s="789"/>
      <c r="AW512" s="789"/>
      <c r="AX512" s="789"/>
      <c r="AY512" s="789"/>
      <c r="AZ512" s="789"/>
      <c r="BA512" s="789"/>
      <c r="BB512" s="536"/>
      <c r="BC512" s="536"/>
      <c r="BD512" s="536"/>
      <c r="BE512" s="788"/>
      <c r="BF512" s="788"/>
      <c r="BG512" s="788"/>
      <c r="BH512" s="787"/>
      <c r="BI512" s="550"/>
      <c r="BJ512" s="790"/>
      <c r="BK512" s="789"/>
      <c r="BL512" s="789"/>
      <c r="BM512" s="789"/>
      <c r="BN512" s="789"/>
      <c r="BO512" s="789"/>
      <c r="BP512" s="789"/>
      <c r="BQ512" s="536"/>
      <c r="BR512" s="550"/>
      <c r="BS512" s="536"/>
      <c r="BT512" s="536"/>
      <c r="BU512" s="536"/>
      <c r="BV512" s="536"/>
      <c r="BW512" s="536"/>
      <c r="BX512" s="536"/>
      <c r="BY512" s="536"/>
      <c r="BZ512" s="536"/>
      <c r="CA512" s="536"/>
      <c r="CB512" s="536"/>
      <c r="CC512" s="536"/>
    </row>
    <row r="513" spans="1:81" s="570" customFormat="1" hidden="1">
      <c r="A513" s="550"/>
      <c r="B513" s="550"/>
      <c r="C513" s="762"/>
      <c r="D513" s="550"/>
      <c r="E513" s="763"/>
      <c r="F513" s="551"/>
      <c r="G513" s="2611" t="s">
        <v>591</v>
      </c>
      <c r="H513" s="2611"/>
      <c r="I513" s="2611"/>
      <c r="J513" s="2611"/>
      <c r="K513" s="2611"/>
      <c r="L513" s="2611"/>
      <c r="M513" s="2611"/>
      <c r="N513" s="2611"/>
      <c r="O513" s="2611"/>
      <c r="P513" s="2611"/>
      <c r="Q513" s="2611"/>
      <c r="R513" s="2611"/>
      <c r="S513" s="2611"/>
      <c r="T513" s="2611"/>
      <c r="U513" s="2611"/>
      <c r="V513" s="2611"/>
      <c r="W513" s="2611"/>
      <c r="X513" s="2611"/>
      <c r="Y513" s="2611"/>
      <c r="Z513" s="2611"/>
      <c r="AA513" s="2611"/>
      <c r="AB513" s="2611"/>
      <c r="AC513" s="2611"/>
      <c r="AD513" s="2611"/>
      <c r="AE513" s="2611"/>
      <c r="AF513" s="2611"/>
      <c r="AG513" s="550"/>
      <c r="AH513" s="550"/>
      <c r="AI513" s="550"/>
      <c r="AJ513" s="551"/>
      <c r="AK513" s="732"/>
      <c r="AL513" s="550"/>
      <c r="AM513" s="550"/>
      <c r="AN513" s="534"/>
      <c r="AO513" s="536"/>
      <c r="AP513" s="788"/>
      <c r="AQ513" s="788"/>
      <c r="AR513" s="788"/>
      <c r="AS513" s="787"/>
      <c r="AT513" s="550"/>
      <c r="AU513" s="789"/>
      <c r="AV513" s="789"/>
      <c r="AW513" s="789"/>
      <c r="AX513" s="789"/>
      <c r="AY513" s="789"/>
      <c r="AZ513" s="789"/>
      <c r="BA513" s="789"/>
      <c r="BB513" s="536"/>
      <c r="BC513" s="536"/>
      <c r="BD513" s="536"/>
      <c r="BE513" s="788"/>
      <c r="BF513" s="788"/>
      <c r="BG513" s="788"/>
      <c r="BH513" s="787"/>
      <c r="BI513" s="550"/>
      <c r="BJ513" s="790"/>
      <c r="BK513" s="789"/>
      <c r="BL513" s="789"/>
      <c r="BM513" s="789"/>
      <c r="BN513" s="789"/>
      <c r="BO513" s="789"/>
      <c r="BP513" s="789"/>
      <c r="BQ513" s="536"/>
      <c r="BR513" s="550"/>
      <c r="BS513" s="536"/>
      <c r="BT513" s="536"/>
      <c r="BU513" s="536"/>
      <c r="BV513" s="536"/>
      <c r="BW513" s="536"/>
      <c r="BX513" s="536"/>
      <c r="BY513" s="536"/>
      <c r="BZ513" s="536"/>
      <c r="CA513" s="536"/>
      <c r="CB513" s="536"/>
      <c r="CC513" s="536"/>
    </row>
    <row r="514" spans="1:81" s="570" customFormat="1" hidden="1">
      <c r="A514" s="550"/>
      <c r="B514" s="550"/>
      <c r="C514" s="731"/>
      <c r="F514" s="14"/>
      <c r="G514" s="14"/>
      <c r="H514" s="14"/>
      <c r="I514" s="14"/>
      <c r="J514" s="14"/>
      <c r="K514" s="14"/>
      <c r="L514" s="14"/>
      <c r="M514" s="14"/>
      <c r="N514" s="14"/>
      <c r="O514" s="14"/>
      <c r="P514" s="14"/>
      <c r="Q514" s="14"/>
      <c r="R514" s="14"/>
      <c r="S514" s="14"/>
      <c r="T514" s="14"/>
      <c r="U514" s="14"/>
      <c r="V514" s="14"/>
      <c r="W514" s="14"/>
      <c r="X514" s="14"/>
      <c r="Y514" s="14"/>
      <c r="Z514" s="14"/>
      <c r="AA514" s="14"/>
      <c r="AB514" s="14"/>
      <c r="AC514" s="14"/>
      <c r="AD514" s="550"/>
      <c r="AE514" s="550"/>
      <c r="AF514" s="550"/>
      <c r="AG514" s="14"/>
      <c r="AH514" s="14"/>
      <c r="AI514" s="14"/>
      <c r="AJ514" s="14"/>
      <c r="AK514" s="732"/>
      <c r="AL514" s="550"/>
      <c r="AM514" s="550"/>
      <c r="AN514" s="534"/>
      <c r="AO514" s="536"/>
      <c r="AP514" s="788"/>
      <c r="AQ514" s="788"/>
      <c r="AR514" s="788"/>
      <c r="AS514" s="787"/>
      <c r="AT514" s="550"/>
      <c r="AU514" s="789"/>
      <c r="AV514" s="789"/>
      <c r="AW514" s="789"/>
      <c r="AX514" s="789"/>
      <c r="AY514" s="789"/>
      <c r="AZ514" s="789"/>
      <c r="BA514" s="789"/>
      <c r="BB514" s="536"/>
      <c r="BC514" s="536"/>
      <c r="BD514" s="536"/>
      <c r="BE514" s="788"/>
      <c r="BF514" s="788"/>
      <c r="BG514" s="788"/>
      <c r="BH514" s="787"/>
      <c r="BI514" s="550"/>
      <c r="BJ514" s="790"/>
      <c r="BK514" s="789"/>
      <c r="BL514" s="789"/>
      <c r="BM514" s="789"/>
      <c r="BN514" s="789"/>
      <c r="BO514" s="789"/>
      <c r="BP514" s="789"/>
      <c r="BQ514" s="536"/>
      <c r="BR514" s="550"/>
      <c r="BS514" s="536"/>
      <c r="BT514" s="536"/>
      <c r="BU514" s="536"/>
      <c r="BV514" s="536"/>
      <c r="BW514" s="536"/>
      <c r="BX514" s="536"/>
      <c r="BY514" s="536"/>
      <c r="BZ514" s="536"/>
      <c r="CA514" s="536"/>
      <c r="CB514" s="536"/>
      <c r="CC514" s="536"/>
    </row>
    <row r="515" spans="1:81" s="570" customFormat="1" ht="12.75" hidden="1" customHeight="1">
      <c r="A515" s="14"/>
      <c r="B515" s="550"/>
      <c r="C515" s="2549" t="s">
        <v>591</v>
      </c>
      <c r="D515" s="2550"/>
      <c r="F515" s="551" t="s">
        <v>1544</v>
      </c>
      <c r="G515" s="551"/>
      <c r="H515" s="551"/>
      <c r="I515" s="551"/>
      <c r="J515" s="551"/>
      <c r="K515" s="551"/>
      <c r="L515" s="551"/>
      <c r="M515" s="551"/>
      <c r="N515" s="551"/>
      <c r="O515" s="551"/>
      <c r="P515" s="551"/>
      <c r="Q515" s="551"/>
      <c r="R515" s="551"/>
      <c r="S515" s="551"/>
      <c r="T515" s="551"/>
      <c r="U515" s="551"/>
      <c r="V515" s="551"/>
      <c r="W515" s="551"/>
      <c r="X515" s="551"/>
      <c r="Y515" s="551"/>
      <c r="Z515" s="551"/>
      <c r="AA515" s="551"/>
      <c r="AB515" s="551"/>
      <c r="AC515" s="591"/>
      <c r="AD515" s="550"/>
      <c r="AE515" s="550"/>
      <c r="AF515" s="550"/>
      <c r="AG515" s="613">
        <f>IF(AND($C$515="Yes",$C$510="Yes"),2,0)</f>
        <v>0</v>
      </c>
      <c r="AH515" s="640" t="s">
        <v>1328</v>
      </c>
      <c r="AI515" s="551"/>
      <c r="AJ515" s="594"/>
      <c r="AK515" s="732"/>
      <c r="AL515" s="550"/>
      <c r="AM515" s="550"/>
      <c r="AN515" s="534"/>
      <c r="AO515" s="536"/>
      <c r="AP515" s="788"/>
      <c r="AQ515" s="788"/>
      <c r="AR515" s="788"/>
      <c r="AS515" s="787"/>
      <c r="AT515" s="550"/>
      <c r="AU515" s="789"/>
      <c r="AV515" s="789"/>
      <c r="AW515" s="789"/>
      <c r="AX515" s="789"/>
      <c r="AY515" s="789"/>
      <c r="AZ515" s="789"/>
      <c r="BA515" s="789"/>
      <c r="BB515" s="536"/>
      <c r="BC515" s="536"/>
      <c r="BD515" s="536"/>
      <c r="BE515" s="788"/>
      <c r="BF515" s="788"/>
      <c r="BG515" s="788"/>
      <c r="BH515" s="787"/>
      <c r="BI515" s="550"/>
      <c r="BJ515" s="790"/>
      <c r="BK515" s="789"/>
      <c r="BL515" s="789"/>
      <c r="BM515" s="789"/>
      <c r="BN515" s="789"/>
      <c r="BO515" s="789"/>
      <c r="BP515" s="789"/>
      <c r="BQ515" s="536"/>
      <c r="BR515" s="550"/>
      <c r="BS515" s="536"/>
      <c r="BT515" s="536"/>
      <c r="BU515" s="536"/>
      <c r="BV515" s="536"/>
      <c r="BW515" s="536"/>
      <c r="BX515" s="536"/>
      <c r="BY515" s="536"/>
      <c r="BZ515" s="536"/>
      <c r="CA515" s="536"/>
      <c r="CB515" s="536"/>
      <c r="CC515" s="536"/>
    </row>
    <row r="516" spans="1:81" s="570" customFormat="1" hidden="1">
      <c r="A516" s="14"/>
      <c r="B516" s="550"/>
      <c r="C516" s="781"/>
      <c r="D516" s="730"/>
      <c r="E516" s="730"/>
      <c r="F516" s="551"/>
      <c r="G516" s="551" t="s">
        <v>1545</v>
      </c>
      <c r="H516" s="551"/>
      <c r="I516" s="551"/>
      <c r="J516" s="551"/>
      <c r="K516" s="551"/>
      <c r="L516" s="551"/>
      <c r="M516" s="551"/>
      <c r="N516" s="551"/>
      <c r="O516" s="551"/>
      <c r="P516" s="551"/>
      <c r="Q516" s="551"/>
      <c r="R516" s="551"/>
      <c r="S516" s="551"/>
      <c r="T516" s="551"/>
      <c r="U516" s="551"/>
      <c r="V516" s="551"/>
      <c r="W516" s="551"/>
      <c r="X516" s="551"/>
      <c r="Y516" s="551"/>
      <c r="Z516" s="551"/>
      <c r="AA516" s="551"/>
      <c r="AB516" s="551"/>
      <c r="AC516" s="591"/>
      <c r="AD516" s="550"/>
      <c r="AE516" s="550"/>
      <c r="AF516" s="550"/>
      <c r="AG516" s="594"/>
      <c r="AH516" s="594"/>
      <c r="AI516" s="594"/>
      <c r="AJ516" s="594"/>
      <c r="AK516" s="732"/>
      <c r="AL516" s="550"/>
      <c r="AM516" s="550"/>
      <c r="AN516" s="597"/>
      <c r="AO516" s="536"/>
      <c r="AP516" s="788"/>
      <c r="AQ516" s="788"/>
      <c r="AR516" s="788"/>
      <c r="AS516" s="787"/>
      <c r="AT516" s="550"/>
      <c r="AU516" s="789"/>
      <c r="AV516" s="789"/>
      <c r="AW516" s="789"/>
      <c r="AX516" s="789"/>
      <c r="AY516" s="789"/>
      <c r="AZ516" s="789"/>
      <c r="BA516" s="789"/>
      <c r="BB516" s="536"/>
      <c r="BC516" s="536"/>
      <c r="BD516" s="536"/>
      <c r="BE516" s="788"/>
      <c r="BF516" s="788"/>
      <c r="BG516" s="788"/>
      <c r="BH516" s="787"/>
      <c r="BI516" s="550"/>
      <c r="BJ516" s="790"/>
      <c r="BK516" s="789"/>
      <c r="BL516" s="789"/>
      <c r="BM516" s="789"/>
      <c r="BN516" s="789"/>
      <c r="BO516" s="789"/>
      <c r="BP516" s="789"/>
      <c r="BQ516" s="536"/>
      <c r="BR516" s="550"/>
      <c r="BS516" s="536"/>
      <c r="BT516" s="536"/>
      <c r="BU516" s="536"/>
      <c r="BV516" s="536"/>
      <c r="BW516" s="536"/>
      <c r="BX516" s="536"/>
      <c r="BY516" s="536"/>
      <c r="BZ516" s="536"/>
      <c r="CA516" s="536"/>
      <c r="CB516" s="536"/>
      <c r="CC516" s="536"/>
    </row>
    <row r="517" spans="1:81" s="550" customFormat="1" ht="12.75" hidden="1" customHeight="1">
      <c r="A517" s="14"/>
      <c r="C517" s="781"/>
      <c r="D517" s="730"/>
      <c r="E517" s="730"/>
      <c r="F517" s="551"/>
      <c r="G517" s="551" t="s">
        <v>1546</v>
      </c>
      <c r="H517" s="551"/>
      <c r="I517" s="551"/>
      <c r="J517" s="551"/>
      <c r="K517" s="551"/>
      <c r="L517" s="551"/>
      <c r="M517" s="551"/>
      <c r="N517" s="551"/>
      <c r="O517" s="551"/>
      <c r="P517" s="551"/>
      <c r="Q517" s="551"/>
      <c r="R517" s="551"/>
      <c r="S517" s="551"/>
      <c r="T517" s="551"/>
      <c r="U517" s="551"/>
      <c r="V517" s="551"/>
      <c r="W517" s="551"/>
      <c r="X517" s="551"/>
      <c r="Y517" s="551"/>
      <c r="Z517" s="551"/>
      <c r="AA517" s="551"/>
      <c r="AB517" s="551"/>
      <c r="AC517" s="591"/>
      <c r="AG517" s="594"/>
      <c r="AH517" s="594"/>
      <c r="AI517" s="594"/>
      <c r="AJ517" s="594"/>
      <c r="AK517" s="732"/>
      <c r="AN517" s="535"/>
      <c r="AP517" s="536"/>
      <c r="AQ517" s="536"/>
      <c r="AR517" s="536"/>
    </row>
    <row r="518" spans="1:81" s="550" customFormat="1" ht="12.75" hidden="1" customHeight="1">
      <c r="A518" s="637"/>
      <c r="B518" s="14"/>
      <c r="C518" s="793"/>
      <c r="D518" s="14"/>
      <c r="G518" s="611"/>
      <c r="H518" s="611"/>
      <c r="I518" s="611"/>
      <c r="J518" s="611"/>
      <c r="K518" s="611"/>
      <c r="L518" s="611"/>
      <c r="M518" s="611"/>
      <c r="N518" s="611"/>
      <c r="O518" s="611"/>
      <c r="P518" s="611"/>
      <c r="Q518" s="611"/>
      <c r="R518" s="611"/>
      <c r="S518" s="611"/>
      <c r="T518" s="611"/>
      <c r="U518" s="611"/>
      <c r="V518" s="611"/>
      <c r="W518" s="611"/>
      <c r="X518" s="611"/>
      <c r="Y518" s="611"/>
      <c r="Z518" s="611"/>
      <c r="AA518" s="611"/>
      <c r="AB518" s="611"/>
      <c r="AC518" s="611"/>
      <c r="AD518" s="611"/>
      <c r="AE518" s="611"/>
      <c r="AF518" s="611"/>
      <c r="AG518" s="591"/>
      <c r="AH518" s="591"/>
      <c r="AI518" s="591"/>
      <c r="AJ518" s="591"/>
      <c r="AK518" s="794"/>
      <c r="AL518" s="14"/>
      <c r="AM518" s="14"/>
      <c r="AN518" s="535"/>
      <c r="AO518" s="536"/>
      <c r="AP518" s="536"/>
      <c r="AQ518" s="536"/>
      <c r="AR518" s="536"/>
    </row>
    <row r="519" spans="1:81" s="550" customFormat="1" ht="12.75" hidden="1" customHeight="1">
      <c r="A519" s="637"/>
      <c r="C519" s="2549" t="s">
        <v>591</v>
      </c>
      <c r="D519" s="2550"/>
      <c r="F519" s="795" t="s">
        <v>1547</v>
      </c>
      <c r="G519" s="2523" t="s">
        <v>1548</v>
      </c>
      <c r="H519" s="2523"/>
      <c r="I519" s="2523"/>
      <c r="J519" s="2523"/>
      <c r="K519" s="2523"/>
      <c r="L519" s="2523"/>
      <c r="M519" s="2523"/>
      <c r="N519" s="2523"/>
      <c r="O519" s="2523"/>
      <c r="P519" s="2523"/>
      <c r="Q519" s="2523"/>
      <c r="R519" s="2523"/>
      <c r="S519" s="2523"/>
      <c r="T519" s="2523"/>
      <c r="U519" s="2523"/>
      <c r="V519" s="2523"/>
      <c r="W519" s="2523"/>
      <c r="X519" s="2523"/>
      <c r="Y519" s="2523"/>
      <c r="Z519" s="2523"/>
      <c r="AA519" s="2523"/>
      <c r="AB519" s="2523"/>
      <c r="AC519" s="2523"/>
      <c r="AD519" s="2523"/>
      <c r="AE519" s="2523"/>
      <c r="AF519" s="2523"/>
      <c r="AG519" s="613">
        <f>IF(AND($C$519="Yes",$C$510="Yes"),2,0)</f>
        <v>0</v>
      </c>
      <c r="AH519" s="640" t="s">
        <v>1328</v>
      </c>
      <c r="AI519" s="551"/>
      <c r="AJ519" s="594"/>
      <c r="AK519" s="732"/>
      <c r="AN519" s="535"/>
      <c r="AZ519" s="539"/>
      <c r="BC519" s="543"/>
      <c r="BD519" s="539"/>
      <c r="BE519" s="539"/>
      <c r="BF519" s="539"/>
      <c r="BM519" s="536"/>
      <c r="BN519" s="539"/>
      <c r="BO519" s="536"/>
      <c r="BP519" s="539"/>
      <c r="BQ519" s="539"/>
      <c r="BR519" s="539"/>
      <c r="BS519" s="539"/>
      <c r="BT519" s="539"/>
      <c r="BU519" s="539"/>
      <c r="BV519" s="536"/>
      <c r="BW519" s="536"/>
      <c r="BX519" s="536"/>
      <c r="BY519" s="536"/>
      <c r="BZ519" s="536"/>
      <c r="CA519" s="536"/>
      <c r="CB519" s="536"/>
      <c r="CC519" s="536"/>
    </row>
    <row r="520" spans="1:81" s="550" customFormat="1" ht="12.75" hidden="1" customHeight="1">
      <c r="C520" s="796"/>
      <c r="D520" s="727"/>
      <c r="E520" s="765"/>
      <c r="F520" s="726"/>
      <c r="G520" s="2542"/>
      <c r="H520" s="2542"/>
      <c r="I520" s="2542"/>
      <c r="J520" s="2542"/>
      <c r="K520" s="2542"/>
      <c r="L520" s="2542"/>
      <c r="M520" s="2542"/>
      <c r="N520" s="2542"/>
      <c r="O520" s="2542"/>
      <c r="P520" s="2542"/>
      <c r="Q520" s="2542"/>
      <c r="R520" s="2542"/>
      <c r="S520" s="2542"/>
      <c r="T520" s="2542"/>
      <c r="U520" s="2542"/>
      <c r="V520" s="2542"/>
      <c r="W520" s="2542"/>
      <c r="X520" s="2542"/>
      <c r="Y520" s="2542"/>
      <c r="Z520" s="2542"/>
      <c r="AA520" s="2542"/>
      <c r="AB520" s="2542"/>
      <c r="AC520" s="2542"/>
      <c r="AD520" s="2542"/>
      <c r="AE520" s="2542"/>
      <c r="AF520" s="2542"/>
      <c r="AG520" s="658"/>
      <c r="AH520" s="658"/>
      <c r="AI520" s="658"/>
      <c r="AJ520" s="658"/>
      <c r="AK520" s="742"/>
      <c r="AN520" s="535"/>
      <c r="AZ520" s="539"/>
      <c r="BC520" s="543"/>
      <c r="BD520" s="539"/>
      <c r="BE520" s="539"/>
      <c r="BF520" s="539"/>
      <c r="BM520" s="595"/>
      <c r="BN520" s="595"/>
      <c r="BO520" s="595"/>
      <c r="BP520" s="595"/>
      <c r="BQ520" s="595"/>
      <c r="BR520" s="595"/>
      <c r="BS520" s="595"/>
      <c r="BT520" s="595"/>
      <c r="BU520" s="595"/>
      <c r="BV520" s="595"/>
      <c r="BW520" s="595"/>
      <c r="BX520" s="595"/>
      <c r="BY520" s="595"/>
      <c r="BZ520" s="595"/>
      <c r="CA520" s="595"/>
      <c r="CB520" s="595"/>
      <c r="CC520" s="595"/>
    </row>
    <row r="521" spans="1:81" s="550" customFormat="1" ht="12.75" hidden="1" customHeight="1">
      <c r="C521" s="536"/>
      <c r="E521" s="763"/>
      <c r="F521" s="603"/>
      <c r="G521" s="573"/>
      <c r="H521" s="573"/>
      <c r="I521" s="573"/>
      <c r="J521" s="573"/>
      <c r="K521" s="573"/>
      <c r="L521" s="573"/>
      <c r="M521" s="573"/>
      <c r="N521" s="573"/>
      <c r="O521" s="573"/>
      <c r="P521" s="573"/>
      <c r="Q521" s="573"/>
      <c r="R521" s="573"/>
      <c r="S521" s="573"/>
      <c r="T521" s="573"/>
      <c r="U521" s="573"/>
      <c r="V521" s="573"/>
      <c r="W521" s="573"/>
      <c r="X521" s="573"/>
      <c r="Y521" s="573"/>
      <c r="Z521" s="573"/>
      <c r="AA521" s="573"/>
      <c r="AB521" s="573"/>
      <c r="AC521" s="573"/>
      <c r="AD521" s="573"/>
      <c r="AE521" s="573"/>
      <c r="AF521" s="573"/>
      <c r="AG521" s="551"/>
      <c r="AH521" s="551"/>
      <c r="AI521" s="551"/>
      <c r="AJ521" s="551"/>
      <c r="AN521" s="535"/>
      <c r="AP521" s="539"/>
      <c r="AQ521" s="539"/>
      <c r="AR521" s="539"/>
      <c r="AS521" s="539"/>
      <c r="AT521" s="539"/>
      <c r="AU521" s="539"/>
      <c r="AV521" s="539"/>
      <c r="AW521" s="539"/>
      <c r="AX521" s="539"/>
      <c r="AY521" s="539"/>
      <c r="AZ521" s="539"/>
      <c r="BA521" s="539"/>
      <c r="BB521" s="539"/>
      <c r="BC521" s="539"/>
      <c r="BD521" s="539"/>
      <c r="BE521" s="539"/>
      <c r="BF521" s="539"/>
      <c r="BG521" s="539"/>
      <c r="BH521" s="539"/>
      <c r="BI521" s="543"/>
      <c r="BJ521" s="797"/>
      <c r="BK521" s="797"/>
      <c r="BM521" s="595"/>
      <c r="BN521" s="595"/>
      <c r="BO521" s="595"/>
      <c r="BP521" s="595"/>
      <c r="BQ521" s="595"/>
      <c r="BR521" s="595"/>
      <c r="BS521" s="595"/>
      <c r="BT521" s="595"/>
      <c r="BU521" s="595"/>
      <c r="BV521" s="595"/>
      <c r="BW521" s="595"/>
      <c r="BX521" s="595"/>
      <c r="BY521" s="595"/>
      <c r="BZ521" s="595"/>
      <c r="CA521" s="595"/>
      <c r="CB521" s="595"/>
      <c r="CC521" s="595"/>
    </row>
    <row r="522" spans="1:81" s="550" customFormat="1" ht="12.75" hidden="1" customHeight="1">
      <c r="C522" s="798" t="s">
        <v>1549</v>
      </c>
      <c r="D522" s="714"/>
      <c r="E522" s="799"/>
      <c r="F522" s="800"/>
      <c r="G522" s="801"/>
      <c r="H522" s="801"/>
      <c r="I522" s="801"/>
      <c r="J522" s="801"/>
      <c r="K522" s="801"/>
      <c r="L522" s="801"/>
      <c r="M522" s="801"/>
      <c r="N522" s="801"/>
      <c r="O522" s="801"/>
      <c r="P522" s="801"/>
      <c r="Q522" s="801"/>
      <c r="R522" s="801"/>
      <c r="S522" s="801"/>
      <c r="T522" s="801"/>
      <c r="U522" s="801"/>
      <c r="V522" s="801"/>
      <c r="W522" s="801"/>
      <c r="X522" s="801"/>
      <c r="Y522" s="801"/>
      <c r="Z522" s="801"/>
      <c r="AA522" s="801"/>
      <c r="AB522" s="801"/>
      <c r="AC522" s="801"/>
      <c r="AD522" s="801"/>
      <c r="AE522" s="801"/>
      <c r="AF522" s="801"/>
      <c r="AG522" s="649"/>
      <c r="AH522" s="649"/>
      <c r="AI522" s="649"/>
      <c r="AJ522" s="649"/>
      <c r="AK522" s="745"/>
      <c r="AN522" s="597"/>
      <c r="AP522" s="539"/>
      <c r="AQ522" s="539"/>
      <c r="AR522" s="539"/>
      <c r="AS522" s="539"/>
      <c r="AT522" s="539"/>
      <c r="AU522" s="539"/>
      <c r="AV522" s="539"/>
      <c r="AW522" s="539"/>
      <c r="AX522" s="539"/>
      <c r="AY522" s="539"/>
      <c r="AZ522" s="539"/>
      <c r="BA522" s="539"/>
      <c r="BB522" s="539"/>
      <c r="BC522" s="539"/>
      <c r="BD522" s="539"/>
      <c r="BE522" s="539"/>
      <c r="BF522" s="539"/>
      <c r="BG522" s="539"/>
      <c r="BH522" s="539"/>
      <c r="BI522" s="637"/>
      <c r="BJ522" s="797"/>
      <c r="BK522" s="797"/>
      <c r="BM522" s="595"/>
      <c r="BN522" s="595"/>
      <c r="BO522" s="595"/>
      <c r="BP522" s="595"/>
      <c r="BQ522" s="595"/>
      <c r="BR522" s="595"/>
      <c r="BS522" s="595"/>
      <c r="BT522" s="595"/>
      <c r="BU522" s="595"/>
      <c r="BV522" s="595"/>
      <c r="BW522" s="595"/>
      <c r="BX522" s="595"/>
      <c r="BY522" s="595"/>
      <c r="BZ522" s="595"/>
      <c r="CA522" s="595"/>
      <c r="CB522" s="595"/>
      <c r="CC522" s="595"/>
    </row>
    <row r="523" spans="1:81" s="550" customFormat="1" ht="12.75" hidden="1" customHeight="1">
      <c r="C523" s="2551" t="s">
        <v>591</v>
      </c>
      <c r="D523" s="2552"/>
      <c r="E523" s="802" t="s">
        <v>1550</v>
      </c>
      <c r="F523" s="771" t="s">
        <v>1551</v>
      </c>
      <c r="G523" s="573"/>
      <c r="H523" s="573"/>
      <c r="I523" s="573"/>
      <c r="J523" s="573"/>
      <c r="K523" s="573"/>
      <c r="L523" s="573"/>
      <c r="M523" s="573"/>
      <c r="N523" s="573"/>
      <c r="O523" s="573"/>
      <c r="P523" s="573"/>
      <c r="Q523" s="573"/>
      <c r="R523" s="573"/>
      <c r="S523" s="573"/>
      <c r="T523" s="573"/>
      <c r="U523" s="573"/>
      <c r="V523" s="573"/>
      <c r="W523" s="573"/>
      <c r="X523" s="573"/>
      <c r="Y523" s="573"/>
      <c r="Z523" s="573"/>
      <c r="AA523" s="573"/>
      <c r="AB523" s="573"/>
      <c r="AC523" s="573"/>
      <c r="AD523" s="573"/>
      <c r="AE523" s="573"/>
      <c r="AF523" s="573"/>
      <c r="AG523" s="613">
        <f>IF(C$523="Yes",(VLOOKUP(F$524,$AO$494:$AP$497,2,FALSE)),0)</f>
        <v>0</v>
      </c>
      <c r="AH523" s="640" t="s">
        <v>1328</v>
      </c>
      <c r="AI523" s="551"/>
      <c r="AJ523" s="551"/>
      <c r="AK523" s="732"/>
      <c r="AN523" s="597"/>
      <c r="AP523" s="539"/>
      <c r="AQ523" s="539"/>
      <c r="AR523" s="539"/>
      <c r="AS523" s="539"/>
      <c r="AT523" s="539"/>
      <c r="AU523" s="539"/>
      <c r="AV523" s="539"/>
      <c r="AW523" s="539"/>
      <c r="AX523" s="539"/>
      <c r="AY523" s="539"/>
      <c r="AZ523" s="539"/>
      <c r="BA523" s="539"/>
      <c r="BB523" s="539"/>
      <c r="BC523" s="539"/>
      <c r="BD523" s="539"/>
      <c r="BE523" s="539"/>
      <c r="BF523" s="539"/>
      <c r="BG523" s="539"/>
      <c r="BH523" s="539"/>
      <c r="BI523" s="637"/>
      <c r="BJ523" s="797"/>
      <c r="BK523" s="797"/>
      <c r="BM523" s="536"/>
      <c r="BN523" s="536"/>
      <c r="BO523" s="536"/>
      <c r="BP523" s="536"/>
      <c r="BQ523" s="536"/>
      <c r="BR523" s="536"/>
      <c r="BS523" s="536"/>
      <c r="BT523" s="536"/>
      <c r="BU523" s="536"/>
      <c r="BV523" s="536"/>
      <c r="BW523" s="536"/>
      <c r="BX523" s="536"/>
      <c r="BY523" s="536"/>
      <c r="BZ523" s="536"/>
      <c r="CA523" s="536"/>
      <c r="CB523" s="536"/>
      <c r="CC523" s="536"/>
    </row>
    <row r="524" spans="1:81" s="550" customFormat="1" ht="12.75" hidden="1" customHeight="1">
      <c r="C524" s="718"/>
      <c r="E524" s="763"/>
      <c r="F524" s="2553" t="s">
        <v>591</v>
      </c>
      <c r="G524" s="2553"/>
      <c r="H524" s="2553"/>
      <c r="I524" s="2553"/>
      <c r="J524" s="2553"/>
      <c r="K524" s="2553"/>
      <c r="L524" s="2553"/>
      <c r="M524" s="2553"/>
      <c r="N524" s="2553"/>
      <c r="O524" s="2553"/>
      <c r="P524" s="2553"/>
      <c r="Q524" s="2553"/>
      <c r="R524" s="2553"/>
      <c r="S524" s="2553"/>
      <c r="T524" s="2553"/>
      <c r="U524" s="2553"/>
      <c r="V524" s="2553"/>
      <c r="W524" s="2553"/>
      <c r="X524" s="2553"/>
      <c r="Y524" s="2553"/>
      <c r="Z524" s="2553"/>
      <c r="AA524" s="2553"/>
      <c r="AB524" s="2553"/>
      <c r="AC524" s="2553"/>
      <c r="AD524" s="2553"/>
      <c r="AE524" s="2553"/>
      <c r="AF524" s="2553"/>
      <c r="AG524" s="551"/>
      <c r="AH524" s="551"/>
      <c r="AI524" s="551"/>
      <c r="AJ524" s="551"/>
      <c r="AK524" s="732"/>
      <c r="AN524" s="597"/>
      <c r="BM524" s="536"/>
      <c r="BN524" s="536"/>
      <c r="BO524" s="536"/>
      <c r="BP524" s="536"/>
      <c r="BQ524" s="536"/>
      <c r="BR524" s="536"/>
      <c r="BS524" s="536"/>
      <c r="BT524" s="536"/>
      <c r="BU524" s="536"/>
      <c r="BV524" s="536"/>
      <c r="BW524" s="536"/>
      <c r="BX524" s="536"/>
      <c r="BY524" s="536"/>
      <c r="BZ524" s="536"/>
      <c r="CA524" s="536"/>
      <c r="CB524" s="536"/>
      <c r="CC524" s="536"/>
    </row>
    <row r="525" spans="1:81" s="550" customFormat="1" ht="12.75" hidden="1" customHeight="1">
      <c r="C525" s="796"/>
      <c r="D525" s="727"/>
      <c r="E525" s="765"/>
      <c r="F525" s="2554"/>
      <c r="G525" s="2554"/>
      <c r="H525" s="2554"/>
      <c r="I525" s="2554"/>
      <c r="J525" s="2554"/>
      <c r="K525" s="2554"/>
      <c r="L525" s="2554"/>
      <c r="M525" s="2554"/>
      <c r="N525" s="2554"/>
      <c r="O525" s="2554"/>
      <c r="P525" s="2554"/>
      <c r="Q525" s="2554"/>
      <c r="R525" s="2554"/>
      <c r="S525" s="2554"/>
      <c r="T525" s="2554"/>
      <c r="U525" s="2554"/>
      <c r="V525" s="2554"/>
      <c r="W525" s="2554"/>
      <c r="X525" s="2554"/>
      <c r="Y525" s="2554"/>
      <c r="Z525" s="2554"/>
      <c r="AA525" s="2554"/>
      <c r="AB525" s="2554"/>
      <c r="AC525" s="2554"/>
      <c r="AD525" s="2554"/>
      <c r="AE525" s="2554"/>
      <c r="AF525" s="2554"/>
      <c r="AG525" s="658"/>
      <c r="AH525" s="658"/>
      <c r="AI525" s="658"/>
      <c r="AJ525" s="658"/>
      <c r="AK525" s="742"/>
      <c r="AN525" s="597"/>
      <c r="BM525" s="536"/>
      <c r="BN525" s="536"/>
      <c r="BO525" s="536"/>
      <c r="BP525" s="536"/>
      <c r="BQ525" s="536"/>
      <c r="BR525" s="536"/>
      <c r="BS525" s="536"/>
      <c r="BT525" s="536"/>
      <c r="BU525" s="536"/>
      <c r="BV525" s="536"/>
      <c r="BW525" s="536"/>
      <c r="BX525" s="536"/>
      <c r="BY525" s="536"/>
      <c r="BZ525" s="536"/>
      <c r="CA525" s="536"/>
      <c r="CB525" s="536"/>
      <c r="CC525" s="536"/>
    </row>
    <row r="526" spans="1:81" s="550" customFormat="1" ht="12.75" hidden="1" customHeight="1">
      <c r="A526" s="637"/>
      <c r="C526" s="551"/>
      <c r="E526" s="551"/>
      <c r="F526" s="771"/>
      <c r="G526" s="551"/>
      <c r="H526" s="551"/>
      <c r="I526" s="551"/>
      <c r="J526" s="551"/>
      <c r="K526" s="551"/>
      <c r="L526" s="551"/>
      <c r="M526" s="551"/>
      <c r="N526" s="551"/>
      <c r="O526" s="551"/>
      <c r="P526" s="551"/>
      <c r="Q526" s="551"/>
      <c r="R526" s="551"/>
      <c r="S526" s="551"/>
      <c r="T526" s="551"/>
      <c r="U526" s="551"/>
      <c r="V526" s="551"/>
      <c r="W526" s="551"/>
      <c r="X526" s="551"/>
      <c r="Y526" s="551"/>
      <c r="Z526" s="551"/>
      <c r="AA526" s="551"/>
      <c r="AB526" s="551"/>
      <c r="AC526" s="551"/>
      <c r="AD526" s="616"/>
      <c r="AE526" s="551"/>
      <c r="AF526" s="551"/>
      <c r="AG526" s="551"/>
      <c r="AH526" s="551"/>
      <c r="AN526" s="597"/>
      <c r="BM526" s="536"/>
      <c r="BN526" s="536"/>
      <c r="BO526" s="536"/>
      <c r="BP526" s="536"/>
      <c r="BQ526" s="536"/>
      <c r="BR526" s="536"/>
      <c r="BS526" s="536"/>
      <c r="BT526" s="536"/>
      <c r="BU526" s="536"/>
      <c r="BV526" s="536"/>
      <c r="BW526" s="536"/>
      <c r="BX526" s="536"/>
      <c r="BY526" s="536"/>
      <c r="BZ526" s="536"/>
      <c r="CA526" s="536"/>
      <c r="CB526" s="536"/>
      <c r="CC526" s="536"/>
    </row>
    <row r="527" spans="1:81" s="550" customFormat="1" ht="12.75" hidden="1" customHeight="1">
      <c r="A527" s="637"/>
      <c r="B527" s="550" t="s">
        <v>1552</v>
      </c>
      <c r="C527" s="551"/>
      <c r="E527" s="551"/>
      <c r="F527" s="551"/>
      <c r="G527" s="551"/>
      <c r="H527" s="551"/>
      <c r="I527" s="551"/>
      <c r="J527" s="551"/>
      <c r="K527" s="551"/>
      <c r="L527" s="551"/>
      <c r="M527" s="551"/>
      <c r="N527" s="551"/>
      <c r="O527" s="551"/>
      <c r="P527" s="551"/>
      <c r="Q527" s="551"/>
      <c r="R527" s="551"/>
      <c r="S527" s="551"/>
      <c r="T527" s="551"/>
      <c r="U527" s="551"/>
      <c r="V527" s="551"/>
      <c r="W527" s="551"/>
      <c r="X527" s="551"/>
      <c r="Y527" s="551"/>
      <c r="Z527" s="551"/>
      <c r="AA527" s="551"/>
      <c r="AB527" s="551"/>
      <c r="AC527" s="551"/>
      <c r="AD527" s="616"/>
      <c r="AE527" s="551"/>
      <c r="AF527" s="551"/>
      <c r="AG527" s="551"/>
      <c r="AH527" s="551"/>
      <c r="AN527" s="597"/>
      <c r="AP527" s="786"/>
      <c r="AQ527" s="786"/>
      <c r="AR527" s="786"/>
      <c r="AS527" s="786"/>
      <c r="AT527" s="786"/>
      <c r="AU527" s="786"/>
      <c r="AV527" s="786"/>
      <c r="AW527" s="786"/>
      <c r="AX527" s="786"/>
      <c r="AY527" s="786"/>
      <c r="BM527" s="536"/>
      <c r="BN527" s="536"/>
      <c r="BO527" s="536"/>
      <c r="BP527" s="536"/>
      <c r="BQ527" s="536"/>
      <c r="BR527" s="536"/>
      <c r="BS527" s="536"/>
      <c r="BT527" s="536"/>
      <c r="BU527" s="536"/>
      <c r="BV527" s="536"/>
      <c r="BW527" s="536"/>
      <c r="BX527" s="536"/>
      <c r="BY527" s="536"/>
      <c r="BZ527" s="536"/>
      <c r="CA527" s="536"/>
      <c r="CB527" s="536"/>
      <c r="CC527" s="536"/>
    </row>
    <row r="528" spans="1:81" s="550" customFormat="1" ht="12.75" hidden="1" customHeight="1">
      <c r="A528" s="637"/>
      <c r="B528" s="550" t="s">
        <v>1553</v>
      </c>
      <c r="C528" s="551"/>
      <c r="E528" s="551"/>
      <c r="F528" s="551"/>
      <c r="G528" s="551"/>
      <c r="H528" s="551"/>
      <c r="I528" s="551"/>
      <c r="J528" s="551"/>
      <c r="K528" s="551"/>
      <c r="L528" s="551"/>
      <c r="M528" s="551"/>
      <c r="N528" s="551"/>
      <c r="O528" s="551"/>
      <c r="P528" s="551"/>
      <c r="Q528" s="551"/>
      <c r="R528" s="551"/>
      <c r="S528" s="551"/>
      <c r="T528" s="551"/>
      <c r="U528" s="551"/>
      <c r="V528" s="551"/>
      <c r="W528" s="551"/>
      <c r="X528" s="551"/>
      <c r="Y528" s="551"/>
      <c r="Z528" s="551"/>
      <c r="AA528" s="551"/>
      <c r="AB528" s="551"/>
      <c r="AC528" s="551"/>
      <c r="AD528" s="616"/>
      <c r="AE528" s="551"/>
      <c r="AF528" s="551"/>
      <c r="AG528" s="551"/>
      <c r="AH528" s="551"/>
      <c r="AN528" s="597"/>
      <c r="AP528" s="803"/>
      <c r="AQ528" s="803"/>
      <c r="AR528" s="803"/>
      <c r="AS528" s="803"/>
      <c r="AT528" s="803"/>
      <c r="AU528" s="803"/>
      <c r="AV528" s="803"/>
      <c r="AW528" s="803"/>
      <c r="AX528" s="803"/>
      <c r="AY528" s="803"/>
      <c r="BM528" s="536"/>
      <c r="BN528" s="536"/>
      <c r="BO528" s="536"/>
      <c r="BP528" s="536"/>
      <c r="BQ528" s="536"/>
      <c r="BR528" s="536"/>
      <c r="BS528" s="536"/>
      <c r="BT528" s="536"/>
      <c r="BU528" s="536"/>
      <c r="BV528" s="536"/>
      <c r="BW528" s="536"/>
      <c r="BX528" s="536"/>
      <c r="BY528" s="536"/>
      <c r="BZ528" s="536"/>
      <c r="CA528" s="536"/>
      <c r="CB528" s="536"/>
      <c r="CC528" s="536"/>
    </row>
    <row r="529" spans="1:81" s="550" customFormat="1" ht="12.75" hidden="1" customHeight="1">
      <c r="A529" s="637"/>
      <c r="B529" s="550" t="s">
        <v>2029</v>
      </c>
      <c r="C529" s="551"/>
      <c r="E529" s="551"/>
      <c r="F529" s="551"/>
      <c r="G529" s="551"/>
      <c r="H529" s="551"/>
      <c r="I529" s="551"/>
      <c r="J529" s="551"/>
      <c r="K529" s="551"/>
      <c r="L529" s="551"/>
      <c r="M529" s="551"/>
      <c r="N529" s="551"/>
      <c r="O529" s="551"/>
      <c r="P529" s="551"/>
      <c r="Q529" s="551"/>
      <c r="R529" s="551"/>
      <c r="S529" s="551"/>
      <c r="T529" s="551"/>
      <c r="U529" s="551"/>
      <c r="V529" s="551"/>
      <c r="W529" s="551"/>
      <c r="X529" s="551"/>
      <c r="Y529" s="551"/>
      <c r="Z529" s="551"/>
      <c r="AA529" s="551"/>
      <c r="AB529" s="551"/>
      <c r="AC529" s="551"/>
      <c r="AD529" s="616"/>
      <c r="AE529" s="551"/>
      <c r="AF529" s="551"/>
      <c r="AG529" s="551"/>
      <c r="AH529" s="551"/>
      <c r="AN529" s="597"/>
      <c r="AP529" s="803"/>
      <c r="AQ529" s="803"/>
      <c r="AR529" s="803"/>
      <c r="AS529" s="803"/>
      <c r="AT529" s="803"/>
      <c r="AU529" s="803"/>
      <c r="AV529" s="803"/>
      <c r="AW529" s="803"/>
      <c r="AX529" s="803"/>
      <c r="AY529" s="803"/>
      <c r="BM529" s="536"/>
      <c r="BN529" s="536"/>
      <c r="BO529" s="536"/>
      <c r="BP529" s="536"/>
      <c r="BQ529" s="536"/>
      <c r="BR529" s="536"/>
      <c r="BS529" s="536"/>
      <c r="BT529" s="536"/>
      <c r="BU529" s="536"/>
      <c r="BV529" s="536"/>
      <c r="BW529" s="536"/>
      <c r="BX529" s="536"/>
      <c r="BY529" s="536"/>
      <c r="BZ529" s="536"/>
      <c r="CA529" s="536"/>
      <c r="CB529" s="536"/>
      <c r="CC529" s="536"/>
    </row>
    <row r="530" spans="1:81" s="550" customFormat="1" ht="12.75" hidden="1" customHeight="1">
      <c r="A530" s="637"/>
      <c r="B530" s="550" t="s">
        <v>1554</v>
      </c>
      <c r="C530" s="551"/>
      <c r="E530" s="551"/>
      <c r="F530" s="551"/>
      <c r="G530" s="551"/>
      <c r="H530" s="551"/>
      <c r="I530" s="551"/>
      <c r="J530" s="551"/>
      <c r="K530" s="551"/>
      <c r="L530" s="551"/>
      <c r="M530" s="551"/>
      <c r="N530" s="551"/>
      <c r="O530" s="551"/>
      <c r="P530" s="551"/>
      <c r="Q530" s="551"/>
      <c r="R530" s="551"/>
      <c r="S530" s="551"/>
      <c r="T530" s="551"/>
      <c r="U530" s="551"/>
      <c r="V530" s="551"/>
      <c r="W530" s="551"/>
      <c r="X530" s="551"/>
      <c r="Y530" s="551"/>
      <c r="Z530" s="551"/>
      <c r="AA530" s="551"/>
      <c r="AB530" s="551"/>
      <c r="AC530" s="551"/>
      <c r="AD530" s="616"/>
      <c r="AE530" s="551"/>
      <c r="AF530" s="551"/>
      <c r="AG530" s="551"/>
      <c r="AH530" s="551"/>
      <c r="AN530" s="597"/>
      <c r="AP530" s="803"/>
      <c r="AQ530" s="803"/>
      <c r="AR530" s="803"/>
      <c r="AS530" s="803"/>
      <c r="AT530" s="803"/>
      <c r="AU530" s="803"/>
      <c r="AV530" s="803"/>
      <c r="AW530" s="803"/>
      <c r="AX530" s="803"/>
      <c r="AY530" s="803"/>
      <c r="BM530" s="536"/>
      <c r="BN530" s="536"/>
      <c r="BO530" s="536"/>
      <c r="BP530" s="536"/>
      <c r="BQ530" s="536"/>
      <c r="BR530" s="536"/>
      <c r="BS530" s="536"/>
      <c r="BT530" s="536"/>
      <c r="BU530" s="536"/>
      <c r="BV530" s="536"/>
      <c r="BW530" s="536"/>
      <c r="BX530" s="536"/>
      <c r="BY530" s="536"/>
      <c r="BZ530" s="536"/>
      <c r="CA530" s="536"/>
      <c r="CB530" s="536"/>
      <c r="CC530" s="536"/>
    </row>
    <row r="531" spans="1:81" s="550" customFormat="1" ht="12.75" hidden="1" customHeight="1">
      <c r="A531" s="637"/>
      <c r="B531" s="550" t="s">
        <v>2030</v>
      </c>
      <c r="C531" s="551"/>
      <c r="E531" s="551"/>
      <c r="F531" s="551"/>
      <c r="G531" s="551"/>
      <c r="H531" s="551"/>
      <c r="I531" s="551"/>
      <c r="J531" s="551"/>
      <c r="K531" s="551"/>
      <c r="L531" s="551"/>
      <c r="M531" s="551"/>
      <c r="N531" s="551"/>
      <c r="O531" s="551"/>
      <c r="P531" s="551"/>
      <c r="Q531" s="551"/>
      <c r="R531" s="551"/>
      <c r="S531" s="551"/>
      <c r="T531" s="551"/>
      <c r="U531" s="551"/>
      <c r="V531" s="551"/>
      <c r="W531" s="551"/>
      <c r="X531" s="551"/>
      <c r="Y531" s="551"/>
      <c r="Z531" s="551"/>
      <c r="AA531" s="551"/>
      <c r="AB531" s="551"/>
      <c r="AC531" s="551"/>
      <c r="AD531" s="616"/>
      <c r="AE531" s="551"/>
      <c r="AF531" s="551"/>
      <c r="AG531" s="551"/>
      <c r="AH531" s="551"/>
      <c r="AN531" s="597"/>
      <c r="AP531" s="803"/>
      <c r="AQ531" s="803"/>
      <c r="AR531" s="803"/>
      <c r="AS531" s="803"/>
      <c r="AT531" s="803"/>
      <c r="AU531" s="803"/>
      <c r="AV531" s="803"/>
      <c r="AW531" s="803"/>
      <c r="AX531" s="803"/>
      <c r="AY531" s="803"/>
      <c r="BM531" s="536"/>
      <c r="BN531" s="536"/>
      <c r="BO531" s="536"/>
      <c r="BP531" s="536"/>
      <c r="BQ531" s="536"/>
      <c r="BR531" s="536"/>
      <c r="BS531" s="536"/>
      <c r="BT531" s="536"/>
      <c r="BU531" s="536"/>
      <c r="BV531" s="536"/>
      <c r="BW531" s="536"/>
      <c r="BX531" s="536"/>
      <c r="BY531" s="536"/>
      <c r="BZ531" s="536"/>
      <c r="CA531" s="536"/>
      <c r="CB531" s="536"/>
      <c r="CC531" s="536"/>
    </row>
    <row r="532" spans="1:81" s="550" customFormat="1" ht="12.75" hidden="1" customHeight="1">
      <c r="A532" s="637"/>
      <c r="B532" s="550" t="s">
        <v>1555</v>
      </c>
      <c r="C532" s="551"/>
      <c r="E532" s="551"/>
      <c r="F532" s="551"/>
      <c r="G532" s="551"/>
      <c r="H532" s="551"/>
      <c r="I532" s="551"/>
      <c r="J532" s="551"/>
      <c r="K532" s="551"/>
      <c r="L532" s="551"/>
      <c r="M532" s="551"/>
      <c r="N532" s="551"/>
      <c r="O532" s="551"/>
      <c r="P532" s="551"/>
      <c r="Q532" s="551"/>
      <c r="R532" s="551"/>
      <c r="S532" s="551"/>
      <c r="T532" s="551"/>
      <c r="U532" s="551"/>
      <c r="V532" s="551"/>
      <c r="W532" s="551"/>
      <c r="X532" s="551"/>
      <c r="Y532" s="551"/>
      <c r="Z532" s="551"/>
      <c r="AA532" s="551"/>
      <c r="AB532" s="551"/>
      <c r="AC532" s="551"/>
      <c r="AD532" s="616"/>
      <c r="AE532" s="551"/>
      <c r="AF532" s="551"/>
      <c r="AG532" s="551"/>
      <c r="AH532" s="551"/>
      <c r="AN532" s="597"/>
      <c r="AP532" s="803"/>
      <c r="AQ532" s="803"/>
      <c r="AR532" s="803"/>
      <c r="AS532" s="803"/>
      <c r="AT532" s="803"/>
      <c r="AU532" s="803"/>
      <c r="AV532" s="803"/>
      <c r="AW532" s="803"/>
      <c r="AX532" s="803"/>
      <c r="AY532" s="803"/>
      <c r="BM532" s="536"/>
      <c r="BN532" s="536"/>
      <c r="BO532" s="536"/>
      <c r="BP532" s="536"/>
      <c r="BQ532" s="536"/>
      <c r="BR532" s="536"/>
      <c r="BS532" s="536"/>
      <c r="BT532" s="536"/>
      <c r="BU532" s="536"/>
      <c r="BV532" s="536"/>
      <c r="BW532" s="536"/>
      <c r="BX532" s="536"/>
      <c r="BY532" s="536"/>
      <c r="BZ532" s="536"/>
      <c r="CA532" s="536"/>
      <c r="CB532" s="536"/>
      <c r="CC532" s="536"/>
    </row>
    <row r="533" spans="1:81" s="550" customFormat="1" ht="12.75" hidden="1" customHeight="1">
      <c r="A533" s="637"/>
      <c r="B533" s="550" t="s">
        <v>1556</v>
      </c>
      <c r="C533" s="551"/>
      <c r="E533" s="551"/>
      <c r="F533" s="551"/>
      <c r="G533" s="551"/>
      <c r="H533" s="551"/>
      <c r="I533" s="551"/>
      <c r="J533" s="551"/>
      <c r="K533" s="551"/>
      <c r="L533" s="551"/>
      <c r="M533" s="551"/>
      <c r="N533" s="551"/>
      <c r="O533" s="551"/>
      <c r="P533" s="551"/>
      <c r="Q533" s="551"/>
      <c r="R533" s="551"/>
      <c r="S533" s="551"/>
      <c r="T533" s="551"/>
      <c r="U533" s="551"/>
      <c r="V533" s="551"/>
      <c r="W533" s="551"/>
      <c r="X533" s="551"/>
      <c r="Y533" s="551"/>
      <c r="Z533" s="551"/>
      <c r="AA533" s="551"/>
      <c r="AB533" s="551"/>
      <c r="AC533" s="551"/>
      <c r="AD533" s="616"/>
      <c r="AE533" s="551"/>
      <c r="AF533" s="551"/>
      <c r="AG533" s="551"/>
      <c r="AH533" s="551"/>
      <c r="AN533" s="597"/>
    </row>
    <row r="534" spans="1:81" s="550" customFormat="1" ht="12.75" hidden="1" customHeight="1">
      <c r="A534" s="804"/>
      <c r="C534" s="551"/>
      <c r="E534" s="551"/>
      <c r="F534" s="551"/>
      <c r="G534" s="551"/>
      <c r="H534" s="551"/>
      <c r="I534" s="551"/>
      <c r="J534" s="551"/>
      <c r="K534" s="551"/>
      <c r="L534" s="551"/>
      <c r="M534" s="551"/>
      <c r="N534" s="551"/>
      <c r="O534" s="551"/>
      <c r="P534" s="551"/>
      <c r="Q534" s="551"/>
      <c r="R534" s="551"/>
      <c r="S534" s="551"/>
      <c r="T534" s="551"/>
      <c r="U534" s="551"/>
      <c r="V534" s="551"/>
      <c r="W534" s="551"/>
      <c r="X534" s="551"/>
      <c r="Y534" s="551"/>
      <c r="Z534" s="551"/>
      <c r="AA534" s="551"/>
      <c r="AB534" s="551"/>
      <c r="AC534" s="551"/>
      <c r="AD534" s="616"/>
      <c r="AE534" s="551"/>
      <c r="AF534" s="551"/>
      <c r="AG534" s="551"/>
      <c r="AH534" s="551"/>
      <c r="AN534" s="597"/>
    </row>
    <row r="535" spans="1:81" s="550" customFormat="1" ht="12.75" hidden="1" customHeight="1">
      <c r="A535" s="606"/>
      <c r="B535" s="664"/>
      <c r="C535" s="664"/>
      <c r="D535" s="664"/>
      <c r="E535" s="664"/>
      <c r="F535" s="664"/>
      <c r="G535" s="664"/>
      <c r="H535" s="664"/>
      <c r="I535" s="664"/>
      <c r="J535" s="664"/>
      <c r="K535" s="664"/>
      <c r="L535" s="664"/>
      <c r="M535" s="664"/>
      <c r="N535" s="664"/>
      <c r="O535" s="664"/>
      <c r="P535" s="664"/>
      <c r="Q535" s="664"/>
      <c r="R535" s="664"/>
      <c r="S535" s="664"/>
      <c r="T535" s="664"/>
      <c r="U535" s="664"/>
      <c r="V535" s="664"/>
      <c r="W535" s="664"/>
      <c r="X535" s="664"/>
      <c r="Y535" s="664"/>
      <c r="Z535" s="664"/>
      <c r="AA535" s="664"/>
      <c r="AB535" s="664"/>
      <c r="AC535" s="665"/>
      <c r="AD535" s="664"/>
      <c r="AE535" s="664"/>
      <c r="AF535" s="664"/>
      <c r="AG535" s="664"/>
      <c r="AH535" s="564"/>
      <c r="AI535" s="565"/>
      <c r="AJ535" s="565" t="s">
        <v>1557</v>
      </c>
      <c r="AK535" s="2479">
        <f>SUM(AG479:AG524)</f>
        <v>0</v>
      </c>
      <c r="AL535" s="2480"/>
      <c r="AM535" s="2481"/>
      <c r="AN535" s="597"/>
      <c r="AP535" s="536"/>
      <c r="AQ535" s="536"/>
      <c r="AR535" s="536"/>
      <c r="AS535" s="536"/>
      <c r="AT535" s="536"/>
      <c r="AU535" s="536"/>
      <c r="AV535" s="536"/>
      <c r="AW535" s="536"/>
      <c r="AX535" s="536"/>
      <c r="AY535" s="536"/>
      <c r="AZ535" s="536"/>
    </row>
    <row r="536" spans="1:81" s="550" customFormat="1" ht="12.75" hidden="1" customHeight="1">
      <c r="B536" s="551"/>
      <c r="C536" s="551"/>
      <c r="D536" s="551"/>
      <c r="E536" s="551"/>
      <c r="F536" s="551"/>
      <c r="G536" s="551"/>
      <c r="H536" s="551"/>
      <c r="I536" s="551"/>
      <c r="J536" s="551"/>
      <c r="K536" s="551"/>
      <c r="L536" s="551"/>
      <c r="M536" s="551"/>
      <c r="N536" s="551"/>
      <c r="O536" s="551"/>
      <c r="P536" s="551"/>
      <c r="Q536" s="551"/>
      <c r="R536" s="551"/>
      <c r="S536" s="551"/>
      <c r="T536" s="551"/>
      <c r="U536" s="551"/>
      <c r="V536" s="551"/>
      <c r="W536" s="551"/>
      <c r="X536" s="551"/>
      <c r="Y536" s="551"/>
      <c r="Z536" s="551"/>
      <c r="AA536" s="551"/>
      <c r="AB536" s="551"/>
      <c r="AC536" s="616"/>
      <c r="AD536" s="551"/>
      <c r="AE536" s="551"/>
      <c r="AF536" s="551"/>
      <c r="AG536" s="551"/>
      <c r="AI536" s="543"/>
      <c r="AJ536" s="543"/>
      <c r="AK536" s="595"/>
      <c r="AL536" s="595"/>
      <c r="AM536" s="595"/>
      <c r="AN536" s="597"/>
      <c r="AP536" s="536"/>
      <c r="AQ536" s="536"/>
      <c r="AR536" s="536"/>
      <c r="AS536" s="536"/>
      <c r="AT536" s="536"/>
      <c r="AU536" s="536"/>
      <c r="AV536" s="536"/>
      <c r="AW536" s="536"/>
      <c r="AX536" s="536"/>
      <c r="AY536" s="536"/>
      <c r="AZ536" s="536"/>
    </row>
    <row r="537" spans="1:81" ht="13.5" thickTop="1"/>
    <row r="538" spans="1:81" s="550" customFormat="1" ht="12.75" customHeight="1">
      <c r="A538" s="539" t="s">
        <v>1558</v>
      </c>
      <c r="B538" s="539" t="s">
        <v>1559</v>
      </c>
      <c r="C538" s="551"/>
      <c r="D538" s="551"/>
      <c r="E538" s="551"/>
      <c r="F538" s="551"/>
      <c r="G538" s="551"/>
      <c r="H538" s="551"/>
      <c r="I538" s="551"/>
      <c r="J538" s="551"/>
      <c r="K538" s="551"/>
      <c r="L538" s="551"/>
      <c r="M538" s="551"/>
      <c r="N538" s="551"/>
      <c r="O538" s="551"/>
      <c r="P538" s="551"/>
      <c r="Q538" s="551"/>
      <c r="R538" s="551"/>
      <c r="S538" s="551"/>
      <c r="T538" s="551"/>
      <c r="U538" s="551"/>
      <c r="V538" s="551"/>
      <c r="W538" s="551"/>
      <c r="X538" s="551"/>
      <c r="Y538" s="551"/>
      <c r="Z538" s="551"/>
      <c r="AA538" s="551"/>
      <c r="AB538" s="551"/>
      <c r="AC538" s="616"/>
      <c r="AD538" s="551"/>
      <c r="AE538" s="2409" t="s">
        <v>1560</v>
      </c>
      <c r="AF538" s="2409"/>
      <c r="AG538" s="2409"/>
      <c r="AH538" s="2409"/>
      <c r="AI538" s="2409"/>
      <c r="AJ538" s="2409"/>
      <c r="AK538" s="2409"/>
      <c r="AL538" s="595"/>
      <c r="AM538" s="595"/>
      <c r="AN538" s="597"/>
    </row>
    <row r="539" spans="1:81" s="550" customFormat="1" ht="12.75" customHeight="1">
      <c r="A539" s="539"/>
      <c r="B539" s="539" t="s">
        <v>1324</v>
      </c>
      <c r="C539" s="551"/>
      <c r="D539" s="551"/>
      <c r="E539" s="551"/>
      <c r="F539" s="551"/>
      <c r="G539" s="551"/>
      <c r="H539" s="551"/>
      <c r="I539" s="551"/>
      <c r="J539" s="551"/>
      <c r="K539" s="551"/>
      <c r="L539" s="551"/>
      <c r="M539" s="551"/>
      <c r="N539" s="551"/>
      <c r="O539" s="551"/>
      <c r="P539" s="551"/>
      <c r="Q539" s="551"/>
      <c r="R539" s="551"/>
      <c r="S539" s="551"/>
      <c r="T539" s="551"/>
      <c r="U539" s="551"/>
      <c r="V539" s="551"/>
      <c r="W539" s="551"/>
      <c r="X539" s="551"/>
      <c r="Y539" s="551"/>
      <c r="Z539" s="551"/>
      <c r="AA539" s="551"/>
      <c r="AB539" s="551"/>
      <c r="AC539" s="616"/>
      <c r="AD539" s="551"/>
      <c r="AE539" s="543"/>
      <c r="AF539" s="543"/>
      <c r="AG539" s="543"/>
      <c r="AH539" s="543"/>
      <c r="AI539" s="543"/>
      <c r="AJ539" s="543"/>
      <c r="AK539" s="543"/>
      <c r="AL539" s="595"/>
      <c r="AM539" s="595"/>
      <c r="AN539" s="597"/>
    </row>
    <row r="540" spans="1:81" s="550" customFormat="1" ht="12.75" customHeight="1">
      <c r="A540" s="539"/>
      <c r="B540" s="539"/>
      <c r="C540" s="551"/>
      <c r="D540" s="551"/>
      <c r="E540" s="551"/>
      <c r="F540" s="551"/>
      <c r="G540" s="551"/>
      <c r="H540" s="551"/>
      <c r="I540" s="551"/>
      <c r="J540" s="551"/>
      <c r="K540" s="551"/>
      <c r="L540" s="551"/>
      <c r="M540" s="551"/>
      <c r="N540" s="551"/>
      <c r="O540" s="551"/>
      <c r="P540" s="551"/>
      <c r="Q540" s="551"/>
      <c r="R540" s="551"/>
      <c r="S540" s="551"/>
      <c r="T540" s="551"/>
      <c r="U540" s="551"/>
      <c r="V540" s="551"/>
      <c r="W540" s="551"/>
      <c r="X540" s="551"/>
      <c r="Y540" s="551"/>
      <c r="Z540" s="551"/>
      <c r="AA540" s="551"/>
      <c r="AB540" s="551"/>
      <c r="AC540" s="616"/>
      <c r="AD540" s="551"/>
      <c r="AE540" s="543"/>
      <c r="AF540" s="543"/>
      <c r="AG540" s="543"/>
      <c r="AH540" s="543"/>
      <c r="AI540" s="543"/>
      <c r="AJ540" s="543"/>
      <c r="AK540" s="543"/>
      <c r="AL540" s="595"/>
      <c r="AM540" s="595"/>
      <c r="AN540" s="597"/>
    </row>
    <row r="541" spans="1:81" s="550" customFormat="1" ht="12.75" customHeight="1">
      <c r="A541" s="539"/>
      <c r="B541" s="539"/>
      <c r="C541" s="2476" t="s">
        <v>545</v>
      </c>
      <c r="D541" s="2476"/>
      <c r="E541" s="551"/>
      <c r="F541" s="2603" t="s">
        <v>1561</v>
      </c>
      <c r="G541" s="2604"/>
      <c r="H541" s="2604"/>
      <c r="I541" s="2604"/>
      <c r="J541" s="2604"/>
      <c r="K541" s="2604"/>
      <c r="L541" s="2604"/>
      <c r="M541" s="2604"/>
      <c r="N541" s="2604"/>
      <c r="O541" s="2604"/>
      <c r="P541" s="2604"/>
      <c r="Q541" s="2604"/>
      <c r="R541" s="2604"/>
      <c r="S541" s="2604"/>
      <c r="T541" s="2604"/>
      <c r="U541" s="2604"/>
      <c r="V541" s="2604"/>
      <c r="W541" s="2604"/>
      <c r="X541" s="2604"/>
      <c r="Y541" s="2604"/>
      <c r="Z541" s="2604"/>
      <c r="AA541" s="2604"/>
      <c r="AB541" s="2604"/>
      <c r="AC541" s="2604"/>
      <c r="AD541" s="2604"/>
      <c r="AE541" s="2604"/>
      <c r="AF541" s="2604"/>
      <c r="AG541" s="2604"/>
      <c r="AH541" s="2604"/>
      <c r="AI541" s="2604"/>
      <c r="AJ541" s="2604"/>
      <c r="AK541" s="2604"/>
      <c r="AL541" s="2605"/>
      <c r="AM541" s="595"/>
      <c r="AN541" s="597"/>
    </row>
    <row r="542" spans="1:81" s="550" customFormat="1" ht="12.75" customHeight="1">
      <c r="A542" s="539"/>
      <c r="B542" s="539"/>
      <c r="C542" s="551"/>
      <c r="D542" s="551"/>
      <c r="E542" s="551"/>
      <c r="F542" s="2606"/>
      <c r="G542" s="2607"/>
      <c r="H542" s="2607"/>
      <c r="I542" s="2607"/>
      <c r="J542" s="2607"/>
      <c r="K542" s="2607"/>
      <c r="L542" s="2607"/>
      <c r="M542" s="2607"/>
      <c r="N542" s="2607"/>
      <c r="O542" s="2607"/>
      <c r="P542" s="2607"/>
      <c r="Q542" s="2607"/>
      <c r="R542" s="2607"/>
      <c r="S542" s="2607"/>
      <c r="T542" s="2607"/>
      <c r="U542" s="2607"/>
      <c r="V542" s="2607"/>
      <c r="W542" s="2607"/>
      <c r="X542" s="2607"/>
      <c r="Y542" s="2607"/>
      <c r="Z542" s="2607"/>
      <c r="AA542" s="2607"/>
      <c r="AB542" s="2607"/>
      <c r="AC542" s="2607"/>
      <c r="AD542" s="2607"/>
      <c r="AE542" s="2607"/>
      <c r="AF542" s="2607"/>
      <c r="AG542" s="2607"/>
      <c r="AH542" s="2607"/>
      <c r="AI542" s="2607"/>
      <c r="AJ542" s="2607"/>
      <c r="AK542" s="2607"/>
      <c r="AL542" s="2608"/>
      <c r="AM542" s="595"/>
      <c r="AN542" s="597"/>
    </row>
    <row r="543" spans="1:81" s="550" customFormat="1" ht="12.75" customHeight="1">
      <c r="A543" s="539"/>
      <c r="B543" s="539"/>
      <c r="C543" s="551"/>
      <c r="D543" s="551"/>
      <c r="E543" s="551"/>
      <c r="F543" s="805"/>
      <c r="G543" s="805"/>
      <c r="H543" s="805"/>
      <c r="I543" s="805"/>
      <c r="J543" s="805"/>
      <c r="K543" s="805"/>
      <c r="L543" s="805"/>
      <c r="M543" s="805"/>
      <c r="N543" s="805"/>
      <c r="O543" s="805"/>
      <c r="P543" s="805"/>
      <c r="Q543" s="805"/>
      <c r="R543" s="805"/>
      <c r="S543" s="805"/>
      <c r="T543" s="805"/>
      <c r="U543" s="805"/>
      <c r="V543" s="805"/>
      <c r="W543" s="805"/>
      <c r="X543" s="805"/>
      <c r="Y543" s="805"/>
      <c r="Z543" s="805"/>
      <c r="AA543" s="805"/>
      <c r="AB543" s="805"/>
      <c r="AC543" s="805"/>
      <c r="AD543" s="805"/>
      <c r="AE543" s="805"/>
      <c r="AF543" s="805"/>
      <c r="AG543" s="805"/>
      <c r="AH543" s="805"/>
      <c r="AI543" s="805"/>
      <c r="AJ543" s="805"/>
      <c r="AK543" s="805"/>
      <c r="AL543" s="805"/>
      <c r="AM543" s="595"/>
      <c r="AN543" s="597"/>
    </row>
    <row r="544" spans="1:81" s="550" customFormat="1" ht="12.75" customHeight="1">
      <c r="A544" s="539"/>
      <c r="B544" s="806"/>
      <c r="C544" s="2476" t="s">
        <v>591</v>
      </c>
      <c r="D544" s="2476"/>
      <c r="E544" s="806"/>
      <c r="F544" s="644" t="s">
        <v>1562</v>
      </c>
      <c r="G544" s="807"/>
      <c r="H544" s="808"/>
      <c r="I544" s="808"/>
      <c r="J544" s="808"/>
      <c r="K544" s="808"/>
      <c r="L544" s="808"/>
      <c r="M544" s="808"/>
      <c r="N544" s="808"/>
      <c r="O544" s="808"/>
      <c r="P544" s="808"/>
      <c r="Q544" s="808"/>
      <c r="R544" s="808"/>
      <c r="S544" s="808"/>
      <c r="T544" s="808"/>
      <c r="U544" s="808"/>
      <c r="V544" s="808"/>
      <c r="W544" s="808"/>
      <c r="X544" s="808"/>
      <c r="Y544" s="808"/>
      <c r="Z544" s="808"/>
      <c r="AA544" s="808"/>
      <c r="AB544" s="808"/>
      <c r="AC544" s="808"/>
      <c r="AD544" s="808"/>
      <c r="AE544" s="808"/>
      <c r="AF544" s="808"/>
      <c r="AG544" s="808"/>
      <c r="AH544" s="808"/>
      <c r="AI544" s="808"/>
      <c r="AJ544" s="808"/>
      <c r="AK544" s="809"/>
      <c r="AL544" s="810"/>
      <c r="AM544" s="595"/>
      <c r="AN544" s="597"/>
    </row>
    <row r="545" spans="1:49" s="550" customFormat="1" ht="12.75" customHeight="1">
      <c r="B545" s="806"/>
      <c r="C545" s="806"/>
      <c r="D545" s="806"/>
      <c r="E545" s="806"/>
      <c r="F545" s="2498" t="s">
        <v>1563</v>
      </c>
      <c r="G545" s="2499"/>
      <c r="H545" s="2499"/>
      <c r="I545" s="2499"/>
      <c r="J545" s="2499"/>
      <c r="K545" s="2499"/>
      <c r="L545" s="2499"/>
      <c r="M545" s="2499"/>
      <c r="N545" s="2499"/>
      <c r="O545" s="2499"/>
      <c r="P545" s="2499"/>
      <c r="Q545" s="2499"/>
      <c r="R545" s="2499"/>
      <c r="S545" s="2499"/>
      <c r="T545" s="2499"/>
      <c r="U545" s="2499"/>
      <c r="V545" s="2499"/>
      <c r="W545" s="2499"/>
      <c r="X545" s="2499"/>
      <c r="Y545" s="2499"/>
      <c r="Z545" s="2499"/>
      <c r="AA545" s="2499"/>
      <c r="AB545" s="2499"/>
      <c r="AC545" s="2499"/>
      <c r="AD545" s="2499"/>
      <c r="AE545" s="2499"/>
      <c r="AF545" s="2499"/>
      <c r="AG545" s="2499"/>
      <c r="AH545" s="2499"/>
      <c r="AI545" s="2499"/>
      <c r="AJ545" s="2499"/>
      <c r="AK545" s="2499"/>
      <c r="AL545" s="2500"/>
      <c r="AM545" s="595"/>
      <c r="AN545" s="597"/>
      <c r="AS545" s="870"/>
      <c r="AT545" s="870"/>
      <c r="AU545" s="870"/>
      <c r="AV545" s="870"/>
      <c r="AW545" s="870"/>
    </row>
    <row r="546" spans="1:49" s="550" customFormat="1" ht="12.75" customHeight="1">
      <c r="B546" s="806"/>
      <c r="C546" s="806"/>
      <c r="D546" s="806"/>
      <c r="E546" s="806"/>
      <c r="F546" s="2498"/>
      <c r="G546" s="2499"/>
      <c r="H546" s="2499"/>
      <c r="I546" s="2499"/>
      <c r="J546" s="2499"/>
      <c r="K546" s="2499"/>
      <c r="L546" s="2499"/>
      <c r="M546" s="2499"/>
      <c r="N546" s="2499"/>
      <c r="O546" s="2499"/>
      <c r="P546" s="2499"/>
      <c r="Q546" s="2499"/>
      <c r="R546" s="2499"/>
      <c r="S546" s="2499"/>
      <c r="T546" s="2499"/>
      <c r="U546" s="2499"/>
      <c r="V546" s="2499"/>
      <c r="W546" s="2499"/>
      <c r="X546" s="2499"/>
      <c r="Y546" s="2499"/>
      <c r="Z546" s="2499"/>
      <c r="AA546" s="2499"/>
      <c r="AB546" s="2499"/>
      <c r="AC546" s="2499"/>
      <c r="AD546" s="2499"/>
      <c r="AE546" s="2499"/>
      <c r="AF546" s="2499"/>
      <c r="AG546" s="2499"/>
      <c r="AH546" s="2499"/>
      <c r="AI546" s="2499"/>
      <c r="AJ546" s="2499"/>
      <c r="AK546" s="2499"/>
      <c r="AL546" s="2500"/>
      <c r="AM546" s="595"/>
      <c r="AN546" s="597"/>
    </row>
    <row r="547" spans="1:49" s="550" customFormat="1" ht="12.75" customHeight="1">
      <c r="B547" s="806"/>
      <c r="C547" s="806"/>
      <c r="D547" s="806"/>
      <c r="E547" s="806"/>
      <c r="F547" s="811" t="s">
        <v>2031</v>
      </c>
      <c r="G547" s="616"/>
      <c r="H547" s="616"/>
      <c r="I547" s="616"/>
      <c r="J547" s="616"/>
      <c r="K547" s="616"/>
      <c r="L547" s="616"/>
      <c r="M547" s="616"/>
      <c r="N547" s="616"/>
      <c r="O547" s="616"/>
      <c r="P547" s="616"/>
      <c r="Q547" s="616"/>
      <c r="R547" s="616"/>
      <c r="S547" s="616"/>
      <c r="T547" s="616"/>
      <c r="U547" s="616"/>
      <c r="V547" s="616"/>
      <c r="W547" s="616"/>
      <c r="X547" s="616"/>
      <c r="Y547" s="616"/>
      <c r="Z547" s="616"/>
      <c r="AA547" s="616"/>
      <c r="AB547" s="616"/>
      <c r="AC547" s="616"/>
      <c r="AD547" s="616"/>
      <c r="AE547" s="616"/>
      <c r="AF547" s="616"/>
      <c r="AG547" s="616"/>
      <c r="AH547" s="616"/>
      <c r="AI547" s="616"/>
      <c r="AJ547" s="616"/>
      <c r="AK547" s="616"/>
      <c r="AL547" s="812"/>
      <c r="AM547" s="595"/>
      <c r="AN547" s="597"/>
    </row>
    <row r="548" spans="1:49" s="550" customFormat="1" ht="12.75" customHeight="1">
      <c r="B548" s="806"/>
      <c r="C548" s="806"/>
      <c r="D548" s="806"/>
      <c r="E548" s="806"/>
      <c r="F548" s="2498" t="s">
        <v>1564</v>
      </c>
      <c r="G548" s="2499"/>
      <c r="H548" s="2499"/>
      <c r="I548" s="2499"/>
      <c r="J548" s="2499"/>
      <c r="K548" s="2499"/>
      <c r="L548" s="2499"/>
      <c r="M548" s="2499"/>
      <c r="N548" s="2499"/>
      <c r="O548" s="2499"/>
      <c r="P548" s="2499"/>
      <c r="Q548" s="2499"/>
      <c r="R548" s="2499"/>
      <c r="S548" s="2499"/>
      <c r="T548" s="2499"/>
      <c r="U548" s="2499"/>
      <c r="V548" s="2499"/>
      <c r="W548" s="2499"/>
      <c r="X548" s="2499"/>
      <c r="Y548" s="2499"/>
      <c r="Z548" s="2499"/>
      <c r="AA548" s="2499"/>
      <c r="AB548" s="2499"/>
      <c r="AC548" s="2499"/>
      <c r="AD548" s="2499"/>
      <c r="AE548" s="2499"/>
      <c r="AF548" s="2499"/>
      <c r="AG548" s="2499"/>
      <c r="AH548" s="2499"/>
      <c r="AI548" s="2499"/>
      <c r="AJ548" s="2499"/>
      <c r="AK548" s="2499"/>
      <c r="AL548" s="813"/>
      <c r="AM548" s="595"/>
      <c r="AN548" s="597"/>
    </row>
    <row r="549" spans="1:49" s="550" customFormat="1" ht="12.75" customHeight="1">
      <c r="B549" s="806"/>
      <c r="C549" s="806"/>
      <c r="D549" s="806"/>
      <c r="E549" s="806"/>
      <c r="F549" s="2501"/>
      <c r="G549" s="2502"/>
      <c r="H549" s="2502"/>
      <c r="I549" s="2502"/>
      <c r="J549" s="2502"/>
      <c r="K549" s="2502"/>
      <c r="L549" s="2502"/>
      <c r="M549" s="2502"/>
      <c r="N549" s="2502"/>
      <c r="O549" s="2502"/>
      <c r="P549" s="2502"/>
      <c r="Q549" s="2502"/>
      <c r="R549" s="2502"/>
      <c r="S549" s="2502"/>
      <c r="T549" s="2502"/>
      <c r="U549" s="2502"/>
      <c r="V549" s="2502"/>
      <c r="W549" s="2502"/>
      <c r="X549" s="2502"/>
      <c r="Y549" s="2502"/>
      <c r="Z549" s="2502"/>
      <c r="AA549" s="2502"/>
      <c r="AB549" s="2502"/>
      <c r="AC549" s="2502"/>
      <c r="AD549" s="2502"/>
      <c r="AE549" s="2502"/>
      <c r="AF549" s="2502"/>
      <c r="AG549" s="2502"/>
      <c r="AH549" s="2502"/>
      <c r="AI549" s="2502"/>
      <c r="AJ549" s="2502"/>
      <c r="AK549" s="2502"/>
      <c r="AL549" s="814"/>
      <c r="AM549" s="595"/>
      <c r="AN549" s="597"/>
    </row>
    <row r="550" spans="1:49" s="550" customFormat="1" ht="12.75" customHeight="1">
      <c r="B550" s="806"/>
      <c r="C550" s="806"/>
      <c r="D550" s="806"/>
      <c r="E550" s="806"/>
      <c r="F550" s="642"/>
      <c r="G550" s="642"/>
      <c r="H550" s="642"/>
      <c r="I550" s="642"/>
      <c r="J550" s="642"/>
      <c r="K550" s="642"/>
      <c r="L550" s="642"/>
      <c r="M550" s="642"/>
      <c r="N550" s="642"/>
      <c r="O550" s="642"/>
      <c r="P550" s="642"/>
      <c r="Q550" s="642"/>
      <c r="R550" s="642"/>
      <c r="S550" s="642"/>
      <c r="T550" s="642"/>
      <c r="U550" s="642"/>
      <c r="V550" s="642"/>
      <c r="W550" s="642"/>
      <c r="X550" s="642"/>
      <c r="Y550" s="642"/>
      <c r="Z550" s="642"/>
      <c r="AA550" s="642"/>
      <c r="AB550" s="642"/>
      <c r="AC550" s="642"/>
      <c r="AD550" s="642"/>
      <c r="AE550" s="642"/>
      <c r="AF550" s="642"/>
      <c r="AG550" s="642"/>
      <c r="AH550" s="642"/>
      <c r="AI550" s="642"/>
      <c r="AJ550" s="642"/>
      <c r="AK550" s="642"/>
      <c r="AL550" s="595"/>
      <c r="AM550" s="595"/>
      <c r="AN550" s="597"/>
      <c r="AP550" s="2625">
        <f>Application!AJ992</f>
        <v>63663686</v>
      </c>
      <c r="AQ550" s="2625"/>
      <c r="AR550" s="2625"/>
      <c r="AS550" s="550" t="s">
        <v>2170</v>
      </c>
    </row>
    <row r="551" spans="1:49" s="550" customFormat="1" ht="12.75" customHeight="1">
      <c r="A551" s="498"/>
      <c r="B551" s="447" t="s">
        <v>1565</v>
      </c>
      <c r="C551" s="623"/>
      <c r="D551" s="623"/>
      <c r="E551" s="623"/>
      <c r="F551" s="14"/>
      <c r="G551" s="624"/>
      <c r="H551" s="624"/>
      <c r="I551" s="624"/>
      <c r="J551" s="624"/>
      <c r="K551" s="624"/>
      <c r="L551" s="624"/>
      <c r="M551" s="624"/>
      <c r="N551" s="624"/>
      <c r="O551" s="624"/>
      <c r="P551" s="624"/>
      <c r="Q551" s="624"/>
      <c r="R551" s="14"/>
      <c r="S551" s="14"/>
      <c r="T551" s="14"/>
      <c r="U551" s="14"/>
      <c r="V551" s="14"/>
      <c r="W551" s="14"/>
      <c r="X551" s="624"/>
      <c r="Y551" s="624"/>
      <c r="Z551" s="624"/>
      <c r="AA551" s="622"/>
      <c r="AB551" s="622"/>
      <c r="AC551" s="622"/>
      <c r="AD551" s="622"/>
      <c r="AE551" s="14"/>
      <c r="AF551" s="2482">
        <f>'Sources and Uses Budget'!S107+'Sources and Uses Budget'!T107</f>
        <v>47056089</v>
      </c>
      <c r="AG551" s="2482"/>
      <c r="AH551" s="2482"/>
      <c r="AI551" s="2482"/>
      <c r="AJ551" s="2482"/>
      <c r="AK551" s="595"/>
      <c r="AL551" s="595"/>
      <c r="AM551" s="595"/>
      <c r="AN551" s="597"/>
    </row>
    <row r="552" spans="1:49" s="550" customFormat="1" ht="12.75" customHeight="1">
      <c r="A552" s="625"/>
      <c r="B552" s="625" t="s">
        <v>1566</v>
      </c>
      <c r="C552" s="624"/>
      <c r="D552" s="624"/>
      <c r="E552" s="626"/>
      <c r="F552" s="626"/>
      <c r="G552" s="626"/>
      <c r="H552" s="626"/>
      <c r="I552" s="626"/>
      <c r="J552" s="626"/>
      <c r="K552" s="626"/>
      <c r="L552" s="624"/>
      <c r="M552" s="626"/>
      <c r="N552" s="626"/>
      <c r="O552" s="626"/>
      <c r="P552" s="626"/>
      <c r="Q552" s="626"/>
      <c r="R552" s="14"/>
      <c r="S552" s="14"/>
      <c r="T552" s="14"/>
      <c r="U552" s="14"/>
      <c r="V552" s="14"/>
      <c r="W552" s="14"/>
      <c r="X552" s="624"/>
      <c r="Y552" s="624"/>
      <c r="Z552" s="624"/>
      <c r="AA552" s="622"/>
      <c r="AB552" s="622"/>
      <c r="AC552" s="622"/>
      <c r="AD552" s="622"/>
      <c r="AE552" s="14"/>
      <c r="AF552" s="2630">
        <f>IFERROR(AP559,0)</f>
        <v>117777819.5</v>
      </c>
      <c r="AG552" s="2630"/>
      <c r="AH552" s="2630"/>
      <c r="AI552" s="2630"/>
      <c r="AJ552" s="2630"/>
      <c r="AK552" s="595"/>
      <c r="AL552" s="595"/>
      <c r="AM552" s="595"/>
      <c r="AN552" s="597"/>
      <c r="AP552" s="2625">
        <f>Application!AJ1045</f>
        <v>8276279.1800000006</v>
      </c>
      <c r="AQ552" s="2625"/>
      <c r="AR552" s="2625"/>
      <c r="AS552" s="550" t="s">
        <v>1865</v>
      </c>
    </row>
    <row r="553" spans="1:49" s="550" customFormat="1" ht="12.75" customHeight="1">
      <c r="A553" s="624"/>
      <c r="B553" s="624" t="s">
        <v>13</v>
      </c>
      <c r="C553" s="624"/>
      <c r="D553" s="624"/>
      <c r="E553" s="624"/>
      <c r="F553" s="624"/>
      <c r="G553" s="624"/>
      <c r="H553" s="624"/>
      <c r="I553" s="624"/>
      <c r="J553" s="624"/>
      <c r="K553" s="624"/>
      <c r="L553" s="624"/>
      <c r="M553" s="624"/>
      <c r="N553" s="624"/>
      <c r="O553" s="624"/>
      <c r="P553" s="624"/>
      <c r="Q553" s="624"/>
      <c r="R553" s="14"/>
      <c r="S553" s="14"/>
      <c r="T553" s="14"/>
      <c r="U553" s="14"/>
      <c r="V553" s="14"/>
      <c r="W553" s="14"/>
      <c r="X553" s="624"/>
      <c r="Y553" s="624"/>
      <c r="Z553" s="624"/>
      <c r="AA553" s="622"/>
      <c r="AB553" s="622"/>
      <c r="AC553" s="622"/>
      <c r="AD553" s="622"/>
      <c r="AE553" s="14"/>
      <c r="AF553" s="2631">
        <f>IFERROR(ROUNDDOWN(IF(C544="YES",((1-(AF551/AF552))*2),(1-(AF551/AF552))),2),0)</f>
        <v>0.6</v>
      </c>
      <c r="AG553" s="2631"/>
      <c r="AH553" s="2631"/>
      <c r="AI553" s="2631"/>
      <c r="AJ553" s="2631"/>
      <c r="AK553" s="595"/>
      <c r="AL553" s="595"/>
      <c r="AM553" s="595"/>
      <c r="AN553" s="597"/>
      <c r="AP553" s="2628">
        <f>Application!AJ1049</f>
        <v>39471485.32</v>
      </c>
      <c r="AQ553" s="2628"/>
      <c r="AR553" s="2628"/>
      <c r="AS553" s="550" t="s">
        <v>2171</v>
      </c>
    </row>
    <row r="554" spans="1:49" s="550" customFormat="1" ht="12.75" customHeight="1">
      <c r="A554" s="624"/>
      <c r="B554" s="624"/>
      <c r="C554" s="624"/>
      <c r="D554" s="624"/>
      <c r="E554" s="624"/>
      <c r="F554" s="624"/>
      <c r="G554" s="624"/>
      <c r="H554" s="624"/>
      <c r="I554" s="624"/>
      <c r="J554" s="624"/>
      <c r="K554" s="624"/>
      <c r="L554" s="624"/>
      <c r="M554" s="624"/>
      <c r="N554" s="624"/>
      <c r="O554" s="624"/>
      <c r="P554" s="624"/>
      <c r="Q554" s="624"/>
      <c r="R554" s="14"/>
      <c r="S554" s="14"/>
      <c r="T554" s="14"/>
      <c r="U554" s="14"/>
      <c r="V554" s="14"/>
      <c r="W554" s="14"/>
      <c r="X554" s="624"/>
      <c r="Y554" s="624"/>
      <c r="Z554" s="624"/>
      <c r="AA554" s="622"/>
      <c r="AB554" s="622"/>
      <c r="AC554" s="622"/>
      <c r="AD554" s="622"/>
      <c r="AE554" s="14"/>
      <c r="AF554" s="815"/>
      <c r="AG554" s="815"/>
      <c r="AH554" s="815"/>
      <c r="AI554" s="815"/>
      <c r="AJ554" s="815"/>
      <c r="AK554" s="595"/>
      <c r="AL554" s="595"/>
      <c r="AM554" s="595"/>
      <c r="AN554" s="597"/>
      <c r="AP554" s="2624">
        <f>IF(((AP552+AP553)/AP550)&gt;0.8,0.8,((AP552+AP553)/AP550))</f>
        <v>0.75</v>
      </c>
      <c r="AQ554" s="2624"/>
      <c r="AR554" s="2624"/>
      <c r="AS554" s="550" t="s">
        <v>2172</v>
      </c>
    </row>
    <row r="555" spans="1:49" s="550" customFormat="1" ht="12.75" customHeight="1">
      <c r="A555" s="624"/>
      <c r="B555" s="2561" t="s">
        <v>2032</v>
      </c>
      <c r="C555" s="2562"/>
      <c r="D555" s="2562"/>
      <c r="E555" s="2562"/>
      <c r="F555" s="2562"/>
      <c r="G555" s="2562"/>
      <c r="H555" s="2562"/>
      <c r="I555" s="2562"/>
      <c r="J555" s="2562"/>
      <c r="K555" s="2562"/>
      <c r="L555" s="2562"/>
      <c r="M555" s="2562"/>
      <c r="N555" s="2562"/>
      <c r="O555" s="2562"/>
      <c r="P555" s="2562"/>
      <c r="Q555" s="2562"/>
      <c r="R555" s="2562"/>
      <c r="S555" s="2562"/>
      <c r="T555" s="2562"/>
      <c r="U555" s="2562"/>
      <c r="V555" s="2562"/>
      <c r="W555" s="2562"/>
      <c r="X555" s="2562"/>
      <c r="Y555" s="2562"/>
      <c r="Z555" s="2562"/>
      <c r="AA555" s="2562"/>
      <c r="AB555" s="2562"/>
      <c r="AC555" s="2562"/>
      <c r="AD555" s="2562"/>
      <c r="AE555" s="2562"/>
      <c r="AF555" s="2562"/>
      <c r="AG555" s="2562"/>
      <c r="AH555" s="2562"/>
      <c r="AI555" s="2562"/>
      <c r="AJ555" s="2563"/>
      <c r="AK555" s="595"/>
      <c r="AL555" s="595"/>
      <c r="AM555" s="595"/>
      <c r="AN555" s="597"/>
    </row>
    <row r="556" spans="1:49" s="550" customFormat="1" ht="12.75" customHeight="1">
      <c r="A556" s="624"/>
      <c r="B556" s="2564"/>
      <c r="C556" s="2565"/>
      <c r="D556" s="2565"/>
      <c r="E556" s="2565"/>
      <c r="F556" s="2565"/>
      <c r="G556" s="2565"/>
      <c r="H556" s="2565"/>
      <c r="I556" s="2565"/>
      <c r="J556" s="2565"/>
      <c r="K556" s="2565"/>
      <c r="L556" s="2565"/>
      <c r="M556" s="2565"/>
      <c r="N556" s="2565"/>
      <c r="O556" s="2565"/>
      <c r="P556" s="2565"/>
      <c r="Q556" s="2565"/>
      <c r="R556" s="2565"/>
      <c r="S556" s="2565"/>
      <c r="T556" s="2565"/>
      <c r="U556" s="2565"/>
      <c r="V556" s="2565"/>
      <c r="W556" s="2565"/>
      <c r="X556" s="2565"/>
      <c r="Y556" s="2565"/>
      <c r="Z556" s="2565"/>
      <c r="AA556" s="2565"/>
      <c r="AB556" s="2565"/>
      <c r="AC556" s="2565"/>
      <c r="AD556" s="2565"/>
      <c r="AE556" s="2565"/>
      <c r="AF556" s="2565"/>
      <c r="AG556" s="2565"/>
      <c r="AH556" s="2565"/>
      <c r="AI556" s="2565"/>
      <c r="AJ556" s="2566"/>
      <c r="AK556" s="595"/>
      <c r="AL556" s="595"/>
      <c r="AM556" s="595"/>
      <c r="AN556" s="597"/>
      <c r="AP556" s="2625">
        <f>AP557-AP552-AP553</f>
        <v>70030055</v>
      </c>
      <c r="AQ556" s="2534"/>
      <c r="AR556" s="2534"/>
      <c r="AS556" s="550" t="s">
        <v>2174</v>
      </c>
    </row>
    <row r="557" spans="1:49" s="550" customFormat="1" ht="12.75" customHeight="1">
      <c r="A557" s="624"/>
      <c r="B557" s="2567"/>
      <c r="C557" s="2568"/>
      <c r="D557" s="2568"/>
      <c r="E557" s="2568"/>
      <c r="F557" s="2568"/>
      <c r="G557" s="2568"/>
      <c r="H557" s="2568"/>
      <c r="I557" s="2568"/>
      <c r="J557" s="2568"/>
      <c r="K557" s="2568"/>
      <c r="L557" s="2568"/>
      <c r="M557" s="2568"/>
      <c r="N557" s="2568"/>
      <c r="O557" s="2568"/>
      <c r="P557" s="2568"/>
      <c r="Q557" s="2568"/>
      <c r="R557" s="2568"/>
      <c r="S557" s="2568"/>
      <c r="T557" s="2568"/>
      <c r="U557" s="2568"/>
      <c r="V557" s="2568"/>
      <c r="W557" s="2568"/>
      <c r="X557" s="2568"/>
      <c r="Y557" s="2568"/>
      <c r="Z557" s="2568"/>
      <c r="AA557" s="2568"/>
      <c r="AB557" s="2568"/>
      <c r="AC557" s="2568"/>
      <c r="AD557" s="2568"/>
      <c r="AE557" s="2568"/>
      <c r="AF557" s="2568"/>
      <c r="AG557" s="2568"/>
      <c r="AH557" s="2568"/>
      <c r="AI557" s="2568"/>
      <c r="AJ557" s="2569"/>
      <c r="AK557" s="595"/>
      <c r="AL557" s="595"/>
      <c r="AM557" s="595"/>
      <c r="AN557" s="597"/>
      <c r="AP557" s="2625">
        <f>Application!AJ1053</f>
        <v>117777819.5</v>
      </c>
      <c r="AQ557" s="2625"/>
      <c r="AR557" s="2625"/>
      <c r="AS557" s="550" t="s">
        <v>2173</v>
      </c>
    </row>
    <row r="558" spans="1:49" s="550" customFormat="1" ht="12.75" customHeight="1">
      <c r="B558" s="551"/>
      <c r="C558" s="551"/>
      <c r="D558" s="551"/>
      <c r="E558" s="551"/>
      <c r="F558" s="551"/>
      <c r="G558" s="551"/>
      <c r="H558" s="551"/>
      <c r="I558" s="551"/>
      <c r="J558" s="551"/>
      <c r="K558" s="551"/>
      <c r="L558" s="551"/>
      <c r="M558" s="551"/>
      <c r="N558" s="551"/>
      <c r="O558" s="551"/>
      <c r="P558" s="551"/>
      <c r="Q558" s="551"/>
      <c r="R558" s="551"/>
      <c r="S558" s="551"/>
      <c r="T558" s="551"/>
      <c r="U558" s="551"/>
      <c r="V558" s="551"/>
      <c r="W558" s="551"/>
      <c r="X558" s="551"/>
      <c r="Y558" s="551"/>
      <c r="Z558" s="551"/>
      <c r="AA558" s="551"/>
      <c r="AB558" s="551"/>
      <c r="AC558" s="616"/>
      <c r="AD558" s="551"/>
      <c r="AI558" s="543"/>
      <c r="AJ558" s="543"/>
      <c r="AK558" s="595"/>
      <c r="AL558" s="595"/>
      <c r="AM558" s="595"/>
      <c r="AN558" s="597"/>
    </row>
    <row r="559" spans="1:49" s="550" customFormat="1" ht="12.75" customHeight="1">
      <c r="A559" s="628"/>
      <c r="B559" s="628"/>
      <c r="C559" s="628"/>
      <c r="D559" s="628"/>
      <c r="E559" s="628"/>
      <c r="F559" s="628"/>
      <c r="G559" s="628"/>
      <c r="H559" s="628"/>
      <c r="I559" s="628"/>
      <c r="J559" s="628"/>
      <c r="K559" s="628"/>
      <c r="L559" s="628"/>
      <c r="M559" s="628"/>
      <c r="N559" s="628"/>
      <c r="O559" s="628"/>
      <c r="P559" s="628"/>
      <c r="Q559" s="628"/>
      <c r="R559" s="628"/>
      <c r="S559" s="628"/>
      <c r="T559" s="628"/>
      <c r="U559" s="628"/>
      <c r="V559" s="628"/>
      <c r="W559" s="628"/>
      <c r="X559" s="628"/>
      <c r="Y559" s="628"/>
      <c r="Z559" s="628"/>
      <c r="AA559" s="628"/>
      <c r="AB559" s="628"/>
      <c r="AC559" s="628"/>
      <c r="AD559" s="628"/>
      <c r="AE559" s="628"/>
      <c r="AF559" s="628"/>
      <c r="AG559" s="628"/>
      <c r="AH559" s="629"/>
      <c r="AI559" s="565"/>
      <c r="AJ559" s="565" t="s">
        <v>1567</v>
      </c>
      <c r="AK559" s="2570">
        <f>IFERROR(IF(AND(C541="N/A",C544="N/A"),0,IF(AF553=0,0,IF((AF553*100)&gt;12,12,(AF553*100)))),0)</f>
        <v>12</v>
      </c>
      <c r="AL559" s="2570"/>
      <c r="AM559" s="2571"/>
      <c r="AN559" s="597"/>
      <c r="AP559" s="2642">
        <f>AP556+(AP550*AP554)</f>
        <v>117777819.5</v>
      </c>
      <c r="AQ559" s="2643"/>
      <c r="AR559" s="2644"/>
    </row>
    <row r="560" spans="1:49" s="550" customFormat="1" ht="12.75" customHeight="1" thickBot="1">
      <c r="A560" s="759"/>
      <c r="B560" s="759"/>
      <c r="C560" s="759"/>
      <c r="D560" s="759"/>
      <c r="E560" s="759"/>
      <c r="F560" s="759"/>
      <c r="G560" s="759"/>
      <c r="H560" s="759"/>
      <c r="I560" s="759"/>
      <c r="J560" s="759"/>
      <c r="K560" s="759"/>
      <c r="L560" s="759"/>
      <c r="M560" s="759"/>
      <c r="N560" s="759"/>
      <c r="O560" s="759"/>
      <c r="P560" s="759"/>
      <c r="Q560" s="759"/>
      <c r="R560" s="759"/>
      <c r="S560" s="759"/>
      <c r="T560" s="759"/>
      <c r="U560" s="759"/>
      <c r="V560" s="759"/>
      <c r="W560" s="759"/>
      <c r="X560" s="759"/>
      <c r="Y560" s="759"/>
      <c r="Z560" s="759"/>
      <c r="AA560" s="759"/>
      <c r="AB560" s="759"/>
      <c r="AC560" s="759"/>
      <c r="AD560" s="759"/>
      <c r="AE560" s="759"/>
      <c r="AF560" s="759"/>
      <c r="AG560" s="759"/>
      <c r="AH560" s="759"/>
      <c r="AI560" s="759"/>
      <c r="AJ560" s="759"/>
      <c r="AK560" s="759"/>
      <c r="AL560" s="759"/>
      <c r="AM560" s="760"/>
      <c r="AN560" s="597"/>
    </row>
    <row r="561" spans="1:42" s="550" customFormat="1" ht="12.75" customHeight="1" thickTop="1">
      <c r="A561" s="666"/>
      <c r="B561" s="667"/>
      <c r="C561" s="666"/>
      <c r="D561" s="667"/>
      <c r="E561" s="667"/>
      <c r="F561" s="667"/>
      <c r="G561" s="667"/>
      <c r="H561" s="667"/>
      <c r="I561" s="667"/>
      <c r="J561" s="667"/>
      <c r="K561" s="667"/>
      <c r="L561" s="667"/>
      <c r="M561" s="667"/>
      <c r="N561" s="667"/>
      <c r="O561" s="667"/>
      <c r="P561" s="667"/>
      <c r="Q561" s="667"/>
      <c r="R561" s="667"/>
      <c r="S561" s="667"/>
      <c r="T561" s="667"/>
      <c r="U561" s="667"/>
      <c r="V561" s="667"/>
      <c r="W561" s="667"/>
      <c r="X561" s="667"/>
      <c r="Y561" s="667"/>
      <c r="Z561" s="667"/>
      <c r="AA561" s="667"/>
      <c r="AB561" s="667"/>
      <c r="AC561" s="668"/>
      <c r="AD561" s="668"/>
      <c r="AE561" s="668"/>
      <c r="AF561" s="667"/>
      <c r="AG561" s="667"/>
      <c r="AH561" s="667"/>
      <c r="AI561" s="667"/>
      <c r="AJ561" s="667"/>
      <c r="AK561" s="667"/>
      <c r="AL561" s="667"/>
      <c r="AM561" s="669"/>
      <c r="AN561" s="597"/>
    </row>
    <row r="562" spans="1:42" s="550" customFormat="1" ht="12.75" customHeight="1">
      <c r="A562" s="538" t="s">
        <v>2022</v>
      </c>
      <c r="C562" s="538"/>
      <c r="D562" s="603"/>
      <c r="E562" s="603"/>
      <c r="F562" s="603"/>
      <c r="G562" s="603"/>
      <c r="H562" s="603"/>
      <c r="I562" s="603"/>
      <c r="J562" s="603"/>
      <c r="K562" s="603"/>
      <c r="L562" s="603"/>
      <c r="M562" s="603"/>
      <c r="N562" s="603"/>
      <c r="O562" s="603"/>
      <c r="P562" s="603"/>
      <c r="Q562" s="603"/>
      <c r="R562" s="603"/>
      <c r="S562" s="603"/>
      <c r="T562" s="603"/>
      <c r="U562" s="603"/>
      <c r="V562" s="603"/>
      <c r="W562" s="603"/>
      <c r="X562" s="603"/>
      <c r="Y562" s="603"/>
      <c r="Z562" s="603"/>
      <c r="AA562" s="603"/>
      <c r="AB562" s="603"/>
      <c r="AC562" s="603"/>
      <c r="AD562" s="603"/>
      <c r="AE562" s="2409" t="s">
        <v>1314</v>
      </c>
      <c r="AF562" s="2409"/>
      <c r="AG562" s="2409"/>
      <c r="AH562" s="2409"/>
      <c r="AI562" s="2409"/>
      <c r="AJ562" s="2409"/>
      <c r="AK562" s="2409"/>
      <c r="AL562" s="591"/>
      <c r="AM562" s="603"/>
      <c r="AN562" s="597"/>
    </row>
    <row r="563" spans="1:42" s="550" customFormat="1" ht="12.75" customHeight="1">
      <c r="C563" s="603"/>
      <c r="D563" s="603"/>
      <c r="E563" s="603"/>
      <c r="F563" s="603"/>
      <c r="G563" s="603"/>
      <c r="H563" s="603"/>
      <c r="I563" s="603"/>
      <c r="J563" s="603"/>
      <c r="K563" s="603"/>
      <c r="L563" s="603"/>
      <c r="M563" s="603"/>
      <c r="N563" s="603"/>
      <c r="O563" s="603"/>
      <c r="P563" s="603"/>
      <c r="Q563" s="603"/>
      <c r="R563" s="603"/>
      <c r="S563" s="603"/>
      <c r="T563" s="603"/>
      <c r="U563" s="603"/>
      <c r="V563" s="603"/>
      <c r="W563" s="603"/>
      <c r="X563" s="603"/>
      <c r="Y563" s="603"/>
      <c r="Z563" s="603"/>
      <c r="AA563" s="603"/>
      <c r="AB563" s="603"/>
      <c r="AC563" s="603"/>
      <c r="AD563" s="603"/>
      <c r="AE563" s="603"/>
      <c r="AF563" s="603"/>
      <c r="AG563" s="603"/>
      <c r="AH563" s="603"/>
      <c r="AI563" s="603"/>
      <c r="AJ563" s="603"/>
      <c r="AK563" s="603"/>
      <c r="AL563" s="603"/>
      <c r="AM563" s="603"/>
      <c r="AN563" s="597"/>
    </row>
    <row r="564" spans="1:42" s="550" customFormat="1" ht="12.75" customHeight="1">
      <c r="A564" s="603"/>
      <c r="B564" s="2499" t="s">
        <v>2023</v>
      </c>
      <c r="C564" s="2499"/>
      <c r="D564" s="2499"/>
      <c r="E564" s="2499"/>
      <c r="F564" s="2499"/>
      <c r="G564" s="2499"/>
      <c r="H564" s="2499"/>
      <c r="I564" s="2499"/>
      <c r="J564" s="2499"/>
      <c r="K564" s="2499"/>
      <c r="L564" s="2499"/>
      <c r="M564" s="2499"/>
      <c r="N564" s="2499"/>
      <c r="O564" s="2499"/>
      <c r="P564" s="2499"/>
      <c r="Q564" s="2499"/>
      <c r="R564" s="2499"/>
      <c r="S564" s="2499"/>
      <c r="T564" s="2499"/>
      <c r="U564" s="2499"/>
      <c r="V564" s="2499"/>
      <c r="W564" s="2499"/>
      <c r="X564" s="2499"/>
      <c r="Y564" s="2499"/>
      <c r="Z564" s="2499"/>
      <c r="AA564" s="2499"/>
      <c r="AB564" s="2499"/>
      <c r="AC564" s="2499"/>
      <c r="AD564" s="2499"/>
      <c r="AE564" s="2499"/>
      <c r="AF564" s="2499"/>
      <c r="AG564" s="2499"/>
      <c r="AH564" s="2499"/>
      <c r="AI564" s="2499"/>
      <c r="AJ564" s="2499"/>
      <c r="AK564" s="642"/>
      <c r="AL564" s="573"/>
      <c r="AM564" s="603"/>
      <c r="AN564" s="597"/>
    </row>
    <row r="565" spans="1:42" s="550" customFormat="1" ht="12.75" customHeight="1">
      <c r="A565" s="603"/>
      <c r="B565" s="2499"/>
      <c r="C565" s="2499"/>
      <c r="D565" s="2499"/>
      <c r="E565" s="2499"/>
      <c r="F565" s="2499"/>
      <c r="G565" s="2499"/>
      <c r="H565" s="2499"/>
      <c r="I565" s="2499"/>
      <c r="J565" s="2499"/>
      <c r="K565" s="2499"/>
      <c r="L565" s="2499"/>
      <c r="M565" s="2499"/>
      <c r="N565" s="2499"/>
      <c r="O565" s="2499"/>
      <c r="P565" s="2499"/>
      <c r="Q565" s="2499"/>
      <c r="R565" s="2499"/>
      <c r="S565" s="2499"/>
      <c r="T565" s="2499"/>
      <c r="U565" s="2499"/>
      <c r="V565" s="2499"/>
      <c r="W565" s="2499"/>
      <c r="X565" s="2499"/>
      <c r="Y565" s="2499"/>
      <c r="Z565" s="2499"/>
      <c r="AA565" s="2499"/>
      <c r="AB565" s="2499"/>
      <c r="AC565" s="2499"/>
      <c r="AD565" s="2499"/>
      <c r="AE565" s="2499"/>
      <c r="AF565" s="2499"/>
      <c r="AG565" s="2499"/>
      <c r="AH565" s="2499"/>
      <c r="AI565" s="2499"/>
      <c r="AJ565" s="2499"/>
      <c r="AK565" s="642"/>
      <c r="AL565" s="573"/>
      <c r="AM565" s="603"/>
      <c r="AN565" s="597"/>
    </row>
    <row r="566" spans="1:42" s="550" customFormat="1" ht="12.75" customHeight="1">
      <c r="A566" s="603"/>
      <c r="B566" s="2499"/>
      <c r="C566" s="2499"/>
      <c r="D566" s="2499"/>
      <c r="E566" s="2499"/>
      <c r="F566" s="2499"/>
      <c r="G566" s="2499"/>
      <c r="H566" s="2499"/>
      <c r="I566" s="2499"/>
      <c r="J566" s="2499"/>
      <c r="K566" s="2499"/>
      <c r="L566" s="2499"/>
      <c r="M566" s="2499"/>
      <c r="N566" s="2499"/>
      <c r="O566" s="2499"/>
      <c r="P566" s="2499"/>
      <c r="Q566" s="2499"/>
      <c r="R566" s="2499"/>
      <c r="S566" s="2499"/>
      <c r="T566" s="2499"/>
      <c r="U566" s="2499"/>
      <c r="V566" s="2499"/>
      <c r="W566" s="2499"/>
      <c r="X566" s="2499"/>
      <c r="Y566" s="2499"/>
      <c r="Z566" s="2499"/>
      <c r="AA566" s="2499"/>
      <c r="AB566" s="2499"/>
      <c r="AC566" s="2499"/>
      <c r="AD566" s="2499"/>
      <c r="AE566" s="2499"/>
      <c r="AF566" s="2499"/>
      <c r="AG566" s="2499"/>
      <c r="AH566" s="2499"/>
      <c r="AI566" s="2499"/>
      <c r="AJ566" s="2499"/>
      <c r="AK566" s="642"/>
      <c r="AL566" s="573"/>
      <c r="AM566" s="603"/>
      <c r="AN566" s="597"/>
    </row>
    <row r="567" spans="1:42" s="550" customFormat="1" ht="12.75" customHeight="1">
      <c r="A567" s="603"/>
      <c r="B567" s="2499"/>
      <c r="C567" s="2499"/>
      <c r="D567" s="2499"/>
      <c r="E567" s="2499"/>
      <c r="F567" s="2499"/>
      <c r="G567" s="2499"/>
      <c r="H567" s="2499"/>
      <c r="I567" s="2499"/>
      <c r="J567" s="2499"/>
      <c r="K567" s="2499"/>
      <c r="L567" s="2499"/>
      <c r="M567" s="2499"/>
      <c r="N567" s="2499"/>
      <c r="O567" s="2499"/>
      <c r="P567" s="2499"/>
      <c r="Q567" s="2499"/>
      <c r="R567" s="2499"/>
      <c r="S567" s="2499"/>
      <c r="T567" s="2499"/>
      <c r="U567" s="2499"/>
      <c r="V567" s="2499"/>
      <c r="W567" s="2499"/>
      <c r="X567" s="2499"/>
      <c r="Y567" s="2499"/>
      <c r="Z567" s="2499"/>
      <c r="AA567" s="2499"/>
      <c r="AB567" s="2499"/>
      <c r="AC567" s="2499"/>
      <c r="AD567" s="2499"/>
      <c r="AE567" s="2499"/>
      <c r="AF567" s="2499"/>
      <c r="AG567" s="2499"/>
      <c r="AH567" s="2499"/>
      <c r="AI567" s="2499"/>
      <c r="AJ567" s="2499"/>
      <c r="AK567" s="642"/>
      <c r="AL567" s="573"/>
      <c r="AM567" s="603"/>
      <c r="AN567" s="597"/>
    </row>
    <row r="568" spans="1:42" s="550" customFormat="1" ht="12.75" customHeight="1">
      <c r="A568" s="603"/>
      <c r="B568" s="2499"/>
      <c r="C568" s="2499"/>
      <c r="D568" s="2499"/>
      <c r="E568" s="2499"/>
      <c r="F568" s="2499"/>
      <c r="G568" s="2499"/>
      <c r="H568" s="2499"/>
      <c r="I568" s="2499"/>
      <c r="J568" s="2499"/>
      <c r="K568" s="2499"/>
      <c r="L568" s="2499"/>
      <c r="M568" s="2499"/>
      <c r="N568" s="2499"/>
      <c r="O568" s="2499"/>
      <c r="P568" s="2499"/>
      <c r="Q568" s="2499"/>
      <c r="R568" s="2499"/>
      <c r="S568" s="2499"/>
      <c r="T568" s="2499"/>
      <c r="U568" s="2499"/>
      <c r="V568" s="2499"/>
      <c r="W568" s="2499"/>
      <c r="X568" s="2499"/>
      <c r="Y568" s="2499"/>
      <c r="Z568" s="2499"/>
      <c r="AA568" s="2499"/>
      <c r="AB568" s="2499"/>
      <c r="AC568" s="2499"/>
      <c r="AD568" s="2499"/>
      <c r="AE568" s="2499"/>
      <c r="AF568" s="2499"/>
      <c r="AG568" s="2499"/>
      <c r="AH568" s="2499"/>
      <c r="AI568" s="2499"/>
      <c r="AJ568" s="2499"/>
      <c r="AK568" s="642"/>
      <c r="AL568" s="573"/>
      <c r="AM568" s="603"/>
      <c r="AN568" s="597"/>
    </row>
    <row r="569" spans="1:42" s="550" customFormat="1" ht="12.75" customHeight="1">
      <c r="A569" s="603"/>
      <c r="B569" s="2499"/>
      <c r="C569" s="2499"/>
      <c r="D569" s="2499"/>
      <c r="E569" s="2499"/>
      <c r="F569" s="2499"/>
      <c r="G569" s="2499"/>
      <c r="H569" s="2499"/>
      <c r="I569" s="2499"/>
      <c r="J569" s="2499"/>
      <c r="K569" s="2499"/>
      <c r="L569" s="2499"/>
      <c r="M569" s="2499"/>
      <c r="N569" s="2499"/>
      <c r="O569" s="2499"/>
      <c r="P569" s="2499"/>
      <c r="Q569" s="2499"/>
      <c r="R569" s="2499"/>
      <c r="S569" s="2499"/>
      <c r="T569" s="2499"/>
      <c r="U569" s="2499"/>
      <c r="V569" s="2499"/>
      <c r="W569" s="2499"/>
      <c r="X569" s="2499"/>
      <c r="Y569" s="2499"/>
      <c r="Z569" s="2499"/>
      <c r="AA569" s="2499"/>
      <c r="AB569" s="2499"/>
      <c r="AC569" s="2499"/>
      <c r="AD569" s="2499"/>
      <c r="AE569" s="2499"/>
      <c r="AF569" s="2499"/>
      <c r="AG569" s="2499"/>
      <c r="AH569" s="2499"/>
      <c r="AI569" s="2499"/>
      <c r="AJ569" s="2499"/>
      <c r="AK569" s="642"/>
      <c r="AL569" s="573"/>
      <c r="AM569" s="603"/>
      <c r="AN569" s="597"/>
    </row>
    <row r="570" spans="1:42" s="550" customFormat="1" ht="12.75" customHeight="1">
      <c r="A570" s="603"/>
      <c r="B570" s="2499"/>
      <c r="C570" s="2499"/>
      <c r="D570" s="2499"/>
      <c r="E570" s="2499"/>
      <c r="F570" s="2499"/>
      <c r="G570" s="2499"/>
      <c r="H570" s="2499"/>
      <c r="I570" s="2499"/>
      <c r="J570" s="2499"/>
      <c r="K570" s="2499"/>
      <c r="L570" s="2499"/>
      <c r="M570" s="2499"/>
      <c r="N570" s="2499"/>
      <c r="O570" s="2499"/>
      <c r="P570" s="2499"/>
      <c r="Q570" s="2499"/>
      <c r="R570" s="2499"/>
      <c r="S570" s="2499"/>
      <c r="T570" s="2499"/>
      <c r="U570" s="2499"/>
      <c r="V570" s="2499"/>
      <c r="W570" s="2499"/>
      <c r="X570" s="2499"/>
      <c r="Y570" s="2499"/>
      <c r="Z570" s="2499"/>
      <c r="AA570" s="2499"/>
      <c r="AB570" s="2499"/>
      <c r="AC570" s="2499"/>
      <c r="AD570" s="2499"/>
      <c r="AE570" s="2499"/>
      <c r="AF570" s="2499"/>
      <c r="AG570" s="2499"/>
      <c r="AH570" s="2499"/>
      <c r="AI570" s="2499"/>
      <c r="AJ570" s="2499"/>
      <c r="AK570" s="642"/>
      <c r="AL570" s="573"/>
      <c r="AM570" s="603"/>
      <c r="AN570" s="597"/>
    </row>
    <row r="571" spans="1:42" ht="12.75" customHeight="1">
      <c r="A571" s="603"/>
      <c r="B571" s="2499"/>
      <c r="C571" s="2499"/>
      <c r="D571" s="2499"/>
      <c r="E571" s="2499"/>
      <c r="F571" s="2499"/>
      <c r="G571" s="2499"/>
      <c r="H571" s="2499"/>
      <c r="I571" s="2499"/>
      <c r="J571" s="2499"/>
      <c r="K571" s="2499"/>
      <c r="L571" s="2499"/>
      <c r="M571" s="2499"/>
      <c r="N571" s="2499"/>
      <c r="O571" s="2499"/>
      <c r="P571" s="2499"/>
      <c r="Q571" s="2499"/>
      <c r="R571" s="2499"/>
      <c r="S571" s="2499"/>
      <c r="T571" s="2499"/>
      <c r="U571" s="2499"/>
      <c r="V571" s="2499"/>
      <c r="W571" s="2499"/>
      <c r="X571" s="2499"/>
      <c r="Y571" s="2499"/>
      <c r="Z571" s="2499"/>
      <c r="AA571" s="2499"/>
      <c r="AB571" s="2499"/>
      <c r="AC571" s="2499"/>
      <c r="AD571" s="2499"/>
      <c r="AE571" s="2499"/>
      <c r="AF571" s="2499"/>
      <c r="AG571" s="2499"/>
      <c r="AH571" s="2499"/>
      <c r="AI571" s="2499"/>
      <c r="AJ571" s="2499"/>
      <c r="AK571" s="642"/>
      <c r="AL571" s="573"/>
      <c r="AM571" s="603"/>
    </row>
    <row r="572" spans="1:42" s="550" customFormat="1" ht="12.75" customHeight="1">
      <c r="B572" s="2499"/>
      <c r="C572" s="2499"/>
      <c r="D572" s="2499"/>
      <c r="E572" s="2499"/>
      <c r="F572" s="2499"/>
      <c r="G572" s="2499"/>
      <c r="H572" s="2499"/>
      <c r="I572" s="2499"/>
      <c r="J572" s="2499"/>
      <c r="K572" s="2499"/>
      <c r="L572" s="2499"/>
      <c r="M572" s="2499"/>
      <c r="N572" s="2499"/>
      <c r="O572" s="2499"/>
      <c r="P572" s="2499"/>
      <c r="Q572" s="2499"/>
      <c r="R572" s="2499"/>
      <c r="S572" s="2499"/>
      <c r="T572" s="2499"/>
      <c r="U572" s="2499"/>
      <c r="V572" s="2499"/>
      <c r="W572" s="2499"/>
      <c r="X572" s="2499"/>
      <c r="Y572" s="2499"/>
      <c r="Z572" s="2499"/>
      <c r="AA572" s="2499"/>
      <c r="AB572" s="2499"/>
      <c r="AC572" s="2499"/>
      <c r="AD572" s="2499"/>
      <c r="AE572" s="2499"/>
      <c r="AF572" s="2499"/>
      <c r="AG572" s="2499"/>
      <c r="AH572" s="2499"/>
      <c r="AI572" s="2499"/>
      <c r="AJ572" s="2499"/>
      <c r="AK572" s="642"/>
      <c r="AL572" s="573"/>
      <c r="AN572" s="597"/>
    </row>
    <row r="573" spans="1:42" s="550" customFormat="1" ht="12.75" customHeight="1">
      <c r="B573" s="642"/>
      <c r="C573" s="642"/>
      <c r="D573" s="642"/>
      <c r="E573" s="642"/>
      <c r="F573" s="642"/>
      <c r="G573" s="642"/>
      <c r="H573" s="642"/>
      <c r="I573" s="642"/>
      <c r="J573" s="642"/>
      <c r="K573" s="642"/>
      <c r="L573" s="642"/>
      <c r="M573" s="642"/>
      <c r="N573" s="642"/>
      <c r="O573" s="642"/>
      <c r="P573" s="642"/>
      <c r="Q573" s="642"/>
      <c r="R573" s="642"/>
      <c r="S573" s="642"/>
      <c r="T573" s="642"/>
      <c r="U573" s="642"/>
      <c r="V573" s="642"/>
      <c r="W573" s="642"/>
      <c r="X573" s="642"/>
      <c r="Y573" s="642"/>
      <c r="Z573" s="642"/>
      <c r="AA573" s="642"/>
      <c r="AB573" s="642"/>
      <c r="AC573" s="642"/>
      <c r="AD573" s="642"/>
      <c r="AE573" s="642"/>
      <c r="AF573" s="642"/>
      <c r="AG573" s="642"/>
      <c r="AH573" s="642"/>
      <c r="AI573" s="642"/>
      <c r="AJ573" s="642"/>
      <c r="AK573" s="642"/>
      <c r="AL573" s="573"/>
      <c r="AN573" s="597"/>
    </row>
    <row r="574" spans="1:42" s="550" customFormat="1" ht="12.75" customHeight="1">
      <c r="B574" s="663" t="s">
        <v>1394</v>
      </c>
      <c r="C574" s="671"/>
      <c r="D574" s="573"/>
      <c r="E574" s="573"/>
      <c r="F574" s="573"/>
      <c r="G574" s="573"/>
      <c r="H574" s="573"/>
      <c r="I574" s="573"/>
      <c r="J574" s="573"/>
      <c r="K574" s="573"/>
      <c r="L574" s="573"/>
      <c r="M574" s="573"/>
      <c r="N574" s="573"/>
      <c r="O574" s="573"/>
      <c r="P574" s="573"/>
      <c r="Q574" s="573"/>
      <c r="R574" s="573"/>
      <c r="S574" s="573"/>
      <c r="T574" s="573"/>
      <c r="U574" s="573"/>
      <c r="V574" s="573"/>
      <c r="W574" s="573"/>
      <c r="X574" s="573"/>
      <c r="Y574" s="573"/>
      <c r="Z574" s="573"/>
      <c r="AA574" s="573"/>
      <c r="AB574" s="573"/>
      <c r="AC574" s="573"/>
      <c r="AD574" s="573"/>
      <c r="AE574" s="573"/>
      <c r="AF574" s="573"/>
      <c r="AG574" s="573"/>
      <c r="AH574" s="573"/>
      <c r="AI574" s="573"/>
      <c r="AN574" s="597"/>
      <c r="AP574" s="550" t="s">
        <v>591</v>
      </c>
    </row>
    <row r="575" spans="1:42" s="550" customFormat="1" ht="12.75" customHeight="1">
      <c r="B575" s="536"/>
      <c r="C575" s="671"/>
      <c r="D575" s="573"/>
      <c r="E575" s="573"/>
      <c r="F575" s="573"/>
      <c r="G575" s="573"/>
      <c r="H575" s="573"/>
      <c r="I575" s="573"/>
      <c r="J575" s="573"/>
      <c r="K575" s="573"/>
      <c r="L575" s="573"/>
      <c r="M575" s="573"/>
      <c r="N575" s="573"/>
      <c r="O575" s="573"/>
      <c r="P575" s="573"/>
      <c r="Q575" s="573"/>
      <c r="R575" s="573"/>
      <c r="S575" s="573"/>
      <c r="T575" s="573"/>
      <c r="U575" s="573"/>
      <c r="V575" s="573"/>
      <c r="W575" s="573"/>
      <c r="X575" s="573"/>
      <c r="Y575" s="573"/>
      <c r="Z575" s="573"/>
      <c r="AA575" s="573"/>
      <c r="AB575" s="573"/>
      <c r="AC575" s="573"/>
      <c r="AD575" s="573"/>
      <c r="AE575" s="573"/>
      <c r="AF575" s="573"/>
      <c r="AG575" s="573"/>
      <c r="AH575" s="573"/>
      <c r="AI575" s="573"/>
      <c r="AN575" s="597"/>
      <c r="AP575" s="550" t="s">
        <v>545</v>
      </c>
    </row>
    <row r="576" spans="1:42" s="550" customFormat="1" ht="12.75" customHeight="1">
      <c r="C576" s="539" t="s">
        <v>1395</v>
      </c>
      <c r="D576" s="672"/>
      <c r="E576" s="573"/>
      <c r="F576" s="573"/>
      <c r="G576" s="573"/>
      <c r="H576" s="573"/>
      <c r="I576" s="573"/>
      <c r="J576" s="573"/>
      <c r="K576" s="573"/>
      <c r="L576" s="573"/>
      <c r="M576" s="573"/>
      <c r="N576" s="573"/>
      <c r="O576" s="573"/>
      <c r="P576" s="573"/>
      <c r="Q576" s="573"/>
      <c r="R576" s="573"/>
      <c r="S576" s="573"/>
      <c r="T576" s="573"/>
      <c r="U576" s="573"/>
      <c r="V576" s="573"/>
      <c r="W576" s="573"/>
      <c r="X576" s="573"/>
      <c r="Y576" s="573"/>
      <c r="Z576" s="573"/>
      <c r="AA576" s="573"/>
      <c r="AB576" s="573"/>
      <c r="AC576" s="573"/>
      <c r="AD576" s="573"/>
      <c r="AE576" s="573"/>
      <c r="AF576" s="573"/>
      <c r="AG576" s="573"/>
      <c r="AH576" s="573"/>
      <c r="AI576" s="573"/>
      <c r="AN576" s="597"/>
    </row>
    <row r="577" spans="1:42" s="550" customFormat="1" ht="12.75" customHeight="1">
      <c r="B577" s="536"/>
      <c r="C577" s="536"/>
      <c r="D577" s="640"/>
      <c r="E577" s="643"/>
      <c r="F577" s="643"/>
      <c r="G577" s="643"/>
      <c r="H577" s="643"/>
      <c r="I577" s="643"/>
      <c r="J577" s="643"/>
      <c r="K577" s="643"/>
      <c r="L577" s="643"/>
      <c r="M577" s="643"/>
      <c r="N577" s="643"/>
      <c r="O577" s="643"/>
      <c r="P577" s="643"/>
      <c r="Q577" s="643"/>
      <c r="R577" s="643"/>
      <c r="S577" s="643"/>
      <c r="T577" s="643"/>
      <c r="U577" s="643"/>
      <c r="V577" s="643"/>
      <c r="W577" s="643"/>
      <c r="X577" s="643"/>
      <c r="Y577" s="643"/>
      <c r="Z577" s="643"/>
      <c r="AA577" s="643"/>
      <c r="AB577" s="643"/>
      <c r="AC577" s="643"/>
      <c r="AD577" s="643"/>
      <c r="AE577" s="643"/>
      <c r="AF577" s="536"/>
      <c r="AG577" s="536"/>
      <c r="AH577" s="536"/>
      <c r="AI577" s="536"/>
      <c r="AJ577" s="536"/>
      <c r="AK577" s="536"/>
      <c r="AL577" s="536"/>
      <c r="AN577" s="597"/>
    </row>
    <row r="578" spans="1:42" s="550" customFormat="1" ht="12.75" customHeight="1">
      <c r="B578" s="536"/>
      <c r="C578" s="536"/>
      <c r="D578" s="663" t="s">
        <v>687</v>
      </c>
      <c r="E578" s="838" t="s">
        <v>1698</v>
      </c>
      <c r="F578" s="642"/>
      <c r="G578" s="642"/>
      <c r="H578" s="642"/>
      <c r="I578" s="642"/>
      <c r="J578" s="642"/>
      <c r="K578" s="642"/>
      <c r="L578" s="642"/>
      <c r="M578" s="642"/>
      <c r="N578" s="642"/>
      <c r="O578" s="642"/>
      <c r="P578" s="642"/>
      <c r="Q578" s="642"/>
      <c r="R578" s="642"/>
      <c r="S578" s="642"/>
      <c r="T578" s="642"/>
      <c r="U578" s="642"/>
      <c r="V578" s="642"/>
      <c r="W578" s="642"/>
      <c r="X578" s="642"/>
      <c r="Y578" s="642"/>
      <c r="Z578" s="642"/>
      <c r="AA578" s="642"/>
      <c r="AB578" s="642"/>
      <c r="AC578" s="536"/>
      <c r="AD578" s="536"/>
      <c r="AE578" s="536"/>
      <c r="AF578" s="2444" t="s">
        <v>1338</v>
      </c>
      <c r="AG578" s="2444"/>
      <c r="AH578" s="2444"/>
      <c r="AI578" s="2444"/>
      <c r="AJ578" s="2444"/>
      <c r="AK578" s="2444"/>
      <c r="AL578" s="2444"/>
      <c r="AN578" s="597"/>
    </row>
    <row r="579" spans="1:42" s="550" customFormat="1" ht="12.75" customHeight="1">
      <c r="B579" s="536"/>
      <c r="C579" s="616"/>
      <c r="D579" s="663"/>
      <c r="E579" s="838" t="s">
        <v>1699</v>
      </c>
      <c r="F579" s="642"/>
      <c r="G579" s="642"/>
      <c r="H579" s="642"/>
      <c r="I579" s="642"/>
      <c r="J579" s="642"/>
      <c r="K579" s="642"/>
      <c r="L579" s="642"/>
      <c r="M579" s="642"/>
      <c r="N579" s="642"/>
      <c r="O579" s="642"/>
      <c r="P579" s="642"/>
      <c r="Q579" s="642"/>
      <c r="R579" s="642"/>
      <c r="S579" s="642"/>
      <c r="T579" s="642"/>
      <c r="U579" s="642"/>
      <c r="V579" s="642"/>
      <c r="W579" s="642"/>
      <c r="X579" s="642"/>
      <c r="Y579" s="642"/>
      <c r="Z579" s="642"/>
      <c r="AA579" s="642"/>
      <c r="AB579" s="642"/>
      <c r="AC579" s="536"/>
      <c r="AD579" s="536"/>
      <c r="AE579" s="616"/>
      <c r="AF579" s="616"/>
      <c r="AG579" s="616"/>
      <c r="AH579" s="616"/>
      <c r="AI579" s="616"/>
      <c r="AJ579" s="616"/>
      <c r="AK579" s="616"/>
      <c r="AL579" s="616"/>
      <c r="AN579" s="597"/>
    </row>
    <row r="580" spans="1:42" s="550" customFormat="1" ht="12.75" customHeight="1">
      <c r="B580" s="536"/>
      <c r="C580" s="616"/>
      <c r="D580" s="663"/>
      <c r="E580" s="838" t="s">
        <v>1700</v>
      </c>
      <c r="F580" s="642"/>
      <c r="G580" s="642"/>
      <c r="H580" s="642"/>
      <c r="I580" s="642"/>
      <c r="J580" s="642"/>
      <c r="K580" s="642"/>
      <c r="L580" s="642"/>
      <c r="M580" s="642"/>
      <c r="N580" s="642"/>
      <c r="O580" s="642"/>
      <c r="P580" s="642"/>
      <c r="Q580" s="642"/>
      <c r="R580" s="642"/>
      <c r="S580" s="642"/>
      <c r="T580" s="642"/>
      <c r="U580" s="642"/>
      <c r="V580" s="642"/>
      <c r="W580" s="642"/>
      <c r="X580" s="642"/>
      <c r="Y580" s="642"/>
      <c r="Z580" s="642"/>
      <c r="AA580" s="642"/>
      <c r="AB580" s="642"/>
      <c r="AC580" s="536"/>
      <c r="AD580" s="536"/>
      <c r="AE580" s="616"/>
      <c r="AF580" s="616"/>
      <c r="AG580" s="616"/>
      <c r="AH580" s="616"/>
      <c r="AI580" s="616"/>
      <c r="AJ580" s="616"/>
      <c r="AK580" s="616"/>
      <c r="AL580" s="616"/>
      <c r="AN580" s="597"/>
    </row>
    <row r="581" spans="1:42" s="550" customFormat="1" ht="12.75" customHeight="1">
      <c r="B581" s="536"/>
      <c r="C581" s="616"/>
      <c r="D581" s="663"/>
      <c r="E581" s="838" t="s">
        <v>1701</v>
      </c>
      <c r="F581" s="642"/>
      <c r="G581" s="642"/>
      <c r="H581" s="642"/>
      <c r="I581" s="642"/>
      <c r="J581" s="642"/>
      <c r="K581" s="642"/>
      <c r="L581" s="642"/>
      <c r="M581" s="642"/>
      <c r="N581" s="642"/>
      <c r="O581" s="642"/>
      <c r="P581" s="642"/>
      <c r="Q581" s="642"/>
      <c r="R581" s="642"/>
      <c r="S581" s="642"/>
      <c r="T581" s="642"/>
      <c r="U581" s="642"/>
      <c r="V581" s="642"/>
      <c r="W581" s="642"/>
      <c r="X581" s="642"/>
      <c r="Y581" s="642"/>
      <c r="Z581" s="642"/>
      <c r="AA581" s="642"/>
      <c r="AB581" s="642"/>
      <c r="AC581" s="536"/>
      <c r="AD581" s="536"/>
      <c r="AE581" s="616"/>
      <c r="AF581" s="616"/>
      <c r="AG581" s="616"/>
      <c r="AH581" s="616"/>
      <c r="AI581" s="616"/>
      <c r="AJ581" s="616"/>
      <c r="AK581" s="616"/>
      <c r="AL581" s="616"/>
      <c r="AN581" s="597"/>
    </row>
    <row r="582" spans="1:42" s="550" customFormat="1" ht="12.75" customHeight="1">
      <c r="B582" s="536"/>
      <c r="C582" s="616"/>
      <c r="D582" s="663"/>
      <c r="E582" s="838" t="s">
        <v>1702</v>
      </c>
      <c r="F582" s="642"/>
      <c r="G582" s="642"/>
      <c r="H582" s="642"/>
      <c r="I582" s="642"/>
      <c r="J582" s="642"/>
      <c r="K582" s="642"/>
      <c r="L582" s="642"/>
      <c r="M582" s="642"/>
      <c r="N582" s="642"/>
      <c r="O582" s="642"/>
      <c r="P582" s="642"/>
      <c r="Q582" s="642"/>
      <c r="R582" s="642"/>
      <c r="S582" s="642"/>
      <c r="T582" s="642"/>
      <c r="U582" s="642"/>
      <c r="V582" s="642"/>
      <c r="W582" s="642"/>
      <c r="X582" s="642"/>
      <c r="Y582" s="642"/>
      <c r="Z582" s="642"/>
      <c r="AA582" s="642"/>
      <c r="AB582" s="642"/>
      <c r="AC582" s="536"/>
      <c r="AD582" s="536"/>
      <c r="AE582" s="616"/>
      <c r="AF582" s="616"/>
      <c r="AG582" s="616"/>
      <c r="AH582" s="616"/>
      <c r="AI582" s="616"/>
      <c r="AJ582" s="616"/>
      <c r="AK582" s="616"/>
      <c r="AL582" s="616"/>
      <c r="AN582" s="597"/>
      <c r="AO582" s="22" t="s">
        <v>2175</v>
      </c>
      <c r="AP582" s="550" t="b">
        <f>IF(Application!AF418&gt;=25,TRUE,FALSE)</f>
        <v>1</v>
      </c>
    </row>
    <row r="583" spans="1:42" s="550" customFormat="1" ht="12.75" customHeight="1">
      <c r="B583" s="536"/>
      <c r="C583" s="616"/>
      <c r="D583" s="663"/>
      <c r="E583" s="838" t="s">
        <v>1703</v>
      </c>
      <c r="F583" s="642"/>
      <c r="G583" s="642"/>
      <c r="H583" s="642"/>
      <c r="I583" s="642"/>
      <c r="J583" s="642"/>
      <c r="K583" s="642"/>
      <c r="L583" s="642"/>
      <c r="M583" s="642"/>
      <c r="N583" s="642"/>
      <c r="O583" s="642"/>
      <c r="P583" s="642"/>
      <c r="Q583" s="642"/>
      <c r="R583" s="642"/>
      <c r="S583" s="642"/>
      <c r="T583" s="642"/>
      <c r="U583" s="642"/>
      <c r="V583" s="642"/>
      <c r="W583" s="642"/>
      <c r="X583" s="642"/>
      <c r="Y583" s="642"/>
      <c r="Z583" s="642"/>
      <c r="AA583" s="642"/>
      <c r="AB583" s="642"/>
      <c r="AC583" s="536"/>
      <c r="AD583" s="536"/>
      <c r="AE583" s="616"/>
      <c r="AF583" s="616"/>
      <c r="AG583" s="616"/>
      <c r="AH583" s="616"/>
      <c r="AI583" s="616"/>
      <c r="AJ583" s="616"/>
      <c r="AK583" s="616"/>
      <c r="AL583" s="616"/>
      <c r="AN583" s="597"/>
      <c r="AO583" s="22" t="s">
        <v>2176</v>
      </c>
      <c r="AP583" s="550" t="b">
        <f>Application!T199="Yes"</f>
        <v>0</v>
      </c>
    </row>
    <row r="584" spans="1:42" s="550" customFormat="1" ht="12.75" customHeight="1">
      <c r="B584" s="536"/>
      <c r="C584" s="616"/>
      <c r="D584" s="663"/>
      <c r="E584" s="838"/>
      <c r="F584" s="642"/>
      <c r="G584" s="642"/>
      <c r="H584" s="642"/>
      <c r="I584" s="642"/>
      <c r="J584" s="642"/>
      <c r="K584" s="642"/>
      <c r="L584" s="642"/>
      <c r="M584" s="642"/>
      <c r="N584" s="642"/>
      <c r="O584" s="642"/>
      <c r="P584" s="642"/>
      <c r="Q584" s="642"/>
      <c r="R584" s="642"/>
      <c r="S584" s="642"/>
      <c r="T584" s="642"/>
      <c r="U584" s="642"/>
      <c r="V584" s="642"/>
      <c r="W584" s="642"/>
      <c r="X584" s="642"/>
      <c r="Y584" s="642"/>
      <c r="Z584" s="642"/>
      <c r="AA584" s="642"/>
      <c r="AB584" s="642"/>
      <c r="AC584" s="536"/>
      <c r="AD584" s="536"/>
      <c r="AE584" s="616"/>
      <c r="AF584" s="536"/>
      <c r="AG584" s="536"/>
      <c r="AH584" s="536"/>
      <c r="AI584" s="536"/>
      <c r="AJ584" s="536"/>
      <c r="AK584" s="536"/>
      <c r="AL584" s="536"/>
      <c r="AN584" s="597"/>
    </row>
    <row r="585" spans="1:42" s="550" customFormat="1" ht="12.75" customHeight="1">
      <c r="A585" s="637"/>
      <c r="B585" s="536"/>
      <c r="C585" s="931"/>
      <c r="D585" s="663" t="s">
        <v>509</v>
      </c>
      <c r="E585" s="838" t="s">
        <v>1704</v>
      </c>
      <c r="F585" s="932"/>
      <c r="G585" s="932"/>
      <c r="H585" s="932"/>
      <c r="I585" s="932"/>
      <c r="J585" s="932"/>
      <c r="K585" s="932"/>
      <c r="L585" s="932"/>
      <c r="M585" s="932"/>
      <c r="N585" s="932"/>
      <c r="O585" s="932"/>
      <c r="P585" s="932"/>
      <c r="Q585" s="932"/>
      <c r="R585" s="932"/>
      <c r="S585" s="932"/>
      <c r="T585" s="932"/>
      <c r="U585" s="932"/>
      <c r="V585" s="932"/>
      <c r="W585" s="932"/>
      <c r="X585" s="932"/>
      <c r="Y585" s="932"/>
      <c r="Z585" s="932"/>
      <c r="AA585" s="932"/>
      <c r="AB585" s="932"/>
      <c r="AC585" s="536"/>
      <c r="AD585" s="536"/>
      <c r="AE585" s="536"/>
      <c r="AF585" s="2444" t="s">
        <v>1396</v>
      </c>
      <c r="AG585" s="2444"/>
      <c r="AH585" s="2444"/>
      <c r="AI585" s="2444"/>
      <c r="AJ585" s="2444"/>
      <c r="AK585" s="2444"/>
      <c r="AL585" s="2444"/>
      <c r="AN585" s="597"/>
    </row>
    <row r="586" spans="1:42" s="550" customFormat="1" ht="12.75" customHeight="1">
      <c r="B586" s="536"/>
      <c r="C586" s="933"/>
      <c r="D586" s="663"/>
      <c r="E586" s="838" t="s">
        <v>1705</v>
      </c>
      <c r="F586" s="932"/>
      <c r="G586" s="932"/>
      <c r="H586" s="932"/>
      <c r="I586" s="932"/>
      <c r="J586" s="932"/>
      <c r="K586" s="932"/>
      <c r="L586" s="932"/>
      <c r="M586" s="932"/>
      <c r="N586" s="932"/>
      <c r="O586" s="932"/>
      <c r="P586" s="932"/>
      <c r="Q586" s="932"/>
      <c r="R586" s="932"/>
      <c r="S586" s="932"/>
      <c r="T586" s="932"/>
      <c r="U586" s="932"/>
      <c r="V586" s="932"/>
      <c r="W586" s="932"/>
      <c r="X586" s="932"/>
      <c r="Y586" s="932"/>
      <c r="Z586" s="932"/>
      <c r="AA586" s="932"/>
      <c r="AB586" s="932"/>
      <c r="AC586" s="536"/>
      <c r="AD586" s="536"/>
      <c r="AE586" s="536"/>
      <c r="AF586" s="536"/>
      <c r="AG586" s="536"/>
      <c r="AH586" s="536"/>
      <c r="AI586" s="536"/>
      <c r="AJ586" s="536"/>
      <c r="AK586" s="536"/>
      <c r="AL586" s="536"/>
      <c r="AN586" s="597"/>
      <c r="AO586" s="550" t="s">
        <v>591</v>
      </c>
      <c r="AP586" s="673">
        <v>0</v>
      </c>
    </row>
    <row r="587" spans="1:42" s="550" customFormat="1" ht="12.75" customHeight="1">
      <c r="B587" s="610"/>
      <c r="C587" s="931"/>
      <c r="D587" s="663"/>
      <c r="E587" s="838" t="s">
        <v>1706</v>
      </c>
      <c r="F587" s="932"/>
      <c r="G587" s="932"/>
      <c r="H587" s="932"/>
      <c r="I587" s="932"/>
      <c r="J587" s="932"/>
      <c r="K587" s="932"/>
      <c r="L587" s="932"/>
      <c r="M587" s="932"/>
      <c r="N587" s="932"/>
      <c r="O587" s="932"/>
      <c r="P587" s="932"/>
      <c r="Q587" s="932"/>
      <c r="R587" s="932"/>
      <c r="S587" s="932"/>
      <c r="T587" s="932"/>
      <c r="U587" s="932"/>
      <c r="V587" s="932"/>
      <c r="W587" s="932"/>
      <c r="X587" s="932"/>
      <c r="Y587" s="932"/>
      <c r="Z587" s="932"/>
      <c r="AA587" s="932"/>
      <c r="AB587" s="932"/>
      <c r="AC587" s="536"/>
      <c r="AD587" s="536"/>
      <c r="AE587" s="536"/>
      <c r="AF587" s="536"/>
      <c r="AG587" s="536"/>
      <c r="AH587" s="536"/>
      <c r="AI587" s="536"/>
      <c r="AJ587" s="536"/>
      <c r="AK587" s="536"/>
      <c r="AL587" s="536"/>
      <c r="AN587" s="597"/>
      <c r="AO587" s="611" t="s">
        <v>687</v>
      </c>
      <c r="AP587" s="550">
        <f>7*AP582</f>
        <v>7</v>
      </c>
    </row>
    <row r="588" spans="1:42" s="550" customFormat="1" ht="12.75" customHeight="1">
      <c r="B588" s="610"/>
      <c r="C588" s="931"/>
      <c r="D588" s="663"/>
      <c r="E588" s="838" t="s">
        <v>1708</v>
      </c>
      <c r="F588" s="932"/>
      <c r="G588" s="932"/>
      <c r="H588" s="932"/>
      <c r="I588" s="932"/>
      <c r="J588" s="932"/>
      <c r="K588" s="932"/>
      <c r="L588" s="932"/>
      <c r="M588" s="932"/>
      <c r="N588" s="932"/>
      <c r="O588" s="932"/>
      <c r="P588" s="932"/>
      <c r="Q588" s="932"/>
      <c r="R588" s="932"/>
      <c r="S588" s="932"/>
      <c r="T588" s="932"/>
      <c r="U588" s="932"/>
      <c r="V588" s="932"/>
      <c r="W588" s="932"/>
      <c r="X588" s="932"/>
      <c r="Y588" s="932"/>
      <c r="Z588" s="932"/>
      <c r="AA588" s="932"/>
      <c r="AB588" s="932"/>
      <c r="AC588" s="536"/>
      <c r="AD588" s="536"/>
      <c r="AE588" s="536"/>
      <c r="AF588" s="536"/>
      <c r="AG588" s="536"/>
      <c r="AH588" s="536"/>
      <c r="AI588" s="536"/>
      <c r="AJ588" s="536"/>
      <c r="AK588" s="536"/>
      <c r="AL588" s="536"/>
      <c r="AN588" s="597"/>
      <c r="AO588" s="611" t="s">
        <v>509</v>
      </c>
      <c r="AP588" s="550">
        <v>6</v>
      </c>
    </row>
    <row r="589" spans="1:42" s="550" customFormat="1" ht="12.75" customHeight="1">
      <c r="B589" s="610"/>
      <c r="C589" s="931"/>
      <c r="D589" s="663"/>
      <c r="E589" s="838" t="s">
        <v>1707</v>
      </c>
      <c r="F589" s="932"/>
      <c r="G589" s="932"/>
      <c r="H589" s="932"/>
      <c r="I589" s="932"/>
      <c r="J589" s="932"/>
      <c r="K589" s="932"/>
      <c r="L589" s="932"/>
      <c r="M589" s="932"/>
      <c r="N589" s="932"/>
      <c r="O589" s="932"/>
      <c r="P589" s="932"/>
      <c r="Q589" s="932"/>
      <c r="R589" s="932"/>
      <c r="S589" s="932"/>
      <c r="T589" s="932"/>
      <c r="U589" s="932"/>
      <c r="V589" s="932"/>
      <c r="W589" s="932"/>
      <c r="X589" s="932"/>
      <c r="Y589" s="932"/>
      <c r="Z589" s="932"/>
      <c r="AA589" s="932"/>
      <c r="AB589" s="932"/>
      <c r="AC589" s="536"/>
      <c r="AD589" s="536"/>
      <c r="AE589" s="536"/>
      <c r="AF589" s="536"/>
      <c r="AG589" s="536"/>
      <c r="AH589" s="536"/>
      <c r="AI589" s="536"/>
      <c r="AJ589" s="536"/>
      <c r="AK589" s="536"/>
      <c r="AL589" s="536"/>
      <c r="AN589" s="597"/>
      <c r="AO589" s="611" t="s">
        <v>277</v>
      </c>
      <c r="AP589" s="550">
        <v>5</v>
      </c>
    </row>
    <row r="590" spans="1:42" s="550" customFormat="1" ht="12.75" customHeight="1">
      <c r="B590" s="610"/>
      <c r="C590" s="931"/>
      <c r="D590" s="663"/>
      <c r="E590" s="934"/>
      <c r="F590" s="935"/>
      <c r="G590" s="935"/>
      <c r="H590" s="935"/>
      <c r="I590" s="616"/>
      <c r="J590" s="616"/>
      <c r="K590" s="616"/>
      <c r="L590" s="616"/>
      <c r="M590" s="616"/>
      <c r="N590" s="616"/>
      <c r="O590" s="616"/>
      <c r="P590" s="616"/>
      <c r="Q590" s="616"/>
      <c r="R590" s="616"/>
      <c r="S590" s="616"/>
      <c r="T590" s="616"/>
      <c r="U590" s="616"/>
      <c r="V590" s="616"/>
      <c r="W590" s="616"/>
      <c r="X590" s="616"/>
      <c r="Y590" s="616"/>
      <c r="Z590" s="616"/>
      <c r="AA590" s="616"/>
      <c r="AB590" s="616"/>
      <c r="AC590" s="536"/>
      <c r="AD590" s="536"/>
      <c r="AE590" s="616"/>
      <c r="AF590" s="536"/>
      <c r="AG590" s="536"/>
      <c r="AH590" s="536"/>
      <c r="AI590" s="536"/>
      <c r="AJ590" s="536"/>
      <c r="AK590" s="536"/>
      <c r="AL590" s="536"/>
      <c r="AN590" s="597"/>
      <c r="AO590" s="611" t="s">
        <v>1397</v>
      </c>
      <c r="AP590" s="550">
        <v>4</v>
      </c>
    </row>
    <row r="591" spans="1:42" s="550" customFormat="1" ht="12.75" customHeight="1">
      <c r="B591" s="536"/>
      <c r="C591" s="931"/>
      <c r="D591" s="663" t="s">
        <v>277</v>
      </c>
      <c r="E591" s="838" t="s">
        <v>1709</v>
      </c>
      <c r="F591" s="932"/>
      <c r="G591" s="932"/>
      <c r="H591" s="932"/>
      <c r="I591" s="932"/>
      <c r="J591" s="932"/>
      <c r="K591" s="932"/>
      <c r="L591" s="932"/>
      <c r="M591" s="932"/>
      <c r="N591" s="932"/>
      <c r="O591" s="932"/>
      <c r="P591" s="932"/>
      <c r="Q591" s="932"/>
      <c r="R591" s="932"/>
      <c r="S591" s="932"/>
      <c r="T591" s="932"/>
      <c r="U591" s="932"/>
      <c r="V591" s="932"/>
      <c r="W591" s="932"/>
      <c r="X591" s="932"/>
      <c r="Y591" s="932"/>
      <c r="Z591" s="932"/>
      <c r="AA591" s="932"/>
      <c r="AB591" s="932"/>
      <c r="AC591" s="536"/>
      <c r="AD591" s="536"/>
      <c r="AE591" s="536"/>
      <c r="AF591" s="2444" t="s">
        <v>1378</v>
      </c>
      <c r="AG591" s="2444"/>
      <c r="AH591" s="2444"/>
      <c r="AI591" s="2444"/>
      <c r="AJ591" s="2444"/>
      <c r="AK591" s="2444"/>
      <c r="AL591" s="2444"/>
      <c r="AN591" s="597"/>
      <c r="AO591" s="611" t="s">
        <v>1398</v>
      </c>
      <c r="AP591" s="550">
        <v>3</v>
      </c>
    </row>
    <row r="592" spans="1:42" s="550" customFormat="1" ht="12.75" customHeight="1">
      <c r="B592" s="536"/>
      <c r="C592" s="933"/>
      <c r="D592" s="663"/>
      <c r="E592" s="838" t="s">
        <v>1705</v>
      </c>
      <c r="F592" s="932"/>
      <c r="G592" s="932"/>
      <c r="H592" s="932"/>
      <c r="I592" s="932"/>
      <c r="J592" s="932"/>
      <c r="K592" s="932"/>
      <c r="L592" s="932"/>
      <c r="M592" s="932"/>
      <c r="N592" s="932"/>
      <c r="O592" s="932"/>
      <c r="P592" s="932"/>
      <c r="Q592" s="932"/>
      <c r="R592" s="932"/>
      <c r="S592" s="932"/>
      <c r="T592" s="932"/>
      <c r="U592" s="932"/>
      <c r="V592" s="932"/>
      <c r="W592" s="932"/>
      <c r="X592" s="932"/>
      <c r="Y592" s="932"/>
      <c r="Z592" s="932"/>
      <c r="AA592" s="932"/>
      <c r="AB592" s="932"/>
      <c r="AC592" s="536"/>
      <c r="AD592" s="536"/>
      <c r="AE592" s="536"/>
      <c r="AF592" s="536"/>
      <c r="AG592" s="536"/>
      <c r="AH592" s="536"/>
      <c r="AI592" s="536"/>
      <c r="AJ592" s="536"/>
      <c r="AK592" s="536"/>
      <c r="AL592" s="536"/>
      <c r="AN592" s="597"/>
    </row>
    <row r="593" spans="1:53" s="550" customFormat="1" ht="12.75" customHeight="1">
      <c r="B593" s="536"/>
      <c r="C593" s="933"/>
      <c r="D593" s="663"/>
      <c r="E593" s="838" t="s">
        <v>1706</v>
      </c>
      <c r="F593" s="932"/>
      <c r="G593" s="932"/>
      <c r="H593" s="932"/>
      <c r="I593" s="932"/>
      <c r="J593" s="932"/>
      <c r="K593" s="932"/>
      <c r="L593" s="932"/>
      <c r="M593" s="932"/>
      <c r="N593" s="932"/>
      <c r="O593" s="932"/>
      <c r="P593" s="932"/>
      <c r="Q593" s="932"/>
      <c r="R593" s="932"/>
      <c r="S593" s="932"/>
      <c r="T593" s="932"/>
      <c r="U593" s="932"/>
      <c r="V593" s="932"/>
      <c r="W593" s="932"/>
      <c r="X593" s="932"/>
      <c r="Y593" s="932"/>
      <c r="Z593" s="932"/>
      <c r="AA593" s="932"/>
      <c r="AB593" s="932"/>
      <c r="AC593" s="536"/>
      <c r="AD593" s="536"/>
      <c r="AE593" s="536"/>
      <c r="AF593" s="536"/>
      <c r="AG593" s="536"/>
      <c r="AH593" s="536"/>
      <c r="AI593" s="536"/>
      <c r="AJ593" s="536"/>
      <c r="AK593" s="536"/>
      <c r="AL593" s="536"/>
      <c r="AN593" s="597"/>
      <c r="AO593" s="22" t="s">
        <v>2178</v>
      </c>
    </row>
    <row r="594" spans="1:53" s="550" customFormat="1" ht="12.75" customHeight="1">
      <c r="B594" s="536"/>
      <c r="C594" s="933"/>
      <c r="D594" s="663"/>
      <c r="E594" s="838" t="s">
        <v>1708</v>
      </c>
      <c r="F594" s="932"/>
      <c r="G594" s="932"/>
      <c r="H594" s="932"/>
      <c r="I594" s="932"/>
      <c r="J594" s="932"/>
      <c r="K594" s="932"/>
      <c r="L594" s="932"/>
      <c r="M594" s="932"/>
      <c r="N594" s="932"/>
      <c r="O594" s="932"/>
      <c r="P594" s="932"/>
      <c r="Q594" s="932"/>
      <c r="R594" s="932"/>
      <c r="S594" s="932"/>
      <c r="T594" s="932"/>
      <c r="U594" s="932"/>
      <c r="V594" s="932"/>
      <c r="W594" s="932"/>
      <c r="X594" s="932"/>
      <c r="Y594" s="932"/>
      <c r="Z594" s="932"/>
      <c r="AA594" s="932"/>
      <c r="AB594" s="932"/>
      <c r="AC594" s="536"/>
      <c r="AD594" s="536"/>
      <c r="AE594" s="536"/>
      <c r="AF594" s="536"/>
      <c r="AG594" s="536"/>
      <c r="AH594" s="536"/>
      <c r="AI594" s="536"/>
      <c r="AJ594" s="536"/>
      <c r="AK594" s="536"/>
      <c r="AL594" s="536"/>
      <c r="AN594" s="597"/>
      <c r="AO594" s="22" t="s">
        <v>2179</v>
      </c>
    </row>
    <row r="595" spans="1:53" s="550" customFormat="1" ht="12.75" customHeight="1">
      <c r="B595" s="536"/>
      <c r="C595" s="933"/>
      <c r="D595" s="663"/>
      <c r="E595" s="838" t="s">
        <v>1707</v>
      </c>
      <c r="F595" s="932"/>
      <c r="G595" s="932"/>
      <c r="H595" s="932"/>
      <c r="I595" s="932"/>
      <c r="J595" s="932"/>
      <c r="K595" s="932"/>
      <c r="L595" s="932"/>
      <c r="M595" s="932"/>
      <c r="N595" s="932"/>
      <c r="O595" s="932"/>
      <c r="P595" s="932"/>
      <c r="Q595" s="932"/>
      <c r="R595" s="932"/>
      <c r="S595" s="932"/>
      <c r="T595" s="932"/>
      <c r="U595" s="932"/>
      <c r="V595" s="932"/>
      <c r="W595" s="932"/>
      <c r="X595" s="932"/>
      <c r="Y595" s="932"/>
      <c r="Z595" s="932"/>
      <c r="AA595" s="932"/>
      <c r="AB595" s="932"/>
      <c r="AC595" s="536"/>
      <c r="AD595" s="536"/>
      <c r="AE595" s="536"/>
      <c r="AF595" s="536"/>
      <c r="AG595" s="536"/>
      <c r="AH595" s="536"/>
      <c r="AI595" s="536"/>
      <c r="AJ595" s="536"/>
      <c r="AK595" s="536"/>
      <c r="AL595" s="536"/>
      <c r="AN595" s="597"/>
      <c r="AO595" s="22" t="s">
        <v>2180</v>
      </c>
    </row>
    <row r="596" spans="1:53" s="550" customFormat="1" ht="12.75" customHeight="1">
      <c r="A596" s="14"/>
      <c r="B596" s="14"/>
      <c r="C596" s="14"/>
      <c r="D596" s="663"/>
      <c r="E596" s="674"/>
      <c r="F596" s="14"/>
      <c r="G596" s="14"/>
      <c r="H596" s="14"/>
      <c r="I596" s="14"/>
      <c r="J596" s="14"/>
      <c r="K596" s="14"/>
      <c r="L596" s="14"/>
      <c r="M596" s="14"/>
      <c r="N596" s="14"/>
      <c r="O596" s="14"/>
      <c r="P596" s="14"/>
      <c r="Q596" s="14"/>
      <c r="R596" s="14"/>
      <c r="S596" s="14"/>
      <c r="T596" s="14"/>
      <c r="U596" s="14"/>
      <c r="V596" s="14"/>
      <c r="W596" s="14"/>
      <c r="X596" s="14"/>
      <c r="Y596" s="14"/>
      <c r="Z596" s="14"/>
      <c r="AA596" s="14"/>
      <c r="AB596" s="14"/>
      <c r="AC596" s="536"/>
      <c r="AD596" s="536"/>
      <c r="AE596" s="14"/>
      <c r="AF596" s="536"/>
      <c r="AG596" s="536"/>
      <c r="AH596" s="536"/>
      <c r="AI596" s="536"/>
      <c r="AJ596" s="536"/>
      <c r="AK596" s="536"/>
      <c r="AL596" s="536"/>
      <c r="AM596" s="14"/>
      <c r="AN596" s="597"/>
    </row>
    <row r="597" spans="1:53" s="550" customFormat="1" ht="12.75" customHeight="1">
      <c r="B597" s="536"/>
      <c r="C597" s="931"/>
      <c r="D597" s="663" t="s">
        <v>1397</v>
      </c>
      <c r="E597" s="838" t="s">
        <v>1710</v>
      </c>
      <c r="F597" s="932"/>
      <c r="G597" s="932"/>
      <c r="H597" s="932"/>
      <c r="I597" s="932"/>
      <c r="J597" s="932"/>
      <c r="K597" s="932"/>
      <c r="L597" s="932"/>
      <c r="M597" s="932"/>
      <c r="N597" s="932"/>
      <c r="O597" s="932"/>
      <c r="P597" s="932"/>
      <c r="Q597" s="932"/>
      <c r="R597" s="932"/>
      <c r="S597" s="932"/>
      <c r="T597" s="932"/>
      <c r="U597" s="932"/>
      <c r="V597" s="932"/>
      <c r="W597" s="932"/>
      <c r="X597" s="932"/>
      <c r="Y597" s="932"/>
      <c r="Z597" s="932"/>
      <c r="AA597" s="932"/>
      <c r="AB597" s="932"/>
      <c r="AC597" s="536"/>
      <c r="AD597" s="536"/>
      <c r="AE597" s="536"/>
      <c r="AF597" s="2444" t="s">
        <v>1399</v>
      </c>
      <c r="AG597" s="2444"/>
      <c r="AH597" s="2444"/>
      <c r="AI597" s="2444"/>
      <c r="AJ597" s="2444"/>
      <c r="AK597" s="2444"/>
      <c r="AL597" s="2444"/>
      <c r="AN597" s="597"/>
      <c r="AO597" s="550" t="str">
        <f>X634</f>
        <v>N/A</v>
      </c>
    </row>
    <row r="598" spans="1:53" s="550" customFormat="1" ht="12.75" customHeight="1">
      <c r="B598" s="536"/>
      <c r="C598" s="933"/>
      <c r="D598" s="663"/>
      <c r="E598" s="838" t="s">
        <v>1711</v>
      </c>
      <c r="F598" s="932"/>
      <c r="G598" s="932"/>
      <c r="H598" s="932"/>
      <c r="I598" s="932"/>
      <c r="J598" s="932"/>
      <c r="K598" s="932"/>
      <c r="L598" s="932"/>
      <c r="M598" s="932"/>
      <c r="N598" s="932"/>
      <c r="O598" s="932"/>
      <c r="P598" s="932"/>
      <c r="Q598" s="932"/>
      <c r="R598" s="932"/>
      <c r="S598" s="932"/>
      <c r="T598" s="932"/>
      <c r="U598" s="932"/>
      <c r="V598" s="932"/>
      <c r="W598" s="932"/>
      <c r="X598" s="932"/>
      <c r="Y598" s="932"/>
      <c r="Z598" s="932"/>
      <c r="AA598" s="932"/>
      <c r="AB598" s="932"/>
      <c r="AC598" s="14"/>
      <c r="AD598" s="14"/>
      <c r="AE598" s="536"/>
      <c r="AF598" s="536"/>
      <c r="AG598" s="536"/>
      <c r="AH598" s="536"/>
      <c r="AI598" s="536"/>
      <c r="AJ598" s="536"/>
      <c r="AK598" s="536"/>
      <c r="AL598" s="536"/>
      <c r="AN598" s="597"/>
      <c r="AU598" s="594"/>
      <c r="AV598" s="594"/>
      <c r="AW598" s="594"/>
      <c r="AX598" s="594"/>
      <c r="AY598" s="594"/>
      <c r="AZ598" s="594"/>
      <c r="BA598" s="594"/>
    </row>
    <row r="599" spans="1:53" s="550" customFormat="1" ht="12.75" customHeight="1">
      <c r="B599" s="610"/>
      <c r="C599" s="931"/>
      <c r="D599" s="663"/>
      <c r="E599" s="838" t="s">
        <v>1712</v>
      </c>
      <c r="F599" s="932"/>
      <c r="G599" s="932"/>
      <c r="H599" s="932"/>
      <c r="I599" s="932"/>
      <c r="J599" s="932"/>
      <c r="K599" s="932"/>
      <c r="L599" s="932"/>
      <c r="M599" s="932"/>
      <c r="N599" s="932"/>
      <c r="O599" s="932"/>
      <c r="P599" s="932"/>
      <c r="Q599" s="932"/>
      <c r="R599" s="932"/>
      <c r="S599" s="932"/>
      <c r="T599" s="932"/>
      <c r="U599" s="932"/>
      <c r="V599" s="932"/>
      <c r="W599" s="932"/>
      <c r="X599" s="932"/>
      <c r="Y599" s="932"/>
      <c r="Z599" s="932"/>
      <c r="AA599" s="932"/>
      <c r="AB599" s="932"/>
      <c r="AC599" s="536"/>
      <c r="AD599" s="536"/>
      <c r="AE599" s="536"/>
      <c r="AF599" s="536"/>
      <c r="AG599" s="536"/>
      <c r="AH599" s="536"/>
      <c r="AI599" s="536"/>
      <c r="AJ599" s="536"/>
      <c r="AK599" s="536"/>
      <c r="AL599" s="536"/>
      <c r="AN599" s="597"/>
      <c r="AO599" s="22" t="s">
        <v>2181</v>
      </c>
    </row>
    <row r="600" spans="1:53" s="550" customFormat="1" ht="12.75" customHeight="1">
      <c r="B600" s="610"/>
      <c r="C600" s="931"/>
      <c r="D600" s="663"/>
      <c r="E600" s="838"/>
      <c r="F600" s="932"/>
      <c r="G600" s="932"/>
      <c r="H600" s="932"/>
      <c r="I600" s="932"/>
      <c r="J600" s="932"/>
      <c r="K600" s="932"/>
      <c r="L600" s="932"/>
      <c r="M600" s="932"/>
      <c r="N600" s="932"/>
      <c r="O600" s="932"/>
      <c r="P600" s="932"/>
      <c r="Q600" s="932"/>
      <c r="R600" s="932"/>
      <c r="S600" s="932"/>
      <c r="T600" s="932"/>
      <c r="U600" s="932"/>
      <c r="V600" s="932"/>
      <c r="W600" s="932"/>
      <c r="X600" s="932"/>
      <c r="Y600" s="932"/>
      <c r="Z600" s="932"/>
      <c r="AA600" s="932"/>
      <c r="AB600" s="932"/>
      <c r="AC600" s="536"/>
      <c r="AD600" s="536"/>
      <c r="AE600" s="536"/>
      <c r="AF600" s="536"/>
      <c r="AG600" s="536"/>
      <c r="AH600" s="536"/>
      <c r="AI600" s="536"/>
      <c r="AJ600" s="536"/>
      <c r="AK600" s="536"/>
      <c r="AL600" s="536"/>
      <c r="AN600" s="597"/>
      <c r="AO600" s="22" t="s">
        <v>2182</v>
      </c>
    </row>
    <row r="601" spans="1:53" s="550" customFormat="1" ht="12.75" customHeight="1">
      <c r="B601" s="610"/>
      <c r="C601" s="931"/>
      <c r="D601" s="663"/>
      <c r="E601" s="536" t="s">
        <v>1866</v>
      </c>
      <c r="O601" s="2530" t="s">
        <v>1184</v>
      </c>
      <c r="P601" s="2530"/>
      <c r="Q601" s="2530"/>
      <c r="R601" s="2530"/>
      <c r="S601" s="2530"/>
      <c r="T601" s="2530"/>
      <c r="U601" s="2530"/>
      <c r="V601" s="2530"/>
      <c r="W601" s="2530"/>
      <c r="X601" s="2530"/>
      <c r="Y601" s="2530"/>
      <c r="Z601" s="2530"/>
      <c r="AA601" s="2530"/>
      <c r="AB601" s="2530"/>
      <c r="AH601" s="536"/>
      <c r="AI601" s="536"/>
      <c r="AJ601" s="536"/>
      <c r="AK601" s="536"/>
      <c r="AL601" s="536"/>
      <c r="AN601" s="597"/>
    </row>
    <row r="602" spans="1:53" s="550" customFormat="1" ht="12.75" customHeight="1">
      <c r="B602" s="610"/>
      <c r="C602" s="931"/>
      <c r="D602" s="663"/>
      <c r="E602" s="838"/>
      <c r="F602" s="932"/>
      <c r="G602" s="932"/>
      <c r="H602" s="932"/>
      <c r="I602" s="932"/>
      <c r="J602" s="932"/>
      <c r="K602" s="932"/>
      <c r="L602" s="932"/>
      <c r="M602" s="932"/>
      <c r="N602" s="932"/>
      <c r="O602" s="932"/>
      <c r="P602" s="932"/>
      <c r="Q602" s="932"/>
      <c r="R602" s="932"/>
      <c r="S602" s="932"/>
      <c r="T602" s="932"/>
      <c r="U602" s="932"/>
      <c r="V602" s="932"/>
      <c r="W602" s="932"/>
      <c r="X602" s="932"/>
      <c r="Y602" s="932"/>
      <c r="Z602" s="932"/>
      <c r="AA602" s="932"/>
      <c r="AB602" s="932"/>
      <c r="AC602" s="536"/>
      <c r="AD602" s="536"/>
      <c r="AE602" s="536"/>
      <c r="AF602" s="536"/>
      <c r="AG602" s="536"/>
      <c r="AH602" s="536"/>
      <c r="AI602" s="536"/>
      <c r="AJ602" s="536"/>
      <c r="AK602" s="536"/>
      <c r="AL602" s="536"/>
      <c r="AN602" s="597"/>
    </row>
    <row r="603" spans="1:53" s="550" customFormat="1" ht="12.75" customHeight="1">
      <c r="B603" s="536"/>
      <c r="C603" s="931"/>
      <c r="D603" s="663" t="s">
        <v>1398</v>
      </c>
      <c r="E603" s="838" t="s">
        <v>1714</v>
      </c>
      <c r="F603" s="932"/>
      <c r="G603" s="932"/>
      <c r="H603" s="932"/>
      <c r="I603" s="932"/>
      <c r="J603" s="932"/>
      <c r="K603" s="932"/>
      <c r="L603" s="932"/>
      <c r="M603" s="932"/>
      <c r="N603" s="932"/>
      <c r="O603" s="932"/>
      <c r="P603" s="932"/>
      <c r="Q603" s="932"/>
      <c r="R603" s="932"/>
      <c r="S603" s="932"/>
      <c r="T603" s="932"/>
      <c r="U603" s="932"/>
      <c r="V603" s="932"/>
      <c r="W603" s="932"/>
      <c r="X603" s="932"/>
      <c r="Y603" s="932"/>
      <c r="Z603" s="932"/>
      <c r="AA603" s="932"/>
      <c r="AB603" s="932"/>
      <c r="AC603" s="536"/>
      <c r="AD603" s="536"/>
      <c r="AE603" s="536"/>
      <c r="AF603" s="2444" t="s">
        <v>1352</v>
      </c>
      <c r="AG603" s="2444"/>
      <c r="AH603" s="2444"/>
      <c r="AI603" s="2444"/>
      <c r="AJ603" s="2444"/>
      <c r="AK603" s="2444"/>
      <c r="AL603" s="2444"/>
      <c r="AN603" s="597"/>
    </row>
    <row r="604" spans="1:53" s="550" customFormat="1" ht="12.75" customHeight="1">
      <c r="B604" s="536"/>
      <c r="C604" s="931"/>
      <c r="D604" s="663"/>
      <c r="E604" s="838" t="s">
        <v>1713</v>
      </c>
      <c r="F604" s="932"/>
      <c r="G604" s="932"/>
      <c r="H604" s="932"/>
      <c r="I604" s="932"/>
      <c r="J604" s="932"/>
      <c r="K604" s="932"/>
      <c r="L604" s="932"/>
      <c r="M604" s="932"/>
      <c r="N604" s="932"/>
      <c r="O604" s="932"/>
      <c r="P604" s="932"/>
      <c r="Q604" s="932"/>
      <c r="R604" s="932"/>
      <c r="S604" s="932"/>
      <c r="T604" s="932"/>
      <c r="U604" s="932"/>
      <c r="V604" s="932"/>
      <c r="W604" s="932"/>
      <c r="X604" s="932"/>
      <c r="Y604" s="932"/>
      <c r="Z604" s="932"/>
      <c r="AA604" s="932"/>
      <c r="AB604" s="932"/>
      <c r="AC604" s="536"/>
      <c r="AD604" s="536"/>
      <c r="AE604" s="594"/>
      <c r="AF604" s="536"/>
      <c r="AG604" s="536"/>
      <c r="AH604" s="536"/>
      <c r="AI604" s="536"/>
      <c r="AJ604" s="536"/>
      <c r="AK604" s="536"/>
      <c r="AL604" s="536"/>
      <c r="AN604" s="597"/>
    </row>
    <row r="605" spans="1:53" s="550" customFormat="1" ht="12.75" customHeight="1">
      <c r="B605" s="536"/>
      <c r="C605" s="933"/>
      <c r="D605" s="536"/>
      <c r="E605" s="616"/>
      <c r="F605" s="936"/>
      <c r="G605" s="936"/>
      <c r="H605" s="936"/>
      <c r="I605" s="936"/>
      <c r="J605" s="936"/>
      <c r="K605" s="936"/>
      <c r="L605" s="936"/>
      <c r="M605" s="936"/>
      <c r="N605" s="936"/>
      <c r="O605" s="936"/>
      <c r="P605" s="936"/>
      <c r="Q605" s="936"/>
      <c r="R605" s="936"/>
      <c r="S605" s="936"/>
      <c r="T605" s="936"/>
      <c r="U605" s="936"/>
      <c r="V605" s="936"/>
      <c r="W605" s="936"/>
      <c r="X605" s="936"/>
      <c r="Y605" s="936"/>
      <c r="Z605" s="936"/>
      <c r="AA605" s="936"/>
      <c r="AB605" s="936"/>
      <c r="AC605" s="536"/>
      <c r="AD605" s="536"/>
      <c r="AE605" s="536"/>
      <c r="AF605" s="536"/>
      <c r="AG605" s="536"/>
      <c r="AH605" s="536"/>
      <c r="AI605" s="536"/>
      <c r="AJ605" s="536"/>
      <c r="AK605" s="536"/>
      <c r="AL605" s="536"/>
      <c r="AN605" s="597"/>
      <c r="AO605" s="550" t="s">
        <v>591</v>
      </c>
      <c r="AP605" s="673">
        <v>0</v>
      </c>
      <c r="AT605" s="550" t="s">
        <v>591</v>
      </c>
      <c r="AU605" s="673">
        <v>0</v>
      </c>
    </row>
    <row r="606" spans="1:53" s="550" customFormat="1" ht="12.75" customHeight="1">
      <c r="B606" s="536"/>
      <c r="C606" s="933"/>
      <c r="D606" s="536" t="s">
        <v>1400</v>
      </c>
      <c r="E606" s="936"/>
      <c r="F606" s="936"/>
      <c r="G606" s="936"/>
      <c r="H606" s="2528" t="s">
        <v>687</v>
      </c>
      <c r="I606" s="2528"/>
      <c r="J606" s="936"/>
      <c r="K606" s="936"/>
      <c r="L606" s="936"/>
      <c r="N606" s="22"/>
      <c r="O606" s="22"/>
      <c r="P606" s="22"/>
      <c r="Q606" s="1151" t="s">
        <v>2177</v>
      </c>
      <c r="R606" s="2531"/>
      <c r="S606" s="2531"/>
      <c r="T606" s="2531"/>
      <c r="U606" s="2531"/>
      <c r="V606" s="2531"/>
      <c r="W606" s="2531"/>
      <c r="X606" s="536"/>
      <c r="Y606" s="536"/>
      <c r="Z606" s="536"/>
      <c r="AA606" s="536"/>
      <c r="AB606" s="536"/>
      <c r="AC606" s="536"/>
      <c r="AD606" s="536"/>
      <c r="AE606" s="536"/>
      <c r="AF606" s="536"/>
      <c r="AG606" s="536"/>
      <c r="AH606" s="536"/>
      <c r="AI606" s="536"/>
      <c r="AJ606" s="536"/>
      <c r="AK606" s="536"/>
      <c r="AL606" s="536"/>
      <c r="AN606" s="597"/>
      <c r="AO606" s="611" t="s">
        <v>687</v>
      </c>
      <c r="AP606" s="550">
        <v>3</v>
      </c>
      <c r="AT606" s="611" t="s">
        <v>687</v>
      </c>
      <c r="AU606" s="550">
        <v>3</v>
      </c>
    </row>
    <row r="607" spans="1:53" s="550" customFormat="1" ht="12.75" customHeight="1">
      <c r="B607" s="536"/>
      <c r="C607" s="933"/>
      <c r="D607" s="536"/>
      <c r="E607" s="936"/>
      <c r="F607" s="936"/>
      <c r="G607" s="936"/>
      <c r="H607" s="936"/>
      <c r="I607" s="936"/>
      <c r="J607" s="936"/>
      <c r="K607" s="936"/>
      <c r="L607" s="936"/>
      <c r="M607" s="936"/>
      <c r="N607" s="536"/>
      <c r="O607" s="536"/>
      <c r="P607" s="536"/>
      <c r="Q607" s="536"/>
      <c r="R607" s="536"/>
      <c r="S607" s="536"/>
      <c r="T607" s="536"/>
      <c r="U607" s="536"/>
      <c r="V607" s="536"/>
      <c r="W607" s="536"/>
      <c r="X607" s="536"/>
      <c r="Y607" s="2532" t="str">
        <f>IF(AND(H606="(i)",NOT(AP582)),AO599,IF(AND(H606="(iv)",OR(R606=AO595,R606=AO594),NOT(AP583)),AO600,""))</f>
        <v/>
      </c>
      <c r="Z607" s="2532"/>
      <c r="AA607" s="2532"/>
      <c r="AB607" s="2532"/>
      <c r="AC607" s="2532"/>
      <c r="AD607" s="2532"/>
      <c r="AE607" s="2532"/>
      <c r="AF607" s="2532"/>
      <c r="AG607" s="2532"/>
      <c r="AH607" s="2532"/>
      <c r="AI607" s="2532"/>
      <c r="AJ607" s="2532"/>
      <c r="AK607" s="2532"/>
      <c r="AL607" s="2532"/>
      <c r="AM607" s="2533"/>
      <c r="AN607" s="597"/>
      <c r="AO607" s="611" t="s">
        <v>509</v>
      </c>
      <c r="AP607" s="550">
        <v>2</v>
      </c>
      <c r="AT607" s="611" t="s">
        <v>509</v>
      </c>
      <c r="AU607" s="550">
        <v>2</v>
      </c>
    </row>
    <row r="608" spans="1:53" s="550" customFormat="1" ht="12.75" customHeight="1">
      <c r="B608" s="536"/>
      <c r="C608" s="933"/>
      <c r="D608" s="536"/>
      <c r="E608" s="936"/>
      <c r="F608" s="936"/>
      <c r="G608" s="936"/>
      <c r="H608" s="936"/>
      <c r="I608" s="936"/>
      <c r="J608" s="936"/>
      <c r="K608" s="936"/>
      <c r="L608" s="936"/>
      <c r="M608" s="936"/>
      <c r="N608" s="536"/>
      <c r="O608" s="536"/>
      <c r="P608" s="536"/>
      <c r="Q608" s="536"/>
      <c r="X608" s="536"/>
      <c r="Y608" s="2532"/>
      <c r="Z608" s="2532"/>
      <c r="AA608" s="2532"/>
      <c r="AB608" s="2532"/>
      <c r="AC608" s="2532"/>
      <c r="AD608" s="2532"/>
      <c r="AE608" s="2532"/>
      <c r="AF608" s="2532"/>
      <c r="AG608" s="2532"/>
      <c r="AH608" s="2532"/>
      <c r="AI608" s="2532"/>
      <c r="AJ608" s="2532"/>
      <c r="AK608" s="2532"/>
      <c r="AL608" s="2532"/>
      <c r="AM608" s="2533"/>
      <c r="AN608" s="597"/>
      <c r="AO608" s="611"/>
      <c r="AT608" s="611"/>
    </row>
    <row r="609" spans="1:42" s="550" customFormat="1" ht="12.75" customHeight="1">
      <c r="B609" s="536"/>
      <c r="C609" s="933"/>
      <c r="D609" s="536" t="s">
        <v>1715</v>
      </c>
      <c r="E609" s="936"/>
      <c r="F609" s="936"/>
      <c r="G609" s="936"/>
      <c r="H609" s="936"/>
      <c r="I609" s="936"/>
      <c r="J609" s="936"/>
      <c r="K609" s="936"/>
      <c r="L609" s="936"/>
      <c r="M609" s="936"/>
      <c r="N609" s="536"/>
      <c r="O609" s="536"/>
      <c r="P609" s="536"/>
      <c r="Q609" s="536"/>
      <c r="R609" s="536"/>
      <c r="S609" s="536"/>
      <c r="T609" s="536"/>
      <c r="U609" s="536"/>
      <c r="V609" s="536"/>
      <c r="W609" s="536"/>
      <c r="X609" s="536"/>
      <c r="Y609" s="536"/>
      <c r="Z609" s="536"/>
      <c r="AA609" s="536"/>
      <c r="AB609" s="536"/>
      <c r="AC609" s="536"/>
      <c r="AD609" s="536"/>
      <c r="AE609" s="536"/>
      <c r="AF609" s="536"/>
      <c r="AG609" s="536"/>
      <c r="AH609" s="536"/>
      <c r="AI609" s="536"/>
      <c r="AJ609" s="536"/>
      <c r="AK609" s="536"/>
      <c r="AL609" s="536"/>
      <c r="AN609" s="597"/>
    </row>
    <row r="610" spans="1:42" s="550" customFormat="1" ht="12.75" customHeight="1">
      <c r="B610" s="536"/>
      <c r="C610" s="933"/>
      <c r="D610" s="536" t="s">
        <v>1716</v>
      </c>
      <c r="E610" s="936"/>
      <c r="F610" s="936"/>
      <c r="G610" s="936"/>
      <c r="H610" s="936"/>
      <c r="I610" s="936"/>
      <c r="J610" s="936"/>
      <c r="K610" s="936"/>
      <c r="L610" s="936"/>
      <c r="M610" s="936"/>
      <c r="N610" s="536"/>
      <c r="O610" s="536"/>
      <c r="P610" s="536"/>
      <c r="Q610" s="536"/>
      <c r="R610" s="536"/>
      <c r="S610" s="536"/>
      <c r="T610" s="536"/>
      <c r="U610" s="536"/>
      <c r="V610" s="536"/>
      <c r="W610" s="536"/>
      <c r="X610" s="536"/>
      <c r="Y610" s="536"/>
      <c r="Z610" s="536"/>
      <c r="AA610" s="536"/>
      <c r="AB610" s="536"/>
      <c r="AC610" s="536"/>
      <c r="AD610" s="536"/>
      <c r="AE610" s="536"/>
      <c r="AF610" s="536"/>
      <c r="AG610" s="536"/>
      <c r="AH610" s="536"/>
      <c r="AI610" s="536"/>
      <c r="AJ610" s="536"/>
      <c r="AK610" s="536"/>
      <c r="AL610" s="536"/>
      <c r="AN610" s="597"/>
    </row>
    <row r="611" spans="1:42" s="550" customFormat="1" ht="12.75" customHeight="1">
      <c r="B611" s="536"/>
      <c r="C611" s="933"/>
      <c r="D611" s="536" t="s">
        <v>1717</v>
      </c>
      <c r="E611" s="936"/>
      <c r="F611" s="936"/>
      <c r="G611" s="936"/>
      <c r="H611" s="936"/>
      <c r="I611" s="936"/>
      <c r="J611" s="936"/>
      <c r="K611" s="936"/>
      <c r="L611" s="936"/>
      <c r="M611" s="936"/>
      <c r="N611" s="536"/>
      <c r="O611" s="536"/>
      <c r="P611" s="536"/>
      <c r="Q611" s="536"/>
      <c r="R611" s="536"/>
      <c r="S611" s="536"/>
      <c r="T611" s="536"/>
      <c r="U611" s="536"/>
      <c r="V611" s="536"/>
      <c r="W611" s="536"/>
      <c r="X611" s="536"/>
      <c r="Y611" s="536"/>
      <c r="Z611" s="536"/>
      <c r="AA611" s="536"/>
      <c r="AB611" s="536"/>
      <c r="AC611" s="536"/>
      <c r="AD611" s="536"/>
      <c r="AE611" s="536"/>
      <c r="AF611" s="536"/>
      <c r="AG611" s="536"/>
      <c r="AH611" s="536"/>
      <c r="AI611" s="536"/>
      <c r="AJ611" s="536"/>
      <c r="AK611" s="536"/>
      <c r="AL611" s="536"/>
      <c r="AN611" s="597"/>
    </row>
    <row r="612" spans="1:42" s="550" customFormat="1" ht="12.75" customHeight="1">
      <c r="B612" s="536"/>
      <c r="C612" s="933"/>
      <c r="D612" s="605" t="s">
        <v>1718</v>
      </c>
      <c r="E612" s="936"/>
      <c r="F612" s="936"/>
      <c r="G612" s="936"/>
      <c r="H612" s="936"/>
      <c r="I612" s="936"/>
      <c r="J612" s="936"/>
      <c r="K612" s="936"/>
      <c r="L612" s="936"/>
      <c r="M612" s="936"/>
      <c r="N612" s="536"/>
      <c r="O612" s="536"/>
      <c r="P612" s="536"/>
      <c r="Q612" s="536"/>
      <c r="R612" s="536"/>
      <c r="S612" s="536"/>
      <c r="T612" s="536"/>
      <c r="U612" s="536"/>
      <c r="V612" s="536"/>
      <c r="W612" s="536"/>
      <c r="X612" s="536"/>
      <c r="Y612" s="536"/>
      <c r="Z612" s="536"/>
      <c r="AA612" s="536"/>
      <c r="AB612" s="536"/>
      <c r="AC612" s="536"/>
      <c r="AD612" s="536"/>
      <c r="AE612" s="536"/>
      <c r="AF612" s="536"/>
      <c r="AG612" s="536"/>
      <c r="AH612" s="536"/>
      <c r="AI612" s="536"/>
      <c r="AJ612" s="536"/>
      <c r="AK612" s="536"/>
      <c r="AL612" s="536"/>
      <c r="AN612" s="597"/>
    </row>
    <row r="613" spans="1:42" s="550" customFormat="1" ht="12.75" customHeight="1">
      <c r="B613" s="536"/>
      <c r="C613" s="933"/>
      <c r="D613" s="536"/>
      <c r="E613" s="536"/>
      <c r="F613" s="536"/>
      <c r="G613" s="536"/>
      <c r="H613" s="536"/>
      <c r="I613" s="536"/>
      <c r="J613" s="536"/>
      <c r="K613" s="536"/>
      <c r="L613" s="536"/>
      <c r="M613" s="536"/>
      <c r="N613" s="536"/>
      <c r="O613" s="536"/>
      <c r="P613" s="536"/>
      <c r="Q613" s="536"/>
      <c r="R613" s="536"/>
      <c r="S613" s="536"/>
      <c r="T613" s="536"/>
      <c r="U613" s="536"/>
      <c r="V613" s="536"/>
      <c r="W613" s="536"/>
      <c r="X613" s="536"/>
      <c r="Y613" s="536"/>
      <c r="Z613" s="536"/>
      <c r="AA613" s="536"/>
      <c r="AB613" s="536"/>
      <c r="AC613" s="536"/>
      <c r="AD613" s="536"/>
      <c r="AE613" s="536"/>
      <c r="AF613" s="536"/>
      <c r="AG613" s="536"/>
      <c r="AH613" s="536"/>
      <c r="AI613" s="536"/>
      <c r="AJ613" s="536"/>
      <c r="AK613" s="536"/>
      <c r="AL613" s="536"/>
      <c r="AN613" s="597"/>
      <c r="AO613" s="550" t="s">
        <v>591</v>
      </c>
      <c r="AP613" s="673">
        <v>0</v>
      </c>
    </row>
    <row r="614" spans="1:42" s="550" customFormat="1" ht="12.75" customHeight="1">
      <c r="B614" s="536"/>
      <c r="C614" s="933"/>
      <c r="D614" s="536"/>
      <c r="E614" s="536" t="s">
        <v>1400</v>
      </c>
      <c r="F614" s="936"/>
      <c r="G614" s="936"/>
      <c r="I614" s="2529" t="s">
        <v>591</v>
      </c>
      <c r="J614" s="2529"/>
      <c r="K614" s="2529"/>
      <c r="L614" s="2529"/>
      <c r="M614" s="2529"/>
      <c r="N614" s="2529"/>
      <c r="O614" s="2529"/>
      <c r="P614" s="2529"/>
      <c r="Q614" s="2529"/>
      <c r="R614" s="2529"/>
      <c r="S614" s="2529"/>
      <c r="T614" s="2529"/>
      <c r="U614" s="2529"/>
      <c r="V614" s="2529"/>
      <c r="W614" s="2529"/>
      <c r="X614" s="2529"/>
      <c r="Y614" s="2529"/>
      <c r="Z614" s="2529"/>
      <c r="AA614" s="2529"/>
      <c r="AB614" s="2529"/>
      <c r="AC614" s="2529"/>
      <c r="AD614" s="2529"/>
      <c r="AE614" s="2529"/>
      <c r="AF614" s="536"/>
      <c r="AG614" s="536"/>
      <c r="AH614" s="536"/>
      <c r="AI614" s="536"/>
      <c r="AJ614" s="536"/>
      <c r="AK614" s="536"/>
      <c r="AL614" s="536"/>
      <c r="AN614" s="597"/>
      <c r="AO614" s="550" t="s">
        <v>1401</v>
      </c>
      <c r="AP614" s="550">
        <v>3</v>
      </c>
    </row>
    <row r="615" spans="1:42" s="550" customFormat="1" ht="12.75" customHeight="1">
      <c r="B615" s="536"/>
      <c r="C615" s="536"/>
      <c r="D615" s="536"/>
      <c r="E615" s="536"/>
      <c r="F615" s="642"/>
      <c r="G615" s="642"/>
      <c r="H615" s="642"/>
      <c r="I615" s="642"/>
      <c r="J615" s="642"/>
      <c r="K615" s="642"/>
      <c r="L615" s="642"/>
      <c r="M615" s="642"/>
      <c r="N615" s="642"/>
      <c r="O615" s="642"/>
      <c r="P615" s="642"/>
      <c r="Q615" s="642"/>
      <c r="R615" s="642"/>
      <c r="S615" s="642"/>
      <c r="T615" s="642"/>
      <c r="U615" s="642"/>
      <c r="V615" s="642"/>
      <c r="W615" s="642"/>
      <c r="X615" s="642"/>
      <c r="Y615" s="642"/>
      <c r="Z615" s="642"/>
      <c r="AA615" s="642"/>
      <c r="AB615" s="642"/>
      <c r="AC615" s="642"/>
      <c r="AD615" s="642"/>
      <c r="AE615" s="642"/>
      <c r="AF615" s="642"/>
      <c r="AG615" s="642"/>
      <c r="AH615" s="642"/>
      <c r="AI615" s="642"/>
      <c r="AJ615" s="642"/>
      <c r="AK615" s="642"/>
      <c r="AL615" s="642"/>
      <c r="AN615" s="597"/>
      <c r="AO615" s="550" t="s">
        <v>1402</v>
      </c>
      <c r="AP615" s="550">
        <v>2</v>
      </c>
    </row>
    <row r="616" spans="1:42" s="550" customFormat="1" ht="12.75" customHeight="1">
      <c r="B616" s="2472" t="s">
        <v>591</v>
      </c>
      <c r="C616" s="2472"/>
      <c r="D616" s="642"/>
      <c r="E616" s="2499" t="s">
        <v>1403</v>
      </c>
      <c r="F616" s="2499"/>
      <c r="G616" s="2499"/>
      <c r="H616" s="2499"/>
      <c r="I616" s="2499"/>
      <c r="J616" s="2499"/>
      <c r="K616" s="2499"/>
      <c r="L616" s="2499"/>
      <c r="M616" s="2499"/>
      <c r="N616" s="2499"/>
      <c r="O616" s="2499"/>
      <c r="P616" s="2499"/>
      <c r="Q616" s="2499"/>
      <c r="R616" s="2499"/>
      <c r="S616" s="2499"/>
      <c r="T616" s="2499"/>
      <c r="U616" s="2499"/>
      <c r="V616" s="2499"/>
      <c r="W616" s="2499"/>
      <c r="X616" s="2499"/>
      <c r="Y616" s="2499"/>
      <c r="Z616" s="2499"/>
      <c r="AA616" s="2499"/>
      <c r="AB616" s="2499"/>
      <c r="AC616" s="2499"/>
      <c r="AD616" s="2499"/>
      <c r="AE616" s="2499"/>
      <c r="AF616" s="2499"/>
      <c r="AG616" s="2499"/>
      <c r="AH616" s="642"/>
      <c r="AI616" s="642"/>
      <c r="AJ616" s="642"/>
      <c r="AK616" s="642"/>
      <c r="AL616" s="642"/>
      <c r="AN616" s="597"/>
    </row>
    <row r="617" spans="1:42" s="550" customFormat="1" ht="12.75" customHeight="1">
      <c r="B617" s="536"/>
      <c r="C617" s="933"/>
      <c r="D617" s="642"/>
      <c r="E617" s="2499"/>
      <c r="F617" s="2499"/>
      <c r="G617" s="2499"/>
      <c r="H617" s="2499"/>
      <c r="I617" s="2499"/>
      <c r="J617" s="2499"/>
      <c r="K617" s="2499"/>
      <c r="L617" s="2499"/>
      <c r="M617" s="2499"/>
      <c r="N617" s="2499"/>
      <c r="O617" s="2499"/>
      <c r="P617" s="2499"/>
      <c r="Q617" s="2499"/>
      <c r="R617" s="2499"/>
      <c r="S617" s="2499"/>
      <c r="T617" s="2499"/>
      <c r="U617" s="2499"/>
      <c r="V617" s="2499"/>
      <c r="W617" s="2499"/>
      <c r="X617" s="2499"/>
      <c r="Y617" s="2499"/>
      <c r="Z617" s="2499"/>
      <c r="AA617" s="2499"/>
      <c r="AB617" s="2499"/>
      <c r="AC617" s="2499"/>
      <c r="AD617" s="2499"/>
      <c r="AE617" s="2499"/>
      <c r="AF617" s="2499"/>
      <c r="AG617" s="2499"/>
      <c r="AH617" s="642"/>
      <c r="AI617" s="642"/>
      <c r="AJ617" s="642"/>
      <c r="AK617" s="642"/>
      <c r="AL617" s="642"/>
      <c r="AN617" s="597"/>
    </row>
    <row r="618" spans="1:42" s="550" customFormat="1" ht="12.75" customHeight="1">
      <c r="B618" s="536"/>
      <c r="C618" s="933"/>
      <c r="D618" s="642"/>
      <c r="E618" s="2499"/>
      <c r="F618" s="2499"/>
      <c r="G618" s="2499"/>
      <c r="H618" s="2499"/>
      <c r="I618" s="2499"/>
      <c r="J618" s="2499"/>
      <c r="K618" s="2499"/>
      <c r="L618" s="2499"/>
      <c r="M618" s="2499"/>
      <c r="N618" s="2499"/>
      <c r="O618" s="2499"/>
      <c r="P618" s="2499"/>
      <c r="Q618" s="2499"/>
      <c r="R618" s="2499"/>
      <c r="S618" s="2499"/>
      <c r="T618" s="2499"/>
      <c r="U618" s="2499"/>
      <c r="V618" s="2499"/>
      <c r="W618" s="2499"/>
      <c r="X618" s="2499"/>
      <c r="Y618" s="2499"/>
      <c r="Z618" s="2499"/>
      <c r="AA618" s="2499"/>
      <c r="AB618" s="2499"/>
      <c r="AC618" s="2499"/>
      <c r="AD618" s="2499"/>
      <c r="AE618" s="2499"/>
      <c r="AF618" s="2499"/>
      <c r="AG618" s="2499"/>
      <c r="AH618" s="642"/>
      <c r="AI618" s="642"/>
      <c r="AJ618" s="642"/>
      <c r="AK618" s="642"/>
      <c r="AL618" s="642"/>
      <c r="AN618" s="597"/>
    </row>
    <row r="619" spans="1:42" s="550" customFormat="1" ht="12.75" customHeight="1">
      <c r="B619" s="536"/>
      <c r="C619" s="933"/>
      <c r="D619" s="642"/>
      <c r="E619" s="2499"/>
      <c r="F619" s="2499"/>
      <c r="G619" s="2499"/>
      <c r="H619" s="2499"/>
      <c r="I619" s="2499"/>
      <c r="J619" s="2499"/>
      <c r="K619" s="2499"/>
      <c r="L619" s="2499"/>
      <c r="M619" s="2499"/>
      <c r="N619" s="2499"/>
      <c r="O619" s="2499"/>
      <c r="P619" s="2499"/>
      <c r="Q619" s="2499"/>
      <c r="R619" s="2499"/>
      <c r="S619" s="2499"/>
      <c r="T619" s="2499"/>
      <c r="U619" s="2499"/>
      <c r="V619" s="2499"/>
      <c r="W619" s="2499"/>
      <c r="X619" s="2499"/>
      <c r="Y619" s="2499"/>
      <c r="Z619" s="2499"/>
      <c r="AA619" s="2499"/>
      <c r="AB619" s="2499"/>
      <c r="AC619" s="2499"/>
      <c r="AD619" s="2499"/>
      <c r="AE619" s="2499"/>
      <c r="AF619" s="2499"/>
      <c r="AG619" s="2499"/>
      <c r="AH619" s="642"/>
      <c r="AI619" s="642"/>
      <c r="AJ619" s="642"/>
      <c r="AK619" s="642"/>
      <c r="AL619" s="642"/>
      <c r="AN619" s="597"/>
    </row>
    <row r="620" spans="1:42" s="550" customFormat="1" ht="12.75" customHeight="1">
      <c r="B620" s="536"/>
      <c r="C620" s="933"/>
      <c r="D620" s="937"/>
      <c r="E620" s="957"/>
      <c r="F620" s="957"/>
      <c r="G620" s="957"/>
      <c r="H620" s="957"/>
      <c r="I620" s="957"/>
      <c r="J620" s="957"/>
      <c r="K620" s="957"/>
      <c r="L620" s="957"/>
      <c r="M620" s="957"/>
      <c r="N620" s="957"/>
      <c r="O620" s="957"/>
      <c r="P620" s="957"/>
      <c r="Q620" s="957"/>
      <c r="R620" s="957"/>
      <c r="S620" s="957"/>
      <c r="T620" s="957"/>
      <c r="U620" s="957"/>
      <c r="V620" s="957"/>
      <c r="W620" s="957"/>
      <c r="X620" s="957"/>
      <c r="Y620" s="957"/>
      <c r="Z620" s="957"/>
      <c r="AA620" s="957"/>
      <c r="AB620" s="957"/>
      <c r="AC620" s="957"/>
      <c r="AD620" s="957"/>
      <c r="AE620" s="957"/>
      <c r="AF620" s="957"/>
      <c r="AG620" s="957"/>
      <c r="AH620" s="937"/>
      <c r="AI620" s="937"/>
      <c r="AJ620" s="937"/>
      <c r="AK620" s="937"/>
      <c r="AL620" s="642"/>
      <c r="AN620" s="597"/>
    </row>
    <row r="621" spans="1:42" s="550" customFormat="1" ht="12.75" customHeight="1">
      <c r="A621" s="606"/>
      <c r="B621" s="601"/>
      <c r="C621" s="938"/>
      <c r="D621" s="601"/>
      <c r="E621" s="939"/>
      <c r="F621" s="939"/>
      <c r="G621" s="939"/>
      <c r="H621" s="939"/>
      <c r="I621" s="939"/>
      <c r="J621" s="939"/>
      <c r="K621" s="939"/>
      <c r="L621" s="939"/>
      <c r="M621" s="939"/>
      <c r="N621" s="939"/>
      <c r="O621" s="939"/>
      <c r="P621" s="939"/>
      <c r="Q621" s="939"/>
      <c r="R621" s="939"/>
      <c r="S621" s="939"/>
      <c r="T621" s="939"/>
      <c r="U621" s="939"/>
      <c r="V621" s="939"/>
      <c r="W621" s="939"/>
      <c r="X621" s="939"/>
      <c r="Y621" s="939"/>
      <c r="Z621" s="939"/>
      <c r="AA621" s="939"/>
      <c r="AB621" s="601"/>
      <c r="AC621" s="601"/>
      <c r="AD621" s="601"/>
      <c r="AE621" s="601"/>
      <c r="AF621" s="601"/>
      <c r="AG621" s="601"/>
      <c r="AH621" s="601"/>
      <c r="AI621" s="565" t="s">
        <v>1404</v>
      </c>
      <c r="AJ621" s="2479">
        <f>VLOOKUP($H$606,$AO$586:$AP$591,2,FALSE)+IF(R606=AO594,0,VLOOKUP($I$614,$AO$613:$AP$615,2,FALSE))</f>
        <v>7</v>
      </c>
      <c r="AK621" s="2481"/>
      <c r="AL621" s="595"/>
      <c r="AM621" s="675"/>
      <c r="AN621" s="597"/>
    </row>
    <row r="622" spans="1:42" s="550" customFormat="1" ht="12.75" customHeight="1">
      <c r="B622" s="536"/>
      <c r="C622" s="933"/>
      <c r="D622" s="536"/>
      <c r="E622" s="936"/>
      <c r="F622" s="936"/>
      <c r="G622" s="936"/>
      <c r="H622" s="936"/>
      <c r="I622" s="936"/>
      <c r="J622" s="936"/>
      <c r="K622" s="936"/>
      <c r="L622" s="936"/>
      <c r="M622" s="936"/>
      <c r="N622" s="936"/>
      <c r="O622" s="936"/>
      <c r="P622" s="936"/>
      <c r="Q622" s="936"/>
      <c r="R622" s="936"/>
      <c r="S622" s="936"/>
      <c r="T622" s="936"/>
      <c r="U622" s="936"/>
      <c r="V622" s="936"/>
      <c r="W622" s="936"/>
      <c r="X622" s="936"/>
      <c r="Y622" s="936"/>
      <c r="Z622" s="936"/>
      <c r="AA622" s="936"/>
      <c r="AB622" s="936"/>
      <c r="AC622" s="536"/>
      <c r="AD622" s="536"/>
      <c r="AE622" s="936"/>
      <c r="AF622" s="936"/>
      <c r="AG622" s="936"/>
      <c r="AH622" s="936"/>
      <c r="AI622" s="936"/>
      <c r="AJ622" s="936"/>
      <c r="AK622" s="936"/>
      <c r="AL622" s="936"/>
      <c r="AM622" s="675"/>
      <c r="AN622" s="597"/>
    </row>
    <row r="623" spans="1:42" s="550" customFormat="1" ht="12.75" customHeight="1">
      <c r="B623" s="536"/>
      <c r="C623" s="539" t="s">
        <v>1405</v>
      </c>
      <c r="D623" s="539"/>
      <c r="E623" s="936"/>
      <c r="F623" s="936"/>
      <c r="G623" s="936"/>
      <c r="H623" s="936"/>
      <c r="I623" s="936"/>
      <c r="J623" s="936"/>
      <c r="K623" s="936"/>
      <c r="L623" s="936"/>
      <c r="M623" s="936"/>
      <c r="N623" s="936"/>
      <c r="O623" s="936"/>
      <c r="P623" s="936"/>
      <c r="Q623" s="936"/>
      <c r="R623" s="936"/>
      <c r="S623" s="936"/>
      <c r="T623" s="936"/>
      <c r="U623" s="936"/>
      <c r="V623" s="936"/>
      <c r="W623" s="936"/>
      <c r="X623" s="936"/>
      <c r="Y623" s="936"/>
      <c r="Z623" s="936"/>
      <c r="AA623" s="936"/>
      <c r="AB623" s="936"/>
      <c r="AC623" s="536"/>
      <c r="AD623" s="536"/>
      <c r="AE623" s="536"/>
      <c r="AF623" s="536"/>
      <c r="AG623" s="536"/>
      <c r="AH623" s="536"/>
      <c r="AI623" s="536"/>
      <c r="AJ623" s="536"/>
      <c r="AK623" s="536"/>
      <c r="AL623" s="536"/>
      <c r="AN623" s="597"/>
    </row>
    <row r="624" spans="1:42" s="550" customFormat="1" ht="12.75" customHeight="1">
      <c r="B624" s="610"/>
      <c r="C624" s="536"/>
      <c r="D624" s="935"/>
      <c r="E624" s="936"/>
      <c r="F624" s="936"/>
      <c r="G624" s="936"/>
      <c r="H624" s="936"/>
      <c r="I624" s="936"/>
      <c r="J624" s="936"/>
      <c r="K624" s="936"/>
      <c r="L624" s="936"/>
      <c r="M624" s="936"/>
      <c r="N624" s="936"/>
      <c r="O624" s="936"/>
      <c r="P624" s="936"/>
      <c r="Q624" s="936"/>
      <c r="R624" s="936"/>
      <c r="S624" s="936"/>
      <c r="T624" s="936"/>
      <c r="U624" s="936"/>
      <c r="V624" s="936"/>
      <c r="W624" s="936"/>
      <c r="X624" s="936"/>
      <c r="Y624" s="936"/>
      <c r="Z624" s="936"/>
      <c r="AA624" s="936"/>
      <c r="AB624" s="936"/>
      <c r="AC624" s="536"/>
      <c r="AD624" s="536"/>
      <c r="AE624" s="536"/>
      <c r="AF624" s="536"/>
      <c r="AG624" s="536"/>
      <c r="AH624" s="536"/>
      <c r="AI624" s="536"/>
      <c r="AJ624" s="536"/>
      <c r="AK624" s="536"/>
      <c r="AL624" s="536"/>
      <c r="AN624" s="597"/>
    </row>
    <row r="625" spans="1:42" s="596" customFormat="1" ht="12.75" customHeight="1">
      <c r="A625" s="550"/>
      <c r="B625" s="536"/>
      <c r="C625" s="536"/>
      <c r="D625" s="663" t="s">
        <v>687</v>
      </c>
      <c r="E625" s="2527" t="s">
        <v>1694</v>
      </c>
      <c r="F625" s="2527"/>
      <c r="G625" s="2527"/>
      <c r="H625" s="2527"/>
      <c r="I625" s="2527"/>
      <c r="J625" s="2527"/>
      <c r="K625" s="2527"/>
      <c r="L625" s="2527"/>
      <c r="M625" s="2527"/>
      <c r="N625" s="2527"/>
      <c r="O625" s="2527"/>
      <c r="P625" s="2527"/>
      <c r="Q625" s="2527"/>
      <c r="R625" s="2527"/>
      <c r="S625" s="2527"/>
      <c r="T625" s="2527"/>
      <c r="U625" s="2527"/>
      <c r="V625" s="2527"/>
      <c r="W625" s="2527"/>
      <c r="X625" s="2527"/>
      <c r="Y625" s="2527"/>
      <c r="Z625" s="2527"/>
      <c r="AA625" s="2527"/>
      <c r="AB625" s="2527"/>
      <c r="AC625" s="2527"/>
      <c r="AD625" s="2527"/>
      <c r="AE625" s="539"/>
      <c r="AF625" s="2444" t="s">
        <v>1352</v>
      </c>
      <c r="AG625" s="2444"/>
      <c r="AH625" s="2444"/>
      <c r="AI625" s="2444"/>
      <c r="AJ625" s="2444"/>
      <c r="AK625" s="2444"/>
      <c r="AL625" s="2444"/>
      <c r="AM625" s="550"/>
      <c r="AN625" s="678"/>
    </row>
    <row r="626" spans="1:42" s="550" customFormat="1" ht="12.75" customHeight="1">
      <c r="A626" s="679"/>
      <c r="B626" s="536"/>
      <c r="C626" s="933"/>
      <c r="D626" s="663"/>
      <c r="E626" s="2527"/>
      <c r="F626" s="2527"/>
      <c r="G626" s="2527"/>
      <c r="H626" s="2527"/>
      <c r="I626" s="2527"/>
      <c r="J626" s="2527"/>
      <c r="K626" s="2527"/>
      <c r="L626" s="2527"/>
      <c r="M626" s="2527"/>
      <c r="N626" s="2527"/>
      <c r="O626" s="2527"/>
      <c r="P626" s="2527"/>
      <c r="Q626" s="2527"/>
      <c r="R626" s="2527"/>
      <c r="S626" s="2527"/>
      <c r="T626" s="2527"/>
      <c r="U626" s="2527"/>
      <c r="V626" s="2527"/>
      <c r="W626" s="2527"/>
      <c r="X626" s="2527"/>
      <c r="Y626" s="2527"/>
      <c r="Z626" s="2527"/>
      <c r="AA626" s="2527"/>
      <c r="AB626" s="2527"/>
      <c r="AC626" s="2527"/>
      <c r="AD626" s="2527"/>
      <c r="AE626" s="536"/>
      <c r="AF626" s="536"/>
      <c r="AG626" s="536"/>
      <c r="AH626" s="536"/>
      <c r="AI626" s="536"/>
      <c r="AJ626" s="536"/>
      <c r="AK626" s="536"/>
      <c r="AL626" s="536"/>
      <c r="AN626" s="597"/>
    </row>
    <row r="627" spans="1:42" s="550" customFormat="1" ht="12.75" customHeight="1">
      <c r="B627" s="536"/>
      <c r="C627" s="931"/>
      <c r="D627" s="663"/>
      <c r="E627" s="2527"/>
      <c r="F627" s="2527"/>
      <c r="G627" s="2527"/>
      <c r="H627" s="2527"/>
      <c r="I627" s="2527"/>
      <c r="J627" s="2527"/>
      <c r="K627" s="2527"/>
      <c r="L627" s="2527"/>
      <c r="M627" s="2527"/>
      <c r="N627" s="2527"/>
      <c r="O627" s="2527"/>
      <c r="P627" s="2527"/>
      <c r="Q627" s="2527"/>
      <c r="R627" s="2527"/>
      <c r="S627" s="2527"/>
      <c r="T627" s="2527"/>
      <c r="U627" s="2527"/>
      <c r="V627" s="2527"/>
      <c r="W627" s="2527"/>
      <c r="X627" s="2527"/>
      <c r="Y627" s="2527"/>
      <c r="Z627" s="2527"/>
      <c r="AA627" s="2527"/>
      <c r="AB627" s="2527"/>
      <c r="AC627" s="2527"/>
      <c r="AD627" s="2527"/>
      <c r="AE627" s="536"/>
      <c r="AF627" s="536"/>
      <c r="AG627" s="536"/>
      <c r="AH627" s="536"/>
      <c r="AI627" s="536"/>
      <c r="AJ627" s="536"/>
      <c r="AK627" s="536"/>
      <c r="AL627" s="536"/>
      <c r="AN627" s="597"/>
    </row>
    <row r="628" spans="1:42" s="550" customFormat="1" ht="12.75" customHeight="1">
      <c r="B628" s="536"/>
      <c r="C628" s="931"/>
      <c r="D628" s="663"/>
      <c r="E628" s="2527"/>
      <c r="F628" s="2527"/>
      <c r="G628" s="2527"/>
      <c r="H628" s="2527"/>
      <c r="I628" s="2527"/>
      <c r="J628" s="2527"/>
      <c r="K628" s="2527"/>
      <c r="L628" s="2527"/>
      <c r="M628" s="2527"/>
      <c r="N628" s="2527"/>
      <c r="O628" s="2527"/>
      <c r="P628" s="2527"/>
      <c r="Q628" s="2527"/>
      <c r="R628" s="2527"/>
      <c r="S628" s="2527"/>
      <c r="T628" s="2527"/>
      <c r="U628" s="2527"/>
      <c r="V628" s="2527"/>
      <c r="W628" s="2527"/>
      <c r="X628" s="2527"/>
      <c r="Y628" s="2527"/>
      <c r="Z628" s="2527"/>
      <c r="AA628" s="2527"/>
      <c r="AB628" s="2527"/>
      <c r="AC628" s="2527"/>
      <c r="AD628" s="2527"/>
      <c r="AE628" s="536"/>
      <c r="AF628" s="536"/>
      <c r="AG628" s="536"/>
      <c r="AH628" s="536"/>
      <c r="AI628" s="536"/>
      <c r="AJ628" s="536"/>
      <c r="AK628" s="536"/>
      <c r="AL628" s="536"/>
      <c r="AN628" s="597"/>
    </row>
    <row r="629" spans="1:42" s="550" customFormat="1" ht="12.75" customHeight="1">
      <c r="B629" s="536"/>
      <c r="C629" s="931"/>
      <c r="D629" s="663"/>
      <c r="E629" s="2527"/>
      <c r="F629" s="2527"/>
      <c r="G629" s="2527"/>
      <c r="H629" s="2527"/>
      <c r="I629" s="2527"/>
      <c r="J629" s="2527"/>
      <c r="K629" s="2527"/>
      <c r="L629" s="2527"/>
      <c r="M629" s="2527"/>
      <c r="N629" s="2527"/>
      <c r="O629" s="2527"/>
      <c r="P629" s="2527"/>
      <c r="Q629" s="2527"/>
      <c r="R629" s="2527"/>
      <c r="S629" s="2527"/>
      <c r="T629" s="2527"/>
      <c r="U629" s="2527"/>
      <c r="V629" s="2527"/>
      <c r="W629" s="2527"/>
      <c r="X629" s="2527"/>
      <c r="Y629" s="2527"/>
      <c r="Z629" s="2527"/>
      <c r="AA629" s="2527"/>
      <c r="AB629" s="2527"/>
      <c r="AC629" s="2527"/>
      <c r="AD629" s="2527"/>
      <c r="AE629" s="536"/>
      <c r="AF629" s="536"/>
      <c r="AG629" s="536"/>
      <c r="AH629" s="536"/>
      <c r="AI629" s="536"/>
      <c r="AJ629" s="536"/>
      <c r="AK629" s="536"/>
      <c r="AL629" s="536"/>
      <c r="AN629" s="597"/>
    </row>
    <row r="630" spans="1:42" s="550" customFormat="1" ht="12.75" customHeight="1">
      <c r="B630" s="536"/>
      <c r="C630" s="931"/>
      <c r="D630" s="663"/>
      <c r="E630" s="2527"/>
      <c r="F630" s="2527"/>
      <c r="G630" s="2527"/>
      <c r="H630" s="2527"/>
      <c r="I630" s="2527"/>
      <c r="J630" s="2527"/>
      <c r="K630" s="2527"/>
      <c r="L630" s="2527"/>
      <c r="M630" s="2527"/>
      <c r="N630" s="2527"/>
      <c r="O630" s="2527"/>
      <c r="P630" s="2527"/>
      <c r="Q630" s="2527"/>
      <c r="R630" s="2527"/>
      <c r="S630" s="2527"/>
      <c r="T630" s="2527"/>
      <c r="U630" s="2527"/>
      <c r="V630" s="2527"/>
      <c r="W630" s="2527"/>
      <c r="X630" s="2527"/>
      <c r="Y630" s="2527"/>
      <c r="Z630" s="2527"/>
      <c r="AA630" s="2527"/>
      <c r="AB630" s="2527"/>
      <c r="AC630" s="2527"/>
      <c r="AD630" s="2527"/>
      <c r="AE630" s="536"/>
      <c r="AF630" s="536"/>
      <c r="AG630" s="536"/>
      <c r="AH630" s="536"/>
      <c r="AI630" s="536"/>
      <c r="AJ630" s="536"/>
      <c r="AK630" s="536"/>
      <c r="AL630" s="536"/>
      <c r="AN630" s="597"/>
    </row>
    <row r="631" spans="1:42" s="550" customFormat="1" ht="12.75" customHeight="1">
      <c r="A631" s="637"/>
      <c r="B631" s="616"/>
      <c r="C631" s="940"/>
      <c r="D631" s="663"/>
      <c r="E631" s="2527"/>
      <c r="F631" s="2527"/>
      <c r="G631" s="2527"/>
      <c r="H631" s="2527"/>
      <c r="I631" s="2527"/>
      <c r="J631" s="2527"/>
      <c r="K631" s="2527"/>
      <c r="L631" s="2527"/>
      <c r="M631" s="2527"/>
      <c r="N631" s="2527"/>
      <c r="O631" s="2527"/>
      <c r="P631" s="2527"/>
      <c r="Q631" s="2527"/>
      <c r="R631" s="2527"/>
      <c r="S631" s="2527"/>
      <c r="T631" s="2527"/>
      <c r="U631" s="2527"/>
      <c r="V631" s="2527"/>
      <c r="W631" s="2527"/>
      <c r="X631" s="2527"/>
      <c r="Y631" s="2527"/>
      <c r="Z631" s="2527"/>
      <c r="AA631" s="2527"/>
      <c r="AB631" s="2527"/>
      <c r="AC631" s="2527"/>
      <c r="AD631" s="2527"/>
      <c r="AE631" s="616"/>
      <c r="AF631" s="616"/>
      <c r="AG631" s="616"/>
      <c r="AH631" s="616"/>
      <c r="AI631" s="616"/>
      <c r="AJ631" s="616"/>
      <c r="AK631" s="536"/>
      <c r="AL631" s="536"/>
      <c r="AN631" s="597"/>
    </row>
    <row r="632" spans="1:42" s="550" customFormat="1" ht="12.75" customHeight="1">
      <c r="B632" s="616"/>
      <c r="C632" s="940"/>
      <c r="D632" s="663"/>
      <c r="E632" s="2527"/>
      <c r="F632" s="2527"/>
      <c r="G632" s="2527"/>
      <c r="H632" s="2527"/>
      <c r="I632" s="2527"/>
      <c r="J632" s="2527"/>
      <c r="K632" s="2527"/>
      <c r="L632" s="2527"/>
      <c r="M632" s="2527"/>
      <c r="N632" s="2527"/>
      <c r="O632" s="2527"/>
      <c r="P632" s="2527"/>
      <c r="Q632" s="2527"/>
      <c r="R632" s="2527"/>
      <c r="S632" s="2527"/>
      <c r="T632" s="2527"/>
      <c r="U632" s="2527"/>
      <c r="V632" s="2527"/>
      <c r="W632" s="2527"/>
      <c r="X632" s="2527"/>
      <c r="Y632" s="2527"/>
      <c r="Z632" s="2527"/>
      <c r="AA632" s="2527"/>
      <c r="AB632" s="2527"/>
      <c r="AC632" s="2527"/>
      <c r="AD632" s="2527"/>
      <c r="AE632" s="616"/>
      <c r="AF632" s="616"/>
      <c r="AG632" s="616"/>
      <c r="AH632" s="616"/>
      <c r="AI632" s="616"/>
      <c r="AJ632" s="616"/>
      <c r="AK632" s="536"/>
      <c r="AL632" s="536"/>
      <c r="AN632" s="597"/>
    </row>
    <row r="633" spans="1:42" s="550" customFormat="1" ht="12" customHeight="1">
      <c r="B633" s="616"/>
      <c r="C633" s="940"/>
      <c r="D633" s="663"/>
      <c r="E633" s="956"/>
      <c r="F633" s="956"/>
      <c r="G633" s="956"/>
      <c r="H633" s="956"/>
      <c r="I633" s="956"/>
      <c r="J633" s="956"/>
      <c r="K633" s="956"/>
      <c r="L633" s="956"/>
      <c r="M633" s="956"/>
      <c r="N633" s="956"/>
      <c r="O633" s="956"/>
      <c r="P633" s="956"/>
      <c r="Q633" s="956"/>
      <c r="R633" s="956"/>
      <c r="S633" s="956"/>
      <c r="T633" s="956"/>
      <c r="U633" s="956"/>
      <c r="V633" s="956"/>
      <c r="W633" s="956"/>
      <c r="X633" s="956"/>
      <c r="Y633" s="956"/>
      <c r="Z633" s="956"/>
      <c r="AA633" s="956"/>
      <c r="AB633" s="956"/>
      <c r="AC633" s="956"/>
      <c r="AD633" s="956"/>
      <c r="AE633" s="616"/>
      <c r="AF633" s="616"/>
      <c r="AG633" s="616"/>
      <c r="AH633" s="616"/>
      <c r="AI633" s="616"/>
      <c r="AJ633" s="616"/>
      <c r="AK633" s="536"/>
      <c r="AL633" s="536"/>
      <c r="AN633" s="597"/>
      <c r="AO633" s="550" t="s">
        <v>591</v>
      </c>
      <c r="AP633" s="673">
        <v>0</v>
      </c>
    </row>
    <row r="634" spans="1:42" s="550" customFormat="1" ht="12.75" customHeight="1">
      <c r="B634" s="616"/>
      <c r="C634" s="931"/>
      <c r="D634" s="663"/>
      <c r="E634" s="616" t="s">
        <v>1406</v>
      </c>
      <c r="F634" s="941"/>
      <c r="G634" s="941"/>
      <c r="H634" s="941"/>
      <c r="I634" s="941"/>
      <c r="J634" s="941"/>
      <c r="K634" s="941"/>
      <c r="L634" s="941"/>
      <c r="M634" s="941"/>
      <c r="N634" s="941"/>
      <c r="O634" s="941"/>
      <c r="P634" s="941"/>
      <c r="Q634" s="941"/>
      <c r="R634" s="941"/>
      <c r="U634" s="941"/>
      <c r="V634" s="941"/>
      <c r="W634" s="941"/>
      <c r="X634" s="2472" t="s">
        <v>591</v>
      </c>
      <c r="Y634" s="2472"/>
      <c r="Z634" s="941"/>
      <c r="AA634" s="941"/>
      <c r="AB634" s="941"/>
      <c r="AC634" s="941"/>
      <c r="AD634" s="941"/>
      <c r="AE634" s="536"/>
      <c r="AF634" s="616"/>
      <c r="AG634" s="616"/>
      <c r="AH634" s="616"/>
      <c r="AI634" s="616"/>
      <c r="AJ634" s="616"/>
      <c r="AK634" s="536"/>
      <c r="AL634" s="536"/>
      <c r="AN634" s="597"/>
      <c r="AO634" s="611" t="s">
        <v>687</v>
      </c>
      <c r="AP634" s="550">
        <v>5</v>
      </c>
    </row>
    <row r="635" spans="1:42" s="550" customFormat="1" ht="12.75" customHeight="1">
      <c r="B635" s="616"/>
      <c r="C635" s="940"/>
      <c r="D635" s="536"/>
      <c r="E635" s="536"/>
      <c r="F635" s="536"/>
      <c r="G635" s="536"/>
      <c r="H635" s="536"/>
      <c r="I635" s="536"/>
      <c r="J635" s="536"/>
      <c r="K635" s="536"/>
      <c r="L635" s="536"/>
      <c r="M635" s="536"/>
      <c r="N635" s="536"/>
      <c r="O635" s="536"/>
      <c r="P635" s="536"/>
      <c r="Q635" s="536"/>
      <c r="R635" s="536"/>
      <c r="S635" s="536"/>
      <c r="T635" s="536"/>
      <c r="U635" s="536"/>
      <c r="V635" s="536"/>
      <c r="W635" s="616"/>
      <c r="X635" s="616"/>
      <c r="Y635" s="616"/>
      <c r="Z635" s="616"/>
      <c r="AA635" s="616"/>
      <c r="AB635" s="616"/>
      <c r="AC635" s="536"/>
      <c r="AD635" s="536"/>
      <c r="AE635" s="536"/>
      <c r="AF635" s="536"/>
      <c r="AG635" s="536"/>
      <c r="AH635" s="536"/>
      <c r="AI635" s="536"/>
      <c r="AJ635" s="536"/>
      <c r="AK635" s="536"/>
      <c r="AL635" s="536"/>
      <c r="AN635" s="597"/>
      <c r="AO635" s="611" t="s">
        <v>509</v>
      </c>
      <c r="AP635" s="680">
        <v>4</v>
      </c>
    </row>
    <row r="636" spans="1:42" s="550" customFormat="1" ht="12.75" customHeight="1">
      <c r="B636" s="536"/>
      <c r="C636" s="931"/>
      <c r="D636" s="663" t="s">
        <v>509</v>
      </c>
      <c r="E636" s="555" t="s">
        <v>1407</v>
      </c>
      <c r="F636" s="942"/>
      <c r="G636" s="942"/>
      <c r="H636" s="942"/>
      <c r="I636" s="942"/>
      <c r="J636" s="942"/>
      <c r="K636" s="942"/>
      <c r="L636" s="942"/>
      <c r="M636" s="942"/>
      <c r="N636" s="942"/>
      <c r="O636" s="942"/>
      <c r="P636" s="942"/>
      <c r="Q636" s="942"/>
      <c r="R636" s="942"/>
      <c r="S636" s="942"/>
      <c r="T636" s="942"/>
      <c r="U636" s="536"/>
      <c r="V636" s="536"/>
      <c r="W636" s="942"/>
      <c r="X636" s="942"/>
      <c r="Y636" s="942"/>
      <c r="Z636" s="942"/>
      <c r="AA636" s="942"/>
      <c r="AB636" s="942"/>
      <c r="AC636" s="536"/>
      <c r="AD636" s="536"/>
      <c r="AE636" s="536"/>
      <c r="AF636" s="2444" t="s">
        <v>1408</v>
      </c>
      <c r="AG636" s="2444"/>
      <c r="AH636" s="2444"/>
      <c r="AI636" s="2444"/>
      <c r="AJ636" s="2444"/>
      <c r="AK636" s="2444"/>
      <c r="AL636" s="2444"/>
      <c r="AN636" s="597"/>
      <c r="AO636" s="611" t="s">
        <v>277</v>
      </c>
      <c r="AP636" s="550">
        <v>3</v>
      </c>
    </row>
    <row r="637" spans="1:42" s="550" customFormat="1" ht="12.75" customHeight="1">
      <c r="B637" s="536"/>
      <c r="C637" s="931"/>
      <c r="D637" s="536"/>
      <c r="E637" s="536"/>
      <c r="F637" s="942"/>
      <c r="G637" s="942"/>
      <c r="H637" s="942"/>
      <c r="I637" s="942"/>
      <c r="J637" s="942"/>
      <c r="K637" s="942"/>
      <c r="L637" s="942"/>
      <c r="M637" s="942"/>
      <c r="N637" s="942"/>
      <c r="O637" s="942"/>
      <c r="P637" s="942"/>
      <c r="Q637" s="942"/>
      <c r="R637" s="942"/>
      <c r="S637" s="942"/>
      <c r="T637" s="942"/>
      <c r="U637" s="536"/>
      <c r="V637" s="536"/>
      <c r="W637" s="536"/>
      <c r="X637" s="942"/>
      <c r="Y637" s="942"/>
      <c r="Z637" s="942"/>
      <c r="AA637" s="942"/>
      <c r="AB637" s="942"/>
      <c r="AC637" s="536"/>
      <c r="AD637" s="536"/>
      <c r="AE637" s="536"/>
      <c r="AF637" s="536"/>
      <c r="AG637" s="536"/>
      <c r="AH637" s="536"/>
      <c r="AI637" s="536"/>
      <c r="AJ637" s="536"/>
      <c r="AK637" s="536"/>
      <c r="AL637" s="536"/>
      <c r="AN637" s="597"/>
      <c r="AO637" s="611" t="s">
        <v>1397</v>
      </c>
      <c r="AP637" s="680">
        <v>4</v>
      </c>
    </row>
    <row r="638" spans="1:42" s="550" customFormat="1" ht="12.75" customHeight="1">
      <c r="B638" s="536"/>
      <c r="C638" s="931"/>
      <c r="D638" s="536" t="s">
        <v>1400</v>
      </c>
      <c r="E638" s="936"/>
      <c r="F638" s="936"/>
      <c r="G638" s="936"/>
      <c r="H638" s="2528" t="s">
        <v>591</v>
      </c>
      <c r="I638" s="2528"/>
      <c r="J638" s="942"/>
      <c r="K638" s="942"/>
      <c r="L638" s="942"/>
      <c r="M638" s="942"/>
      <c r="N638" s="942"/>
      <c r="O638" s="942"/>
      <c r="P638" s="942"/>
      <c r="Q638" s="942"/>
      <c r="R638" s="942"/>
      <c r="S638" s="942"/>
      <c r="T638" s="942"/>
      <c r="U638" s="936"/>
      <c r="V638" s="936"/>
      <c r="W638" s="936"/>
      <c r="X638" s="536"/>
      <c r="Y638" s="536"/>
      <c r="Z638" s="536"/>
      <c r="AA638" s="536"/>
      <c r="AB638" s="536"/>
      <c r="AC638" s="536"/>
      <c r="AD638" s="536"/>
      <c r="AE638" s="536"/>
      <c r="AF638" s="536"/>
      <c r="AG638" s="536"/>
      <c r="AH638" s="536"/>
      <c r="AI638" s="536"/>
      <c r="AJ638" s="536"/>
      <c r="AK638" s="536"/>
      <c r="AL638" s="536"/>
      <c r="AN638" s="597"/>
      <c r="AO638" s="611" t="s">
        <v>1398</v>
      </c>
      <c r="AP638" s="550">
        <v>3</v>
      </c>
    </row>
    <row r="639" spans="1:42" s="550" customFormat="1" ht="12.75" customHeight="1">
      <c r="B639" s="536"/>
      <c r="C639" s="931"/>
      <c r="D639" s="536"/>
      <c r="E639" s="936"/>
      <c r="F639" s="942"/>
      <c r="G639" s="942"/>
      <c r="H639" s="942"/>
      <c r="I639" s="943"/>
      <c r="J639" s="942"/>
      <c r="K639" s="942"/>
      <c r="L639" s="942"/>
      <c r="M639" s="942"/>
      <c r="N639" s="942"/>
      <c r="O639" s="942"/>
      <c r="P639" s="942"/>
      <c r="Q639" s="942"/>
      <c r="R639" s="536"/>
      <c r="S639" s="536"/>
      <c r="T639" s="942"/>
      <c r="U639" s="936"/>
      <c r="V639" s="936"/>
      <c r="W639" s="936"/>
      <c r="X639" s="936"/>
      <c r="Y639" s="936"/>
      <c r="Z639" s="936"/>
      <c r="AA639" s="936"/>
      <c r="AB639" s="936"/>
      <c r="AC639" s="536"/>
      <c r="AD639" s="536"/>
      <c r="AE639" s="536"/>
      <c r="AF639" s="536"/>
      <c r="AG639" s="536"/>
      <c r="AH639" s="536"/>
      <c r="AI639" s="942"/>
      <c r="AJ639" s="942"/>
      <c r="AK639" s="942"/>
      <c r="AL639" s="942"/>
      <c r="AM639" s="681"/>
      <c r="AN639" s="597"/>
      <c r="AO639" s="611" t="s">
        <v>1409</v>
      </c>
      <c r="AP639" s="550">
        <v>2</v>
      </c>
    </row>
    <row r="640" spans="1:42" s="550" customFormat="1" ht="12.75" customHeight="1">
      <c r="A640" s="606"/>
      <c r="B640" s="601"/>
      <c r="C640" s="944"/>
      <c r="D640" s="601"/>
      <c r="E640" s="939"/>
      <c r="F640" s="939"/>
      <c r="G640" s="945"/>
      <c r="H640" s="945"/>
      <c r="I640" s="945"/>
      <c r="J640" s="945"/>
      <c r="K640" s="945"/>
      <c r="L640" s="945"/>
      <c r="M640" s="945"/>
      <c r="N640" s="945"/>
      <c r="O640" s="945"/>
      <c r="P640" s="945"/>
      <c r="Q640" s="945"/>
      <c r="R640" s="945"/>
      <c r="S640" s="945"/>
      <c r="T640" s="939"/>
      <c r="U640" s="939"/>
      <c r="V640" s="939"/>
      <c r="W640" s="939"/>
      <c r="X640" s="939"/>
      <c r="Y640" s="939"/>
      <c r="Z640" s="939"/>
      <c r="AA640" s="939"/>
      <c r="AB640" s="601"/>
      <c r="AC640" s="601"/>
      <c r="AD640" s="601"/>
      <c r="AE640" s="601"/>
      <c r="AF640" s="601"/>
      <c r="AG640" s="601"/>
      <c r="AH640" s="601"/>
      <c r="AI640" s="565" t="s">
        <v>1410</v>
      </c>
      <c r="AJ640" s="2479">
        <f>VLOOKUP($H$638,$AO$605:$AP$607,2,FALSE)</f>
        <v>0</v>
      </c>
      <c r="AK640" s="2481"/>
      <c r="AL640" s="595"/>
      <c r="AN640" s="597"/>
      <c r="AO640" s="611" t="s">
        <v>1411</v>
      </c>
      <c r="AP640" s="550">
        <v>1</v>
      </c>
    </row>
    <row r="641" spans="1:42" s="550" customFormat="1" ht="12.75" customHeight="1">
      <c r="B641" s="536"/>
      <c r="C641" s="931"/>
      <c r="D641" s="536"/>
      <c r="E641" s="936"/>
      <c r="F641" s="936"/>
      <c r="G641" s="936"/>
      <c r="H641" s="536"/>
      <c r="I641" s="536"/>
      <c r="J641" s="942"/>
      <c r="K641" s="942"/>
      <c r="L641" s="942"/>
      <c r="M641" s="942"/>
      <c r="N641" s="942"/>
      <c r="O641" s="942"/>
      <c r="P641" s="942"/>
      <c r="Q641" s="942"/>
      <c r="R641" s="942"/>
      <c r="S641" s="942"/>
      <c r="T641" s="942"/>
      <c r="U641" s="936"/>
      <c r="V641" s="936"/>
      <c r="W641" s="936"/>
      <c r="X641" s="936"/>
      <c r="Y641" s="936"/>
      <c r="Z641" s="936"/>
      <c r="AA641" s="936"/>
      <c r="AB641" s="936"/>
      <c r="AC641" s="536"/>
      <c r="AD641" s="536"/>
      <c r="AE641" s="536"/>
      <c r="AF641" s="536"/>
      <c r="AG641" s="536"/>
      <c r="AH641" s="536"/>
      <c r="AI641" s="536"/>
      <c r="AJ641" s="543"/>
      <c r="AK641" s="536"/>
      <c r="AL641" s="536"/>
      <c r="AN641" s="597"/>
    </row>
    <row r="642" spans="1:42" s="550" customFormat="1" ht="12.75" customHeight="1">
      <c r="B642" s="536"/>
      <c r="C642" s="539" t="s">
        <v>1412</v>
      </c>
      <c r="D642" s="536"/>
      <c r="E642" s="936"/>
      <c r="F642" s="942"/>
      <c r="G642" s="942"/>
      <c r="H642" s="942"/>
      <c r="I642" s="942"/>
      <c r="J642" s="942"/>
      <c r="K642" s="942"/>
      <c r="L642" s="942"/>
      <c r="M642" s="942"/>
      <c r="N642" s="942"/>
      <c r="O642" s="942"/>
      <c r="P642" s="942"/>
      <c r="Q642" s="942"/>
      <c r="R642" s="942"/>
      <c r="S642" s="942"/>
      <c r="T642" s="942"/>
      <c r="U642" s="536"/>
      <c r="V642" s="536"/>
      <c r="W642" s="942"/>
      <c r="X642" s="942"/>
      <c r="Y642" s="942"/>
      <c r="Z642" s="942"/>
      <c r="AA642" s="942"/>
      <c r="AB642" s="942"/>
      <c r="AC642" s="594"/>
      <c r="AD642" s="594"/>
      <c r="AE642" s="594"/>
      <c r="AF642" s="594"/>
      <c r="AG642" s="594"/>
      <c r="AH642" s="594"/>
      <c r="AI642" s="594"/>
      <c r="AJ642" s="536"/>
      <c r="AK642" s="536"/>
      <c r="AL642" s="536"/>
      <c r="AN642" s="597"/>
    </row>
    <row r="643" spans="1:42" s="550" customFormat="1" ht="12.75" customHeight="1">
      <c r="A643" s="637"/>
      <c r="B643" s="536"/>
      <c r="C643" s="933"/>
      <c r="D643" s="536"/>
      <c r="E643" s="942"/>
      <c r="F643" s="942"/>
      <c r="G643" s="942"/>
      <c r="H643" s="942"/>
      <c r="I643" s="942"/>
      <c r="J643" s="942"/>
      <c r="K643" s="942"/>
      <c r="L643" s="942"/>
      <c r="M643" s="942"/>
      <c r="N643" s="942"/>
      <c r="O643" s="942"/>
      <c r="P643" s="942"/>
      <c r="Q643" s="942"/>
      <c r="R643" s="942"/>
      <c r="S643" s="942"/>
      <c r="T643" s="942"/>
      <c r="U643" s="942"/>
      <c r="V643" s="942"/>
      <c r="W643" s="942"/>
      <c r="X643" s="942"/>
      <c r="Y643" s="942"/>
      <c r="Z643" s="942"/>
      <c r="AA643" s="942"/>
      <c r="AB643" s="942"/>
      <c r="AC643" s="536"/>
      <c r="AD643" s="536"/>
      <c r="AE643" s="536"/>
      <c r="AF643" s="536"/>
      <c r="AG643" s="536"/>
      <c r="AH643" s="536"/>
      <c r="AI643" s="536"/>
      <c r="AJ643" s="536"/>
      <c r="AK643" s="536"/>
      <c r="AL643" s="536"/>
      <c r="AN643" s="597"/>
    </row>
    <row r="644" spans="1:42" s="550" customFormat="1" ht="12.75" customHeight="1">
      <c r="B644" s="536"/>
      <c r="C644" s="536"/>
      <c r="D644" s="663" t="s">
        <v>687</v>
      </c>
      <c r="E644" s="2499" t="s">
        <v>2098</v>
      </c>
      <c r="F644" s="2499"/>
      <c r="G644" s="2499"/>
      <c r="H644" s="2499"/>
      <c r="I644" s="2499"/>
      <c r="J644" s="2499"/>
      <c r="K644" s="2499"/>
      <c r="L644" s="2499"/>
      <c r="M644" s="2499"/>
      <c r="N644" s="2499"/>
      <c r="O644" s="2499"/>
      <c r="P644" s="2499"/>
      <c r="Q644" s="2499"/>
      <c r="R644" s="2499"/>
      <c r="S644" s="2499"/>
      <c r="T644" s="2499"/>
      <c r="U644" s="2499"/>
      <c r="V644" s="2499"/>
      <c r="W644" s="2499"/>
      <c r="X644" s="2499"/>
      <c r="Y644" s="2499"/>
      <c r="Z644" s="2499"/>
      <c r="AA644" s="2499"/>
      <c r="AB644" s="2499"/>
      <c r="AC644" s="2499"/>
      <c r="AD644" s="2499"/>
      <c r="AE644" s="536"/>
      <c r="AF644" s="2444" t="s">
        <v>1352</v>
      </c>
      <c r="AG644" s="2444"/>
      <c r="AH644" s="2444"/>
      <c r="AI644" s="2444"/>
      <c r="AJ644" s="2444"/>
      <c r="AK644" s="2444"/>
      <c r="AL644" s="2444"/>
      <c r="AN644" s="597"/>
    </row>
    <row r="645" spans="1:42" s="550" customFormat="1" ht="12.75" customHeight="1">
      <c r="B645" s="536"/>
      <c r="C645" s="536"/>
      <c r="D645" s="663"/>
      <c r="E645" s="2499"/>
      <c r="F645" s="2499"/>
      <c r="G645" s="2499"/>
      <c r="H645" s="2499"/>
      <c r="I645" s="2499"/>
      <c r="J645" s="2499"/>
      <c r="K645" s="2499"/>
      <c r="L645" s="2499"/>
      <c r="M645" s="2499"/>
      <c r="N645" s="2499"/>
      <c r="O645" s="2499"/>
      <c r="P645" s="2499"/>
      <c r="Q645" s="2499"/>
      <c r="R645" s="2499"/>
      <c r="S645" s="2499"/>
      <c r="T645" s="2499"/>
      <c r="U645" s="2499"/>
      <c r="V645" s="2499"/>
      <c r="W645" s="2499"/>
      <c r="X645" s="2499"/>
      <c r="Y645" s="2499"/>
      <c r="Z645" s="2499"/>
      <c r="AA645" s="2499"/>
      <c r="AB645" s="2499"/>
      <c r="AC645" s="2499"/>
      <c r="AD645" s="2499"/>
      <c r="AE645" s="594"/>
      <c r="AF645" s="594"/>
      <c r="AG645" s="594"/>
      <c r="AH645" s="594"/>
      <c r="AI645" s="594"/>
      <c r="AJ645" s="594"/>
      <c r="AK645" s="594"/>
      <c r="AL645" s="594"/>
      <c r="AN645" s="597"/>
    </row>
    <row r="646" spans="1:42" s="550" customFormat="1" ht="12.75" customHeight="1">
      <c r="B646" s="616"/>
      <c r="C646" s="940"/>
      <c r="D646" s="663"/>
      <c r="E646" s="616"/>
      <c r="F646" s="616"/>
      <c r="G646" s="616"/>
      <c r="H646" s="616"/>
      <c r="I646" s="616"/>
      <c r="J646" s="616"/>
      <c r="K646" s="616"/>
      <c r="L646" s="616"/>
      <c r="M646" s="616"/>
      <c r="N646" s="616"/>
      <c r="O646" s="616"/>
      <c r="P646" s="616"/>
      <c r="Q646" s="616"/>
      <c r="R646" s="616"/>
      <c r="S646" s="616"/>
      <c r="T646" s="616"/>
      <c r="U646" s="616"/>
      <c r="V646" s="616"/>
      <c r="W646" s="616"/>
      <c r="X646" s="616"/>
      <c r="Y646" s="616"/>
      <c r="Z646" s="616"/>
      <c r="AA646" s="616"/>
      <c r="AB646" s="616"/>
      <c r="AC646" s="536"/>
      <c r="AD646" s="536"/>
      <c r="AE646" s="616"/>
      <c r="AF646" s="536"/>
      <c r="AG646" s="536"/>
      <c r="AH646" s="536"/>
      <c r="AI646" s="536"/>
      <c r="AJ646" s="536"/>
      <c r="AK646" s="536"/>
      <c r="AL646" s="536"/>
      <c r="AN646" s="597"/>
    </row>
    <row r="647" spans="1:42" s="550" customFormat="1" ht="12.75" customHeight="1">
      <c r="B647" s="536"/>
      <c r="C647" s="931"/>
      <c r="D647" s="663" t="s">
        <v>509</v>
      </c>
      <c r="E647" s="616" t="s">
        <v>1413</v>
      </c>
      <c r="F647" s="616"/>
      <c r="G647" s="616"/>
      <c r="H647" s="616"/>
      <c r="I647" s="616"/>
      <c r="J647" s="616"/>
      <c r="K647" s="616"/>
      <c r="L647" s="616"/>
      <c r="M647" s="616"/>
      <c r="N647" s="616"/>
      <c r="O647" s="616"/>
      <c r="P647" s="616"/>
      <c r="Q647" s="616"/>
      <c r="R647" s="616"/>
      <c r="S647" s="616"/>
      <c r="T647" s="616"/>
      <c r="U647" s="616"/>
      <c r="V647" s="616"/>
      <c r="W647" s="616"/>
      <c r="X647" s="616"/>
      <c r="Y647" s="616"/>
      <c r="Z647" s="616"/>
      <c r="AA647" s="616"/>
      <c r="AB647" s="616"/>
      <c r="AC647" s="536"/>
      <c r="AD647" s="536"/>
      <c r="AE647" s="536"/>
      <c r="AF647" s="2444" t="s">
        <v>1408</v>
      </c>
      <c r="AG647" s="2444"/>
      <c r="AH647" s="2444"/>
      <c r="AI647" s="2444"/>
      <c r="AJ647" s="2444"/>
      <c r="AK647" s="2444"/>
      <c r="AL647" s="2444"/>
      <c r="AN647" s="597"/>
    </row>
    <row r="648" spans="1:42" s="550" customFormat="1" ht="12.75" customHeight="1">
      <c r="B648" s="536"/>
      <c r="C648" s="931"/>
      <c r="D648" s="663"/>
      <c r="E648" s="616" t="s">
        <v>1414</v>
      </c>
      <c r="F648" s="616"/>
      <c r="G648" s="616"/>
      <c r="H648" s="616"/>
      <c r="I648" s="616"/>
      <c r="J648" s="616"/>
      <c r="K648" s="616"/>
      <c r="L648" s="616"/>
      <c r="M648" s="616"/>
      <c r="N648" s="616"/>
      <c r="O648" s="616"/>
      <c r="P648" s="616"/>
      <c r="Q648" s="616"/>
      <c r="R648" s="616"/>
      <c r="S648" s="616"/>
      <c r="T648" s="616"/>
      <c r="U648" s="616"/>
      <c r="V648" s="616"/>
      <c r="W648" s="616"/>
      <c r="X648" s="616"/>
      <c r="Y648" s="616"/>
      <c r="Z648" s="616"/>
      <c r="AA648" s="616"/>
      <c r="AB648" s="616"/>
      <c r="AC648" s="536"/>
      <c r="AD648" s="536"/>
      <c r="AE648" s="594"/>
      <c r="AF648" s="594"/>
      <c r="AG648" s="594"/>
      <c r="AH648" s="594"/>
      <c r="AI648" s="594"/>
      <c r="AJ648" s="594"/>
      <c r="AK648" s="594"/>
      <c r="AL648" s="594"/>
      <c r="AN648" s="597"/>
    </row>
    <row r="649" spans="1:42" s="550" customFormat="1" ht="12.75" customHeight="1">
      <c r="B649" s="536"/>
      <c r="C649" s="931"/>
      <c r="D649" s="536"/>
      <c r="E649" s="616"/>
      <c r="F649" s="616"/>
      <c r="G649" s="616"/>
      <c r="H649" s="616"/>
      <c r="I649" s="616"/>
      <c r="J649" s="616"/>
      <c r="K649" s="616"/>
      <c r="L649" s="616"/>
      <c r="M649" s="616"/>
      <c r="N649" s="616"/>
      <c r="O649" s="616"/>
      <c r="P649" s="616"/>
      <c r="Q649" s="616"/>
      <c r="R649" s="616"/>
      <c r="S649" s="616"/>
      <c r="T649" s="616"/>
      <c r="U649" s="616"/>
      <c r="V649" s="616"/>
      <c r="W649" s="616"/>
      <c r="X649" s="616"/>
      <c r="Y649" s="616"/>
      <c r="Z649" s="616"/>
      <c r="AA649" s="616"/>
      <c r="AB649" s="616"/>
      <c r="AC649" s="536"/>
      <c r="AD649" s="536"/>
      <c r="AE649" s="536"/>
      <c r="AF649" s="536"/>
      <c r="AG649" s="536"/>
      <c r="AH649" s="536"/>
      <c r="AI649" s="536"/>
      <c r="AJ649" s="536"/>
      <c r="AK649" s="536"/>
      <c r="AL649" s="536"/>
      <c r="AN649" s="597"/>
      <c r="AP649" s="680"/>
    </row>
    <row r="650" spans="1:42" s="550" customFormat="1" ht="12.75" customHeight="1">
      <c r="B650" s="536"/>
      <c r="C650" s="931"/>
      <c r="D650" s="536" t="s">
        <v>1400</v>
      </c>
      <c r="E650" s="936"/>
      <c r="F650" s="936"/>
      <c r="G650" s="936"/>
      <c r="H650" s="2528" t="s">
        <v>591</v>
      </c>
      <c r="I650" s="2528"/>
      <c r="J650" s="616"/>
      <c r="K650" s="616"/>
      <c r="L650" s="616"/>
      <c r="M650" s="616"/>
      <c r="N650" s="616"/>
      <c r="O650" s="616"/>
      <c r="P650" s="616"/>
      <c r="Q650" s="616"/>
      <c r="R650" s="616"/>
      <c r="S650" s="616"/>
      <c r="T650" s="616"/>
      <c r="U650" s="616"/>
      <c r="V650" s="616"/>
      <c r="W650" s="536"/>
      <c r="X650" s="536"/>
      <c r="Y650" s="536"/>
      <c r="Z650" s="536"/>
      <c r="AA650" s="536"/>
      <c r="AB650" s="536"/>
      <c r="AC650" s="536"/>
      <c r="AD650" s="536"/>
      <c r="AE650" s="536"/>
      <c r="AF650" s="536"/>
      <c r="AG650" s="536"/>
      <c r="AH650" s="536"/>
      <c r="AI650" s="536"/>
      <c r="AJ650" s="536"/>
      <c r="AK650" s="536"/>
      <c r="AL650" s="536"/>
      <c r="AN650" s="597"/>
    </row>
    <row r="651" spans="1:42" s="550" customFormat="1" ht="12.75" customHeight="1">
      <c r="B651" s="536"/>
      <c r="C651" s="931"/>
      <c r="D651" s="536"/>
      <c r="E651" s="936"/>
      <c r="F651" s="936"/>
      <c r="G651" s="616"/>
      <c r="H651" s="616"/>
      <c r="I651" s="616"/>
      <c r="J651" s="616"/>
      <c r="K651" s="616"/>
      <c r="L651" s="616"/>
      <c r="M651" s="616"/>
      <c r="N651" s="616"/>
      <c r="O651" s="616"/>
      <c r="P651" s="616"/>
      <c r="Q651" s="616"/>
      <c r="R651" s="616"/>
      <c r="S651" s="616"/>
      <c r="T651" s="616"/>
      <c r="U651" s="616"/>
      <c r="V651" s="616"/>
      <c r="W651" s="616"/>
      <c r="X651" s="616"/>
      <c r="Y651" s="616"/>
      <c r="Z651" s="936"/>
      <c r="AA651" s="936"/>
      <c r="AB651" s="936"/>
      <c r="AC651" s="536"/>
      <c r="AD651" s="536"/>
      <c r="AE651" s="536"/>
      <c r="AF651" s="536"/>
      <c r="AG651" s="536"/>
      <c r="AH651" s="536"/>
      <c r="AI651" s="536"/>
      <c r="AJ651" s="616"/>
      <c r="AK651" s="616"/>
      <c r="AL651" s="616"/>
      <c r="AM651" s="551"/>
      <c r="AN651" s="597"/>
    </row>
    <row r="652" spans="1:42" s="550" customFormat="1" ht="12.75" customHeight="1">
      <c r="A652" s="606"/>
      <c r="B652" s="601"/>
      <c r="C652" s="944"/>
      <c r="D652" s="601"/>
      <c r="E652" s="939"/>
      <c r="F652" s="939"/>
      <c r="G652" s="665"/>
      <c r="H652" s="665"/>
      <c r="I652" s="665"/>
      <c r="J652" s="665"/>
      <c r="K652" s="665"/>
      <c r="L652" s="665"/>
      <c r="M652" s="665"/>
      <c r="N652" s="665"/>
      <c r="O652" s="665"/>
      <c r="P652" s="665"/>
      <c r="Q652" s="665"/>
      <c r="R652" s="665"/>
      <c r="S652" s="665"/>
      <c r="T652" s="665"/>
      <c r="U652" s="665"/>
      <c r="V652" s="665"/>
      <c r="W652" s="665"/>
      <c r="X652" s="665"/>
      <c r="Y652" s="939"/>
      <c r="Z652" s="939"/>
      <c r="AA652" s="939"/>
      <c r="AB652" s="601"/>
      <c r="AC652" s="601"/>
      <c r="AD652" s="601"/>
      <c r="AE652" s="601"/>
      <c r="AF652" s="601"/>
      <c r="AG652" s="601"/>
      <c r="AH652" s="601"/>
      <c r="AI652" s="565" t="s">
        <v>1415</v>
      </c>
      <c r="AJ652" s="2479">
        <f>VLOOKUP(H650,AT605:AU607,2,FALSE)</f>
        <v>0</v>
      </c>
      <c r="AK652" s="2481"/>
      <c r="AL652" s="595"/>
      <c r="AN652" s="597"/>
    </row>
    <row r="653" spans="1:42" s="550" customFormat="1" ht="12.75" customHeight="1">
      <c r="B653" s="536"/>
      <c r="C653" s="931"/>
      <c r="D653" s="536"/>
      <c r="E653" s="536"/>
      <c r="F653" s="536"/>
      <c r="G653" s="536"/>
      <c r="H653" s="536"/>
      <c r="I653" s="536"/>
      <c r="J653" s="536"/>
      <c r="K653" s="536"/>
      <c r="L653" s="536"/>
      <c r="M653" s="536"/>
      <c r="N653" s="536"/>
      <c r="O653" s="536"/>
      <c r="P653" s="536"/>
      <c r="Q653" s="536"/>
      <c r="R653" s="536"/>
      <c r="S653" s="536"/>
      <c r="T653" s="536"/>
      <c r="U653" s="536"/>
      <c r="V653" s="536"/>
      <c r="W653" s="536"/>
      <c r="X653" s="536"/>
      <c r="Y653" s="536"/>
      <c r="Z653" s="536"/>
      <c r="AA653" s="536"/>
      <c r="AB653" s="536"/>
      <c r="AC653" s="536"/>
      <c r="AD653" s="536"/>
      <c r="AE653" s="536"/>
      <c r="AF653" s="536"/>
      <c r="AG653" s="536"/>
      <c r="AH653" s="536"/>
      <c r="AI653" s="536"/>
      <c r="AJ653" s="536"/>
      <c r="AK653" s="536"/>
      <c r="AL653" s="536"/>
      <c r="AN653" s="597"/>
    </row>
    <row r="654" spans="1:42" s="550" customFormat="1" ht="12.75" customHeight="1">
      <c r="B654" s="536"/>
      <c r="C654" s="539" t="s">
        <v>1416</v>
      </c>
      <c r="D654" s="536"/>
      <c r="E654" s="536"/>
      <c r="F654" s="536"/>
      <c r="G654" s="536"/>
      <c r="H654" s="536"/>
      <c r="I654" s="536"/>
      <c r="J654" s="536"/>
      <c r="K654" s="536"/>
      <c r="L654" s="536"/>
      <c r="M654" s="536"/>
      <c r="N654" s="536"/>
      <c r="O654" s="536"/>
      <c r="P654" s="536"/>
      <c r="Q654" s="536"/>
      <c r="R654" s="536"/>
      <c r="S654" s="536"/>
      <c r="T654" s="536"/>
      <c r="U654" s="536"/>
      <c r="V654" s="536"/>
      <c r="W654" s="536"/>
      <c r="X654" s="536"/>
      <c r="Y654" s="536"/>
      <c r="Z654" s="536"/>
      <c r="AA654" s="536"/>
      <c r="AB654" s="536"/>
      <c r="AC654" s="536"/>
      <c r="AD654" s="536"/>
      <c r="AE654" s="536"/>
      <c r="AF654" s="536"/>
      <c r="AG654" s="536"/>
      <c r="AH654" s="536"/>
      <c r="AI654" s="536"/>
      <c r="AJ654" s="536"/>
      <c r="AK654" s="536"/>
      <c r="AL654" s="536"/>
      <c r="AN654" s="597"/>
    </row>
    <row r="655" spans="1:42" s="550" customFormat="1" ht="12.75" customHeight="1">
      <c r="B655" s="536"/>
      <c r="C655" s="539"/>
      <c r="D655" s="682" t="s">
        <v>1417</v>
      </c>
      <c r="E655" s="536"/>
      <c r="F655" s="536"/>
      <c r="G655" s="536"/>
      <c r="H655" s="536"/>
      <c r="I655" s="536"/>
      <c r="J655" s="536"/>
      <c r="K655" s="536"/>
      <c r="L655" s="536"/>
      <c r="M655" s="536"/>
      <c r="N655" s="536"/>
      <c r="O655" s="536"/>
      <c r="P655" s="536"/>
      <c r="Q655" s="536"/>
      <c r="R655" s="536"/>
      <c r="S655" s="536"/>
      <c r="T655" s="536"/>
      <c r="U655" s="536"/>
      <c r="V655" s="536"/>
      <c r="W655" s="536"/>
      <c r="X655" s="536"/>
      <c r="Y655" s="536"/>
      <c r="Z655" s="536"/>
      <c r="AA655" s="536"/>
      <c r="AB655" s="536"/>
      <c r="AC655" s="536"/>
      <c r="AD655" s="536"/>
      <c r="AE655" s="536"/>
      <c r="AF655" s="536"/>
      <c r="AG655" s="536"/>
      <c r="AH655" s="536"/>
      <c r="AI655" s="536"/>
      <c r="AJ655" s="536"/>
      <c r="AK655" s="536"/>
      <c r="AL655" s="536"/>
      <c r="AN655" s="597"/>
    </row>
    <row r="656" spans="1:42" s="550" customFormat="1" ht="12.75" customHeight="1">
      <c r="B656" s="536"/>
      <c r="C656" s="539"/>
      <c r="D656" s="536"/>
      <c r="E656" s="536"/>
      <c r="F656" s="536"/>
      <c r="G656" s="536"/>
      <c r="H656" s="536"/>
      <c r="I656" s="536"/>
      <c r="J656" s="536"/>
      <c r="K656" s="536"/>
      <c r="L656" s="536"/>
      <c r="M656" s="536"/>
      <c r="N656" s="536"/>
      <c r="O656" s="536"/>
      <c r="P656" s="536"/>
      <c r="Q656" s="536"/>
      <c r="R656" s="536"/>
      <c r="S656" s="536"/>
      <c r="T656" s="536"/>
      <c r="U656" s="536"/>
      <c r="V656" s="536"/>
      <c r="W656" s="536"/>
      <c r="X656" s="536"/>
      <c r="Y656" s="536"/>
      <c r="Z656" s="536"/>
      <c r="AA656" s="536"/>
      <c r="AB656" s="536"/>
      <c r="AC656" s="536"/>
      <c r="AD656" s="536"/>
      <c r="AE656" s="536"/>
      <c r="AF656" s="536"/>
      <c r="AG656" s="536"/>
      <c r="AH656" s="536"/>
      <c r="AI656" s="536"/>
      <c r="AJ656" s="536"/>
      <c r="AK656" s="536"/>
      <c r="AL656" s="536"/>
      <c r="AN656" s="597"/>
    </row>
    <row r="657" spans="1:42" s="550" customFormat="1" ht="12.75" customHeight="1">
      <c r="B657" s="536"/>
      <c r="C657" s="539"/>
      <c r="D657" s="663" t="s">
        <v>687</v>
      </c>
      <c r="E657" s="2499" t="s">
        <v>1418</v>
      </c>
      <c r="F657" s="2499"/>
      <c r="G657" s="2499"/>
      <c r="H657" s="2499"/>
      <c r="I657" s="2499"/>
      <c r="J657" s="2499"/>
      <c r="K657" s="2499"/>
      <c r="L657" s="2499"/>
      <c r="M657" s="2499"/>
      <c r="N657" s="2499"/>
      <c r="O657" s="2499"/>
      <c r="P657" s="2499"/>
      <c r="Q657" s="2499"/>
      <c r="R657" s="2499"/>
      <c r="S657" s="2499"/>
      <c r="T657" s="2499"/>
      <c r="U657" s="2499"/>
      <c r="V657" s="2499"/>
      <c r="W657" s="2499"/>
      <c r="X657" s="2499"/>
      <c r="Y657" s="2499"/>
      <c r="Z657" s="2499"/>
      <c r="AA657" s="2499"/>
      <c r="AB657" s="2499"/>
      <c r="AC657" s="2499"/>
      <c r="AD657" s="536"/>
      <c r="AE657" s="536"/>
      <c r="AF657" s="2444" t="s">
        <v>1378</v>
      </c>
      <c r="AG657" s="2444"/>
      <c r="AH657" s="2444"/>
      <c r="AI657" s="2444"/>
      <c r="AJ657" s="2444"/>
      <c r="AK657" s="2444"/>
      <c r="AL657" s="2444"/>
      <c r="AN657" s="597"/>
    </row>
    <row r="658" spans="1:42" s="550" customFormat="1" ht="12.75" customHeight="1">
      <c r="B658" s="536"/>
      <c r="C658" s="539"/>
      <c r="D658" s="536"/>
      <c r="E658" s="2499"/>
      <c r="F658" s="2499"/>
      <c r="G658" s="2499"/>
      <c r="H658" s="2499"/>
      <c r="I658" s="2499"/>
      <c r="J658" s="2499"/>
      <c r="K658" s="2499"/>
      <c r="L658" s="2499"/>
      <c r="M658" s="2499"/>
      <c r="N658" s="2499"/>
      <c r="O658" s="2499"/>
      <c r="P658" s="2499"/>
      <c r="Q658" s="2499"/>
      <c r="R658" s="2499"/>
      <c r="S658" s="2499"/>
      <c r="T658" s="2499"/>
      <c r="U658" s="2499"/>
      <c r="V658" s="2499"/>
      <c r="W658" s="2499"/>
      <c r="X658" s="2499"/>
      <c r="Y658" s="2499"/>
      <c r="Z658" s="2499"/>
      <c r="AA658" s="2499"/>
      <c r="AB658" s="2499"/>
      <c r="AC658" s="2499"/>
      <c r="AD658" s="536"/>
      <c r="AE658" s="536"/>
      <c r="AF658" s="536"/>
      <c r="AG658" s="536"/>
      <c r="AH658" s="536"/>
      <c r="AI658" s="536"/>
      <c r="AJ658" s="536"/>
      <c r="AK658" s="536"/>
      <c r="AL658" s="536"/>
      <c r="AN658" s="597"/>
    </row>
    <row r="659" spans="1:42" s="550" customFormat="1" ht="12.75" customHeight="1">
      <c r="B659" s="536"/>
      <c r="C659" s="539"/>
      <c r="D659" s="663"/>
      <c r="E659" s="2499"/>
      <c r="F659" s="2499"/>
      <c r="G659" s="2499"/>
      <c r="H659" s="2499"/>
      <c r="I659" s="2499"/>
      <c r="J659" s="2499"/>
      <c r="K659" s="2499"/>
      <c r="L659" s="2499"/>
      <c r="M659" s="2499"/>
      <c r="N659" s="2499"/>
      <c r="O659" s="2499"/>
      <c r="P659" s="2499"/>
      <c r="Q659" s="2499"/>
      <c r="R659" s="2499"/>
      <c r="S659" s="2499"/>
      <c r="T659" s="2499"/>
      <c r="U659" s="2499"/>
      <c r="V659" s="2499"/>
      <c r="W659" s="2499"/>
      <c r="X659" s="2499"/>
      <c r="Y659" s="2499"/>
      <c r="Z659" s="2499"/>
      <c r="AA659" s="2499"/>
      <c r="AB659" s="2499"/>
      <c r="AC659" s="2499"/>
      <c r="AD659" s="536"/>
      <c r="AE659" s="536"/>
      <c r="AF659" s="536"/>
      <c r="AG659" s="536"/>
      <c r="AH659" s="536"/>
      <c r="AI659" s="536"/>
      <c r="AJ659" s="536"/>
      <c r="AK659" s="536"/>
      <c r="AL659" s="536"/>
      <c r="AN659" s="597"/>
    </row>
    <row r="660" spans="1:42" s="550" customFormat="1" ht="15" customHeight="1">
      <c r="B660" s="536"/>
      <c r="C660" s="539"/>
      <c r="D660" s="536"/>
      <c r="E660" s="946"/>
      <c r="F660" s="946"/>
      <c r="G660" s="946"/>
      <c r="H660" s="946"/>
      <c r="I660" s="946"/>
      <c r="J660" s="946"/>
      <c r="K660" s="946"/>
      <c r="L660" s="946"/>
      <c r="M660" s="946"/>
      <c r="N660" s="946"/>
      <c r="O660" s="946"/>
      <c r="P660" s="946"/>
      <c r="Q660" s="946"/>
      <c r="R660" s="946"/>
      <c r="S660" s="946"/>
      <c r="T660" s="946"/>
      <c r="U660" s="946"/>
      <c r="V660" s="946"/>
      <c r="W660" s="946"/>
      <c r="X660" s="946"/>
      <c r="Y660" s="946"/>
      <c r="Z660" s="946"/>
      <c r="AA660" s="946"/>
      <c r="AB660" s="946"/>
      <c r="AC660" s="536"/>
      <c r="AD660" s="536"/>
      <c r="AE660" s="536"/>
      <c r="AF660" s="536"/>
      <c r="AG660" s="536"/>
      <c r="AH660" s="536"/>
      <c r="AI660" s="536"/>
      <c r="AJ660" s="536"/>
      <c r="AK660" s="536"/>
      <c r="AL660" s="536"/>
      <c r="AN660" s="597"/>
    </row>
    <row r="661" spans="1:42" s="550" customFormat="1" ht="12.75" customHeight="1">
      <c r="B661" s="536"/>
      <c r="C661" s="539"/>
      <c r="D661" s="663" t="s">
        <v>509</v>
      </c>
      <c r="E661" s="2499" t="s">
        <v>1419</v>
      </c>
      <c r="F661" s="2499"/>
      <c r="G661" s="2499"/>
      <c r="H661" s="2499"/>
      <c r="I661" s="2499"/>
      <c r="J661" s="2499"/>
      <c r="K661" s="2499"/>
      <c r="L661" s="2499"/>
      <c r="M661" s="2499"/>
      <c r="N661" s="2499"/>
      <c r="O661" s="2499"/>
      <c r="P661" s="2499"/>
      <c r="Q661" s="2499"/>
      <c r="R661" s="2499"/>
      <c r="S661" s="2499"/>
      <c r="T661" s="2499"/>
      <c r="U661" s="2499"/>
      <c r="V661" s="2499"/>
      <c r="W661" s="2499"/>
      <c r="X661" s="2499"/>
      <c r="Y661" s="2499"/>
      <c r="Z661" s="2499"/>
      <c r="AA661" s="2499"/>
      <c r="AB661" s="2499"/>
      <c r="AC661" s="2499"/>
      <c r="AD661" s="536"/>
      <c r="AE661" s="536"/>
      <c r="AF661" s="2444" t="s">
        <v>1399</v>
      </c>
      <c r="AG661" s="2444"/>
      <c r="AH661" s="2444"/>
      <c r="AI661" s="2444"/>
      <c r="AJ661" s="2444"/>
      <c r="AK661" s="2444"/>
      <c r="AL661" s="2444"/>
      <c r="AN661" s="597"/>
    </row>
    <row r="662" spans="1:42" s="550" customFormat="1" ht="12.75" customHeight="1">
      <c r="B662" s="536"/>
      <c r="C662" s="539"/>
      <c r="D662" s="536"/>
      <c r="E662" s="2499"/>
      <c r="F662" s="2499"/>
      <c r="G662" s="2499"/>
      <c r="H662" s="2499"/>
      <c r="I662" s="2499"/>
      <c r="J662" s="2499"/>
      <c r="K662" s="2499"/>
      <c r="L662" s="2499"/>
      <c r="M662" s="2499"/>
      <c r="N662" s="2499"/>
      <c r="O662" s="2499"/>
      <c r="P662" s="2499"/>
      <c r="Q662" s="2499"/>
      <c r="R662" s="2499"/>
      <c r="S662" s="2499"/>
      <c r="T662" s="2499"/>
      <c r="U662" s="2499"/>
      <c r="V662" s="2499"/>
      <c r="W662" s="2499"/>
      <c r="X662" s="2499"/>
      <c r="Y662" s="2499"/>
      <c r="Z662" s="2499"/>
      <c r="AA662" s="2499"/>
      <c r="AB662" s="2499"/>
      <c r="AC662" s="2499"/>
      <c r="AD662" s="536"/>
      <c r="AE662" s="536"/>
      <c r="AF662" s="536"/>
      <c r="AG662" s="536"/>
      <c r="AH662" s="536"/>
      <c r="AI662" s="536"/>
      <c r="AJ662" s="536"/>
      <c r="AK662" s="536"/>
      <c r="AL662" s="536"/>
      <c r="AN662" s="597"/>
    </row>
    <row r="663" spans="1:42" s="550" customFormat="1" ht="15" customHeight="1">
      <c r="B663" s="536"/>
      <c r="C663" s="539"/>
      <c r="D663" s="663"/>
      <c r="E663" s="2499"/>
      <c r="F663" s="2499"/>
      <c r="G663" s="2499"/>
      <c r="H663" s="2499"/>
      <c r="I663" s="2499"/>
      <c r="J663" s="2499"/>
      <c r="K663" s="2499"/>
      <c r="L663" s="2499"/>
      <c r="M663" s="2499"/>
      <c r="N663" s="2499"/>
      <c r="O663" s="2499"/>
      <c r="P663" s="2499"/>
      <c r="Q663" s="2499"/>
      <c r="R663" s="2499"/>
      <c r="S663" s="2499"/>
      <c r="T663" s="2499"/>
      <c r="U663" s="2499"/>
      <c r="V663" s="2499"/>
      <c r="W663" s="2499"/>
      <c r="X663" s="2499"/>
      <c r="Y663" s="2499"/>
      <c r="Z663" s="2499"/>
      <c r="AA663" s="2499"/>
      <c r="AB663" s="2499"/>
      <c r="AC663" s="2499"/>
      <c r="AD663" s="536"/>
      <c r="AE663" s="536"/>
      <c r="AF663" s="536"/>
      <c r="AG663" s="536"/>
      <c r="AH663" s="536"/>
      <c r="AI663" s="536"/>
      <c r="AJ663" s="536"/>
      <c r="AK663" s="536"/>
      <c r="AL663" s="536"/>
      <c r="AN663" s="597"/>
    </row>
    <row r="664" spans="1:42" s="550" customFormat="1" ht="12.75" customHeight="1">
      <c r="B664" s="536"/>
      <c r="C664" s="539"/>
      <c r="D664" s="536"/>
      <c r="E664" s="946"/>
      <c r="F664" s="946"/>
      <c r="G664" s="946"/>
      <c r="H664" s="946"/>
      <c r="I664" s="946"/>
      <c r="J664" s="946"/>
      <c r="K664" s="946"/>
      <c r="L664" s="946"/>
      <c r="M664" s="946"/>
      <c r="N664" s="946"/>
      <c r="O664" s="946"/>
      <c r="P664" s="946"/>
      <c r="Q664" s="946"/>
      <c r="R664" s="946"/>
      <c r="S664" s="946"/>
      <c r="T664" s="946"/>
      <c r="U664" s="946"/>
      <c r="V664" s="946"/>
      <c r="W664" s="946"/>
      <c r="X664" s="946"/>
      <c r="Y664" s="946"/>
      <c r="Z664" s="946"/>
      <c r="AA664" s="946"/>
      <c r="AB664" s="946"/>
      <c r="AC664" s="536"/>
      <c r="AD664" s="536"/>
      <c r="AE664" s="536"/>
      <c r="AF664" s="536"/>
      <c r="AG664" s="536"/>
      <c r="AH664" s="536"/>
      <c r="AI664" s="536"/>
      <c r="AJ664" s="536"/>
      <c r="AK664" s="536"/>
      <c r="AL664" s="536"/>
      <c r="AN664" s="597"/>
    </row>
    <row r="665" spans="1:42" s="550" customFormat="1" ht="12.75" customHeight="1">
      <c r="B665" s="536"/>
      <c r="C665" s="539"/>
      <c r="D665" s="663" t="s">
        <v>277</v>
      </c>
      <c r="E665" s="2499" t="s">
        <v>1420</v>
      </c>
      <c r="F665" s="2499"/>
      <c r="G665" s="2499"/>
      <c r="H665" s="2499"/>
      <c r="I665" s="2499"/>
      <c r="J665" s="2499"/>
      <c r="K665" s="2499"/>
      <c r="L665" s="2499"/>
      <c r="M665" s="2499"/>
      <c r="N665" s="2499"/>
      <c r="O665" s="2499"/>
      <c r="P665" s="2499"/>
      <c r="Q665" s="2499"/>
      <c r="R665" s="2499"/>
      <c r="S665" s="2499"/>
      <c r="T665" s="2499"/>
      <c r="U665" s="2499"/>
      <c r="V665" s="2499"/>
      <c r="W665" s="2499"/>
      <c r="X665" s="2499"/>
      <c r="Y665" s="2499"/>
      <c r="Z665" s="2499"/>
      <c r="AA665" s="2499"/>
      <c r="AB665" s="2499"/>
      <c r="AC665" s="2499"/>
      <c r="AD665" s="536"/>
      <c r="AE665" s="536"/>
      <c r="AF665" s="2444" t="s">
        <v>1352</v>
      </c>
      <c r="AG665" s="2444"/>
      <c r="AH665" s="2444"/>
      <c r="AI665" s="2444"/>
      <c r="AJ665" s="2444"/>
      <c r="AK665" s="2444"/>
      <c r="AL665" s="2444"/>
      <c r="AN665" s="597"/>
    </row>
    <row r="666" spans="1:42" s="550" customFormat="1" ht="12.75" customHeight="1">
      <c r="B666" s="536"/>
      <c r="C666" s="931"/>
      <c r="D666" s="536"/>
      <c r="E666" s="2499"/>
      <c r="F666" s="2499"/>
      <c r="G666" s="2499"/>
      <c r="H666" s="2499"/>
      <c r="I666" s="2499"/>
      <c r="J666" s="2499"/>
      <c r="K666" s="2499"/>
      <c r="L666" s="2499"/>
      <c r="M666" s="2499"/>
      <c r="N666" s="2499"/>
      <c r="O666" s="2499"/>
      <c r="P666" s="2499"/>
      <c r="Q666" s="2499"/>
      <c r="R666" s="2499"/>
      <c r="S666" s="2499"/>
      <c r="T666" s="2499"/>
      <c r="U666" s="2499"/>
      <c r="V666" s="2499"/>
      <c r="W666" s="2499"/>
      <c r="X666" s="2499"/>
      <c r="Y666" s="2499"/>
      <c r="Z666" s="2499"/>
      <c r="AA666" s="2499"/>
      <c r="AB666" s="2499"/>
      <c r="AC666" s="2499"/>
      <c r="AD666" s="536"/>
      <c r="AE666" s="2444"/>
      <c r="AF666" s="2444"/>
      <c r="AG666" s="2444"/>
      <c r="AH666" s="2444"/>
      <c r="AI666" s="2444"/>
      <c r="AJ666" s="2444"/>
      <c r="AK666" s="2444"/>
      <c r="AL666" s="594"/>
      <c r="AN666" s="597"/>
      <c r="AO666" s="550" t="s">
        <v>591</v>
      </c>
      <c r="AP666" s="673">
        <v>0</v>
      </c>
    </row>
    <row r="667" spans="1:42" s="550" customFormat="1" ht="12.75" customHeight="1">
      <c r="A667" s="679"/>
      <c r="B667" s="536"/>
      <c r="C667" s="536"/>
      <c r="D667" s="663"/>
      <c r="E667" s="2499"/>
      <c r="F667" s="2499"/>
      <c r="G667" s="2499"/>
      <c r="H667" s="2499"/>
      <c r="I667" s="2499"/>
      <c r="J667" s="2499"/>
      <c r="K667" s="2499"/>
      <c r="L667" s="2499"/>
      <c r="M667" s="2499"/>
      <c r="N667" s="2499"/>
      <c r="O667" s="2499"/>
      <c r="P667" s="2499"/>
      <c r="Q667" s="2499"/>
      <c r="R667" s="2499"/>
      <c r="S667" s="2499"/>
      <c r="T667" s="2499"/>
      <c r="U667" s="2499"/>
      <c r="V667" s="2499"/>
      <c r="W667" s="2499"/>
      <c r="X667" s="2499"/>
      <c r="Y667" s="2499"/>
      <c r="Z667" s="2499"/>
      <c r="AA667" s="2499"/>
      <c r="AB667" s="2499"/>
      <c r="AC667" s="2499"/>
      <c r="AD667" s="536"/>
      <c r="AE667" s="536"/>
      <c r="AF667" s="536"/>
      <c r="AG667" s="536"/>
      <c r="AH667" s="536"/>
      <c r="AI667" s="536"/>
      <c r="AJ667" s="536"/>
      <c r="AK667" s="536"/>
      <c r="AL667" s="536"/>
      <c r="AN667" s="597"/>
      <c r="AO667" s="611" t="s">
        <v>687</v>
      </c>
      <c r="AP667" s="550">
        <v>3</v>
      </c>
    </row>
    <row r="668" spans="1:42" s="550" customFormat="1" ht="12.75" customHeight="1">
      <c r="B668" s="536"/>
      <c r="C668" s="931"/>
      <c r="D668" s="663"/>
      <c r="E668" s="575"/>
      <c r="F668" s="575"/>
      <c r="G668" s="575"/>
      <c r="H668" s="575"/>
      <c r="I668" s="575"/>
      <c r="J668" s="575"/>
      <c r="K668" s="575"/>
      <c r="L668" s="575"/>
      <c r="M668" s="575"/>
      <c r="N668" s="575"/>
      <c r="O668" s="575"/>
      <c r="P668" s="575"/>
      <c r="Q668" s="575"/>
      <c r="R668" s="575"/>
      <c r="S668" s="575"/>
      <c r="T668" s="575"/>
      <c r="U668" s="575"/>
      <c r="V668" s="575"/>
      <c r="W668" s="575"/>
      <c r="X668" s="575"/>
      <c r="Y668" s="575"/>
      <c r="Z668" s="575"/>
      <c r="AA668" s="575"/>
      <c r="AB668" s="575"/>
      <c r="AC668" s="536"/>
      <c r="AD668" s="536"/>
      <c r="AE668" s="536"/>
      <c r="AF668" s="536"/>
      <c r="AG668" s="536"/>
      <c r="AH668" s="536"/>
      <c r="AI668" s="536"/>
      <c r="AJ668" s="536"/>
      <c r="AK668" s="536"/>
      <c r="AL668" s="536"/>
      <c r="AN668" s="597"/>
      <c r="AO668" s="611" t="s">
        <v>509</v>
      </c>
      <c r="AP668" s="550">
        <v>2</v>
      </c>
    </row>
    <row r="669" spans="1:42" s="550" customFormat="1" ht="12.75" customHeight="1">
      <c r="A669" s="670"/>
      <c r="B669" s="536"/>
      <c r="C669" s="947"/>
      <c r="D669" s="663" t="s">
        <v>1397</v>
      </c>
      <c r="E669" s="2499" t="s">
        <v>1421</v>
      </c>
      <c r="F669" s="2499"/>
      <c r="G669" s="2499"/>
      <c r="H669" s="2499"/>
      <c r="I669" s="2499"/>
      <c r="J669" s="2499"/>
      <c r="K669" s="2499"/>
      <c r="L669" s="2499"/>
      <c r="M669" s="2499"/>
      <c r="N669" s="2499"/>
      <c r="O669" s="2499"/>
      <c r="P669" s="2499"/>
      <c r="Q669" s="2499"/>
      <c r="R669" s="2499"/>
      <c r="S669" s="2499"/>
      <c r="T669" s="2499"/>
      <c r="U669" s="2499"/>
      <c r="V669" s="2499"/>
      <c r="W669" s="2499"/>
      <c r="X669" s="2499"/>
      <c r="Y669" s="2499"/>
      <c r="Z669" s="2499"/>
      <c r="AA669" s="2499"/>
      <c r="AB669" s="2499"/>
      <c r="AC669" s="2499"/>
      <c r="AD669" s="536"/>
      <c r="AE669" s="536"/>
      <c r="AF669" s="2444" t="s">
        <v>1399</v>
      </c>
      <c r="AG669" s="2444"/>
      <c r="AH669" s="2444"/>
      <c r="AI669" s="2444"/>
      <c r="AJ669" s="2444"/>
      <c r="AK669" s="2444"/>
      <c r="AL669" s="2444"/>
      <c r="AN669" s="597"/>
    </row>
    <row r="670" spans="1:42" s="550" customFormat="1" ht="12.75" customHeight="1">
      <c r="A670" s="670"/>
      <c r="B670" s="536"/>
      <c r="C670" s="947"/>
      <c r="D670" s="663"/>
      <c r="E670" s="2499"/>
      <c r="F670" s="2499"/>
      <c r="G670" s="2499"/>
      <c r="H670" s="2499"/>
      <c r="I670" s="2499"/>
      <c r="J670" s="2499"/>
      <c r="K670" s="2499"/>
      <c r="L670" s="2499"/>
      <c r="M670" s="2499"/>
      <c r="N670" s="2499"/>
      <c r="O670" s="2499"/>
      <c r="P670" s="2499"/>
      <c r="Q670" s="2499"/>
      <c r="R670" s="2499"/>
      <c r="S670" s="2499"/>
      <c r="T670" s="2499"/>
      <c r="U670" s="2499"/>
      <c r="V670" s="2499"/>
      <c r="W670" s="2499"/>
      <c r="X670" s="2499"/>
      <c r="Y670" s="2499"/>
      <c r="Z670" s="2499"/>
      <c r="AA670" s="2499"/>
      <c r="AB670" s="2499"/>
      <c r="AC670" s="2499"/>
      <c r="AD670" s="536"/>
      <c r="AE670" s="594"/>
      <c r="AF670" s="594"/>
      <c r="AG670" s="594"/>
      <c r="AH670" s="594"/>
      <c r="AI670" s="594"/>
      <c r="AJ670" s="594"/>
      <c r="AK670" s="594"/>
      <c r="AL670" s="594"/>
      <c r="AM670" s="596"/>
      <c r="AN670" s="597"/>
    </row>
    <row r="671" spans="1:42" s="550" customFormat="1" ht="12.75" customHeight="1">
      <c r="A671" s="670"/>
      <c r="B671" s="536"/>
      <c r="C671" s="947"/>
      <c r="D671" s="663"/>
      <c r="E671" s="2499"/>
      <c r="F671" s="2499"/>
      <c r="G671" s="2499"/>
      <c r="H671" s="2499"/>
      <c r="I671" s="2499"/>
      <c r="J671" s="2499"/>
      <c r="K671" s="2499"/>
      <c r="L671" s="2499"/>
      <c r="M671" s="2499"/>
      <c r="N671" s="2499"/>
      <c r="O671" s="2499"/>
      <c r="P671" s="2499"/>
      <c r="Q671" s="2499"/>
      <c r="R671" s="2499"/>
      <c r="S671" s="2499"/>
      <c r="T671" s="2499"/>
      <c r="U671" s="2499"/>
      <c r="V671" s="2499"/>
      <c r="W671" s="2499"/>
      <c r="X671" s="2499"/>
      <c r="Y671" s="2499"/>
      <c r="Z671" s="2499"/>
      <c r="AA671" s="2499"/>
      <c r="AB671" s="2499"/>
      <c r="AC671" s="2499"/>
      <c r="AD671" s="536"/>
      <c r="AE671" s="594"/>
      <c r="AF671" s="594"/>
      <c r="AG671" s="594"/>
      <c r="AH671" s="594"/>
      <c r="AI671" s="594"/>
      <c r="AJ671" s="594"/>
      <c r="AK671" s="594"/>
      <c r="AL671" s="594"/>
      <c r="AM671" s="596"/>
      <c r="AN671" s="597"/>
    </row>
    <row r="672" spans="1:42" s="550" customFormat="1" ht="12.75" customHeight="1">
      <c r="B672" s="536"/>
      <c r="C672" s="931"/>
      <c r="D672" s="663"/>
      <c r="E672" s="642"/>
      <c r="F672" s="642"/>
      <c r="G672" s="642"/>
      <c r="H672" s="642"/>
      <c r="I672" s="642"/>
      <c r="J672" s="642"/>
      <c r="K672" s="642"/>
      <c r="L672" s="642"/>
      <c r="M672" s="642"/>
      <c r="N672" s="642"/>
      <c r="O672" s="642"/>
      <c r="P672" s="642"/>
      <c r="Q672" s="642"/>
      <c r="R672" s="642"/>
      <c r="S672" s="642"/>
      <c r="T672" s="642"/>
      <c r="U672" s="642"/>
      <c r="V672" s="642"/>
      <c r="W672" s="642"/>
      <c r="X672" s="642"/>
      <c r="Y672" s="642"/>
      <c r="Z672" s="642"/>
      <c r="AA672" s="642"/>
      <c r="AB672" s="642"/>
      <c r="AC672" s="539"/>
      <c r="AD672" s="539"/>
      <c r="AE672" s="536"/>
      <c r="AF672" s="536"/>
      <c r="AG672" s="536"/>
      <c r="AH672" s="536"/>
      <c r="AI672" s="536"/>
      <c r="AJ672" s="536"/>
      <c r="AK672" s="536"/>
      <c r="AL672" s="594"/>
      <c r="AM672" s="596"/>
      <c r="AN672" s="597"/>
    </row>
    <row r="673" spans="1:42" s="550" customFormat="1" ht="12.75" customHeight="1">
      <c r="B673" s="536"/>
      <c r="C673" s="931"/>
      <c r="D673" s="663" t="s">
        <v>1398</v>
      </c>
      <c r="E673" s="2499" t="s">
        <v>1422</v>
      </c>
      <c r="F673" s="2499"/>
      <c r="G673" s="2499"/>
      <c r="H673" s="2499"/>
      <c r="I673" s="2499"/>
      <c r="J673" s="2499"/>
      <c r="K673" s="2499"/>
      <c r="L673" s="2499"/>
      <c r="M673" s="2499"/>
      <c r="N673" s="2499"/>
      <c r="O673" s="2499"/>
      <c r="P673" s="2499"/>
      <c r="Q673" s="2499"/>
      <c r="R673" s="2499"/>
      <c r="S673" s="2499"/>
      <c r="T673" s="2499"/>
      <c r="U673" s="2499"/>
      <c r="V673" s="2499"/>
      <c r="W673" s="2499"/>
      <c r="X673" s="2499"/>
      <c r="Y673" s="2499"/>
      <c r="Z673" s="2499"/>
      <c r="AA673" s="2499"/>
      <c r="AB673" s="2499"/>
      <c r="AC673" s="2499"/>
      <c r="AD673" s="536"/>
      <c r="AE673" s="536"/>
      <c r="AF673" s="2444" t="s">
        <v>1352</v>
      </c>
      <c r="AG673" s="2444"/>
      <c r="AH673" s="2444"/>
      <c r="AI673" s="2444"/>
      <c r="AJ673" s="2444"/>
      <c r="AK673" s="2444"/>
      <c r="AL673" s="2444"/>
      <c r="AM673" s="596"/>
      <c r="AN673" s="597"/>
    </row>
    <row r="674" spans="1:42" s="550" customFormat="1" ht="12.75" customHeight="1">
      <c r="B674" s="536"/>
      <c r="C674" s="931"/>
      <c r="D674" s="663"/>
      <c r="E674" s="2499"/>
      <c r="F674" s="2499"/>
      <c r="G674" s="2499"/>
      <c r="H674" s="2499"/>
      <c r="I674" s="2499"/>
      <c r="J674" s="2499"/>
      <c r="K674" s="2499"/>
      <c r="L674" s="2499"/>
      <c r="M674" s="2499"/>
      <c r="N674" s="2499"/>
      <c r="O674" s="2499"/>
      <c r="P674" s="2499"/>
      <c r="Q674" s="2499"/>
      <c r="R674" s="2499"/>
      <c r="S674" s="2499"/>
      <c r="T674" s="2499"/>
      <c r="U674" s="2499"/>
      <c r="V674" s="2499"/>
      <c r="W674" s="2499"/>
      <c r="X674" s="2499"/>
      <c r="Y674" s="2499"/>
      <c r="Z674" s="2499"/>
      <c r="AA674" s="2499"/>
      <c r="AB674" s="2499"/>
      <c r="AC674" s="2499"/>
      <c r="AD674" s="536"/>
      <c r="AE674" s="536"/>
      <c r="AF674" s="536"/>
      <c r="AG674" s="536"/>
      <c r="AH674" s="536"/>
      <c r="AI674" s="536"/>
      <c r="AJ674" s="536"/>
      <c r="AK674" s="536"/>
      <c r="AL674" s="536"/>
      <c r="AM674" s="596"/>
      <c r="AN674" s="597"/>
    </row>
    <row r="675" spans="1:42" s="550" customFormat="1" ht="12.75" customHeight="1">
      <c r="B675" s="536"/>
      <c r="C675" s="931"/>
      <c r="D675" s="663"/>
      <c r="E675" s="2499"/>
      <c r="F675" s="2499"/>
      <c r="G675" s="2499"/>
      <c r="H675" s="2499"/>
      <c r="I675" s="2499"/>
      <c r="J675" s="2499"/>
      <c r="K675" s="2499"/>
      <c r="L675" s="2499"/>
      <c r="M675" s="2499"/>
      <c r="N675" s="2499"/>
      <c r="O675" s="2499"/>
      <c r="P675" s="2499"/>
      <c r="Q675" s="2499"/>
      <c r="R675" s="2499"/>
      <c r="S675" s="2499"/>
      <c r="T675" s="2499"/>
      <c r="U675" s="2499"/>
      <c r="V675" s="2499"/>
      <c r="W675" s="2499"/>
      <c r="X675" s="2499"/>
      <c r="Y675" s="2499"/>
      <c r="Z675" s="2499"/>
      <c r="AA675" s="2499"/>
      <c r="AB675" s="2499"/>
      <c r="AC675" s="2499"/>
      <c r="AD675" s="536"/>
      <c r="AE675" s="536"/>
      <c r="AF675" s="536"/>
      <c r="AG675" s="536"/>
      <c r="AH675" s="536"/>
      <c r="AI675" s="536"/>
      <c r="AJ675" s="536"/>
      <c r="AK675" s="536"/>
      <c r="AL675" s="536"/>
      <c r="AM675" s="596"/>
      <c r="AN675" s="597"/>
    </row>
    <row r="676" spans="1:42" s="550" customFormat="1" ht="12.75" customHeight="1">
      <c r="B676" s="536"/>
      <c r="C676" s="931"/>
      <c r="D676" s="663"/>
      <c r="E676" s="536"/>
      <c r="F676" s="536"/>
      <c r="G676" s="536"/>
      <c r="H676" s="536"/>
      <c r="I676" s="536"/>
      <c r="J676" s="536"/>
      <c r="K676" s="536"/>
      <c r="L676" s="536"/>
      <c r="M676" s="536"/>
      <c r="N676" s="536"/>
      <c r="O676" s="536"/>
      <c r="P676" s="536"/>
      <c r="Q676" s="536"/>
      <c r="R676" s="536"/>
      <c r="S676" s="536"/>
      <c r="T676" s="536"/>
      <c r="U676" s="536"/>
      <c r="V676" s="536"/>
      <c r="W676" s="536"/>
      <c r="X676" s="536"/>
      <c r="Y676" s="536"/>
      <c r="Z676" s="536"/>
      <c r="AA676" s="536"/>
      <c r="AB676" s="536"/>
      <c r="AC676" s="536"/>
      <c r="AD676" s="536"/>
      <c r="AE676" s="536"/>
      <c r="AF676" s="536"/>
      <c r="AG676" s="536"/>
      <c r="AH676" s="536"/>
      <c r="AI676" s="536"/>
      <c r="AJ676" s="536"/>
      <c r="AK676" s="536"/>
      <c r="AL676" s="536"/>
      <c r="AM676" s="596"/>
      <c r="AN676" s="597"/>
    </row>
    <row r="677" spans="1:42" s="550" customFormat="1" ht="12.75" customHeight="1">
      <c r="A677" s="679"/>
      <c r="B677" s="536"/>
      <c r="C677" s="931"/>
      <c r="D677" s="663" t="s">
        <v>1409</v>
      </c>
      <c r="E677" s="2499" t="s">
        <v>1423</v>
      </c>
      <c r="F677" s="2499"/>
      <c r="G677" s="2499"/>
      <c r="H677" s="2499"/>
      <c r="I677" s="2499"/>
      <c r="J677" s="2499"/>
      <c r="K677" s="2499"/>
      <c r="L677" s="2499"/>
      <c r="M677" s="2499"/>
      <c r="N677" s="2499"/>
      <c r="O677" s="2499"/>
      <c r="P677" s="2499"/>
      <c r="Q677" s="2499"/>
      <c r="R677" s="2499"/>
      <c r="S677" s="2499"/>
      <c r="T677" s="2499"/>
      <c r="U677" s="2499"/>
      <c r="V677" s="2499"/>
      <c r="W677" s="2499"/>
      <c r="X677" s="2499"/>
      <c r="Y677" s="2499"/>
      <c r="Z677" s="2499"/>
      <c r="AA677" s="2499"/>
      <c r="AB677" s="2499"/>
      <c r="AC677" s="2499"/>
      <c r="AD677" s="536"/>
      <c r="AE677" s="536"/>
      <c r="AF677" s="2444" t="s">
        <v>1408</v>
      </c>
      <c r="AG677" s="2444"/>
      <c r="AH677" s="2444"/>
      <c r="AI677" s="2444"/>
      <c r="AJ677" s="2444"/>
      <c r="AK677" s="2444"/>
      <c r="AL677" s="2444"/>
      <c r="AM677" s="596"/>
      <c r="AN677" s="597"/>
    </row>
    <row r="678" spans="1:42" s="550" customFormat="1" ht="12.75" customHeight="1">
      <c r="A678" s="679"/>
      <c r="B678" s="536"/>
      <c r="C678" s="931"/>
      <c r="D678" s="663"/>
      <c r="E678" s="2499"/>
      <c r="F678" s="2499"/>
      <c r="G678" s="2499"/>
      <c r="H678" s="2499"/>
      <c r="I678" s="2499"/>
      <c r="J678" s="2499"/>
      <c r="K678" s="2499"/>
      <c r="L678" s="2499"/>
      <c r="M678" s="2499"/>
      <c r="N678" s="2499"/>
      <c r="O678" s="2499"/>
      <c r="P678" s="2499"/>
      <c r="Q678" s="2499"/>
      <c r="R678" s="2499"/>
      <c r="S678" s="2499"/>
      <c r="T678" s="2499"/>
      <c r="U678" s="2499"/>
      <c r="V678" s="2499"/>
      <c r="W678" s="2499"/>
      <c r="X678" s="2499"/>
      <c r="Y678" s="2499"/>
      <c r="Z678" s="2499"/>
      <c r="AA678" s="2499"/>
      <c r="AB678" s="2499"/>
      <c r="AC678" s="2499"/>
      <c r="AD678" s="536"/>
      <c r="AE678" s="536"/>
      <c r="AF678" s="594"/>
      <c r="AG678" s="594"/>
      <c r="AH678" s="594"/>
      <c r="AI678" s="594"/>
      <c r="AJ678" s="594"/>
      <c r="AK678" s="594"/>
      <c r="AL678" s="594"/>
      <c r="AM678" s="596"/>
      <c r="AN678" s="597"/>
    </row>
    <row r="679" spans="1:42" s="550" customFormat="1" ht="12.75" customHeight="1">
      <c r="A679" s="679"/>
      <c r="B679" s="536"/>
      <c r="C679" s="931"/>
      <c r="D679" s="663"/>
      <c r="E679" s="2499"/>
      <c r="F679" s="2499"/>
      <c r="G679" s="2499"/>
      <c r="H679" s="2499"/>
      <c r="I679" s="2499"/>
      <c r="J679" s="2499"/>
      <c r="K679" s="2499"/>
      <c r="L679" s="2499"/>
      <c r="M679" s="2499"/>
      <c r="N679" s="2499"/>
      <c r="O679" s="2499"/>
      <c r="P679" s="2499"/>
      <c r="Q679" s="2499"/>
      <c r="R679" s="2499"/>
      <c r="S679" s="2499"/>
      <c r="T679" s="2499"/>
      <c r="U679" s="2499"/>
      <c r="V679" s="2499"/>
      <c r="W679" s="2499"/>
      <c r="X679" s="2499"/>
      <c r="Y679" s="2499"/>
      <c r="Z679" s="2499"/>
      <c r="AA679" s="2499"/>
      <c r="AB679" s="2499"/>
      <c r="AC679" s="2499"/>
      <c r="AD679" s="536"/>
      <c r="AE679" s="594"/>
      <c r="AF679" s="594"/>
      <c r="AG679" s="594"/>
      <c r="AH679" s="594"/>
      <c r="AI679" s="594"/>
      <c r="AJ679" s="594"/>
      <c r="AK679" s="594"/>
      <c r="AL679" s="594"/>
      <c r="AM679" s="596"/>
      <c r="AN679" s="597"/>
    </row>
    <row r="680" spans="1:42" s="550" customFormat="1" ht="12.75" customHeight="1">
      <c r="A680" s="679"/>
      <c r="B680" s="536"/>
      <c r="C680" s="931"/>
      <c r="D680" s="663"/>
      <c r="E680" s="642"/>
      <c r="F680" s="642"/>
      <c r="G680" s="642"/>
      <c r="H680" s="642"/>
      <c r="I680" s="642"/>
      <c r="J680" s="642"/>
      <c r="K680" s="642"/>
      <c r="L680" s="642"/>
      <c r="M680" s="642"/>
      <c r="N680" s="642"/>
      <c r="O680" s="642"/>
      <c r="P680" s="642"/>
      <c r="Q680" s="642"/>
      <c r="R680" s="642"/>
      <c r="S680" s="642"/>
      <c r="T680" s="642"/>
      <c r="U680" s="642"/>
      <c r="V680" s="642"/>
      <c r="W680" s="642"/>
      <c r="X680" s="642"/>
      <c r="Y680" s="642"/>
      <c r="Z680" s="642"/>
      <c r="AA680" s="642"/>
      <c r="AB680" s="642"/>
      <c r="AC680" s="642"/>
      <c r="AD680" s="536"/>
      <c r="AE680" s="594"/>
      <c r="AF680" s="536"/>
      <c r="AG680" s="536"/>
      <c r="AH680" s="536"/>
      <c r="AI680" s="536"/>
      <c r="AJ680" s="536"/>
      <c r="AK680" s="536"/>
      <c r="AL680" s="536"/>
      <c r="AM680" s="596"/>
      <c r="AN680" s="597"/>
      <c r="AO680" s="550" t="s">
        <v>591</v>
      </c>
      <c r="AP680" s="637">
        <v>0</v>
      </c>
    </row>
    <row r="681" spans="1:42" s="550" customFormat="1" ht="12.75" customHeight="1">
      <c r="A681" s="679"/>
      <c r="B681" s="536"/>
      <c r="C681" s="931"/>
      <c r="D681" s="663" t="s">
        <v>1411</v>
      </c>
      <c r="E681" s="2499" t="s">
        <v>1424</v>
      </c>
      <c r="F681" s="2499"/>
      <c r="G681" s="2499"/>
      <c r="H681" s="2499"/>
      <c r="I681" s="2499"/>
      <c r="J681" s="2499"/>
      <c r="K681" s="2499"/>
      <c r="L681" s="2499"/>
      <c r="M681" s="2499"/>
      <c r="N681" s="2499"/>
      <c r="O681" s="2499"/>
      <c r="P681" s="2499"/>
      <c r="Q681" s="2499"/>
      <c r="R681" s="2499"/>
      <c r="S681" s="2499"/>
      <c r="T681" s="2499"/>
      <c r="U681" s="2499"/>
      <c r="V681" s="2499"/>
      <c r="W681" s="2499"/>
      <c r="X681" s="2499"/>
      <c r="Y681" s="2499"/>
      <c r="Z681" s="2499"/>
      <c r="AA681" s="2499"/>
      <c r="AB681" s="2499"/>
      <c r="AC681" s="2499"/>
      <c r="AD681" s="536"/>
      <c r="AE681" s="536"/>
      <c r="AF681" s="2444" t="s">
        <v>1425</v>
      </c>
      <c r="AG681" s="2444"/>
      <c r="AH681" s="2444"/>
      <c r="AI681" s="2444"/>
      <c r="AJ681" s="2444"/>
      <c r="AK681" s="2444"/>
      <c r="AL681" s="2444"/>
      <c r="AM681" s="596"/>
      <c r="AN681" s="597"/>
      <c r="AO681" s="611" t="s">
        <v>687</v>
      </c>
      <c r="AP681" s="550">
        <v>3</v>
      </c>
    </row>
    <row r="682" spans="1:42" s="550" customFormat="1" ht="12.75" customHeight="1">
      <c r="A682" s="679"/>
      <c r="B682" s="536"/>
      <c r="C682" s="931"/>
      <c r="D682" s="663"/>
      <c r="E682" s="2499"/>
      <c r="F682" s="2499"/>
      <c r="G682" s="2499"/>
      <c r="H682" s="2499"/>
      <c r="I682" s="2499"/>
      <c r="J682" s="2499"/>
      <c r="K682" s="2499"/>
      <c r="L682" s="2499"/>
      <c r="M682" s="2499"/>
      <c r="N682" s="2499"/>
      <c r="O682" s="2499"/>
      <c r="P682" s="2499"/>
      <c r="Q682" s="2499"/>
      <c r="R682" s="2499"/>
      <c r="S682" s="2499"/>
      <c r="T682" s="2499"/>
      <c r="U682" s="2499"/>
      <c r="V682" s="2499"/>
      <c r="W682" s="2499"/>
      <c r="X682" s="2499"/>
      <c r="Y682" s="2499"/>
      <c r="Z682" s="2499"/>
      <c r="AA682" s="2499"/>
      <c r="AB682" s="2499"/>
      <c r="AC682" s="2499"/>
      <c r="AD682" s="536"/>
      <c r="AE682" s="536"/>
      <c r="AF682" s="594"/>
      <c r="AG682" s="594"/>
      <c r="AH682" s="594"/>
      <c r="AI682" s="594"/>
      <c r="AJ682" s="594"/>
      <c r="AK682" s="594"/>
      <c r="AL682" s="594"/>
      <c r="AM682" s="596"/>
      <c r="AN682" s="597"/>
      <c r="AO682" s="611" t="s">
        <v>509</v>
      </c>
      <c r="AP682" s="550">
        <v>2</v>
      </c>
    </row>
    <row r="683" spans="1:42" s="550" customFormat="1" ht="12.75" customHeight="1">
      <c r="A683" s="679"/>
      <c r="B683" s="536"/>
      <c r="C683" s="931"/>
      <c r="D683" s="663"/>
      <c r="E683" s="2499"/>
      <c r="F683" s="2499"/>
      <c r="G683" s="2499"/>
      <c r="H683" s="2499"/>
      <c r="I683" s="2499"/>
      <c r="J683" s="2499"/>
      <c r="K683" s="2499"/>
      <c r="L683" s="2499"/>
      <c r="M683" s="2499"/>
      <c r="N683" s="2499"/>
      <c r="O683" s="2499"/>
      <c r="P683" s="2499"/>
      <c r="Q683" s="2499"/>
      <c r="R683" s="2499"/>
      <c r="S683" s="2499"/>
      <c r="T683" s="2499"/>
      <c r="U683" s="2499"/>
      <c r="V683" s="2499"/>
      <c r="W683" s="2499"/>
      <c r="X683" s="2499"/>
      <c r="Y683" s="2499"/>
      <c r="Z683" s="2499"/>
      <c r="AA683" s="2499"/>
      <c r="AB683" s="2499"/>
      <c r="AC683" s="2499"/>
      <c r="AD683" s="536"/>
      <c r="AE683" s="594"/>
      <c r="AF683" s="594"/>
      <c r="AG683" s="594"/>
      <c r="AH683" s="594"/>
      <c r="AI683" s="594"/>
      <c r="AJ683" s="594"/>
      <c r="AK683" s="594"/>
      <c r="AL683" s="594"/>
      <c r="AM683" s="596"/>
      <c r="AN683" s="597"/>
    </row>
    <row r="684" spans="1:42" s="550" customFormat="1" ht="12.75" customHeight="1">
      <c r="A684" s="670"/>
      <c r="B684" s="536"/>
      <c r="C684" s="947"/>
      <c r="D684" s="663"/>
      <c r="E684" s="643"/>
      <c r="F684" s="643"/>
      <c r="G684" s="643"/>
      <c r="H684" s="643"/>
      <c r="I684" s="643"/>
      <c r="J684" s="643"/>
      <c r="K684" s="643"/>
      <c r="L684" s="643"/>
      <c r="M684" s="643"/>
      <c r="N684" s="643"/>
      <c r="O684" s="643"/>
      <c r="P684" s="643"/>
      <c r="Q684" s="643"/>
      <c r="R684" s="643"/>
      <c r="S684" s="643"/>
      <c r="T684" s="643"/>
      <c r="U684" s="643"/>
      <c r="V684" s="643"/>
      <c r="W684" s="643"/>
      <c r="X684" s="643"/>
      <c r="Y684" s="643"/>
      <c r="Z684" s="643"/>
      <c r="AA684" s="643"/>
      <c r="AB684" s="643"/>
      <c r="AC684" s="643"/>
      <c r="AD684" s="536"/>
      <c r="AE684" s="594"/>
      <c r="AF684" s="594"/>
      <c r="AG684" s="594"/>
      <c r="AH684" s="594"/>
      <c r="AI684" s="594"/>
      <c r="AJ684" s="594"/>
      <c r="AK684" s="594"/>
      <c r="AL684" s="594"/>
      <c r="AM684" s="596"/>
      <c r="AN684" s="597"/>
    </row>
    <row r="685" spans="1:42" s="550" customFormat="1" ht="12.75" customHeight="1">
      <c r="A685" s="679"/>
      <c r="B685" s="536"/>
      <c r="C685" s="931"/>
      <c r="D685" s="536" t="s">
        <v>1400</v>
      </c>
      <c r="E685" s="936"/>
      <c r="F685" s="936"/>
      <c r="G685" s="936"/>
      <c r="H685" s="2528" t="s">
        <v>509</v>
      </c>
      <c r="I685" s="2528"/>
      <c r="J685" s="616"/>
      <c r="K685" s="616"/>
      <c r="L685" s="536"/>
      <c r="M685" s="536"/>
      <c r="N685" s="536"/>
      <c r="O685" s="536"/>
      <c r="P685" s="536"/>
      <c r="Q685" s="536"/>
      <c r="R685" s="536"/>
      <c r="S685" s="536"/>
      <c r="T685" s="536"/>
      <c r="U685" s="536"/>
      <c r="V685" s="536"/>
      <c r="W685" s="536"/>
      <c r="X685" s="536"/>
      <c r="Y685" s="536"/>
      <c r="Z685" s="536"/>
      <c r="AA685" s="536"/>
      <c r="AB685" s="536"/>
      <c r="AC685" s="536"/>
      <c r="AD685" s="536"/>
      <c r="AE685" s="536"/>
      <c r="AF685" s="536"/>
      <c r="AG685" s="536"/>
      <c r="AH685" s="536"/>
      <c r="AI685" s="536"/>
      <c r="AJ685" s="536"/>
      <c r="AK685" s="536"/>
      <c r="AL685" s="536"/>
      <c r="AN685" s="597"/>
    </row>
    <row r="686" spans="1:42" s="550" customFormat="1" ht="12.75" customHeight="1">
      <c r="A686" s="679"/>
      <c r="B686" s="536"/>
      <c r="C686" s="931"/>
      <c r="D686" s="536"/>
      <c r="E686" s="936"/>
      <c r="F686" s="936"/>
      <c r="G686" s="616"/>
      <c r="H686" s="616"/>
      <c r="I686" s="616"/>
      <c r="J686" s="616"/>
      <c r="K686" s="616"/>
      <c r="L686" s="616"/>
      <c r="M686" s="616"/>
      <c r="N686" s="616"/>
      <c r="O686" s="616"/>
      <c r="P686" s="616"/>
      <c r="Q686" s="616"/>
      <c r="R686" s="616"/>
      <c r="S686" s="616"/>
      <c r="T686" s="616"/>
      <c r="U686" s="616"/>
      <c r="V686" s="616"/>
      <c r="W686" s="616"/>
      <c r="X686" s="616"/>
      <c r="Y686" s="616"/>
      <c r="Z686" s="936"/>
      <c r="AA686" s="936"/>
      <c r="AB686" s="936"/>
      <c r="AC686" s="536"/>
      <c r="AD686" s="536"/>
      <c r="AE686" s="536"/>
      <c r="AF686" s="536"/>
      <c r="AG686" s="616"/>
      <c r="AH686" s="616"/>
      <c r="AI686" s="616"/>
      <c r="AJ686" s="616"/>
      <c r="AK686" s="616"/>
      <c r="AL686" s="616"/>
      <c r="AM686" s="551"/>
      <c r="AN686" s="597"/>
    </row>
    <row r="687" spans="1:42" s="550" customFormat="1" ht="12.75" customHeight="1">
      <c r="A687" s="683"/>
      <c r="B687" s="601"/>
      <c r="C687" s="944"/>
      <c r="D687" s="601"/>
      <c r="E687" s="939"/>
      <c r="F687" s="665"/>
      <c r="G687" s="665"/>
      <c r="H687" s="665"/>
      <c r="I687" s="665"/>
      <c r="J687" s="665"/>
      <c r="K687" s="665"/>
      <c r="L687" s="665"/>
      <c r="M687" s="665"/>
      <c r="N687" s="665"/>
      <c r="O687" s="665"/>
      <c r="P687" s="665"/>
      <c r="Q687" s="665"/>
      <c r="R687" s="665"/>
      <c r="S687" s="665"/>
      <c r="T687" s="665"/>
      <c r="U687" s="665"/>
      <c r="V687" s="665"/>
      <c r="W687" s="665"/>
      <c r="X687" s="665"/>
      <c r="Y687" s="939"/>
      <c r="Z687" s="939"/>
      <c r="AA687" s="939"/>
      <c r="AB687" s="601"/>
      <c r="AC687" s="601"/>
      <c r="AD687" s="601"/>
      <c r="AE687" s="601"/>
      <c r="AF687" s="601"/>
      <c r="AG687" s="601"/>
      <c r="AH687" s="601"/>
      <c r="AI687" s="565" t="s">
        <v>1426</v>
      </c>
      <c r="AJ687" s="2479">
        <f>VLOOKUP($H$685,$AO$633:$AP$640,2,FALSE)</f>
        <v>4</v>
      </c>
      <c r="AK687" s="2481"/>
      <c r="AL687" s="595"/>
      <c r="AN687" s="597"/>
    </row>
    <row r="688" spans="1:42" s="550" customFormat="1" ht="12.75" customHeight="1">
      <c r="A688" s="679"/>
      <c r="B688" s="536"/>
      <c r="C688" s="931"/>
      <c r="D688" s="536"/>
      <c r="E688" s="616"/>
      <c r="F688" s="616"/>
      <c r="G688" s="616"/>
      <c r="H688" s="616"/>
      <c r="I688" s="616"/>
      <c r="J688" s="616"/>
      <c r="K688" s="616"/>
      <c r="L688" s="616"/>
      <c r="M688" s="616"/>
      <c r="N688" s="616"/>
      <c r="O688" s="616"/>
      <c r="P688" s="616"/>
      <c r="Q688" s="616"/>
      <c r="R688" s="616"/>
      <c r="S688" s="616"/>
      <c r="T688" s="616"/>
      <c r="U688" s="616"/>
      <c r="V688" s="616"/>
      <c r="W688" s="616"/>
      <c r="X688" s="616"/>
      <c r="Y688" s="616"/>
      <c r="Z688" s="616"/>
      <c r="AA688" s="616"/>
      <c r="AB688" s="616"/>
      <c r="AC688" s="616"/>
      <c r="AD688" s="640"/>
      <c r="AE688" s="536"/>
      <c r="AF688" s="536"/>
      <c r="AG688" s="536"/>
      <c r="AH688" s="536"/>
      <c r="AI688" s="536"/>
      <c r="AJ688" s="536"/>
      <c r="AK688" s="536"/>
      <c r="AL688" s="536"/>
      <c r="AN688" s="597"/>
    </row>
    <row r="689" spans="1:51" s="550" customFormat="1" ht="12.75" customHeight="1">
      <c r="A689" s="679"/>
      <c r="B689" s="536"/>
      <c r="C689" s="539" t="s">
        <v>2136</v>
      </c>
      <c r="D689" s="712"/>
      <c r="E689" s="616"/>
      <c r="F689" s="616"/>
      <c r="G689" s="616"/>
      <c r="H689" s="616"/>
      <c r="I689" s="616"/>
      <c r="J689" s="616"/>
      <c r="K689" s="616"/>
      <c r="L689" s="616"/>
      <c r="M689" s="616"/>
      <c r="N689" s="616"/>
      <c r="O689" s="616"/>
      <c r="P689" s="616"/>
      <c r="Q689" s="616"/>
      <c r="R689" s="616"/>
      <c r="S689" s="616"/>
      <c r="T689" s="616"/>
      <c r="U689" s="616"/>
      <c r="V689" s="616"/>
      <c r="W689" s="616"/>
      <c r="X689" s="616"/>
      <c r="Y689" s="616"/>
      <c r="Z689" s="616"/>
      <c r="AA689" s="616"/>
      <c r="AB689" s="616"/>
      <c r="AC689" s="616"/>
      <c r="AD689" s="640"/>
      <c r="AE689" s="536"/>
      <c r="AF689" s="536"/>
      <c r="AG689" s="536"/>
      <c r="AH689" s="536"/>
      <c r="AI689" s="536"/>
      <c r="AJ689" s="536"/>
      <c r="AK689" s="536"/>
      <c r="AL689" s="536"/>
      <c r="AN689" s="597"/>
      <c r="AW689" s="22" t="s">
        <v>2183</v>
      </c>
      <c r="AX689" s="550">
        <f>Application!Q212</f>
        <v>0</v>
      </c>
    </row>
    <row r="690" spans="1:51" s="550" customFormat="1" ht="12.75" customHeight="1">
      <c r="A690" s="679"/>
      <c r="B690" s="536"/>
      <c r="C690" s="948"/>
      <c r="D690" s="536"/>
      <c r="E690" s="536"/>
      <c r="F690" s="536"/>
      <c r="G690" s="536"/>
      <c r="H690" s="536"/>
      <c r="I690" s="536"/>
      <c r="J690" s="536"/>
      <c r="K690" s="536"/>
      <c r="L690" s="536"/>
      <c r="M690" s="536"/>
      <c r="N690" s="536"/>
      <c r="O690" s="536"/>
      <c r="P690" s="536"/>
      <c r="Q690" s="536"/>
      <c r="R690" s="536"/>
      <c r="S690" s="536"/>
      <c r="T690" s="536"/>
      <c r="U690" s="536"/>
      <c r="V690" s="536"/>
      <c r="W690" s="536"/>
      <c r="X690" s="536"/>
      <c r="Y690" s="536"/>
      <c r="Z690" s="536"/>
      <c r="AA690" s="536"/>
      <c r="AB690" s="536"/>
      <c r="AC690" s="536"/>
      <c r="AD690" s="536"/>
      <c r="AE690" s="536"/>
      <c r="AF690" s="536"/>
      <c r="AG690" s="536"/>
      <c r="AH690" s="536"/>
      <c r="AI690" s="536"/>
      <c r="AJ690" s="536"/>
      <c r="AK690" s="536"/>
      <c r="AL690" s="536"/>
      <c r="AN690" s="597"/>
      <c r="AW690" s="22" t="s">
        <v>2184</v>
      </c>
      <c r="AX690" s="1152">
        <f>Application!G753</f>
        <v>103</v>
      </c>
    </row>
    <row r="691" spans="1:51" s="550" customFormat="1" ht="12.75" customHeight="1">
      <c r="A691" s="679"/>
      <c r="B691" s="536"/>
      <c r="C691" s="948"/>
      <c r="D691" s="663" t="s">
        <v>687</v>
      </c>
      <c r="E691" s="2535" t="s">
        <v>2190</v>
      </c>
      <c r="F691" s="2535"/>
      <c r="G691" s="2535"/>
      <c r="H691" s="2535"/>
      <c r="I691" s="2535"/>
      <c r="J691" s="2535"/>
      <c r="K691" s="2535"/>
      <c r="L691" s="2535"/>
      <c r="M691" s="2535"/>
      <c r="N691" s="2535"/>
      <c r="O691" s="2535"/>
      <c r="P691" s="2535"/>
      <c r="Q691" s="2535"/>
      <c r="R691" s="2535"/>
      <c r="S691" s="2535"/>
      <c r="T691" s="2535"/>
      <c r="U691" s="2535"/>
      <c r="V691" s="2535"/>
      <c r="W691" s="2535"/>
      <c r="X691" s="2535"/>
      <c r="Y691" s="2535"/>
      <c r="Z691" s="2535"/>
      <c r="AA691" s="2535"/>
      <c r="AB691" s="2535"/>
      <c r="AC691" s="536"/>
      <c r="AD691" s="536"/>
      <c r="AE691" s="536"/>
      <c r="AF691" s="2444" t="s">
        <v>1352</v>
      </c>
      <c r="AG691" s="2444"/>
      <c r="AH691" s="2444"/>
      <c r="AI691" s="2444"/>
      <c r="AJ691" s="2444"/>
      <c r="AK691" s="2444"/>
      <c r="AL691" s="2444"/>
      <c r="AN691" s="597"/>
      <c r="AW691" s="22" t="s">
        <v>2185</v>
      </c>
      <c r="AX691" s="550">
        <f>Application!DE753</f>
        <v>32</v>
      </c>
    </row>
    <row r="692" spans="1:51" s="550" customFormat="1" ht="12.75" customHeight="1">
      <c r="A692" s="679"/>
      <c r="B692" s="536"/>
      <c r="C692" s="948"/>
      <c r="D692" s="663"/>
      <c r="E692" s="2535"/>
      <c r="F692" s="2535"/>
      <c r="G692" s="2535"/>
      <c r="H692" s="2535"/>
      <c r="I692" s="2535"/>
      <c r="J692" s="2535"/>
      <c r="K692" s="2535"/>
      <c r="L692" s="2535"/>
      <c r="M692" s="2535"/>
      <c r="N692" s="2535"/>
      <c r="O692" s="2535"/>
      <c r="P692" s="2535"/>
      <c r="Q692" s="2535"/>
      <c r="R692" s="2535"/>
      <c r="S692" s="2535"/>
      <c r="T692" s="2535"/>
      <c r="U692" s="2535"/>
      <c r="V692" s="2535"/>
      <c r="W692" s="2535"/>
      <c r="X692" s="2535"/>
      <c r="Y692" s="2535"/>
      <c r="Z692" s="2535"/>
      <c r="AA692" s="2535"/>
      <c r="AB692" s="2535"/>
      <c r="AC692" s="536"/>
      <c r="AD692" s="536"/>
      <c r="AE692" s="536"/>
      <c r="AF692" s="536"/>
      <c r="AG692" s="536"/>
      <c r="AH692" s="536"/>
      <c r="AI692" s="536"/>
      <c r="AJ692" s="536"/>
      <c r="AK692" s="536"/>
      <c r="AL692" s="536"/>
      <c r="AN692" s="597"/>
      <c r="AW692" s="22" t="s">
        <v>2186</v>
      </c>
      <c r="AX692" s="550">
        <f>Application!DJ753</f>
        <v>11</v>
      </c>
    </row>
    <row r="693" spans="1:51" s="550" customFormat="1" ht="12.75" customHeight="1">
      <c r="A693" s="679"/>
      <c r="B693" s="536"/>
      <c r="C693" s="948"/>
      <c r="D693" s="663"/>
      <c r="E693" s="536"/>
      <c r="F693" s="536"/>
      <c r="G693" s="536"/>
      <c r="H693" s="536"/>
      <c r="I693" s="536"/>
      <c r="J693" s="536"/>
      <c r="K693" s="536"/>
      <c r="L693" s="536"/>
      <c r="M693" s="536"/>
      <c r="N693" s="536"/>
      <c r="O693" s="536"/>
      <c r="P693" s="536"/>
      <c r="Q693" s="536"/>
      <c r="R693" s="536"/>
      <c r="S693" s="536"/>
      <c r="T693" s="536"/>
      <c r="U693" s="536"/>
      <c r="V693" s="536"/>
      <c r="W693" s="536"/>
      <c r="X693" s="536"/>
      <c r="Y693" s="536"/>
      <c r="Z693" s="536"/>
      <c r="AA693" s="536"/>
      <c r="AB693" s="536"/>
      <c r="AC693" s="536"/>
      <c r="AD693" s="536"/>
      <c r="AE693" s="536"/>
      <c r="AF693" s="536"/>
      <c r="AG693" s="536"/>
      <c r="AH693" s="536"/>
      <c r="AI693" s="536"/>
      <c r="AJ693" s="536"/>
      <c r="AK693" s="536"/>
      <c r="AL693" s="536"/>
      <c r="AN693" s="597"/>
      <c r="AW693" s="22" t="s">
        <v>2187</v>
      </c>
      <c r="AX693" s="550">
        <f>Application!DO753</f>
        <v>0</v>
      </c>
    </row>
    <row r="694" spans="1:51" s="550" customFormat="1" ht="12.75" customHeight="1">
      <c r="B694" s="536"/>
      <c r="C694" s="931"/>
      <c r="D694" s="663" t="s">
        <v>509</v>
      </c>
      <c r="E694" s="2499" t="s">
        <v>2134</v>
      </c>
      <c r="F694" s="2499"/>
      <c r="G694" s="2499"/>
      <c r="H694" s="2499"/>
      <c r="I694" s="2499"/>
      <c r="J694" s="2499"/>
      <c r="K694" s="2499"/>
      <c r="L694" s="2499"/>
      <c r="M694" s="2499"/>
      <c r="N694" s="2499"/>
      <c r="O694" s="2499"/>
      <c r="P694" s="2499"/>
      <c r="Q694" s="2499"/>
      <c r="R694" s="2499"/>
      <c r="S694" s="2499"/>
      <c r="T694" s="2499"/>
      <c r="U694" s="2499"/>
      <c r="V694" s="2499"/>
      <c r="W694" s="2499"/>
      <c r="X694" s="2499"/>
      <c r="Y694" s="2499"/>
      <c r="Z694" s="2499"/>
      <c r="AA694" s="2499"/>
      <c r="AB694" s="2499"/>
      <c r="AC694" s="536"/>
      <c r="AD694" s="536"/>
      <c r="AE694" s="536"/>
      <c r="AF694" s="2444" t="s">
        <v>1352</v>
      </c>
      <c r="AG694" s="2444"/>
      <c r="AH694" s="2444"/>
      <c r="AI694" s="2444"/>
      <c r="AJ694" s="2444"/>
      <c r="AK694" s="2444"/>
      <c r="AL694" s="2444"/>
      <c r="AN694" s="597"/>
      <c r="AW694" s="22" t="s">
        <v>2188</v>
      </c>
      <c r="AX694" s="550">
        <f>AX691+AX692+AX693</f>
        <v>43</v>
      </c>
    </row>
    <row r="695" spans="1:51" s="550" customFormat="1" ht="12.75" customHeight="1">
      <c r="B695" s="536"/>
      <c r="C695" s="940"/>
      <c r="D695" s="663"/>
      <c r="E695" s="2499"/>
      <c r="F695" s="2499"/>
      <c r="G695" s="2499"/>
      <c r="H695" s="2499"/>
      <c r="I695" s="2499"/>
      <c r="J695" s="2499"/>
      <c r="K695" s="2499"/>
      <c r="L695" s="2499"/>
      <c r="M695" s="2499"/>
      <c r="N695" s="2499"/>
      <c r="O695" s="2499"/>
      <c r="P695" s="2499"/>
      <c r="Q695" s="2499"/>
      <c r="R695" s="2499"/>
      <c r="S695" s="2499"/>
      <c r="T695" s="2499"/>
      <c r="U695" s="2499"/>
      <c r="V695" s="2499"/>
      <c r="W695" s="2499"/>
      <c r="X695" s="2499"/>
      <c r="Y695" s="2499"/>
      <c r="Z695" s="2499"/>
      <c r="AA695" s="2499"/>
      <c r="AB695" s="2499"/>
      <c r="AC695" s="536"/>
      <c r="AD695" s="536"/>
      <c r="AE695" s="616"/>
      <c r="AF695" s="536"/>
      <c r="AG695" s="536"/>
      <c r="AH695" s="536"/>
      <c r="AI695" s="536"/>
      <c r="AJ695" s="536"/>
      <c r="AK695" s="536"/>
      <c r="AL695" s="536"/>
      <c r="AN695" s="597"/>
      <c r="AO695" s="2534" t="b">
        <f>IF(Application!D211="Special Needs",IF(AY695&gt;=0.25,TRUE,FALSE),IF(AX695&gt;=0.25,TRUE,FALSE))</f>
        <v>1</v>
      </c>
      <c r="AP695" s="2534"/>
      <c r="AW695" s="22" t="s">
        <v>2189</v>
      </c>
      <c r="AX695" s="550">
        <f>IFERROR(AX694/AX690,0)</f>
        <v>0.41747572815533979</v>
      </c>
      <c r="AY695" s="550">
        <f>IFERROR(AX694/(AX690-AX689),0)</f>
        <v>0.41747572815533979</v>
      </c>
    </row>
    <row r="696" spans="1:51" s="550" customFormat="1" ht="12.75" customHeight="1">
      <c r="B696" s="536"/>
      <c r="C696" s="940"/>
      <c r="E696" s="2499"/>
      <c r="F696" s="2499"/>
      <c r="G696" s="2499"/>
      <c r="H696" s="2499"/>
      <c r="I696" s="2499"/>
      <c r="J696" s="2499"/>
      <c r="K696" s="2499"/>
      <c r="L696" s="2499"/>
      <c r="M696" s="2499"/>
      <c r="N696" s="2499"/>
      <c r="O696" s="2499"/>
      <c r="P696" s="2499"/>
      <c r="Q696" s="2499"/>
      <c r="R696" s="2499"/>
      <c r="S696" s="2499"/>
      <c r="T696" s="2499"/>
      <c r="U696" s="2499"/>
      <c r="V696" s="2499"/>
      <c r="W696" s="2499"/>
      <c r="X696" s="2499"/>
      <c r="Y696" s="2499"/>
      <c r="Z696" s="2499"/>
      <c r="AA696" s="2499"/>
      <c r="AB696" s="2499"/>
      <c r="AC696" s="536"/>
      <c r="AD696" s="536"/>
      <c r="AE696" s="616"/>
      <c r="AF696" s="616"/>
      <c r="AG696" s="616"/>
      <c r="AH696" s="616"/>
      <c r="AI696" s="616"/>
      <c r="AJ696" s="616"/>
      <c r="AK696" s="616"/>
      <c r="AL696" s="616"/>
      <c r="AN696" s="597"/>
      <c r="AW696" s="14"/>
    </row>
    <row r="697" spans="1:51" s="550" customFormat="1" ht="28.5" customHeight="1">
      <c r="B697" s="536"/>
      <c r="C697" s="940"/>
      <c r="D697" s="536"/>
      <c r="E697" s="2499"/>
      <c r="F697" s="2499"/>
      <c r="G697" s="2499"/>
      <c r="H697" s="2499"/>
      <c r="I697" s="2499"/>
      <c r="J697" s="2499"/>
      <c r="K697" s="2499"/>
      <c r="L697" s="2499"/>
      <c r="M697" s="2499"/>
      <c r="N697" s="2499"/>
      <c r="O697" s="2499"/>
      <c r="P697" s="2499"/>
      <c r="Q697" s="2499"/>
      <c r="R697" s="2499"/>
      <c r="S697" s="2499"/>
      <c r="T697" s="2499"/>
      <c r="U697" s="2499"/>
      <c r="V697" s="2499"/>
      <c r="W697" s="2499"/>
      <c r="X697" s="2499"/>
      <c r="Y697" s="2499"/>
      <c r="Z697" s="2499"/>
      <c r="AA697" s="2499"/>
      <c r="AB697" s="2499"/>
      <c r="AC697" s="536"/>
      <c r="AD697" s="536"/>
      <c r="AE697" s="616"/>
      <c r="AF697" s="616"/>
      <c r="AG697" s="616"/>
      <c r="AH697" s="616"/>
      <c r="AI697" s="616"/>
      <c r="AJ697" s="616"/>
      <c r="AK697" s="616"/>
      <c r="AL697" s="616"/>
      <c r="AN697" s="597"/>
      <c r="AO697" s="550" t="s">
        <v>591</v>
      </c>
      <c r="AP697" s="673">
        <v>0</v>
      </c>
    </row>
    <row r="698" spans="1:51" s="550" customFormat="1" ht="12.75" customHeight="1">
      <c r="B698" s="536"/>
      <c r="C698" s="940"/>
      <c r="E698" s="575"/>
      <c r="F698" s="575"/>
      <c r="G698" s="575"/>
      <c r="H698" s="575"/>
      <c r="I698" s="575"/>
      <c r="J698" s="575"/>
      <c r="K698" s="575"/>
      <c r="L698" s="575"/>
      <c r="M698" s="575"/>
      <c r="N698" s="575"/>
      <c r="O698" s="575"/>
      <c r="P698" s="575"/>
      <c r="Q698" s="575"/>
      <c r="R698" s="575"/>
      <c r="S698" s="575"/>
      <c r="T698" s="575"/>
      <c r="U698" s="575"/>
      <c r="V698" s="575"/>
      <c r="W698" s="575"/>
      <c r="X698" s="575"/>
      <c r="Y698" s="575"/>
      <c r="Z698" s="575"/>
      <c r="AA698" s="575"/>
      <c r="AB698" s="575"/>
      <c r="AC698" s="536"/>
      <c r="AD698" s="536"/>
      <c r="AE698" s="616"/>
      <c r="AF698" s="616"/>
      <c r="AG698" s="616"/>
      <c r="AH698" s="616"/>
      <c r="AI698" s="616"/>
      <c r="AJ698" s="616"/>
      <c r="AK698" s="616"/>
      <c r="AL698" s="616"/>
      <c r="AN698" s="597"/>
      <c r="AO698" s="611" t="s">
        <v>687</v>
      </c>
      <c r="AP698" s="550">
        <v>2</v>
      </c>
    </row>
    <row r="699" spans="1:51" s="550" customFormat="1" ht="12.75" customHeight="1">
      <c r="B699" s="536"/>
      <c r="C699" s="931"/>
      <c r="D699" s="663" t="s">
        <v>277</v>
      </c>
      <c r="E699" s="2499" t="s">
        <v>2135</v>
      </c>
      <c r="F699" s="2499"/>
      <c r="G699" s="2499"/>
      <c r="H699" s="2499"/>
      <c r="I699" s="2499"/>
      <c r="J699" s="2499"/>
      <c r="K699" s="2499"/>
      <c r="L699" s="2499"/>
      <c r="M699" s="2499"/>
      <c r="N699" s="2499"/>
      <c r="O699" s="2499"/>
      <c r="P699" s="2499"/>
      <c r="Q699" s="2499"/>
      <c r="R699" s="2499"/>
      <c r="S699" s="2499"/>
      <c r="T699" s="2499"/>
      <c r="U699" s="2499"/>
      <c r="V699" s="2499"/>
      <c r="W699" s="2499"/>
      <c r="X699" s="2499"/>
      <c r="Y699" s="2499"/>
      <c r="Z699" s="2499"/>
      <c r="AA699" s="2499"/>
      <c r="AB699" s="2499"/>
      <c r="AC699" s="536"/>
      <c r="AD699" s="536"/>
      <c r="AE699" s="536"/>
      <c r="AF699" s="2444" t="s">
        <v>1408</v>
      </c>
      <c r="AG699" s="2444"/>
      <c r="AH699" s="2444"/>
      <c r="AI699" s="2444"/>
      <c r="AJ699" s="2444"/>
      <c r="AK699" s="2444"/>
      <c r="AL699" s="2444"/>
      <c r="AN699" s="597"/>
      <c r="AO699" s="611" t="s">
        <v>509</v>
      </c>
      <c r="AP699" s="550">
        <v>1</v>
      </c>
    </row>
    <row r="700" spans="1:51" s="550" customFormat="1" ht="12" customHeight="1">
      <c r="B700" s="536"/>
      <c r="C700" s="931"/>
      <c r="E700" s="2499"/>
      <c r="F700" s="2499"/>
      <c r="G700" s="2499"/>
      <c r="H700" s="2499"/>
      <c r="I700" s="2499"/>
      <c r="J700" s="2499"/>
      <c r="K700" s="2499"/>
      <c r="L700" s="2499"/>
      <c r="M700" s="2499"/>
      <c r="N700" s="2499"/>
      <c r="O700" s="2499"/>
      <c r="P700" s="2499"/>
      <c r="Q700" s="2499"/>
      <c r="R700" s="2499"/>
      <c r="S700" s="2499"/>
      <c r="T700" s="2499"/>
      <c r="U700" s="2499"/>
      <c r="V700" s="2499"/>
      <c r="W700" s="2499"/>
      <c r="X700" s="2499"/>
      <c r="Y700" s="2499"/>
      <c r="Z700" s="2499"/>
      <c r="AA700" s="2499"/>
      <c r="AB700" s="2499"/>
      <c r="AC700" s="536"/>
      <c r="AD700" s="536"/>
      <c r="AE700" s="616"/>
      <c r="AF700" s="536"/>
      <c r="AG700" s="536"/>
      <c r="AH700" s="536"/>
      <c r="AI700" s="536"/>
      <c r="AJ700" s="536"/>
      <c r="AK700" s="536"/>
      <c r="AL700" s="536"/>
      <c r="AN700" s="597"/>
    </row>
    <row r="701" spans="1:51" s="550" customFormat="1" ht="12" customHeight="1">
      <c r="B701" s="536"/>
      <c r="C701" s="931"/>
      <c r="D701" s="536"/>
      <c r="E701" s="2499"/>
      <c r="F701" s="2499"/>
      <c r="G701" s="2499"/>
      <c r="H701" s="2499"/>
      <c r="I701" s="2499"/>
      <c r="J701" s="2499"/>
      <c r="K701" s="2499"/>
      <c r="L701" s="2499"/>
      <c r="M701" s="2499"/>
      <c r="N701" s="2499"/>
      <c r="O701" s="2499"/>
      <c r="P701" s="2499"/>
      <c r="Q701" s="2499"/>
      <c r="R701" s="2499"/>
      <c r="S701" s="2499"/>
      <c r="T701" s="2499"/>
      <c r="U701" s="2499"/>
      <c r="V701" s="2499"/>
      <c r="W701" s="2499"/>
      <c r="X701" s="2499"/>
      <c r="Y701" s="2499"/>
      <c r="Z701" s="2499"/>
      <c r="AA701" s="2499"/>
      <c r="AB701" s="2499"/>
      <c r="AC701" s="536"/>
      <c r="AD701" s="536"/>
      <c r="AE701" s="616"/>
      <c r="AF701" s="536"/>
      <c r="AG701" s="536"/>
      <c r="AH701" s="536"/>
      <c r="AI701" s="536"/>
      <c r="AJ701" s="536"/>
      <c r="AK701" s="536"/>
      <c r="AL701" s="536"/>
      <c r="AN701" s="597"/>
    </row>
    <row r="702" spans="1:51" s="550" customFormat="1" ht="12" customHeight="1">
      <c r="B702" s="536"/>
      <c r="C702" s="931"/>
      <c r="D702" s="536"/>
      <c r="E702" s="2499"/>
      <c r="F702" s="2499"/>
      <c r="G702" s="2499"/>
      <c r="H702" s="2499"/>
      <c r="I702" s="2499"/>
      <c r="J702" s="2499"/>
      <c r="K702" s="2499"/>
      <c r="L702" s="2499"/>
      <c r="M702" s="2499"/>
      <c r="N702" s="2499"/>
      <c r="O702" s="2499"/>
      <c r="P702" s="2499"/>
      <c r="Q702" s="2499"/>
      <c r="R702" s="2499"/>
      <c r="S702" s="2499"/>
      <c r="T702" s="2499"/>
      <c r="U702" s="2499"/>
      <c r="V702" s="2499"/>
      <c r="W702" s="2499"/>
      <c r="X702" s="2499"/>
      <c r="Y702" s="2499"/>
      <c r="Z702" s="2499"/>
      <c r="AA702" s="2499"/>
      <c r="AB702" s="2499"/>
      <c r="AC702" s="536"/>
      <c r="AD702" s="536"/>
      <c r="AE702" s="616"/>
      <c r="AF702" s="536"/>
      <c r="AG702" s="536"/>
      <c r="AH702" s="536"/>
      <c r="AI702" s="536"/>
      <c r="AJ702" s="536"/>
      <c r="AK702" s="536"/>
      <c r="AL702" s="536"/>
      <c r="AN702" s="597"/>
    </row>
    <row r="703" spans="1:51" s="570" customFormat="1" ht="12.95" customHeight="1">
      <c r="A703" s="550"/>
      <c r="B703" s="536"/>
      <c r="C703" s="931"/>
      <c r="D703" s="536"/>
      <c r="E703" s="2499"/>
      <c r="F703" s="2499"/>
      <c r="G703" s="2499"/>
      <c r="H703" s="2499"/>
      <c r="I703" s="2499"/>
      <c r="J703" s="2499"/>
      <c r="K703" s="2499"/>
      <c r="L703" s="2499"/>
      <c r="M703" s="2499"/>
      <c r="N703" s="2499"/>
      <c r="O703" s="2499"/>
      <c r="P703" s="2499"/>
      <c r="Q703" s="2499"/>
      <c r="R703" s="2499"/>
      <c r="S703" s="2499"/>
      <c r="T703" s="2499"/>
      <c r="U703" s="2499"/>
      <c r="V703" s="2499"/>
      <c r="W703" s="2499"/>
      <c r="X703" s="2499"/>
      <c r="Y703" s="2499"/>
      <c r="Z703" s="2499"/>
      <c r="AA703" s="2499"/>
      <c r="AB703" s="2499"/>
      <c r="AC703" s="536"/>
      <c r="AD703" s="536"/>
      <c r="AE703" s="616"/>
      <c r="AF703" s="616"/>
      <c r="AG703" s="616"/>
      <c r="AH703" s="616"/>
      <c r="AI703" s="616"/>
      <c r="AJ703" s="536"/>
      <c r="AK703" s="536"/>
      <c r="AL703" s="536"/>
      <c r="AM703" s="550"/>
      <c r="AN703" s="684"/>
      <c r="AO703" s="550" t="s">
        <v>591</v>
      </c>
      <c r="AP703" s="673">
        <v>0</v>
      </c>
    </row>
    <row r="704" spans="1:51" s="570" customFormat="1" ht="12" customHeight="1">
      <c r="A704" s="550"/>
      <c r="B704" s="536"/>
      <c r="C704" s="931"/>
      <c r="D704" s="536"/>
      <c r="E704" s="643"/>
      <c r="F704" s="643"/>
      <c r="G704" s="643"/>
      <c r="H704" s="643"/>
      <c r="I704" s="643"/>
      <c r="J704" s="643"/>
      <c r="K704" s="643"/>
      <c r="L704" s="643"/>
      <c r="M704" s="643"/>
      <c r="N704" s="643"/>
      <c r="O704" s="643"/>
      <c r="P704" s="643"/>
      <c r="Q704" s="643"/>
      <c r="R704" s="643"/>
      <c r="S704" s="643"/>
      <c r="T704" s="643"/>
      <c r="U704" s="643"/>
      <c r="V704" s="643"/>
      <c r="W704" s="643"/>
      <c r="X704" s="643"/>
      <c r="Y704" s="643"/>
      <c r="Z704" s="643"/>
      <c r="AA704" s="643"/>
      <c r="AB704" s="643"/>
      <c r="AC704" s="536"/>
      <c r="AD704" s="536"/>
      <c r="AE704" s="616"/>
      <c r="AF704" s="616"/>
      <c r="AG704" s="616"/>
      <c r="AH704" s="616"/>
      <c r="AI704" s="616"/>
      <c r="AJ704" s="536"/>
      <c r="AK704" s="536"/>
      <c r="AL704" s="536"/>
      <c r="AM704" s="550"/>
      <c r="AN704" s="684"/>
      <c r="AO704" s="611" t="s">
        <v>687</v>
      </c>
      <c r="AP704" s="550">
        <v>3</v>
      </c>
    </row>
    <row r="705" spans="1:43" s="570" customFormat="1" ht="12.75" customHeight="1">
      <c r="A705" s="550"/>
      <c r="B705" s="536"/>
      <c r="C705" s="931"/>
      <c r="D705" s="536"/>
      <c r="E705" s="2499" t="s">
        <v>1693</v>
      </c>
      <c r="F705" s="2499"/>
      <c r="G705" s="2499"/>
      <c r="H705" s="2499"/>
      <c r="I705" s="2499"/>
      <c r="J705" s="2499"/>
      <c r="K705" s="2499"/>
      <c r="L705" s="2499"/>
      <c r="M705" s="2499"/>
      <c r="N705" s="2499"/>
      <c r="O705" s="2499"/>
      <c r="P705" s="2499"/>
      <c r="Q705" s="2499"/>
      <c r="R705" s="2499"/>
      <c r="S705" s="2499"/>
      <c r="T705" s="2499"/>
      <c r="U705" s="2499"/>
      <c r="V705" s="2499"/>
      <c r="W705" s="2499"/>
      <c r="X705" s="2499"/>
      <c r="Y705" s="2499"/>
      <c r="Z705" s="2499"/>
      <c r="AA705" s="2499"/>
      <c r="AB705" s="2499"/>
      <c r="AC705" s="536"/>
      <c r="AD705" s="536"/>
      <c r="AE705" s="616"/>
      <c r="AF705" s="616"/>
      <c r="AG705" s="616"/>
      <c r="AH705" s="616"/>
      <c r="AI705" s="616"/>
      <c r="AJ705" s="536"/>
      <c r="AK705" s="536"/>
      <c r="AL705" s="536"/>
      <c r="AM705" s="550"/>
      <c r="AN705" s="684"/>
      <c r="AO705" s="611" t="s">
        <v>509</v>
      </c>
      <c r="AP705" s="550">
        <f>3*$AO$695</f>
        <v>3</v>
      </c>
    </row>
    <row r="706" spans="1:43" s="570" customFormat="1" ht="12.75" customHeight="1">
      <c r="A706" s="550"/>
      <c r="B706" s="536"/>
      <c r="C706" s="931"/>
      <c r="D706" s="536"/>
      <c r="E706" s="2499"/>
      <c r="F706" s="2499"/>
      <c r="G706" s="2499"/>
      <c r="H706" s="2499"/>
      <c r="I706" s="2499"/>
      <c r="J706" s="2499"/>
      <c r="K706" s="2499"/>
      <c r="L706" s="2499"/>
      <c r="M706" s="2499"/>
      <c r="N706" s="2499"/>
      <c r="O706" s="2499"/>
      <c r="P706" s="2499"/>
      <c r="Q706" s="2499"/>
      <c r="R706" s="2499"/>
      <c r="S706" s="2499"/>
      <c r="T706" s="2499"/>
      <c r="U706" s="2499"/>
      <c r="V706" s="2499"/>
      <c r="W706" s="2499"/>
      <c r="X706" s="2499"/>
      <c r="Y706" s="2499"/>
      <c r="Z706" s="2499"/>
      <c r="AA706" s="2499"/>
      <c r="AB706" s="2499"/>
      <c r="AC706" s="536"/>
      <c r="AD706" s="536"/>
      <c r="AE706" s="616"/>
      <c r="AF706" s="616"/>
      <c r="AG706" s="616"/>
      <c r="AH706" s="616"/>
      <c r="AI706" s="616"/>
      <c r="AJ706" s="536"/>
      <c r="AK706" s="536"/>
      <c r="AL706" s="536"/>
      <c r="AM706" s="550"/>
      <c r="AN706" s="684"/>
      <c r="AO706" s="611" t="s">
        <v>277</v>
      </c>
      <c r="AP706" s="550">
        <f>2*$AO$695</f>
        <v>2</v>
      </c>
    </row>
    <row r="707" spans="1:43" s="570" customFormat="1" ht="12.75" customHeight="1">
      <c r="A707" s="550"/>
      <c r="B707" s="536"/>
      <c r="C707" s="931"/>
      <c r="D707" s="536"/>
      <c r="E707" s="2499"/>
      <c r="F707" s="2499"/>
      <c r="G707" s="2499"/>
      <c r="H707" s="2499"/>
      <c r="I707" s="2499"/>
      <c r="J707" s="2499"/>
      <c r="K707" s="2499"/>
      <c r="L707" s="2499"/>
      <c r="M707" s="2499"/>
      <c r="N707" s="2499"/>
      <c r="O707" s="2499"/>
      <c r="P707" s="2499"/>
      <c r="Q707" s="2499"/>
      <c r="R707" s="2499"/>
      <c r="S707" s="2499"/>
      <c r="T707" s="2499"/>
      <c r="U707" s="2499"/>
      <c r="V707" s="2499"/>
      <c r="W707" s="2499"/>
      <c r="X707" s="2499"/>
      <c r="Y707" s="2499"/>
      <c r="Z707" s="2499"/>
      <c r="AA707" s="2499"/>
      <c r="AB707" s="2499"/>
      <c r="AC707" s="536"/>
      <c r="AD707" s="536"/>
      <c r="AE707" s="616"/>
      <c r="AF707" s="616"/>
      <c r="AG707" s="616"/>
      <c r="AH707" s="616"/>
      <c r="AI707" s="616"/>
      <c r="AJ707" s="536"/>
      <c r="AK707" s="536"/>
      <c r="AL707" s="536"/>
      <c r="AM707" s="550"/>
      <c r="AN707" s="684"/>
    </row>
    <row r="708" spans="1:43" s="570" customFormat="1" ht="12.75" customHeight="1">
      <c r="A708" s="550"/>
      <c r="B708" s="536"/>
      <c r="C708" s="931"/>
      <c r="D708" s="536"/>
      <c r="E708" s="643"/>
      <c r="F708" s="643"/>
      <c r="G708" s="643"/>
      <c r="H708" s="643"/>
      <c r="I708" s="643"/>
      <c r="J708" s="643"/>
      <c r="K708" s="643"/>
      <c r="L708" s="643"/>
      <c r="M708" s="643"/>
      <c r="N708" s="643"/>
      <c r="O708" s="643"/>
      <c r="P708" s="643"/>
      <c r="Q708" s="643"/>
      <c r="R708" s="643"/>
      <c r="S708" s="643"/>
      <c r="T708" s="643"/>
      <c r="U708" s="643"/>
      <c r="V708" s="643"/>
      <c r="W708" s="643"/>
      <c r="X708" s="643"/>
      <c r="Y708" s="643"/>
      <c r="Z708" s="643"/>
      <c r="AA708" s="643"/>
      <c r="AB708" s="643"/>
      <c r="AC708" s="536"/>
      <c r="AD708" s="536"/>
      <c r="AE708" s="616"/>
      <c r="AF708" s="616"/>
      <c r="AG708" s="616"/>
      <c r="AH708" s="616"/>
      <c r="AI708" s="616"/>
      <c r="AJ708" s="536"/>
      <c r="AK708" s="536"/>
      <c r="AL708" s="536"/>
      <c r="AM708" s="550"/>
      <c r="AN708" s="684"/>
    </row>
    <row r="709" spans="1:43" s="570" customFormat="1" ht="12.75" customHeight="1">
      <c r="A709" s="550"/>
      <c r="B709" s="536"/>
      <c r="C709" s="931"/>
      <c r="D709" s="536" t="s">
        <v>1400</v>
      </c>
      <c r="E709" s="936"/>
      <c r="F709" s="936"/>
      <c r="G709" s="936"/>
      <c r="H709" s="2528" t="s">
        <v>687</v>
      </c>
      <c r="I709" s="2528"/>
      <c r="J709" s="643"/>
      <c r="K709" s="643"/>
      <c r="L709" s="643"/>
      <c r="M709" s="643"/>
      <c r="N709" s="643"/>
      <c r="O709" s="643"/>
      <c r="P709" s="643"/>
      <c r="Q709" s="643"/>
      <c r="R709" s="643"/>
      <c r="S709" s="643"/>
      <c r="T709" s="643"/>
      <c r="U709" s="643"/>
      <c r="V709" s="643"/>
      <c r="W709" s="643"/>
      <c r="X709" s="643"/>
      <c r="Y709" s="643"/>
      <c r="Z709" s="643"/>
      <c r="AA709" s="643"/>
      <c r="AB709" s="643"/>
      <c r="AC709" s="536"/>
      <c r="AD709" s="536"/>
      <c r="AE709" s="616"/>
      <c r="AF709" s="616"/>
      <c r="AG709" s="616"/>
      <c r="AH709" s="616"/>
      <c r="AI709" s="616"/>
      <c r="AJ709" s="536"/>
      <c r="AK709" s="536"/>
      <c r="AL709" s="536"/>
      <c r="AM709" s="550"/>
      <c r="AN709" s="684"/>
      <c r="AP709" s="570" t="s">
        <v>1427</v>
      </c>
    </row>
    <row r="710" spans="1:43" s="570" customFormat="1">
      <c r="A710" s="550"/>
      <c r="B710" s="536"/>
      <c r="C710" s="931"/>
      <c r="D710" s="536"/>
      <c r="E710" s="643"/>
      <c r="F710" s="643"/>
      <c r="G710" s="643"/>
      <c r="H710" s="643"/>
      <c r="I710" s="643"/>
      <c r="J710" s="643"/>
      <c r="K710" s="643"/>
      <c r="L710" s="643"/>
      <c r="M710" s="643"/>
      <c r="N710" s="643"/>
      <c r="O710" s="643"/>
      <c r="P710" s="643"/>
      <c r="Q710" s="643"/>
      <c r="R710" s="643"/>
      <c r="S710" s="643"/>
      <c r="T710" s="643"/>
      <c r="U710" s="643"/>
      <c r="V710" s="643"/>
      <c r="W710" s="643"/>
      <c r="X710" s="643"/>
      <c r="Y710" s="643"/>
      <c r="Z710" s="643"/>
      <c r="AA710" s="643"/>
      <c r="AB710" s="643"/>
      <c r="AC710" s="536"/>
      <c r="AD710" s="536"/>
      <c r="AE710" s="616"/>
      <c r="AF710" s="616"/>
      <c r="AG710" s="616"/>
      <c r="AH710" s="616"/>
      <c r="AI710" s="616"/>
      <c r="AJ710" s="536"/>
      <c r="AK710" s="536"/>
      <c r="AL710" s="536"/>
      <c r="AM710" s="550"/>
      <c r="AN710" s="684"/>
      <c r="AP710" s="570" t="s">
        <v>1405</v>
      </c>
    </row>
    <row r="711" spans="1:43" s="570" customFormat="1" ht="12.75" customHeight="1">
      <c r="A711" s="606"/>
      <c r="B711" s="601"/>
      <c r="C711" s="944"/>
      <c r="D711" s="601"/>
      <c r="E711" s="601"/>
      <c r="F711" s="601"/>
      <c r="G711" s="601"/>
      <c r="H711" s="601"/>
      <c r="I711" s="601"/>
      <c r="J711" s="949"/>
      <c r="K711" s="949"/>
      <c r="L711" s="665"/>
      <c r="M711" s="665"/>
      <c r="N711" s="665"/>
      <c r="O711" s="665"/>
      <c r="P711" s="665"/>
      <c r="Q711" s="665"/>
      <c r="R711" s="665"/>
      <c r="S711" s="665"/>
      <c r="T711" s="665"/>
      <c r="U711" s="665"/>
      <c r="V711" s="665"/>
      <c r="W711" s="665"/>
      <c r="X711" s="665"/>
      <c r="Y711" s="939"/>
      <c r="Z711" s="939"/>
      <c r="AA711" s="939"/>
      <c r="AB711" s="601"/>
      <c r="AC711" s="601"/>
      <c r="AD711" s="601"/>
      <c r="AE711" s="601"/>
      <c r="AF711" s="601"/>
      <c r="AG711" s="601"/>
      <c r="AH711" s="601"/>
      <c r="AI711" s="565" t="s">
        <v>2137</v>
      </c>
      <c r="AJ711" s="2479">
        <f>VLOOKUP($H$709,$AO$703:$AP$706,2,FALSE)</f>
        <v>3</v>
      </c>
      <c r="AK711" s="2481"/>
      <c r="AL711" s="595"/>
      <c r="AM711" s="550"/>
      <c r="AN711" s="684"/>
      <c r="AP711" s="570" t="s">
        <v>1412</v>
      </c>
    </row>
    <row r="712" spans="1:43" s="570" customFormat="1">
      <c r="A712" s="550"/>
      <c r="B712" s="536"/>
      <c r="C712" s="536"/>
      <c r="D712" s="536"/>
      <c r="E712" s="536"/>
      <c r="F712" s="536"/>
      <c r="G712" s="536"/>
      <c r="H712" s="536"/>
      <c r="I712" s="536"/>
      <c r="J712" s="536"/>
      <c r="K712" s="536"/>
      <c r="L712" s="536"/>
      <c r="M712" s="536"/>
      <c r="N712" s="536"/>
      <c r="O712" s="536"/>
      <c r="P712" s="536"/>
      <c r="Q712" s="536"/>
      <c r="R712" s="536"/>
      <c r="S712" s="536"/>
      <c r="T712" s="536"/>
      <c r="U712" s="536"/>
      <c r="V712" s="536"/>
      <c r="W712" s="536"/>
      <c r="X712" s="536"/>
      <c r="Y712" s="536"/>
      <c r="Z712" s="536"/>
      <c r="AA712" s="536"/>
      <c r="AB712" s="536"/>
      <c r="AC712" s="536"/>
      <c r="AD712" s="536"/>
      <c r="AE712" s="616"/>
      <c r="AF712" s="616"/>
      <c r="AG712" s="616"/>
      <c r="AH712" s="616"/>
      <c r="AI712" s="616"/>
      <c r="AJ712" s="536"/>
      <c r="AK712" s="536"/>
      <c r="AL712" s="536"/>
      <c r="AM712" s="550"/>
      <c r="AN712" s="684"/>
      <c r="AP712" s="570" t="s">
        <v>1428</v>
      </c>
    </row>
    <row r="713" spans="1:43" s="570" customFormat="1" ht="12.75" customHeight="1">
      <c r="A713" s="550"/>
      <c r="B713" s="536"/>
      <c r="C713" s="539" t="s">
        <v>1429</v>
      </c>
      <c r="D713" s="712"/>
      <c r="E713" s="536"/>
      <c r="F713" s="536"/>
      <c r="G713" s="536"/>
      <c r="H713" s="536"/>
      <c r="I713" s="536"/>
      <c r="J713" s="536"/>
      <c r="K713" s="536"/>
      <c r="L713" s="536"/>
      <c r="M713" s="536"/>
      <c r="N713" s="536"/>
      <c r="O713" s="536"/>
      <c r="P713" s="536"/>
      <c r="Q713" s="536"/>
      <c r="R713" s="536"/>
      <c r="S713" s="536"/>
      <c r="T713" s="536"/>
      <c r="U713" s="536"/>
      <c r="V713" s="536"/>
      <c r="W713" s="536"/>
      <c r="X713" s="536"/>
      <c r="Y713" s="536"/>
      <c r="Z713" s="536"/>
      <c r="AA713" s="536"/>
      <c r="AB713" s="536"/>
      <c r="AC713" s="536"/>
      <c r="AD713" s="536"/>
      <c r="AE713" s="616"/>
      <c r="AF713" s="616"/>
      <c r="AG713" s="616"/>
      <c r="AH713" s="616"/>
      <c r="AI713" s="616"/>
      <c r="AJ713" s="536"/>
      <c r="AK713" s="536"/>
      <c r="AL713" s="536"/>
      <c r="AM713" s="550"/>
      <c r="AN713" s="684"/>
      <c r="AP713" s="570" t="s">
        <v>1430</v>
      </c>
    </row>
    <row r="714" spans="1:43" s="570" customFormat="1" ht="12.75" customHeight="1">
      <c r="A714" s="550"/>
      <c r="B714" s="536"/>
      <c r="C714" s="931"/>
      <c r="D714" s="536"/>
      <c r="E714" s="536"/>
      <c r="F714" s="536"/>
      <c r="G714" s="536"/>
      <c r="H714" s="536"/>
      <c r="I714" s="536"/>
      <c r="J714" s="536"/>
      <c r="K714" s="536"/>
      <c r="L714" s="536"/>
      <c r="M714" s="536"/>
      <c r="N714" s="536"/>
      <c r="O714" s="536"/>
      <c r="P714" s="536"/>
      <c r="Q714" s="536"/>
      <c r="R714" s="536"/>
      <c r="S714" s="536"/>
      <c r="T714" s="536"/>
      <c r="U714" s="536"/>
      <c r="V714" s="536"/>
      <c r="W714" s="536"/>
      <c r="X714" s="536"/>
      <c r="Y714" s="536"/>
      <c r="Z714" s="536"/>
      <c r="AA714" s="536"/>
      <c r="AB714" s="536"/>
      <c r="AC714" s="536"/>
      <c r="AD714" s="536"/>
      <c r="AE714" s="616"/>
      <c r="AF714" s="616"/>
      <c r="AG714" s="616"/>
      <c r="AH714" s="616"/>
      <c r="AI714" s="616"/>
      <c r="AJ714" s="536"/>
      <c r="AK714" s="536"/>
      <c r="AL714" s="536"/>
      <c r="AM714" s="550"/>
      <c r="AN714" s="684"/>
      <c r="AP714" s="570" t="s">
        <v>1431</v>
      </c>
    </row>
    <row r="715" spans="1:43" s="570" customFormat="1" ht="12.75" customHeight="1">
      <c r="A715" s="637"/>
      <c r="B715" s="536"/>
      <c r="C715" s="931"/>
      <c r="D715" s="663" t="s">
        <v>687</v>
      </c>
      <c r="E715" s="2536" t="s">
        <v>1695</v>
      </c>
      <c r="F715" s="2536"/>
      <c r="G715" s="2536"/>
      <c r="H715" s="2536"/>
      <c r="I715" s="2536"/>
      <c r="J715" s="2536"/>
      <c r="K715" s="2536"/>
      <c r="L715" s="2536"/>
      <c r="M715" s="2536"/>
      <c r="N715" s="2536"/>
      <c r="O715" s="2536"/>
      <c r="P715" s="2536"/>
      <c r="Q715" s="2536"/>
      <c r="R715" s="2536"/>
      <c r="S715" s="2536"/>
      <c r="T715" s="2536"/>
      <c r="U715" s="2536"/>
      <c r="V715" s="2536"/>
      <c r="W715" s="2536"/>
      <c r="X715" s="2536"/>
      <c r="Y715" s="2536"/>
      <c r="Z715" s="2536"/>
      <c r="AA715" s="2536"/>
      <c r="AB715" s="2536"/>
      <c r="AC715" s="536"/>
      <c r="AD715" s="536"/>
      <c r="AE715" s="536"/>
      <c r="AF715" s="2444" t="s">
        <v>1352</v>
      </c>
      <c r="AG715" s="2444"/>
      <c r="AH715" s="2444"/>
      <c r="AI715" s="2444"/>
      <c r="AJ715" s="2444"/>
      <c r="AK715" s="2444"/>
      <c r="AL715" s="2444"/>
      <c r="AM715" s="550"/>
      <c r="AN715" s="684"/>
      <c r="AP715" s="570" t="s">
        <v>1432</v>
      </c>
    </row>
    <row r="716" spans="1:43" s="570" customFormat="1" ht="11.85" customHeight="1">
      <c r="A716" s="550"/>
      <c r="B716" s="536"/>
      <c r="C716" s="933"/>
      <c r="D716" s="663"/>
      <c r="E716" s="2536"/>
      <c r="F716" s="2536"/>
      <c r="G716" s="2536"/>
      <c r="H716" s="2536"/>
      <c r="I716" s="2536"/>
      <c r="J716" s="2536"/>
      <c r="K716" s="2536"/>
      <c r="L716" s="2536"/>
      <c r="M716" s="2536"/>
      <c r="N716" s="2536"/>
      <c r="O716" s="2536"/>
      <c r="P716" s="2536"/>
      <c r="Q716" s="2536"/>
      <c r="R716" s="2536"/>
      <c r="S716" s="2536"/>
      <c r="T716" s="2536"/>
      <c r="U716" s="2536"/>
      <c r="V716" s="2536"/>
      <c r="W716" s="2536"/>
      <c r="X716" s="2536"/>
      <c r="Y716" s="2536"/>
      <c r="Z716" s="2536"/>
      <c r="AA716" s="2536"/>
      <c r="AB716" s="2536"/>
      <c r="AC716" s="536"/>
      <c r="AD716" s="536"/>
      <c r="AE716" s="536"/>
      <c r="AF716" s="536"/>
      <c r="AG716" s="536"/>
      <c r="AH716" s="536"/>
      <c r="AI716" s="536"/>
      <c r="AJ716" s="536"/>
      <c r="AK716" s="536"/>
      <c r="AL716" s="536"/>
      <c r="AM716" s="550"/>
      <c r="AN716" s="684"/>
      <c r="AP716" s="570" t="s">
        <v>1433</v>
      </c>
    </row>
    <row r="717" spans="1:43" s="570" customFormat="1" ht="13.9" customHeight="1">
      <c r="A717" s="550"/>
      <c r="B717" s="610"/>
      <c r="C717" s="931"/>
      <c r="D717" s="663"/>
      <c r="E717" s="2536"/>
      <c r="F717" s="2536"/>
      <c r="G717" s="2536"/>
      <c r="H717" s="2536"/>
      <c r="I717" s="2536"/>
      <c r="J717" s="2536"/>
      <c r="K717" s="2536"/>
      <c r="L717" s="2536"/>
      <c r="M717" s="2536"/>
      <c r="N717" s="2536"/>
      <c r="O717" s="2536"/>
      <c r="P717" s="2536"/>
      <c r="Q717" s="2536"/>
      <c r="R717" s="2536"/>
      <c r="S717" s="2536"/>
      <c r="T717" s="2536"/>
      <c r="U717" s="2536"/>
      <c r="V717" s="2536"/>
      <c r="W717" s="2536"/>
      <c r="X717" s="2536"/>
      <c r="Y717" s="2536"/>
      <c r="Z717" s="2536"/>
      <c r="AA717" s="2536"/>
      <c r="AB717" s="2536"/>
      <c r="AC717" s="536"/>
      <c r="AD717" s="536"/>
      <c r="AE717" s="616"/>
      <c r="AF717" s="536"/>
      <c r="AG717" s="536"/>
      <c r="AH717" s="536"/>
      <c r="AI717" s="536"/>
      <c r="AJ717" s="536"/>
      <c r="AK717" s="536"/>
      <c r="AL717" s="536"/>
      <c r="AM717" s="550"/>
      <c r="AN717" s="684"/>
      <c r="AP717" s="570" t="s">
        <v>1434</v>
      </c>
    </row>
    <row r="718" spans="1:43" s="570" customFormat="1" ht="13.9" customHeight="1">
      <c r="A718" s="550"/>
      <c r="B718" s="610"/>
      <c r="C718" s="931"/>
      <c r="D718" s="663"/>
      <c r="E718" s="936"/>
      <c r="F718" s="936"/>
      <c r="G718" s="936"/>
      <c r="H718" s="936"/>
      <c r="I718" s="936"/>
      <c r="J718" s="936"/>
      <c r="K718" s="936"/>
      <c r="L718" s="936"/>
      <c r="M718" s="936"/>
      <c r="N718" s="936"/>
      <c r="O718" s="936"/>
      <c r="P718" s="936"/>
      <c r="Q718" s="936"/>
      <c r="R718" s="936"/>
      <c r="S718" s="936"/>
      <c r="T718" s="936"/>
      <c r="U718" s="936"/>
      <c r="V718" s="936"/>
      <c r="W718" s="936"/>
      <c r="X718" s="936"/>
      <c r="Y718" s="936"/>
      <c r="Z718" s="936"/>
      <c r="AA718" s="936"/>
      <c r="AB718" s="936"/>
      <c r="AC718" s="536"/>
      <c r="AD718" s="536"/>
      <c r="AE718" s="616"/>
      <c r="AF718" s="536"/>
      <c r="AG718" s="536"/>
      <c r="AH718" s="536"/>
      <c r="AI718" s="536"/>
      <c r="AJ718" s="536"/>
      <c r="AK718" s="536"/>
      <c r="AL718" s="536"/>
      <c r="AM718" s="550"/>
      <c r="AN718" s="684"/>
      <c r="AP718" s="686" t="s">
        <v>1436</v>
      </c>
    </row>
    <row r="719" spans="1:43" s="570" customFormat="1" ht="13.9" customHeight="1">
      <c r="A719" s="550"/>
      <c r="B719" s="536"/>
      <c r="C719" s="931"/>
      <c r="D719" s="663" t="s">
        <v>509</v>
      </c>
      <c r="E719" s="2537" t="s">
        <v>1435</v>
      </c>
      <c r="F719" s="2537"/>
      <c r="G719" s="2537"/>
      <c r="H719" s="2537"/>
      <c r="I719" s="2537"/>
      <c r="J719" s="2537"/>
      <c r="K719" s="2537"/>
      <c r="L719" s="2537"/>
      <c r="M719" s="2537"/>
      <c r="N719" s="2537"/>
      <c r="O719" s="2537"/>
      <c r="P719" s="2537"/>
      <c r="Q719" s="2537"/>
      <c r="R719" s="2537"/>
      <c r="S719" s="2537"/>
      <c r="T719" s="2537"/>
      <c r="U719" s="2537"/>
      <c r="V719" s="2537"/>
      <c r="W719" s="2537"/>
      <c r="X719" s="2537"/>
      <c r="Y719" s="2537"/>
      <c r="Z719" s="2537"/>
      <c r="AA719" s="2537"/>
      <c r="AB719" s="2537"/>
      <c r="AC719" s="536"/>
      <c r="AD719" s="536"/>
      <c r="AE719" s="536"/>
      <c r="AF719" s="2444" t="s">
        <v>1408</v>
      </c>
      <c r="AG719" s="2444"/>
      <c r="AH719" s="2444"/>
      <c r="AI719" s="2444"/>
      <c r="AJ719" s="2444"/>
      <c r="AK719" s="2444"/>
      <c r="AL719" s="2444"/>
      <c r="AM719" s="550"/>
      <c r="AN719" s="685"/>
    </row>
    <row r="720" spans="1:43" s="570" customFormat="1" ht="12.75" customHeight="1">
      <c r="A720" s="550"/>
      <c r="B720" s="536"/>
      <c r="C720" s="933"/>
      <c r="D720" s="536"/>
      <c r="E720" s="2537"/>
      <c r="F720" s="2537"/>
      <c r="G720" s="2537"/>
      <c r="H720" s="2537"/>
      <c r="I720" s="2537"/>
      <c r="J720" s="2537"/>
      <c r="K720" s="2537"/>
      <c r="L720" s="2537"/>
      <c r="M720" s="2537"/>
      <c r="N720" s="2537"/>
      <c r="O720" s="2537"/>
      <c r="P720" s="2537"/>
      <c r="Q720" s="2537"/>
      <c r="R720" s="2537"/>
      <c r="S720" s="2537"/>
      <c r="T720" s="2537"/>
      <c r="U720" s="2537"/>
      <c r="V720" s="2537"/>
      <c r="W720" s="2537"/>
      <c r="X720" s="2537"/>
      <c r="Y720" s="2537"/>
      <c r="Z720" s="2537"/>
      <c r="AA720" s="2537"/>
      <c r="AB720" s="2537"/>
      <c r="AC720" s="536"/>
      <c r="AD720" s="536"/>
      <c r="AE720" s="536"/>
      <c r="AF720" s="536"/>
      <c r="AG720" s="536"/>
      <c r="AH720" s="536"/>
      <c r="AI720" s="536"/>
      <c r="AJ720" s="536"/>
      <c r="AK720" s="536"/>
      <c r="AL720" s="536"/>
      <c r="AM720" s="550"/>
      <c r="AN720" s="684"/>
      <c r="AP720" s="550" t="s">
        <v>591</v>
      </c>
      <c r="AQ720" s="673">
        <v>0</v>
      </c>
    </row>
    <row r="721" spans="1:81" s="570" customFormat="1" ht="13.9" customHeight="1">
      <c r="A721" s="550"/>
      <c r="B721" s="536"/>
      <c r="C721" s="933"/>
      <c r="D721" s="536"/>
      <c r="E721" s="2537"/>
      <c r="F721" s="2537"/>
      <c r="G721" s="2537"/>
      <c r="H721" s="2537"/>
      <c r="I721" s="2537"/>
      <c r="J721" s="2537"/>
      <c r="K721" s="2537"/>
      <c r="L721" s="2537"/>
      <c r="M721" s="2537"/>
      <c r="N721" s="2537"/>
      <c r="O721" s="2537"/>
      <c r="P721" s="2537"/>
      <c r="Q721" s="2537"/>
      <c r="R721" s="2537"/>
      <c r="S721" s="2537"/>
      <c r="T721" s="2537"/>
      <c r="U721" s="2537"/>
      <c r="V721" s="2537"/>
      <c r="W721" s="2537"/>
      <c r="X721" s="2537"/>
      <c r="Y721" s="2537"/>
      <c r="Z721" s="2537"/>
      <c r="AA721" s="2537"/>
      <c r="AB721" s="2537"/>
      <c r="AC721" s="536"/>
      <c r="AD721" s="536"/>
      <c r="AE721" s="536"/>
      <c r="AF721" s="536"/>
      <c r="AG721" s="536"/>
      <c r="AH721" s="536"/>
      <c r="AI721" s="536"/>
      <c r="AJ721" s="536"/>
      <c r="AK721" s="536"/>
      <c r="AL721" s="536"/>
      <c r="AM721" s="550"/>
      <c r="AN721" s="684"/>
      <c r="AP721" s="611" t="s">
        <v>687</v>
      </c>
      <c r="AQ721" s="550">
        <v>3</v>
      </c>
    </row>
    <row r="722" spans="1:81" s="570" customFormat="1" ht="13.9" customHeight="1">
      <c r="A722" s="550"/>
      <c r="B722" s="536"/>
      <c r="C722" s="933"/>
      <c r="D722" s="536"/>
      <c r="E722" s="950"/>
      <c r="F722" s="950"/>
      <c r="G722" s="950"/>
      <c r="H722" s="950"/>
      <c r="I722" s="950"/>
      <c r="J722" s="950"/>
      <c r="K722" s="950"/>
      <c r="L722" s="950"/>
      <c r="M722" s="950"/>
      <c r="N722" s="950"/>
      <c r="O722" s="950"/>
      <c r="P722" s="950"/>
      <c r="Q722" s="950"/>
      <c r="R722" s="950"/>
      <c r="S722" s="950"/>
      <c r="T722" s="950"/>
      <c r="U722" s="950"/>
      <c r="V722" s="950"/>
      <c r="W722" s="950"/>
      <c r="X722" s="950"/>
      <c r="Y722" s="950"/>
      <c r="Z722" s="950"/>
      <c r="AA722" s="950"/>
      <c r="AB722" s="950"/>
      <c r="AC722" s="536"/>
      <c r="AD722" s="536"/>
      <c r="AE722" s="536"/>
      <c r="AF722" s="536"/>
      <c r="AG722" s="536"/>
      <c r="AH722" s="536"/>
      <c r="AI722" s="536"/>
      <c r="AJ722" s="536"/>
      <c r="AK722" s="536"/>
      <c r="AL722" s="536"/>
      <c r="AM722" s="550"/>
      <c r="AN722" s="684"/>
      <c r="AP722" s="611" t="s">
        <v>509</v>
      </c>
      <c r="AQ722" s="550">
        <v>2</v>
      </c>
    </row>
    <row r="723" spans="1:81" s="570" customFormat="1" ht="13.9" customHeight="1">
      <c r="A723" s="550"/>
      <c r="B723" s="536"/>
      <c r="C723" s="933"/>
      <c r="D723" s="536" t="s">
        <v>1400</v>
      </c>
      <c r="E723" s="936"/>
      <c r="F723" s="936"/>
      <c r="G723" s="936"/>
      <c r="H723" s="2528" t="s">
        <v>591</v>
      </c>
      <c r="I723" s="2528"/>
      <c r="J723" s="950"/>
      <c r="K723" s="950"/>
      <c r="L723" s="950"/>
      <c r="M723" s="950"/>
      <c r="N723" s="950"/>
      <c r="O723" s="950"/>
      <c r="P723" s="950"/>
      <c r="Q723" s="950"/>
      <c r="R723" s="950"/>
      <c r="S723" s="950"/>
      <c r="T723" s="950"/>
      <c r="U723" s="950"/>
      <c r="V723" s="950"/>
      <c r="W723" s="950"/>
      <c r="X723" s="950"/>
      <c r="Y723" s="950"/>
      <c r="Z723" s="950"/>
      <c r="AA723" s="950"/>
      <c r="AB723" s="950"/>
      <c r="AC723" s="536"/>
      <c r="AD723" s="536"/>
      <c r="AE723" s="536"/>
      <c r="AF723" s="536"/>
      <c r="AG723" s="536"/>
      <c r="AH723" s="536"/>
      <c r="AI723" s="536"/>
      <c r="AJ723" s="536"/>
      <c r="AK723" s="536"/>
      <c r="AL723" s="536"/>
      <c r="AM723" s="550"/>
      <c r="AN723" s="684"/>
    </row>
    <row r="724" spans="1:81" s="570" customFormat="1" ht="14.25" customHeight="1">
      <c r="A724" s="550"/>
      <c r="B724" s="536"/>
      <c r="C724" s="933"/>
      <c r="D724" s="536"/>
      <c r="E724" s="950"/>
      <c r="F724" s="950"/>
      <c r="G724" s="950"/>
      <c r="H724" s="950"/>
      <c r="I724" s="950"/>
      <c r="J724" s="950"/>
      <c r="K724" s="950"/>
      <c r="L724" s="950"/>
      <c r="M724" s="950"/>
      <c r="N724" s="950"/>
      <c r="O724" s="950"/>
      <c r="P724" s="950"/>
      <c r="Q724" s="950"/>
      <c r="R724" s="950"/>
      <c r="S724" s="950"/>
      <c r="T724" s="950"/>
      <c r="U724" s="950"/>
      <c r="V724" s="950"/>
      <c r="W724" s="950"/>
      <c r="X724" s="950"/>
      <c r="Y724" s="950"/>
      <c r="Z724" s="950"/>
      <c r="AA724" s="950"/>
      <c r="AB724" s="950"/>
      <c r="AC724" s="536"/>
      <c r="AD724" s="536"/>
      <c r="AE724" s="536"/>
      <c r="AF724" s="536"/>
      <c r="AG724" s="536"/>
      <c r="AH724" s="536"/>
      <c r="AI724" s="536"/>
      <c r="AJ724" s="536"/>
      <c r="AK724" s="536"/>
      <c r="AL724" s="536"/>
      <c r="AM724" s="550"/>
      <c r="AN724" s="684"/>
    </row>
    <row r="725" spans="1:81" s="570" customFormat="1" ht="12.75" customHeight="1">
      <c r="A725" s="606"/>
      <c r="B725" s="601"/>
      <c r="C725" s="938"/>
      <c r="D725" s="601"/>
      <c r="E725" s="601"/>
      <c r="F725" s="601"/>
      <c r="G725" s="601"/>
      <c r="H725" s="601"/>
      <c r="I725" s="601"/>
      <c r="J725" s="951"/>
      <c r="K725" s="951"/>
      <c r="L725" s="951"/>
      <c r="M725" s="951"/>
      <c r="N725" s="951"/>
      <c r="O725" s="951"/>
      <c r="P725" s="951"/>
      <c r="Q725" s="951"/>
      <c r="R725" s="951"/>
      <c r="S725" s="951"/>
      <c r="T725" s="951"/>
      <c r="U725" s="665"/>
      <c r="V725" s="665"/>
      <c r="W725" s="665"/>
      <c r="X725" s="665"/>
      <c r="Y725" s="939"/>
      <c r="Z725" s="939"/>
      <c r="AA725" s="939"/>
      <c r="AB725" s="601"/>
      <c r="AC725" s="601"/>
      <c r="AD725" s="601"/>
      <c r="AE725" s="601"/>
      <c r="AF725" s="601"/>
      <c r="AG725" s="601"/>
      <c r="AH725" s="601"/>
      <c r="AI725" s="565" t="s">
        <v>1437</v>
      </c>
      <c r="AJ725" s="2479">
        <f>VLOOKUP($H$723,$AP$720:$AQ$722,2,FALSE)</f>
        <v>0</v>
      </c>
      <c r="AK725" s="2481"/>
      <c r="AL725" s="595"/>
      <c r="AM725" s="550"/>
      <c r="AN725" s="684"/>
      <c r="AP725" s="2479"/>
      <c r="AQ725" s="2481"/>
    </row>
    <row r="726" spans="1:81" s="570" customFormat="1">
      <c r="A726" s="550"/>
      <c r="B726" s="610"/>
      <c r="C726" s="931"/>
      <c r="D726" s="935"/>
      <c r="E726" s="616"/>
      <c r="F726" s="616"/>
      <c r="G726" s="616"/>
      <c r="H726" s="616"/>
      <c r="I726" s="616"/>
      <c r="J726" s="616"/>
      <c r="K726" s="616"/>
      <c r="L726" s="616"/>
      <c r="M726" s="616"/>
      <c r="N726" s="616"/>
      <c r="O726" s="616"/>
      <c r="P726" s="616"/>
      <c r="Q726" s="616"/>
      <c r="R726" s="616"/>
      <c r="S726" s="616"/>
      <c r="T726" s="616"/>
      <c r="U726" s="616"/>
      <c r="V726" s="616"/>
      <c r="W726" s="616"/>
      <c r="X726" s="616"/>
      <c r="Y726" s="616"/>
      <c r="Z726" s="616"/>
      <c r="AA726" s="616"/>
      <c r="AB726" s="616"/>
      <c r="AC726" s="536"/>
      <c r="AD726" s="536"/>
      <c r="AE726" s="536"/>
      <c r="AF726" s="536"/>
      <c r="AG726" s="536"/>
      <c r="AH726" s="536"/>
      <c r="AI726" s="536"/>
      <c r="AJ726" s="536"/>
      <c r="AK726" s="536"/>
      <c r="AL726" s="536"/>
      <c r="AM726" s="550"/>
      <c r="AN726" s="684"/>
      <c r="AT726" s="14"/>
      <c r="AU726" s="14"/>
      <c r="AV726" s="14"/>
      <c r="AW726" s="14"/>
      <c r="AX726" s="14"/>
      <c r="AY726" s="14"/>
      <c r="AZ726" s="14"/>
    </row>
    <row r="727" spans="1:81" s="570" customFormat="1">
      <c r="A727" s="550"/>
      <c r="B727" s="536"/>
      <c r="C727" s="539" t="s">
        <v>1438</v>
      </c>
      <c r="D727" s="952"/>
      <c r="E727" s="616"/>
      <c r="F727" s="616"/>
      <c r="G727" s="616"/>
      <c r="H727" s="616"/>
      <c r="I727" s="616"/>
      <c r="J727" s="616"/>
      <c r="K727" s="616"/>
      <c r="L727" s="616"/>
      <c r="M727" s="616"/>
      <c r="N727" s="616"/>
      <c r="O727" s="616"/>
      <c r="P727" s="616"/>
      <c r="Q727" s="616"/>
      <c r="R727" s="616"/>
      <c r="S727" s="616"/>
      <c r="T727" s="616"/>
      <c r="U727" s="616"/>
      <c r="V727" s="616"/>
      <c r="W727" s="616"/>
      <c r="X727" s="616"/>
      <c r="Y727" s="616"/>
      <c r="Z727" s="616"/>
      <c r="AA727" s="616"/>
      <c r="AB727" s="616"/>
      <c r="AC727" s="536"/>
      <c r="AD727" s="536"/>
      <c r="AE727" s="536"/>
      <c r="AF727" s="536"/>
      <c r="AG727" s="536"/>
      <c r="AH727" s="536"/>
      <c r="AI727" s="536"/>
      <c r="AJ727" s="536"/>
      <c r="AK727" s="536"/>
      <c r="AL727" s="536"/>
      <c r="AM727" s="550"/>
      <c r="AN727" s="684"/>
      <c r="AT727" s="14"/>
      <c r="AU727" s="14"/>
      <c r="AV727" s="14"/>
      <c r="AW727" s="14"/>
      <c r="AX727" s="14"/>
      <c r="AY727" s="14"/>
      <c r="AZ727" s="14"/>
    </row>
    <row r="728" spans="1:81" s="570" customFormat="1">
      <c r="A728" s="550"/>
      <c r="B728" s="610"/>
      <c r="C728" s="931"/>
      <c r="D728" s="935"/>
      <c r="E728" s="616"/>
      <c r="F728" s="616"/>
      <c r="G728" s="616"/>
      <c r="H728" s="616"/>
      <c r="I728" s="616"/>
      <c r="J728" s="616"/>
      <c r="K728" s="616"/>
      <c r="L728" s="616"/>
      <c r="M728" s="616"/>
      <c r="N728" s="616"/>
      <c r="O728" s="616"/>
      <c r="P728" s="616"/>
      <c r="Q728" s="616"/>
      <c r="R728" s="616"/>
      <c r="S728" s="616"/>
      <c r="T728" s="616"/>
      <c r="U728" s="616"/>
      <c r="V728" s="616"/>
      <c r="W728" s="616"/>
      <c r="X728" s="616"/>
      <c r="Y728" s="616"/>
      <c r="Z728" s="616"/>
      <c r="AA728" s="616"/>
      <c r="AB728" s="616"/>
      <c r="AC728" s="536"/>
      <c r="AD728" s="536"/>
      <c r="AE728" s="536"/>
      <c r="AF728" s="536"/>
      <c r="AG728" s="536"/>
      <c r="AH728" s="536"/>
      <c r="AI728" s="536"/>
      <c r="AJ728" s="536"/>
      <c r="AK728" s="536"/>
      <c r="AL728" s="536"/>
      <c r="AM728" s="550"/>
      <c r="AN728" s="684"/>
      <c r="AT728" s="14"/>
      <c r="AU728" s="14"/>
      <c r="AV728" s="14"/>
      <c r="AW728" s="14"/>
      <c r="AX728" s="14"/>
      <c r="AY728" s="14"/>
      <c r="AZ728" s="14"/>
    </row>
    <row r="729" spans="1:81" s="570" customFormat="1">
      <c r="A729" s="550"/>
      <c r="B729" s="536"/>
      <c r="C729" s="931"/>
      <c r="D729" s="663" t="s">
        <v>687</v>
      </c>
      <c r="E729" s="2499" t="s">
        <v>1696</v>
      </c>
      <c r="F729" s="2499"/>
      <c r="G729" s="2499"/>
      <c r="H729" s="2499"/>
      <c r="I729" s="2499"/>
      <c r="J729" s="2499"/>
      <c r="K729" s="2499"/>
      <c r="L729" s="2499"/>
      <c r="M729" s="2499"/>
      <c r="N729" s="2499"/>
      <c r="O729" s="2499"/>
      <c r="P729" s="2499"/>
      <c r="Q729" s="2499"/>
      <c r="R729" s="2499"/>
      <c r="S729" s="2499"/>
      <c r="T729" s="2499"/>
      <c r="U729" s="2499"/>
      <c r="V729" s="2499"/>
      <c r="W729" s="2499"/>
      <c r="X729" s="2499"/>
      <c r="Y729" s="2499"/>
      <c r="Z729" s="2499"/>
      <c r="AA729" s="2499"/>
      <c r="AB729" s="2499"/>
      <c r="AC729" s="536"/>
      <c r="AD729" s="536"/>
      <c r="AE729" s="536"/>
      <c r="AF729" s="2444" t="s">
        <v>1352</v>
      </c>
      <c r="AG729" s="2444"/>
      <c r="AH729" s="2444"/>
      <c r="AI729" s="2444"/>
      <c r="AJ729" s="2444"/>
      <c r="AK729" s="2444"/>
      <c r="AL729" s="2444"/>
      <c r="AM729" s="550"/>
      <c r="AN729" s="684"/>
      <c r="AT729" s="14"/>
      <c r="AU729" s="14"/>
      <c r="AV729" s="14"/>
      <c r="AW729" s="14"/>
      <c r="AX729" s="14"/>
      <c r="AY729" s="14"/>
      <c r="AZ729" s="14"/>
    </row>
    <row r="730" spans="1:81" s="570" customFormat="1">
      <c r="A730" s="550"/>
      <c r="B730" s="536"/>
      <c r="C730" s="933"/>
      <c r="D730" s="663"/>
      <c r="E730" s="2499"/>
      <c r="F730" s="2499"/>
      <c r="G730" s="2499"/>
      <c r="H730" s="2499"/>
      <c r="I730" s="2499"/>
      <c r="J730" s="2499"/>
      <c r="K730" s="2499"/>
      <c r="L730" s="2499"/>
      <c r="M730" s="2499"/>
      <c r="N730" s="2499"/>
      <c r="O730" s="2499"/>
      <c r="P730" s="2499"/>
      <c r="Q730" s="2499"/>
      <c r="R730" s="2499"/>
      <c r="S730" s="2499"/>
      <c r="T730" s="2499"/>
      <c r="U730" s="2499"/>
      <c r="V730" s="2499"/>
      <c r="W730" s="2499"/>
      <c r="X730" s="2499"/>
      <c r="Y730" s="2499"/>
      <c r="Z730" s="2499"/>
      <c r="AA730" s="2499"/>
      <c r="AB730" s="2499"/>
      <c r="AC730" s="536"/>
      <c r="AD730" s="536"/>
      <c r="AE730" s="536"/>
      <c r="AF730" s="536"/>
      <c r="AG730" s="536"/>
      <c r="AH730" s="536"/>
      <c r="AI730" s="536"/>
      <c r="AJ730" s="536"/>
      <c r="AK730" s="536"/>
      <c r="AL730" s="536"/>
      <c r="AM730" s="550"/>
      <c r="AN730" s="684"/>
      <c r="AT730" s="14"/>
      <c r="AU730" s="14"/>
      <c r="AV730" s="14"/>
      <c r="AW730" s="14"/>
      <c r="AX730" s="14"/>
      <c r="AY730" s="14"/>
      <c r="AZ730" s="14"/>
    </row>
    <row r="731" spans="1:81" s="570" customFormat="1">
      <c r="A731" s="550"/>
      <c r="B731" s="610"/>
      <c r="C731" s="931"/>
      <c r="D731" s="663"/>
      <c r="E731" s="616"/>
      <c r="F731" s="616"/>
      <c r="G731" s="616"/>
      <c r="H731" s="616"/>
      <c r="I731" s="616"/>
      <c r="J731" s="616"/>
      <c r="K731" s="616"/>
      <c r="L731" s="616"/>
      <c r="M731" s="616"/>
      <c r="N731" s="616"/>
      <c r="O731" s="616"/>
      <c r="P731" s="616"/>
      <c r="Q731" s="616"/>
      <c r="R731" s="616"/>
      <c r="S731" s="616"/>
      <c r="T731" s="616"/>
      <c r="U731" s="616"/>
      <c r="V731" s="616"/>
      <c r="W731" s="616"/>
      <c r="X731" s="616"/>
      <c r="Y731" s="616"/>
      <c r="Z731" s="616"/>
      <c r="AA731" s="616"/>
      <c r="AB731" s="616"/>
      <c r="AC731" s="536"/>
      <c r="AD731" s="536"/>
      <c r="AE731" s="536"/>
      <c r="AF731" s="536"/>
      <c r="AG731" s="536"/>
      <c r="AH731" s="536"/>
      <c r="AI731" s="536"/>
      <c r="AJ731" s="536"/>
      <c r="AK731" s="536"/>
      <c r="AL731" s="536"/>
      <c r="AM731" s="550"/>
      <c r="AN731" s="684"/>
      <c r="AT731" s="14"/>
      <c r="AU731" s="14"/>
      <c r="AV731" s="14"/>
      <c r="AW731" s="14"/>
      <c r="AX731" s="14"/>
      <c r="AY731" s="14"/>
      <c r="AZ731" s="14"/>
    </row>
    <row r="732" spans="1:81" s="570" customFormat="1" ht="12.75" customHeight="1">
      <c r="A732" s="550"/>
      <c r="B732" s="536"/>
      <c r="C732" s="931"/>
      <c r="D732" s="663" t="s">
        <v>509</v>
      </c>
      <c r="E732" s="2499" t="s">
        <v>1439</v>
      </c>
      <c r="F732" s="2499"/>
      <c r="G732" s="2499"/>
      <c r="H732" s="2499"/>
      <c r="I732" s="2499"/>
      <c r="J732" s="2499"/>
      <c r="K732" s="2499"/>
      <c r="L732" s="2499"/>
      <c r="M732" s="2499"/>
      <c r="N732" s="2499"/>
      <c r="O732" s="2499"/>
      <c r="P732" s="2499"/>
      <c r="Q732" s="2499"/>
      <c r="R732" s="2499"/>
      <c r="S732" s="2499"/>
      <c r="T732" s="2499"/>
      <c r="U732" s="2499"/>
      <c r="V732" s="2499"/>
      <c r="W732" s="2499"/>
      <c r="X732" s="2499"/>
      <c r="Y732" s="2499"/>
      <c r="Z732" s="2499"/>
      <c r="AA732" s="2499"/>
      <c r="AB732" s="2499"/>
      <c r="AC732" s="536"/>
      <c r="AD732" s="536"/>
      <c r="AE732" s="536"/>
      <c r="AF732" s="2444" t="s">
        <v>1408</v>
      </c>
      <c r="AG732" s="2444"/>
      <c r="AH732" s="2444"/>
      <c r="AI732" s="2444"/>
      <c r="AJ732" s="2444"/>
      <c r="AK732" s="2444"/>
      <c r="AL732" s="2444"/>
      <c r="AM732" s="550"/>
      <c r="AN732" s="684"/>
      <c r="AT732" s="14"/>
      <c r="AU732" s="14"/>
      <c r="AV732" s="14"/>
      <c r="AW732" s="14"/>
      <c r="AX732" s="14"/>
      <c r="AY732" s="14"/>
      <c r="AZ732" s="14"/>
    </row>
    <row r="733" spans="1:81" s="570" customFormat="1">
      <c r="A733" s="550"/>
      <c r="B733" s="536"/>
      <c r="C733" s="933"/>
      <c r="D733" s="536"/>
      <c r="E733" s="2499"/>
      <c r="F733" s="2499"/>
      <c r="G733" s="2499"/>
      <c r="H733" s="2499"/>
      <c r="I733" s="2499"/>
      <c r="J733" s="2499"/>
      <c r="K733" s="2499"/>
      <c r="L733" s="2499"/>
      <c r="M733" s="2499"/>
      <c r="N733" s="2499"/>
      <c r="O733" s="2499"/>
      <c r="P733" s="2499"/>
      <c r="Q733" s="2499"/>
      <c r="R733" s="2499"/>
      <c r="S733" s="2499"/>
      <c r="T733" s="2499"/>
      <c r="U733" s="2499"/>
      <c r="V733" s="2499"/>
      <c r="W733" s="2499"/>
      <c r="X733" s="2499"/>
      <c r="Y733" s="2499"/>
      <c r="Z733" s="2499"/>
      <c r="AA733" s="2499"/>
      <c r="AB733" s="2499"/>
      <c r="AC733" s="536"/>
      <c r="AD733" s="536"/>
      <c r="AE733" s="536"/>
      <c r="AF733" s="536"/>
      <c r="AG733" s="536"/>
      <c r="AH733" s="536"/>
      <c r="AI733" s="536"/>
      <c r="AJ733" s="536"/>
      <c r="AK733" s="536"/>
      <c r="AL733" s="536"/>
      <c r="AM733" s="550"/>
      <c r="AN733" s="684"/>
      <c r="AT733" s="14"/>
      <c r="AU733" s="14"/>
      <c r="AV733" s="14"/>
      <c r="AW733" s="14"/>
      <c r="AX733" s="14"/>
      <c r="AY733" s="14"/>
      <c r="AZ733" s="14"/>
    </row>
    <row r="734" spans="1:81" s="570" customFormat="1">
      <c r="A734" s="550"/>
      <c r="B734" s="536"/>
      <c r="C734" s="933"/>
      <c r="D734" s="536"/>
      <c r="E734" s="643"/>
      <c r="F734" s="643"/>
      <c r="G734" s="643"/>
      <c r="H734" s="643"/>
      <c r="I734" s="643"/>
      <c r="J734" s="643"/>
      <c r="K734" s="643"/>
      <c r="L734" s="643"/>
      <c r="M734" s="643"/>
      <c r="N734" s="643"/>
      <c r="O734" s="643"/>
      <c r="P734" s="643"/>
      <c r="Q734" s="643"/>
      <c r="R734" s="643"/>
      <c r="S734" s="643"/>
      <c r="T734" s="643"/>
      <c r="U734" s="643"/>
      <c r="V734" s="643"/>
      <c r="W734" s="643"/>
      <c r="X734" s="643"/>
      <c r="Y734" s="643"/>
      <c r="Z734" s="643"/>
      <c r="AA734" s="643"/>
      <c r="AB734" s="643"/>
      <c r="AC734" s="536"/>
      <c r="AD734" s="536"/>
      <c r="AE734" s="536"/>
      <c r="AF734" s="536"/>
      <c r="AG734" s="536"/>
      <c r="AH734" s="536"/>
      <c r="AI734" s="536"/>
      <c r="AJ734" s="536"/>
      <c r="AK734" s="536"/>
      <c r="AL734" s="536"/>
      <c r="AM734" s="550"/>
      <c r="AN734" s="684"/>
      <c r="AT734" s="14"/>
      <c r="AU734" s="14"/>
      <c r="AV734" s="14"/>
      <c r="AW734" s="14"/>
      <c r="AX734" s="14"/>
      <c r="AY734" s="14"/>
      <c r="AZ734" s="14"/>
    </row>
    <row r="735" spans="1:81" s="570" customFormat="1" ht="12.75" customHeight="1">
      <c r="A735" s="550"/>
      <c r="B735" s="536"/>
      <c r="C735" s="933"/>
      <c r="D735" s="536" t="s">
        <v>1400</v>
      </c>
      <c r="E735" s="936"/>
      <c r="F735" s="936"/>
      <c r="G735" s="936"/>
      <c r="H735" s="2528" t="s">
        <v>591</v>
      </c>
      <c r="I735" s="2528"/>
      <c r="J735" s="643"/>
      <c r="K735" s="643"/>
      <c r="L735" s="643"/>
      <c r="M735" s="643"/>
      <c r="N735" s="643"/>
      <c r="O735" s="643"/>
      <c r="P735" s="643"/>
      <c r="Q735" s="643"/>
      <c r="R735" s="643"/>
      <c r="S735" s="643"/>
      <c r="T735" s="643"/>
      <c r="U735" s="643"/>
      <c r="V735" s="643"/>
      <c r="W735" s="643"/>
      <c r="X735" s="643"/>
      <c r="Y735" s="643"/>
      <c r="Z735" s="643"/>
      <c r="AA735" s="643"/>
      <c r="AB735" s="643"/>
      <c r="AC735" s="536"/>
      <c r="AD735" s="536"/>
      <c r="AE735" s="536"/>
      <c r="AF735" s="536"/>
      <c r="AG735" s="536"/>
      <c r="AH735" s="536"/>
      <c r="AI735" s="536"/>
      <c r="AJ735" s="536"/>
      <c r="AK735" s="536"/>
      <c r="AL735" s="536"/>
      <c r="AM735" s="550"/>
      <c r="AN735" s="684"/>
      <c r="AT735" s="14"/>
      <c r="AU735" s="14"/>
      <c r="AV735" s="14"/>
      <c r="AW735" s="14"/>
      <c r="AX735" s="14"/>
      <c r="AY735" s="14"/>
      <c r="AZ735" s="14"/>
    </row>
    <row r="736" spans="1:81" s="570" customFormat="1">
      <c r="A736" s="550"/>
      <c r="B736" s="536"/>
      <c r="C736" s="933"/>
      <c r="D736" s="536"/>
      <c r="E736" s="643"/>
      <c r="F736" s="643"/>
      <c r="G736" s="643"/>
      <c r="H736" s="643"/>
      <c r="I736" s="643"/>
      <c r="J736" s="643"/>
      <c r="K736" s="643"/>
      <c r="L736" s="643"/>
      <c r="M736" s="643"/>
      <c r="N736" s="643"/>
      <c r="O736" s="643"/>
      <c r="P736" s="643"/>
      <c r="Q736" s="643"/>
      <c r="R736" s="643"/>
      <c r="S736" s="643"/>
      <c r="T736" s="643"/>
      <c r="U736" s="643"/>
      <c r="V736" s="643"/>
      <c r="W736" s="643"/>
      <c r="X736" s="643"/>
      <c r="Y736" s="643"/>
      <c r="Z736" s="643"/>
      <c r="AA736" s="643"/>
      <c r="AB736" s="643"/>
      <c r="AC736" s="536"/>
      <c r="AD736" s="536"/>
      <c r="AE736" s="536"/>
      <c r="AF736" s="536"/>
      <c r="AG736" s="536"/>
      <c r="AH736" s="536"/>
      <c r="AI736" s="536"/>
      <c r="AJ736" s="536"/>
      <c r="AK736" s="536"/>
      <c r="AL736" s="536"/>
      <c r="AM736" s="550"/>
      <c r="AN736" s="684"/>
      <c r="AS736" s="14"/>
      <c r="AT736" s="14"/>
      <c r="AU736" s="14"/>
      <c r="AV736" s="14"/>
      <c r="AW736" s="14"/>
      <c r="AX736" s="14"/>
      <c r="AY736" s="14"/>
      <c r="AZ736" s="14"/>
      <c r="BA736" s="14"/>
      <c r="BB736" s="14"/>
      <c r="BC736" s="14"/>
      <c r="BD736" s="32"/>
      <c r="BE736" s="32"/>
      <c r="BF736" s="32"/>
      <c r="BG736" s="32"/>
      <c r="BH736" s="32"/>
      <c r="BI736" s="14"/>
      <c r="BJ736" s="14"/>
      <c r="BK736" s="14"/>
      <c r="BL736" s="14"/>
      <c r="BM736" s="14"/>
      <c r="BN736" s="14"/>
      <c r="BO736" s="14"/>
      <c r="BP736" s="14"/>
      <c r="BQ736" s="14"/>
      <c r="BR736" s="14"/>
      <c r="BS736" s="14"/>
      <c r="BT736" s="14"/>
      <c r="BU736" s="14"/>
      <c r="BV736" s="14"/>
      <c r="BW736" s="14"/>
      <c r="BX736" s="14"/>
      <c r="BY736" s="14"/>
      <c r="BZ736" s="14"/>
      <c r="CA736" s="14"/>
      <c r="CB736" s="14"/>
      <c r="CC736" s="14"/>
    </row>
    <row r="737" spans="1:81" s="570" customFormat="1">
      <c r="A737" s="606"/>
      <c r="B737" s="601"/>
      <c r="C737" s="938"/>
      <c r="D737" s="601"/>
      <c r="E737" s="949"/>
      <c r="F737" s="949"/>
      <c r="G737" s="949"/>
      <c r="H737" s="949"/>
      <c r="I737" s="949"/>
      <c r="J737" s="949"/>
      <c r="K737" s="949"/>
      <c r="L737" s="949"/>
      <c r="M737" s="949"/>
      <c r="N737" s="949"/>
      <c r="O737" s="949"/>
      <c r="P737" s="949"/>
      <c r="Q737" s="949"/>
      <c r="R737" s="949"/>
      <c r="S737" s="949"/>
      <c r="T737" s="949"/>
      <c r="U737" s="949"/>
      <c r="V737" s="665"/>
      <c r="W737" s="665"/>
      <c r="X737" s="665"/>
      <c r="Y737" s="939"/>
      <c r="Z737" s="939"/>
      <c r="AA737" s="939"/>
      <c r="AB737" s="601"/>
      <c r="AC737" s="601"/>
      <c r="AD737" s="601"/>
      <c r="AE737" s="601"/>
      <c r="AF737" s="601"/>
      <c r="AG737" s="601"/>
      <c r="AH737" s="601"/>
      <c r="AI737" s="565" t="s">
        <v>1440</v>
      </c>
      <c r="AJ737" s="2479">
        <f>VLOOKUP($H$735,$AO$666:$AP$668,2,FALSE)</f>
        <v>0</v>
      </c>
      <c r="AK737" s="2481"/>
      <c r="AL737" s="595"/>
      <c r="AM737" s="550"/>
      <c r="AN737" s="684"/>
      <c r="AS737" s="14"/>
      <c r="AT737" s="14"/>
      <c r="AU737" s="14"/>
      <c r="AV737" s="14"/>
      <c r="AW737" s="14"/>
      <c r="AX737" s="14"/>
      <c r="AY737" s="14"/>
      <c r="AZ737" s="14"/>
      <c r="BA737" s="14"/>
      <c r="BB737" s="14"/>
      <c r="BC737" s="14"/>
      <c r="BD737" s="32"/>
      <c r="BE737" s="32"/>
      <c r="BF737" s="32"/>
      <c r="BG737" s="32"/>
      <c r="BH737" s="32"/>
      <c r="BI737" s="14"/>
      <c r="BJ737" s="14"/>
      <c r="BK737" s="14"/>
      <c r="BL737" s="14"/>
      <c r="BM737" s="14"/>
      <c r="BN737" s="14"/>
      <c r="BO737" s="14"/>
      <c r="BP737" s="14"/>
      <c r="BQ737" s="14"/>
      <c r="BR737" s="14"/>
      <c r="BS737" s="14"/>
      <c r="BT737" s="14"/>
      <c r="BU737" s="14"/>
      <c r="BV737" s="14"/>
      <c r="BW737" s="14"/>
      <c r="BX737" s="14"/>
      <c r="BY737" s="14"/>
      <c r="BZ737" s="14"/>
      <c r="CA737" s="14"/>
      <c r="CB737" s="14"/>
      <c r="CC737" s="14"/>
    </row>
    <row r="738" spans="1:81" s="570" customFormat="1" ht="12.75" customHeight="1">
      <c r="A738" s="550"/>
      <c r="B738" s="536"/>
      <c r="C738" s="933"/>
      <c r="D738" s="536"/>
      <c r="E738" s="536"/>
      <c r="F738" s="536"/>
      <c r="G738" s="536"/>
      <c r="H738" s="536"/>
      <c r="I738" s="536"/>
      <c r="J738" s="643"/>
      <c r="K738" s="643"/>
      <c r="L738" s="643"/>
      <c r="M738" s="643"/>
      <c r="N738" s="536"/>
      <c r="O738" s="536"/>
      <c r="P738" s="536"/>
      <c r="Q738" s="536"/>
      <c r="R738" s="536"/>
      <c r="S738" s="536"/>
      <c r="T738" s="536"/>
      <c r="U738" s="536"/>
      <c r="V738" s="536"/>
      <c r="W738" s="536"/>
      <c r="X738" s="536"/>
      <c r="Y738" s="536"/>
      <c r="Z738" s="536"/>
      <c r="AA738" s="536"/>
      <c r="AB738" s="536"/>
      <c r="AC738" s="536"/>
      <c r="AD738" s="536"/>
      <c r="AE738" s="536"/>
      <c r="AF738" s="536"/>
      <c r="AG738" s="536"/>
      <c r="AH738" s="536"/>
      <c r="AI738" s="536"/>
      <c r="AJ738" s="536"/>
      <c r="AK738" s="536"/>
      <c r="AL738" s="536"/>
      <c r="AM738" s="550"/>
      <c r="AN738" s="684"/>
      <c r="AS738" s="14"/>
      <c r="AT738" s="14"/>
      <c r="AU738" s="14"/>
      <c r="AV738" s="14"/>
      <c r="AW738" s="14"/>
      <c r="AX738" s="14"/>
      <c r="AY738" s="14"/>
      <c r="AZ738" s="14"/>
      <c r="BA738" s="14"/>
      <c r="BB738" s="14"/>
      <c r="BC738" s="14"/>
      <c r="BD738" s="32"/>
      <c r="BE738" s="32"/>
      <c r="BF738" s="32"/>
      <c r="BG738" s="32"/>
      <c r="BH738" s="32"/>
      <c r="BI738" s="14"/>
      <c r="BJ738" s="14"/>
      <c r="BK738" s="14"/>
      <c r="BL738" s="14"/>
      <c r="BM738" s="14"/>
      <c r="BN738" s="14"/>
      <c r="BO738" s="14"/>
      <c r="BP738" s="14"/>
      <c r="BQ738" s="14"/>
      <c r="BR738" s="14"/>
      <c r="BS738" s="14"/>
      <c r="BT738" s="14"/>
      <c r="BU738" s="14"/>
      <c r="BV738" s="14"/>
      <c r="BW738" s="14"/>
      <c r="BX738" s="14"/>
      <c r="BY738" s="14"/>
      <c r="BZ738" s="14"/>
      <c r="CA738" s="14"/>
      <c r="CB738" s="14"/>
      <c r="CC738" s="14"/>
    </row>
    <row r="739" spans="1:81" s="570" customFormat="1" ht="12.75" customHeight="1">
      <c r="A739" s="550"/>
      <c r="B739" s="536"/>
      <c r="C739" s="539" t="s">
        <v>1441</v>
      </c>
      <c r="D739" s="536"/>
      <c r="E739" s="536"/>
      <c r="F739" s="536"/>
      <c r="G739" s="536"/>
      <c r="H739" s="536"/>
      <c r="I739" s="536"/>
      <c r="J739" s="536"/>
      <c r="K739" s="536"/>
      <c r="L739" s="536"/>
      <c r="M739" s="536"/>
      <c r="N739" s="536"/>
      <c r="O739" s="536"/>
      <c r="P739" s="536"/>
      <c r="Q739" s="536"/>
      <c r="R739" s="536"/>
      <c r="S739" s="536"/>
      <c r="T739" s="536"/>
      <c r="U739" s="536"/>
      <c r="V739" s="536"/>
      <c r="W739" s="536"/>
      <c r="X739" s="536"/>
      <c r="Y739" s="536"/>
      <c r="Z739" s="536"/>
      <c r="AA739" s="536"/>
      <c r="AB739" s="536"/>
      <c r="AC739" s="536"/>
      <c r="AD739" s="536"/>
      <c r="AE739" s="536"/>
      <c r="AF739" s="536"/>
      <c r="AG739" s="536"/>
      <c r="AH739" s="536"/>
      <c r="AI739" s="536"/>
      <c r="AJ739" s="536"/>
      <c r="AK739" s="536"/>
      <c r="AL739" s="536"/>
      <c r="AM739" s="550"/>
      <c r="AN739" s="684"/>
      <c r="AS739" s="14"/>
      <c r="AT739" s="14"/>
      <c r="AU739" s="14"/>
      <c r="AV739" s="14"/>
      <c r="AW739" s="14"/>
      <c r="AX739" s="14"/>
      <c r="AY739" s="14"/>
      <c r="AZ739" s="14"/>
      <c r="BA739" s="14"/>
      <c r="BB739" s="14"/>
      <c r="BC739" s="14"/>
      <c r="BD739" s="32"/>
      <c r="BE739" s="32"/>
      <c r="BF739" s="32"/>
      <c r="BG739" s="32"/>
      <c r="BH739" s="32"/>
      <c r="BI739" s="14"/>
      <c r="BJ739" s="14"/>
      <c r="BK739" s="14"/>
      <c r="BL739" s="14"/>
      <c r="BM739" s="14"/>
      <c r="BN739" s="14"/>
      <c r="BO739" s="14"/>
      <c r="BP739" s="14"/>
      <c r="BQ739" s="14"/>
      <c r="BR739" s="14"/>
      <c r="BS739" s="14"/>
      <c r="BT739" s="14"/>
      <c r="BU739" s="14"/>
      <c r="BV739" s="14"/>
      <c r="BW739" s="14"/>
      <c r="BX739" s="14"/>
      <c r="BY739" s="14"/>
      <c r="BZ739" s="14"/>
      <c r="CA739" s="14"/>
      <c r="CB739" s="14"/>
      <c r="CC739" s="14"/>
    </row>
    <row r="740" spans="1:81" s="570" customFormat="1">
      <c r="A740" s="550"/>
      <c r="B740" s="610"/>
      <c r="C740" s="953"/>
      <c r="D740" s="610"/>
      <c r="E740" s="610"/>
      <c r="F740" s="536"/>
      <c r="G740" s="536"/>
      <c r="H740" s="610"/>
      <c r="I740" s="610"/>
      <c r="J740" s="610"/>
      <c r="K740" s="610"/>
      <c r="L740" s="610"/>
      <c r="M740" s="610"/>
      <c r="N740" s="610"/>
      <c r="O740" s="610"/>
      <c r="P740" s="610"/>
      <c r="Q740" s="610"/>
      <c r="R740" s="610"/>
      <c r="S740" s="610"/>
      <c r="T740" s="536"/>
      <c r="U740" s="536"/>
      <c r="V740" s="536"/>
      <c r="W740" s="536"/>
      <c r="X740" s="595"/>
      <c r="Y740" s="595"/>
      <c r="Z740" s="595"/>
      <c r="AA740" s="595"/>
      <c r="AB740" s="595"/>
      <c r="AC740" s="536"/>
      <c r="AD740" s="536"/>
      <c r="AE740" s="536"/>
      <c r="AF740" s="536"/>
      <c r="AG740" s="536"/>
      <c r="AH740" s="536"/>
      <c r="AI740" s="536"/>
      <c r="AJ740" s="536"/>
      <c r="AK740" s="536"/>
      <c r="AL740" s="536"/>
      <c r="AM740" s="550"/>
      <c r="AN740" s="684"/>
      <c r="AS740" s="14"/>
      <c r="AT740" s="14"/>
      <c r="AU740" s="14"/>
      <c r="AV740" s="14"/>
      <c r="AW740" s="14"/>
      <c r="AX740" s="14"/>
      <c r="AY740" s="14"/>
      <c r="AZ740" s="14"/>
      <c r="BA740" s="14"/>
      <c r="BB740" s="14"/>
      <c r="BC740" s="14"/>
      <c r="BD740" s="32"/>
      <c r="BE740" s="32"/>
      <c r="BF740" s="32"/>
      <c r="BG740" s="32"/>
      <c r="BH740" s="32"/>
      <c r="BI740" s="14"/>
      <c r="BJ740" s="14"/>
      <c r="BK740" s="14"/>
      <c r="BL740" s="14"/>
      <c r="BM740" s="14"/>
      <c r="BN740" s="14"/>
      <c r="BO740" s="14"/>
      <c r="BP740" s="14"/>
      <c r="BQ740" s="14"/>
      <c r="BR740" s="14"/>
      <c r="BS740" s="14"/>
      <c r="BT740" s="14"/>
      <c r="BU740" s="14"/>
      <c r="BV740" s="14"/>
      <c r="BW740" s="14"/>
      <c r="BX740" s="14"/>
      <c r="BY740" s="14"/>
      <c r="BZ740" s="14"/>
      <c r="CA740" s="14"/>
      <c r="CB740" s="14"/>
      <c r="CC740" s="14"/>
    </row>
    <row r="741" spans="1:81" s="570" customFormat="1">
      <c r="A741" s="550"/>
      <c r="B741" s="536"/>
      <c r="C741" s="931"/>
      <c r="D741" s="663" t="s">
        <v>687</v>
      </c>
      <c r="E741" s="2499" t="s">
        <v>1442</v>
      </c>
      <c r="F741" s="2499"/>
      <c r="G741" s="2499"/>
      <c r="H741" s="2499"/>
      <c r="I741" s="2499"/>
      <c r="J741" s="2499"/>
      <c r="K741" s="2499"/>
      <c r="L741" s="2499"/>
      <c r="M741" s="2499"/>
      <c r="N741" s="2499"/>
      <c r="O741" s="2499"/>
      <c r="P741" s="2499"/>
      <c r="Q741" s="2499"/>
      <c r="R741" s="2499"/>
      <c r="S741" s="2499"/>
      <c r="T741" s="2499"/>
      <c r="U741" s="2499"/>
      <c r="V741" s="2499"/>
      <c r="W741" s="2499"/>
      <c r="X741" s="2499"/>
      <c r="Y741" s="2499"/>
      <c r="Z741" s="2499"/>
      <c r="AA741" s="2499"/>
      <c r="AB741" s="2499"/>
      <c r="AC741" s="536"/>
      <c r="AD741" s="536"/>
      <c r="AE741" s="536"/>
      <c r="AF741" s="2444" t="s">
        <v>1352</v>
      </c>
      <c r="AG741" s="2444"/>
      <c r="AH741" s="2444"/>
      <c r="AI741" s="2444"/>
      <c r="AJ741" s="2444"/>
      <c r="AK741" s="2444"/>
      <c r="AL741" s="2444"/>
      <c r="AM741" s="550"/>
      <c r="AN741" s="684"/>
      <c r="AT741" s="14"/>
      <c r="AU741" s="14"/>
      <c r="AV741" s="14"/>
      <c r="AW741" s="14"/>
      <c r="AX741" s="14"/>
      <c r="AY741" s="14"/>
      <c r="AZ741" s="14"/>
    </row>
    <row r="742" spans="1:81" s="570" customFormat="1">
      <c r="A742" s="550"/>
      <c r="B742" s="536"/>
      <c r="C742" s="931"/>
      <c r="D742" s="663"/>
      <c r="E742" s="2499"/>
      <c r="F742" s="2499"/>
      <c r="G742" s="2499"/>
      <c r="H742" s="2499"/>
      <c r="I742" s="2499"/>
      <c r="J742" s="2499"/>
      <c r="K742" s="2499"/>
      <c r="L742" s="2499"/>
      <c r="M742" s="2499"/>
      <c r="N742" s="2499"/>
      <c r="O742" s="2499"/>
      <c r="P742" s="2499"/>
      <c r="Q742" s="2499"/>
      <c r="R742" s="2499"/>
      <c r="S742" s="2499"/>
      <c r="T742" s="2499"/>
      <c r="U742" s="2499"/>
      <c r="V742" s="2499"/>
      <c r="W742" s="2499"/>
      <c r="X742" s="2499"/>
      <c r="Y742" s="2499"/>
      <c r="Z742" s="2499"/>
      <c r="AA742" s="2499"/>
      <c r="AB742" s="2499"/>
      <c r="AC742" s="536"/>
      <c r="AD742" s="536"/>
      <c r="AE742" s="536"/>
      <c r="AF742" s="594"/>
      <c r="AG742" s="594"/>
      <c r="AH742" s="594"/>
      <c r="AI742" s="594"/>
      <c r="AJ742" s="594"/>
      <c r="AK742" s="594"/>
      <c r="AL742" s="594"/>
      <c r="AM742" s="550"/>
      <c r="AN742" s="684"/>
      <c r="AT742" s="14"/>
      <c r="AU742" s="14"/>
      <c r="AV742" s="14"/>
      <c r="AW742" s="14"/>
      <c r="AX742" s="14"/>
      <c r="AY742" s="14"/>
      <c r="AZ742" s="14"/>
    </row>
    <row r="743" spans="1:81" s="570" customFormat="1">
      <c r="A743" s="550"/>
      <c r="B743" s="536"/>
      <c r="C743" s="933"/>
      <c r="D743" s="663"/>
      <c r="E743" s="2499"/>
      <c r="F743" s="2499"/>
      <c r="G743" s="2499"/>
      <c r="H743" s="2499"/>
      <c r="I743" s="2499"/>
      <c r="J743" s="2499"/>
      <c r="K743" s="2499"/>
      <c r="L743" s="2499"/>
      <c r="M743" s="2499"/>
      <c r="N743" s="2499"/>
      <c r="O743" s="2499"/>
      <c r="P743" s="2499"/>
      <c r="Q743" s="2499"/>
      <c r="R743" s="2499"/>
      <c r="S743" s="2499"/>
      <c r="T743" s="2499"/>
      <c r="U743" s="2499"/>
      <c r="V743" s="2499"/>
      <c r="W743" s="2499"/>
      <c r="X743" s="2499"/>
      <c r="Y743" s="2499"/>
      <c r="Z743" s="2499"/>
      <c r="AA743" s="2499"/>
      <c r="AB743" s="2499"/>
      <c r="AC743" s="536"/>
      <c r="AD743" s="536"/>
      <c r="AE743" s="536"/>
      <c r="AF743" s="536"/>
      <c r="AG743" s="536"/>
      <c r="AH743" s="536"/>
      <c r="AI743" s="536"/>
      <c r="AJ743" s="536"/>
      <c r="AK743" s="536"/>
      <c r="AL743" s="536"/>
      <c r="AM743" s="550"/>
      <c r="AN743" s="684"/>
    </row>
    <row r="744" spans="1:81" s="570" customFormat="1" ht="12.75" customHeight="1">
      <c r="A744" s="550"/>
      <c r="B744" s="536"/>
      <c r="C744" s="933"/>
      <c r="D744" s="663"/>
      <c r="E744" s="2499"/>
      <c r="F744" s="2499"/>
      <c r="G744" s="2499"/>
      <c r="H744" s="2499"/>
      <c r="I744" s="2499"/>
      <c r="J744" s="2499"/>
      <c r="K744" s="2499"/>
      <c r="L744" s="2499"/>
      <c r="M744" s="2499"/>
      <c r="N744" s="2499"/>
      <c r="O744" s="2499"/>
      <c r="P744" s="2499"/>
      <c r="Q744" s="2499"/>
      <c r="R744" s="2499"/>
      <c r="S744" s="2499"/>
      <c r="T744" s="2499"/>
      <c r="U744" s="2499"/>
      <c r="V744" s="2499"/>
      <c r="W744" s="2499"/>
      <c r="X744" s="2499"/>
      <c r="Y744" s="2499"/>
      <c r="Z744" s="2499"/>
      <c r="AA744" s="2499"/>
      <c r="AB744" s="2499"/>
      <c r="AC744" s="536"/>
      <c r="AD744" s="536"/>
      <c r="AE744" s="536"/>
      <c r="AF744" s="536"/>
      <c r="AG744" s="536"/>
      <c r="AH744" s="536"/>
      <c r="AI744" s="536"/>
      <c r="AJ744" s="536"/>
      <c r="AK744" s="536"/>
      <c r="AL744" s="536"/>
      <c r="AM744" s="550"/>
      <c r="AN744" s="534"/>
      <c r="AO744" s="14"/>
    </row>
    <row r="745" spans="1:81" s="570" customFormat="1">
      <c r="A745" s="679"/>
      <c r="B745" s="595"/>
      <c r="C745" s="931"/>
      <c r="D745" s="663"/>
      <c r="E745" s="946"/>
      <c r="F745" s="946"/>
      <c r="G745" s="946"/>
      <c r="H745" s="946"/>
      <c r="I745" s="946"/>
      <c r="J745" s="946"/>
      <c r="K745" s="946"/>
      <c r="L745" s="946"/>
      <c r="M745" s="946"/>
      <c r="N745" s="946"/>
      <c r="O745" s="946"/>
      <c r="P745" s="946"/>
      <c r="Q745" s="946"/>
      <c r="R745" s="946"/>
      <c r="S745" s="946"/>
      <c r="T745" s="946"/>
      <c r="U745" s="946"/>
      <c r="V745" s="946"/>
      <c r="W745" s="946"/>
      <c r="X745" s="946"/>
      <c r="Y745" s="946"/>
      <c r="Z745" s="946"/>
      <c r="AA745" s="946"/>
      <c r="AB745" s="946"/>
      <c r="AC745" s="536"/>
      <c r="AD745" s="536"/>
      <c r="AE745" s="536"/>
      <c r="AF745" s="536"/>
      <c r="AG745" s="536"/>
      <c r="AH745" s="536"/>
      <c r="AI745" s="536"/>
      <c r="AJ745" s="536"/>
      <c r="AK745" s="536"/>
      <c r="AL745" s="536"/>
      <c r="AM745" s="550"/>
      <c r="AN745" s="684"/>
      <c r="AO745" s="30"/>
      <c r="AP745" s="14"/>
    </row>
    <row r="746" spans="1:81" s="570" customFormat="1">
      <c r="A746" s="550"/>
      <c r="B746" s="536"/>
      <c r="C746" s="931"/>
      <c r="D746" s="663" t="s">
        <v>509</v>
      </c>
      <c r="E746" s="2499" t="s">
        <v>1443</v>
      </c>
      <c r="F746" s="2499"/>
      <c r="G746" s="2499"/>
      <c r="H746" s="2499"/>
      <c r="I746" s="2499"/>
      <c r="J746" s="2499"/>
      <c r="K746" s="2499"/>
      <c r="L746" s="2499"/>
      <c r="M746" s="2499"/>
      <c r="N746" s="2499"/>
      <c r="O746" s="2499"/>
      <c r="P746" s="2499"/>
      <c r="Q746" s="2499"/>
      <c r="R746" s="2499"/>
      <c r="S746" s="2499"/>
      <c r="T746" s="2499"/>
      <c r="U746" s="2499"/>
      <c r="V746" s="2499"/>
      <c r="W746" s="2499"/>
      <c r="X746" s="2499"/>
      <c r="Y746" s="2499"/>
      <c r="Z746" s="2499"/>
      <c r="AA746" s="2499"/>
      <c r="AB746" s="575"/>
      <c r="AC746" s="536"/>
      <c r="AD746" s="536"/>
      <c r="AE746" s="536"/>
      <c r="AF746" s="2444" t="s">
        <v>1408</v>
      </c>
      <c r="AG746" s="2444"/>
      <c r="AH746" s="2444"/>
      <c r="AI746" s="2444"/>
      <c r="AJ746" s="2444"/>
      <c r="AK746" s="2444"/>
      <c r="AL746" s="2444"/>
      <c r="AM746" s="550"/>
      <c r="AN746" s="684"/>
      <c r="AO746" s="30"/>
      <c r="AP746" s="14"/>
    </row>
    <row r="747" spans="1:81" s="570" customFormat="1">
      <c r="A747" s="550"/>
      <c r="B747" s="536"/>
      <c r="C747" s="931"/>
      <c r="D747" s="663"/>
      <c r="E747" s="2499"/>
      <c r="F747" s="2499"/>
      <c r="G747" s="2499"/>
      <c r="H747" s="2499"/>
      <c r="I747" s="2499"/>
      <c r="J747" s="2499"/>
      <c r="K747" s="2499"/>
      <c r="L747" s="2499"/>
      <c r="M747" s="2499"/>
      <c r="N747" s="2499"/>
      <c r="O747" s="2499"/>
      <c r="P747" s="2499"/>
      <c r="Q747" s="2499"/>
      <c r="R747" s="2499"/>
      <c r="S747" s="2499"/>
      <c r="T747" s="2499"/>
      <c r="U747" s="2499"/>
      <c r="V747" s="2499"/>
      <c r="W747" s="2499"/>
      <c r="X747" s="2499"/>
      <c r="Y747" s="2499"/>
      <c r="Z747" s="2499"/>
      <c r="AA747" s="2499"/>
      <c r="AB747" s="575"/>
      <c r="AC747" s="536"/>
      <c r="AD747" s="536"/>
      <c r="AE747" s="536"/>
      <c r="AF747" s="594"/>
      <c r="AG747" s="594"/>
      <c r="AH747" s="594"/>
      <c r="AI747" s="594"/>
      <c r="AJ747" s="594"/>
      <c r="AK747" s="594"/>
      <c r="AL747" s="594"/>
      <c r="AM747" s="550"/>
      <c r="AN747" s="684"/>
      <c r="AO747" s="30"/>
      <c r="AP747" s="14"/>
    </row>
    <row r="748" spans="1:81" s="570" customFormat="1">
      <c r="A748" s="550"/>
      <c r="B748" s="536"/>
      <c r="C748" s="931"/>
      <c r="D748" s="536"/>
      <c r="E748" s="2499"/>
      <c r="F748" s="2499"/>
      <c r="G748" s="2499"/>
      <c r="H748" s="2499"/>
      <c r="I748" s="2499"/>
      <c r="J748" s="2499"/>
      <c r="K748" s="2499"/>
      <c r="L748" s="2499"/>
      <c r="M748" s="2499"/>
      <c r="N748" s="2499"/>
      <c r="O748" s="2499"/>
      <c r="P748" s="2499"/>
      <c r="Q748" s="2499"/>
      <c r="R748" s="2499"/>
      <c r="S748" s="2499"/>
      <c r="T748" s="2499"/>
      <c r="U748" s="2499"/>
      <c r="V748" s="2499"/>
      <c r="W748" s="2499"/>
      <c r="X748" s="2499"/>
      <c r="Y748" s="2499"/>
      <c r="Z748" s="2499"/>
      <c r="AA748" s="2499"/>
      <c r="AB748" s="575"/>
      <c r="AC748" s="594"/>
      <c r="AD748" s="594"/>
      <c r="AE748" s="594"/>
      <c r="AF748" s="594"/>
      <c r="AG748" s="594"/>
      <c r="AH748" s="594"/>
      <c r="AI748" s="594"/>
      <c r="AJ748" s="536"/>
      <c r="AK748" s="536"/>
      <c r="AL748" s="536"/>
      <c r="AM748" s="550"/>
      <c r="AN748" s="684"/>
      <c r="AO748" s="30"/>
      <c r="AP748" s="14"/>
    </row>
    <row r="749" spans="1:81" s="570" customFormat="1">
      <c r="A749" s="550"/>
      <c r="B749" s="536"/>
      <c r="C749" s="931"/>
      <c r="D749" s="536"/>
      <c r="E749" s="2499"/>
      <c r="F749" s="2499"/>
      <c r="G749" s="2499"/>
      <c r="H749" s="2499"/>
      <c r="I749" s="2499"/>
      <c r="J749" s="2499"/>
      <c r="K749" s="2499"/>
      <c r="L749" s="2499"/>
      <c r="M749" s="2499"/>
      <c r="N749" s="2499"/>
      <c r="O749" s="2499"/>
      <c r="P749" s="2499"/>
      <c r="Q749" s="2499"/>
      <c r="R749" s="2499"/>
      <c r="S749" s="2499"/>
      <c r="T749" s="2499"/>
      <c r="U749" s="2499"/>
      <c r="V749" s="2499"/>
      <c r="W749" s="2499"/>
      <c r="X749" s="2499"/>
      <c r="Y749" s="2499"/>
      <c r="Z749" s="2499"/>
      <c r="AA749" s="2499"/>
      <c r="AB749" s="575"/>
      <c r="AC749" s="594"/>
      <c r="AD749" s="594"/>
      <c r="AE749" s="594"/>
      <c r="AF749" s="594"/>
      <c r="AG749" s="594"/>
      <c r="AH749" s="594"/>
      <c r="AI749" s="594"/>
      <c r="AJ749" s="536"/>
      <c r="AK749" s="536"/>
      <c r="AL749" s="536"/>
      <c r="AM749" s="550"/>
      <c r="AN749" s="684"/>
      <c r="AO749" s="30"/>
      <c r="AP749" s="14"/>
    </row>
    <row r="750" spans="1:81" s="570" customFormat="1">
      <c r="A750" s="550"/>
      <c r="B750" s="536"/>
      <c r="C750" s="931"/>
      <c r="D750" s="536"/>
      <c r="E750" s="642"/>
      <c r="F750" s="642"/>
      <c r="G750" s="642"/>
      <c r="H750" s="642"/>
      <c r="I750" s="642"/>
      <c r="J750" s="642"/>
      <c r="K750" s="642"/>
      <c r="L750" s="642"/>
      <c r="M750" s="642"/>
      <c r="N750" s="642"/>
      <c r="O750" s="642"/>
      <c r="P750" s="642"/>
      <c r="Q750" s="642"/>
      <c r="R750" s="642"/>
      <c r="S750" s="642"/>
      <c r="T750" s="642"/>
      <c r="U750" s="642"/>
      <c r="V750" s="642"/>
      <c r="W750" s="642"/>
      <c r="X750" s="642"/>
      <c r="Y750" s="642"/>
      <c r="Z750" s="642"/>
      <c r="AA750" s="642"/>
      <c r="AB750" s="642"/>
      <c r="AC750" s="594"/>
      <c r="AD750" s="594"/>
      <c r="AE750" s="594"/>
      <c r="AF750" s="594"/>
      <c r="AG750" s="594"/>
      <c r="AH750" s="594"/>
      <c r="AI750" s="594"/>
      <c r="AJ750" s="536"/>
      <c r="AK750" s="536"/>
      <c r="AL750" s="536"/>
      <c r="AM750" s="550"/>
      <c r="AN750" s="684"/>
    </row>
    <row r="751" spans="1:81" s="570" customFormat="1" ht="12.75" customHeight="1">
      <c r="A751" s="550"/>
      <c r="B751" s="536"/>
      <c r="C751" s="931"/>
      <c r="D751" s="536" t="s">
        <v>1400</v>
      </c>
      <c r="E751" s="936"/>
      <c r="F751" s="936"/>
      <c r="G751" s="936"/>
      <c r="H751" s="2528" t="s">
        <v>509</v>
      </c>
      <c r="I751" s="2528"/>
      <c r="J751" s="642"/>
      <c r="K751" s="642"/>
      <c r="L751" s="642"/>
      <c r="M751" s="642"/>
      <c r="N751" s="642"/>
      <c r="O751" s="642"/>
      <c r="P751" s="642"/>
      <c r="Q751" s="642"/>
      <c r="R751" s="642"/>
      <c r="S751" s="642"/>
      <c r="T751" s="642"/>
      <c r="U751" s="642"/>
      <c r="V751" s="642"/>
      <c r="W751" s="642"/>
      <c r="X751" s="642"/>
      <c r="Y751" s="642"/>
      <c r="Z751" s="642"/>
      <c r="AA751" s="642"/>
      <c r="AB751" s="642"/>
      <c r="AC751" s="594"/>
      <c r="AD751" s="594"/>
      <c r="AE751" s="594"/>
      <c r="AF751" s="594"/>
      <c r="AG751" s="594"/>
      <c r="AH751" s="594"/>
      <c r="AI751" s="594"/>
      <c r="AJ751" s="536"/>
      <c r="AK751" s="536"/>
      <c r="AL751" s="536"/>
      <c r="AM751" s="550"/>
      <c r="AN751" s="684"/>
    </row>
    <row r="752" spans="1:81" s="570" customFormat="1" ht="12.75" customHeight="1">
      <c r="A752" s="550"/>
      <c r="B752" s="536"/>
      <c r="C752" s="931"/>
      <c r="D752" s="536"/>
      <c r="E752" s="642"/>
      <c r="F752" s="642"/>
      <c r="G752" s="642"/>
      <c r="H752" s="642"/>
      <c r="I752" s="642"/>
      <c r="J752" s="642"/>
      <c r="K752" s="642"/>
      <c r="L752" s="642"/>
      <c r="M752" s="642"/>
      <c r="N752" s="642"/>
      <c r="O752" s="642"/>
      <c r="P752" s="642"/>
      <c r="Q752" s="642"/>
      <c r="R752" s="642"/>
      <c r="S752" s="642"/>
      <c r="T752" s="642"/>
      <c r="U752" s="642"/>
      <c r="V752" s="642"/>
      <c r="W752" s="642"/>
      <c r="X752" s="642"/>
      <c r="Y752" s="642"/>
      <c r="Z752" s="642"/>
      <c r="AA752" s="642"/>
      <c r="AB752" s="642"/>
      <c r="AC752" s="594"/>
      <c r="AD752" s="594"/>
      <c r="AE752" s="594"/>
      <c r="AF752" s="594"/>
      <c r="AG752" s="594"/>
      <c r="AH752" s="594"/>
      <c r="AI752" s="594"/>
      <c r="AJ752" s="536"/>
      <c r="AK752" s="536"/>
      <c r="AL752" s="536"/>
      <c r="AM752" s="550"/>
      <c r="AN752" s="534"/>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570" customFormat="1">
      <c r="A753" s="606"/>
      <c r="B753" s="601"/>
      <c r="C753" s="944"/>
      <c r="D753" s="601"/>
      <c r="E753" s="954"/>
      <c r="F753" s="954"/>
      <c r="G753" s="954"/>
      <c r="H753" s="954"/>
      <c r="I753" s="954"/>
      <c r="J753" s="954"/>
      <c r="K753" s="954"/>
      <c r="L753" s="954"/>
      <c r="M753" s="954"/>
      <c r="N753" s="954"/>
      <c r="O753" s="954"/>
      <c r="P753" s="954"/>
      <c r="Q753" s="954"/>
      <c r="R753" s="954"/>
      <c r="S753" s="954"/>
      <c r="T753" s="954"/>
      <c r="U753" s="954"/>
      <c r="V753" s="954"/>
      <c r="W753" s="954"/>
      <c r="X753" s="954"/>
      <c r="Y753" s="954"/>
      <c r="Z753" s="954"/>
      <c r="AA753" s="954"/>
      <c r="AB753" s="687"/>
      <c r="AC753" s="687"/>
      <c r="AD753" s="687"/>
      <c r="AE753" s="687"/>
      <c r="AF753" s="687"/>
      <c r="AG753" s="687"/>
      <c r="AH753" s="601"/>
      <c r="AI753" s="565" t="s">
        <v>1444</v>
      </c>
      <c r="AJ753" s="2479">
        <f>VLOOKUP($H$751,$AO$680:$AP$682,2,FALSE)</f>
        <v>2</v>
      </c>
      <c r="AK753" s="2481"/>
      <c r="AL753" s="595"/>
      <c r="AM753" s="550"/>
      <c r="AN753" s="534"/>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570" customFormat="1" ht="12.75" customHeight="1">
      <c r="A754" s="637"/>
      <c r="B754" s="536"/>
      <c r="C754" s="933"/>
      <c r="D754" s="536"/>
      <c r="E754" s="536"/>
      <c r="F754" s="536"/>
      <c r="G754" s="536"/>
      <c r="H754" s="536"/>
      <c r="I754" s="536"/>
      <c r="J754" s="642"/>
      <c r="K754" s="642"/>
      <c r="L754" s="643"/>
      <c r="M754" s="643"/>
      <c r="N754" s="643"/>
      <c r="O754" s="643"/>
      <c r="P754" s="643"/>
      <c r="Q754" s="643"/>
      <c r="R754" s="643"/>
      <c r="S754" s="643"/>
      <c r="T754" s="643"/>
      <c r="U754" s="643"/>
      <c r="V754" s="616"/>
      <c r="W754" s="616"/>
      <c r="X754" s="616"/>
      <c r="Y754" s="616"/>
      <c r="Z754" s="936"/>
      <c r="AA754" s="936"/>
      <c r="AB754" s="936"/>
      <c r="AC754" s="536"/>
      <c r="AD754" s="536"/>
      <c r="AE754" s="536"/>
      <c r="AF754" s="536"/>
      <c r="AG754" s="536"/>
      <c r="AH754" s="536"/>
      <c r="AI754" s="536"/>
      <c r="AJ754" s="536"/>
      <c r="AK754" s="536"/>
      <c r="AL754" s="536"/>
      <c r="AM754" s="550"/>
      <c r="AN754" s="534"/>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570" customFormat="1">
      <c r="A755" s="550"/>
      <c r="B755" s="536"/>
      <c r="C755" s="539" t="s">
        <v>1434</v>
      </c>
      <c r="D755" s="616"/>
      <c r="E755" s="536"/>
      <c r="F755" s="536"/>
      <c r="G755" s="536"/>
      <c r="H755" s="536"/>
      <c r="I755" s="536"/>
      <c r="J755" s="536"/>
      <c r="K755" s="536"/>
      <c r="L755" s="536"/>
      <c r="M755" s="536"/>
      <c r="N755" s="536"/>
      <c r="O755" s="536"/>
      <c r="P755" s="536"/>
      <c r="Q755" s="536"/>
      <c r="R755" s="536"/>
      <c r="S755" s="536"/>
      <c r="T755" s="536"/>
      <c r="U755" s="536"/>
      <c r="V755" s="536"/>
      <c r="W755" s="536"/>
      <c r="X755" s="536"/>
      <c r="Y755" s="536"/>
      <c r="Z755" s="536"/>
      <c r="AA755" s="536"/>
      <c r="AB755" s="536"/>
      <c r="AC755" s="536"/>
      <c r="AD755" s="536"/>
      <c r="AE755" s="536"/>
      <c r="AF755" s="536"/>
      <c r="AG755" s="536"/>
      <c r="AH755" s="536"/>
      <c r="AI755" s="536"/>
      <c r="AJ755" s="536"/>
      <c r="AK755" s="536"/>
      <c r="AL755" s="536"/>
      <c r="AM755" s="550"/>
      <c r="AN755" s="534"/>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570" customFormat="1">
      <c r="A756" s="550"/>
      <c r="B756" s="616"/>
      <c r="C756" s="536"/>
      <c r="D756" s="536"/>
      <c r="E756" s="616"/>
      <c r="F756" s="616"/>
      <c r="G756" s="616"/>
      <c r="H756" s="616"/>
      <c r="I756" s="616"/>
      <c r="J756" s="616"/>
      <c r="K756" s="616"/>
      <c r="L756" s="616"/>
      <c r="M756" s="616"/>
      <c r="N756" s="616"/>
      <c r="O756" s="616"/>
      <c r="P756" s="616"/>
      <c r="Q756" s="616"/>
      <c r="R756" s="616"/>
      <c r="S756" s="616"/>
      <c r="T756" s="616"/>
      <c r="U756" s="616"/>
      <c r="V756" s="616"/>
      <c r="W756" s="616"/>
      <c r="X756" s="616"/>
      <c r="Y756" s="616"/>
      <c r="Z756" s="616"/>
      <c r="AA756" s="616"/>
      <c r="AB756" s="616"/>
      <c r="AC756" s="616"/>
      <c r="AD756" s="616"/>
      <c r="AE756" s="616"/>
      <c r="AF756" s="616"/>
      <c r="AG756" s="616"/>
      <c r="AH756" s="616"/>
      <c r="AI756" s="536"/>
      <c r="AJ756" s="536"/>
      <c r="AK756" s="536"/>
      <c r="AL756" s="536"/>
      <c r="AM756" s="550"/>
      <c r="AN756" s="534"/>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570" customFormat="1">
      <c r="A757" s="550"/>
      <c r="B757" s="536"/>
      <c r="C757" s="931"/>
      <c r="D757" s="663" t="s">
        <v>687</v>
      </c>
      <c r="E757" s="2499" t="s">
        <v>1445</v>
      </c>
      <c r="F757" s="2499"/>
      <c r="G757" s="2499"/>
      <c r="H757" s="2499"/>
      <c r="I757" s="2499"/>
      <c r="J757" s="2499"/>
      <c r="K757" s="2499"/>
      <c r="L757" s="2499"/>
      <c r="M757" s="2499"/>
      <c r="N757" s="2499"/>
      <c r="O757" s="2499"/>
      <c r="P757" s="2499"/>
      <c r="Q757" s="2499"/>
      <c r="R757" s="2499"/>
      <c r="S757" s="2499"/>
      <c r="T757" s="2499"/>
      <c r="U757" s="2499"/>
      <c r="V757" s="2499"/>
      <c r="W757" s="2499"/>
      <c r="X757" s="2499"/>
      <c r="Y757" s="2499"/>
      <c r="Z757" s="2499"/>
      <c r="AA757" s="2499"/>
      <c r="AB757" s="2499"/>
      <c r="AC757" s="536"/>
      <c r="AD757" s="536"/>
      <c r="AE757" s="536"/>
      <c r="AF757" s="2444" t="s">
        <v>1408</v>
      </c>
      <c r="AG757" s="2444"/>
      <c r="AH757" s="2444"/>
      <c r="AI757" s="2444"/>
      <c r="AJ757" s="2444"/>
      <c r="AK757" s="2444"/>
      <c r="AL757" s="2444"/>
      <c r="AM757" s="550"/>
      <c r="AN757" s="534"/>
      <c r="AO757" s="30"/>
      <c r="AP757" s="14"/>
      <c r="AQ757" s="14"/>
      <c r="AR757" s="14"/>
      <c r="AS757" s="14"/>
      <c r="AT757" s="14"/>
      <c r="AU757" s="14"/>
      <c r="AV757" s="14"/>
      <c r="AW757" s="14"/>
      <c r="AX757" s="14"/>
      <c r="AY757" s="14"/>
      <c r="AZ757" s="14"/>
      <c r="BA757" s="14"/>
      <c r="BB757" s="14"/>
      <c r="BC757" s="14"/>
      <c r="BD757" s="32"/>
      <c r="BE757" s="32"/>
      <c r="BF757" s="32"/>
      <c r="BG757" s="32"/>
      <c r="BH757" s="32"/>
      <c r="BI757" s="14"/>
      <c r="BJ757" s="14"/>
      <c r="BK757" s="14"/>
      <c r="BL757" s="14"/>
      <c r="BM757" s="14"/>
      <c r="BN757" s="14"/>
      <c r="BO757" s="14"/>
      <c r="BP757" s="14"/>
      <c r="BQ757" s="14"/>
      <c r="BR757" s="14"/>
      <c r="BS757" s="14"/>
      <c r="BT757" s="14"/>
      <c r="BU757" s="14"/>
      <c r="BV757" s="14"/>
    </row>
    <row r="758" spans="1:74" s="570" customFormat="1">
      <c r="A758" s="550"/>
      <c r="B758" s="536"/>
      <c r="C758" s="933"/>
      <c r="D758" s="663"/>
      <c r="E758" s="2499"/>
      <c r="F758" s="2499"/>
      <c r="G758" s="2499"/>
      <c r="H758" s="2499"/>
      <c r="I758" s="2499"/>
      <c r="J758" s="2499"/>
      <c r="K758" s="2499"/>
      <c r="L758" s="2499"/>
      <c r="M758" s="2499"/>
      <c r="N758" s="2499"/>
      <c r="O758" s="2499"/>
      <c r="P758" s="2499"/>
      <c r="Q758" s="2499"/>
      <c r="R758" s="2499"/>
      <c r="S758" s="2499"/>
      <c r="T758" s="2499"/>
      <c r="U758" s="2499"/>
      <c r="V758" s="2499"/>
      <c r="W758" s="2499"/>
      <c r="X758" s="2499"/>
      <c r="Y758" s="2499"/>
      <c r="Z758" s="2499"/>
      <c r="AA758" s="2499"/>
      <c r="AB758" s="2499"/>
      <c r="AC758" s="536"/>
      <c r="AD758" s="536"/>
      <c r="AE758" s="536"/>
      <c r="AF758" s="536"/>
      <c r="AG758" s="536"/>
      <c r="AH758" s="536"/>
      <c r="AI758" s="536"/>
      <c r="AJ758" s="536"/>
      <c r="AK758" s="536"/>
      <c r="AL758" s="536"/>
      <c r="AM758" s="550"/>
      <c r="AN758" s="534"/>
      <c r="AO758" s="30"/>
      <c r="AP758" s="14"/>
      <c r="AQ758" s="14"/>
      <c r="AR758" s="14"/>
      <c r="AS758" s="14"/>
      <c r="AT758" s="14"/>
      <c r="AU758" s="14"/>
      <c r="AV758" s="14"/>
      <c r="AW758" s="14"/>
      <c r="AX758" s="14"/>
      <c r="AY758" s="14"/>
      <c r="AZ758" s="14"/>
      <c r="BA758" s="14"/>
      <c r="BB758" s="14"/>
      <c r="BC758" s="14"/>
      <c r="BD758" s="32"/>
      <c r="BE758" s="32"/>
      <c r="BF758" s="32"/>
      <c r="BG758" s="32"/>
      <c r="BH758" s="32"/>
      <c r="BI758" s="14"/>
      <c r="BJ758" s="14"/>
      <c r="BK758" s="14"/>
      <c r="BL758" s="14"/>
      <c r="BM758" s="14"/>
      <c r="BN758" s="14"/>
      <c r="BO758" s="14"/>
      <c r="BP758" s="14"/>
      <c r="BQ758" s="14"/>
      <c r="BR758" s="14"/>
      <c r="BS758" s="14"/>
      <c r="BT758" s="14"/>
      <c r="BU758" s="14"/>
      <c r="BV758" s="14"/>
    </row>
    <row r="759" spans="1:74" s="570" customFormat="1">
      <c r="A759" s="550"/>
      <c r="B759" s="616"/>
      <c r="C759" s="940"/>
      <c r="D759" s="663"/>
      <c r="E759" s="616"/>
      <c r="F759" s="616"/>
      <c r="G759" s="616"/>
      <c r="H759" s="616"/>
      <c r="I759" s="616"/>
      <c r="J759" s="616"/>
      <c r="K759" s="616"/>
      <c r="L759" s="616"/>
      <c r="M759" s="616"/>
      <c r="N759" s="616"/>
      <c r="O759" s="616"/>
      <c r="P759" s="616"/>
      <c r="Q759" s="616"/>
      <c r="R759" s="616"/>
      <c r="S759" s="616"/>
      <c r="T759" s="616"/>
      <c r="U759" s="616"/>
      <c r="V759" s="616"/>
      <c r="W759" s="616"/>
      <c r="X759" s="616"/>
      <c r="Y759" s="616"/>
      <c r="Z759" s="616"/>
      <c r="AA759" s="616"/>
      <c r="AB759" s="616"/>
      <c r="AC759" s="536"/>
      <c r="AD759" s="536"/>
      <c r="AE759" s="616"/>
      <c r="AF759" s="616"/>
      <c r="AG759" s="616"/>
      <c r="AH759" s="616"/>
      <c r="AI759" s="616"/>
      <c r="AJ759" s="616"/>
      <c r="AK759" s="536"/>
      <c r="AL759" s="536"/>
      <c r="AM759" s="550"/>
      <c r="AN759" s="534"/>
      <c r="AO759" s="30"/>
      <c r="AP759" s="14"/>
      <c r="AQ759" s="14"/>
      <c r="AR759" s="14"/>
      <c r="AS759" s="14"/>
      <c r="AT759" s="14"/>
      <c r="AU759" s="14"/>
      <c r="AV759" s="14"/>
      <c r="AW759" s="14"/>
      <c r="AX759" s="14"/>
      <c r="AY759" s="14"/>
      <c r="AZ759" s="14"/>
      <c r="BA759" s="14"/>
      <c r="BB759" s="14"/>
      <c r="BC759" s="14"/>
      <c r="BD759" s="32"/>
      <c r="BE759" s="32"/>
      <c r="BF759" s="32"/>
      <c r="BG759" s="32"/>
      <c r="BH759" s="32"/>
      <c r="BI759" s="14"/>
      <c r="BJ759" s="14"/>
      <c r="BK759" s="14"/>
      <c r="BL759" s="14"/>
      <c r="BM759" s="14"/>
      <c r="BN759" s="14"/>
      <c r="BO759" s="14"/>
      <c r="BP759" s="14"/>
      <c r="BQ759" s="14"/>
      <c r="BR759" s="14"/>
      <c r="BS759" s="14"/>
      <c r="BT759" s="14"/>
      <c r="BU759" s="14"/>
      <c r="BV759" s="14"/>
    </row>
    <row r="760" spans="1:74" s="570" customFormat="1">
      <c r="A760" s="637"/>
      <c r="B760" s="536"/>
      <c r="C760" s="931"/>
      <c r="D760" s="663" t="s">
        <v>509</v>
      </c>
      <c r="E760" s="2499" t="s">
        <v>1446</v>
      </c>
      <c r="F760" s="2499"/>
      <c r="G760" s="2499"/>
      <c r="H760" s="2499"/>
      <c r="I760" s="2499"/>
      <c r="J760" s="2499"/>
      <c r="K760" s="2499"/>
      <c r="L760" s="2499"/>
      <c r="M760" s="2499"/>
      <c r="N760" s="2499"/>
      <c r="O760" s="2499"/>
      <c r="P760" s="2499"/>
      <c r="Q760" s="2499"/>
      <c r="R760" s="2499"/>
      <c r="S760" s="2499"/>
      <c r="T760" s="2499"/>
      <c r="U760" s="2499"/>
      <c r="V760" s="2499"/>
      <c r="W760" s="2499"/>
      <c r="X760" s="2499"/>
      <c r="Y760" s="2499"/>
      <c r="Z760" s="2499"/>
      <c r="AA760" s="2499"/>
      <c r="AB760" s="2499"/>
      <c r="AC760" s="536"/>
      <c r="AD760" s="536"/>
      <c r="AE760" s="536"/>
      <c r="AF760" s="2444" t="s">
        <v>1425</v>
      </c>
      <c r="AG760" s="2444"/>
      <c r="AH760" s="2444"/>
      <c r="AI760" s="2444"/>
      <c r="AJ760" s="2444"/>
      <c r="AK760" s="2444"/>
      <c r="AL760" s="2444"/>
      <c r="AM760" s="550"/>
      <c r="AN760" s="534"/>
      <c r="AO760" s="30"/>
      <c r="AP760" s="14"/>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c r="BV760" s="14"/>
    </row>
    <row r="761" spans="1:74" s="570" customFormat="1" ht="12.75" customHeight="1">
      <c r="A761" s="637"/>
      <c r="B761" s="536"/>
      <c r="C761" s="931"/>
      <c r="D761" s="663"/>
      <c r="E761" s="2499"/>
      <c r="F761" s="2499"/>
      <c r="G761" s="2499"/>
      <c r="H761" s="2499"/>
      <c r="I761" s="2499"/>
      <c r="J761" s="2499"/>
      <c r="K761" s="2499"/>
      <c r="L761" s="2499"/>
      <c r="M761" s="2499"/>
      <c r="N761" s="2499"/>
      <c r="O761" s="2499"/>
      <c r="P761" s="2499"/>
      <c r="Q761" s="2499"/>
      <c r="R761" s="2499"/>
      <c r="S761" s="2499"/>
      <c r="T761" s="2499"/>
      <c r="U761" s="2499"/>
      <c r="V761" s="2499"/>
      <c r="W761" s="2499"/>
      <c r="X761" s="2499"/>
      <c r="Y761" s="2499"/>
      <c r="Z761" s="2499"/>
      <c r="AA761" s="2499"/>
      <c r="AB761" s="2499"/>
      <c r="AC761" s="536"/>
      <c r="AD761" s="536"/>
      <c r="AE761" s="594"/>
      <c r="AF761" s="536"/>
      <c r="AG761" s="536"/>
      <c r="AH761" s="536"/>
      <c r="AI761" s="536"/>
      <c r="AJ761" s="536"/>
      <c r="AK761" s="536"/>
      <c r="AL761" s="536"/>
      <c r="AM761" s="550"/>
      <c r="AN761" s="534"/>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c r="BV761" s="14"/>
    </row>
    <row r="762" spans="1:74" s="570" customFormat="1">
      <c r="A762" s="550"/>
      <c r="B762" s="536"/>
      <c r="C762" s="933"/>
      <c r="D762" s="536"/>
      <c r="E762" s="643"/>
      <c r="F762" s="643"/>
      <c r="G762" s="643"/>
      <c r="H762" s="643"/>
      <c r="I762" s="643"/>
      <c r="J762" s="643"/>
      <c r="K762" s="643"/>
      <c r="L762" s="643"/>
      <c r="M762" s="643"/>
      <c r="N762" s="643"/>
      <c r="O762" s="643"/>
      <c r="P762" s="643"/>
      <c r="Q762" s="643"/>
      <c r="R762" s="643"/>
      <c r="S762" s="643"/>
      <c r="T762" s="643"/>
      <c r="U762" s="643"/>
      <c r="V762" s="643"/>
      <c r="W762" s="643"/>
      <c r="X762" s="643"/>
      <c r="Y762" s="643"/>
      <c r="Z762" s="643"/>
      <c r="AA762" s="643"/>
      <c r="AB762" s="643"/>
      <c r="AC762" s="536"/>
      <c r="AD762" s="536"/>
      <c r="AE762" s="616"/>
      <c r="AF762" s="616"/>
      <c r="AG762" s="616"/>
      <c r="AH762" s="616"/>
      <c r="AI762" s="536"/>
      <c r="AJ762" s="536"/>
      <c r="AK762" s="536"/>
      <c r="AL762" s="536"/>
      <c r="AM762" s="550"/>
      <c r="AN762" s="534"/>
      <c r="AO762" s="30"/>
      <c r="AP762" s="14"/>
      <c r="AQ762" s="14"/>
      <c r="AR762" s="14"/>
      <c r="AS762" s="14"/>
      <c r="AT762" s="14"/>
      <c r="AU762" s="14"/>
      <c r="AV762" s="14"/>
      <c r="AW762" s="14"/>
      <c r="AX762" s="14"/>
      <c r="AY762" s="14"/>
      <c r="AZ762" s="14"/>
      <c r="BA762" s="14"/>
      <c r="BB762" s="14"/>
      <c r="BC762" s="14"/>
      <c r="BD762" s="32"/>
      <c r="BE762" s="32"/>
      <c r="BF762" s="32"/>
      <c r="BG762" s="32"/>
      <c r="BH762" s="32"/>
      <c r="BI762" s="14"/>
      <c r="BJ762" s="14"/>
      <c r="BK762" s="14"/>
      <c r="BL762" s="14"/>
      <c r="BM762" s="14"/>
      <c r="BN762" s="14"/>
      <c r="BO762" s="14"/>
      <c r="BP762" s="14"/>
      <c r="BQ762" s="14"/>
      <c r="BR762" s="14"/>
      <c r="BS762" s="14"/>
      <c r="BT762" s="14"/>
      <c r="BU762" s="14"/>
      <c r="BV762" s="14"/>
    </row>
    <row r="763" spans="1:74" s="570" customFormat="1" ht="12.75" customHeight="1">
      <c r="A763" s="550"/>
      <c r="B763" s="536"/>
      <c r="C763" s="536"/>
      <c r="D763" s="536" t="s">
        <v>1400</v>
      </c>
      <c r="E763" s="936"/>
      <c r="F763" s="936"/>
      <c r="G763" s="936"/>
      <c r="H763" s="2528" t="s">
        <v>509</v>
      </c>
      <c r="I763" s="2528"/>
      <c r="J763" s="643"/>
      <c r="K763" s="643"/>
      <c r="L763" s="643"/>
      <c r="M763" s="643"/>
      <c r="N763" s="643"/>
      <c r="O763" s="643"/>
      <c r="P763" s="643"/>
      <c r="Q763" s="536"/>
      <c r="R763" s="536"/>
      <c r="S763" s="536"/>
      <c r="T763" s="536"/>
      <c r="U763" s="536"/>
      <c r="V763" s="536"/>
      <c r="W763" s="643"/>
      <c r="X763" s="643"/>
      <c r="Y763" s="643"/>
      <c r="Z763" s="643"/>
      <c r="AA763" s="643"/>
      <c r="AB763" s="643"/>
      <c r="AC763" s="536"/>
      <c r="AD763" s="536"/>
      <c r="AE763" s="616"/>
      <c r="AF763" s="616"/>
      <c r="AG763" s="616"/>
      <c r="AH763" s="616"/>
      <c r="AI763" s="536"/>
      <c r="AJ763" s="536"/>
      <c r="AK763" s="536"/>
      <c r="AL763" s="536"/>
      <c r="AM763" s="550"/>
      <c r="AN763" s="534"/>
      <c r="AO763" s="30"/>
      <c r="AP763" s="14"/>
      <c r="AQ763" s="14"/>
      <c r="AR763" s="14"/>
      <c r="AS763" s="14"/>
      <c r="AT763" s="14"/>
      <c r="AU763" s="14"/>
      <c r="AV763" s="14"/>
      <c r="AW763" s="14"/>
      <c r="AX763" s="14"/>
      <c r="AY763" s="14"/>
      <c r="AZ763" s="14"/>
      <c r="BA763" s="14"/>
      <c r="BB763" s="14"/>
      <c r="BC763" s="14"/>
      <c r="BD763" s="32"/>
      <c r="BE763" s="32"/>
      <c r="BF763" s="32"/>
      <c r="BG763" s="32"/>
      <c r="BH763" s="32"/>
      <c r="BI763" s="14"/>
      <c r="BJ763" s="14"/>
      <c r="BK763" s="14"/>
      <c r="BL763" s="14"/>
      <c r="BM763" s="14"/>
      <c r="BN763" s="14"/>
      <c r="BO763" s="14"/>
      <c r="BP763" s="14"/>
      <c r="BQ763" s="14"/>
      <c r="BR763" s="14"/>
      <c r="BS763" s="14"/>
      <c r="BT763" s="14"/>
      <c r="BU763" s="14"/>
      <c r="BV763" s="14"/>
    </row>
    <row r="764" spans="1:74" s="570" customFormat="1" ht="12.75" customHeight="1">
      <c r="A764" s="550"/>
      <c r="B764" s="616"/>
      <c r="C764" s="940"/>
      <c r="D764" s="616"/>
      <c r="E764" s="616"/>
      <c r="F764" s="616"/>
      <c r="G764" s="616"/>
      <c r="H764" s="616"/>
      <c r="I764" s="616"/>
      <c r="J764" s="616"/>
      <c r="K764" s="616"/>
      <c r="L764" s="616"/>
      <c r="M764" s="616"/>
      <c r="N764" s="616"/>
      <c r="O764" s="616"/>
      <c r="P764" s="616"/>
      <c r="Q764" s="616"/>
      <c r="R764" s="616"/>
      <c r="S764" s="616"/>
      <c r="T764" s="616"/>
      <c r="U764" s="616"/>
      <c r="V764" s="616"/>
      <c r="W764" s="616"/>
      <c r="X764" s="616"/>
      <c r="Y764" s="616"/>
      <c r="Z764" s="616"/>
      <c r="AA764" s="616"/>
      <c r="AB764" s="616"/>
      <c r="AC764" s="616"/>
      <c r="AD764" s="616"/>
      <c r="AE764" s="616"/>
      <c r="AF764" s="616"/>
      <c r="AG764" s="616"/>
      <c r="AH764" s="616"/>
      <c r="AI764" s="536"/>
      <c r="AJ764" s="536"/>
      <c r="AK764" s="536"/>
      <c r="AL764" s="536"/>
      <c r="AM764" s="550"/>
      <c r="AN764" s="534"/>
      <c r="AO764" s="30"/>
      <c r="AP764" s="14"/>
      <c r="AQ764" s="14"/>
      <c r="AR764" s="14"/>
      <c r="AS764" s="14"/>
      <c r="AT764" s="14"/>
      <c r="AU764" s="14"/>
      <c r="AV764" s="14"/>
      <c r="AW764" s="14"/>
      <c r="AX764" s="14"/>
      <c r="AY764" s="14"/>
      <c r="AZ764" s="14"/>
      <c r="BA764" s="14"/>
      <c r="BB764" s="14"/>
      <c r="BC764" s="14"/>
      <c r="BD764" s="32"/>
      <c r="BE764" s="32"/>
      <c r="BF764" s="32"/>
      <c r="BG764" s="32"/>
      <c r="BH764" s="32"/>
      <c r="BI764" s="14"/>
      <c r="BJ764" s="14"/>
      <c r="BK764" s="14"/>
      <c r="BL764" s="14"/>
      <c r="BM764" s="14"/>
      <c r="BN764" s="14"/>
      <c r="BO764" s="14"/>
      <c r="BP764" s="14"/>
      <c r="BQ764" s="14"/>
      <c r="BR764" s="14"/>
      <c r="BS764" s="14"/>
      <c r="BT764" s="14"/>
      <c r="BU764" s="14"/>
      <c r="BV764" s="14"/>
    </row>
    <row r="765" spans="1:74" s="570" customFormat="1" ht="13.9" customHeight="1">
      <c r="A765" s="606"/>
      <c r="B765" s="665"/>
      <c r="C765" s="955"/>
      <c r="D765" s="665"/>
      <c r="E765" s="665"/>
      <c r="F765" s="665"/>
      <c r="G765" s="665"/>
      <c r="H765" s="665"/>
      <c r="I765" s="665"/>
      <c r="J765" s="665"/>
      <c r="K765" s="665"/>
      <c r="L765" s="665"/>
      <c r="M765" s="665"/>
      <c r="N765" s="665"/>
      <c r="O765" s="665"/>
      <c r="P765" s="665"/>
      <c r="Q765" s="665"/>
      <c r="R765" s="665"/>
      <c r="S765" s="665"/>
      <c r="T765" s="665"/>
      <c r="U765" s="665"/>
      <c r="V765" s="665"/>
      <c r="W765" s="665"/>
      <c r="X765" s="665"/>
      <c r="Y765" s="665"/>
      <c r="Z765" s="665"/>
      <c r="AA765" s="665"/>
      <c r="AB765" s="665"/>
      <c r="AC765" s="665"/>
      <c r="AD765" s="665"/>
      <c r="AE765" s="665"/>
      <c r="AF765" s="665"/>
      <c r="AG765" s="665"/>
      <c r="AH765" s="601"/>
      <c r="AI765" s="565" t="s">
        <v>1447</v>
      </c>
      <c r="AJ765" s="2479">
        <f>VLOOKUP($H$763,$AO$697:$AP$699,2,FALSE)</f>
        <v>1</v>
      </c>
      <c r="AK765" s="2481"/>
      <c r="AL765" s="595"/>
      <c r="AM765" s="550"/>
      <c r="AN765" s="534"/>
      <c r="AO765" s="30"/>
      <c r="AP765" s="14"/>
      <c r="AQ765" s="14"/>
      <c r="AR765" s="14"/>
      <c r="AS765" s="14"/>
      <c r="AT765" s="14"/>
      <c r="AU765" s="14"/>
      <c r="AV765" s="14"/>
      <c r="AW765" s="14"/>
      <c r="AX765" s="14"/>
      <c r="AY765" s="14"/>
      <c r="AZ765" s="14"/>
      <c r="BA765" s="14"/>
      <c r="BB765" s="14"/>
      <c r="BC765" s="14"/>
      <c r="BD765" s="32"/>
      <c r="BE765" s="32"/>
      <c r="BF765" s="32"/>
      <c r="BG765" s="32"/>
      <c r="BH765" s="32"/>
      <c r="BI765" s="14"/>
      <c r="BJ765" s="14"/>
      <c r="BK765" s="14"/>
      <c r="BL765" s="14"/>
      <c r="BM765" s="14"/>
      <c r="BN765" s="14"/>
      <c r="BO765" s="14"/>
      <c r="BP765" s="14"/>
      <c r="BQ765" s="14"/>
      <c r="BR765" s="14"/>
      <c r="BS765" s="14"/>
      <c r="BT765" s="14"/>
      <c r="BU765" s="14"/>
      <c r="BV765" s="14"/>
    </row>
    <row r="766" spans="1:74" s="570" customFormat="1">
      <c r="A766" s="550"/>
      <c r="B766" s="616"/>
      <c r="C766" s="940"/>
      <c r="D766" s="616"/>
      <c r="E766" s="616"/>
      <c r="F766" s="616"/>
      <c r="G766" s="616"/>
      <c r="H766" s="616"/>
      <c r="I766" s="616"/>
      <c r="J766" s="616"/>
      <c r="K766" s="616"/>
      <c r="L766" s="616"/>
      <c r="M766" s="616"/>
      <c r="N766" s="616"/>
      <c r="O766" s="616"/>
      <c r="P766" s="616"/>
      <c r="Q766" s="616"/>
      <c r="R766" s="616"/>
      <c r="S766" s="616"/>
      <c r="T766" s="616"/>
      <c r="U766" s="616"/>
      <c r="V766" s="616"/>
      <c r="W766" s="616"/>
      <c r="X766" s="616"/>
      <c r="Y766" s="616"/>
      <c r="Z766" s="616"/>
      <c r="AA766" s="616"/>
      <c r="AB766" s="616"/>
      <c r="AC766" s="616"/>
      <c r="AD766" s="616"/>
      <c r="AE766" s="616"/>
      <c r="AF766" s="616"/>
      <c r="AG766" s="616"/>
      <c r="AH766" s="536"/>
      <c r="AI766" s="543"/>
      <c r="AJ766" s="595"/>
      <c r="AK766" s="595"/>
      <c r="AL766" s="595"/>
      <c r="AM766" s="550"/>
      <c r="AN766" s="534"/>
      <c r="AO766" s="30"/>
      <c r="AP766" s="14"/>
      <c r="AQ766" s="14"/>
      <c r="AR766" s="14"/>
      <c r="AS766" s="14"/>
      <c r="AT766" s="14"/>
      <c r="AU766" s="14"/>
      <c r="AV766" s="14"/>
      <c r="AW766" s="14"/>
      <c r="AX766" s="14"/>
      <c r="AY766" s="14"/>
      <c r="AZ766" s="14"/>
      <c r="BA766" s="14"/>
      <c r="BB766" s="14"/>
      <c r="BC766" s="14"/>
      <c r="BD766" s="32"/>
      <c r="BE766" s="32"/>
      <c r="BF766" s="32"/>
      <c r="BG766" s="32"/>
      <c r="BH766" s="32"/>
      <c r="BI766" s="14"/>
      <c r="BJ766" s="14"/>
      <c r="BK766" s="14"/>
      <c r="BL766" s="14"/>
      <c r="BM766" s="14"/>
      <c r="BN766" s="14"/>
      <c r="BO766" s="14"/>
      <c r="BP766" s="14"/>
      <c r="BQ766" s="14"/>
      <c r="BR766" s="14"/>
      <c r="BS766" s="14"/>
      <c r="BT766" s="14"/>
      <c r="BU766" s="14"/>
      <c r="BV766" s="14"/>
    </row>
    <row r="767" spans="1:74" s="570" customFormat="1">
      <c r="A767" s="550"/>
      <c r="B767" s="616"/>
      <c r="C767" s="539" t="s">
        <v>1436</v>
      </c>
      <c r="D767" s="616"/>
      <c r="E767" s="616"/>
      <c r="F767" s="616"/>
      <c r="G767" s="616"/>
      <c r="H767" s="616"/>
      <c r="I767" s="616"/>
      <c r="J767" s="616"/>
      <c r="K767" s="616"/>
      <c r="L767" s="616"/>
      <c r="M767" s="616"/>
      <c r="N767" s="616"/>
      <c r="O767" s="616"/>
      <c r="P767" s="616"/>
      <c r="Q767" s="616"/>
      <c r="R767" s="616"/>
      <c r="S767" s="616"/>
      <c r="T767" s="616"/>
      <c r="U767" s="616"/>
      <c r="V767" s="616"/>
      <c r="W767" s="616"/>
      <c r="X767" s="616"/>
      <c r="Y767" s="616"/>
      <c r="Z767" s="616"/>
      <c r="AA767" s="616"/>
      <c r="AB767" s="616"/>
      <c r="AC767" s="616"/>
      <c r="AD767" s="616"/>
      <c r="AE767" s="616"/>
      <c r="AF767" s="616"/>
      <c r="AG767" s="616"/>
      <c r="AH767" s="536"/>
      <c r="AI767" s="543"/>
      <c r="AJ767" s="595"/>
      <c r="AK767" s="595"/>
      <c r="AL767" s="595"/>
      <c r="AM767" s="550"/>
      <c r="AN767" s="534"/>
      <c r="AO767" s="30"/>
      <c r="AP767" s="14"/>
      <c r="AQ767" s="14"/>
      <c r="AR767" s="14"/>
      <c r="AS767" s="14"/>
      <c r="AT767" s="14"/>
      <c r="AU767" s="14"/>
      <c r="AV767" s="14"/>
      <c r="AW767" s="14"/>
      <c r="AX767" s="14"/>
      <c r="AY767" s="14"/>
      <c r="AZ767" s="14"/>
      <c r="BA767" s="14"/>
      <c r="BB767" s="14"/>
      <c r="BC767" s="14"/>
      <c r="BD767" s="32"/>
      <c r="BE767" s="32"/>
      <c r="BF767" s="32"/>
      <c r="BG767" s="32"/>
      <c r="BH767" s="32"/>
      <c r="BI767" s="14"/>
      <c r="BJ767" s="14"/>
      <c r="BK767" s="14"/>
      <c r="BL767" s="14"/>
      <c r="BM767" s="14"/>
      <c r="BN767" s="14"/>
      <c r="BO767" s="14"/>
      <c r="BP767" s="14"/>
      <c r="BQ767" s="14"/>
      <c r="BR767" s="14"/>
      <c r="BS767" s="14"/>
      <c r="BT767" s="14"/>
      <c r="BU767" s="14"/>
      <c r="BV767" s="14"/>
    </row>
    <row r="768" spans="1:74" s="570" customFormat="1">
      <c r="A768" s="550"/>
      <c r="B768" s="616"/>
      <c r="C768" s="940"/>
      <c r="D768" s="616"/>
      <c r="E768" s="616"/>
      <c r="F768" s="616"/>
      <c r="G768" s="616"/>
      <c r="H768" s="616"/>
      <c r="I768" s="616"/>
      <c r="J768" s="616"/>
      <c r="K768" s="616"/>
      <c r="L768" s="616"/>
      <c r="M768" s="616"/>
      <c r="N768" s="616"/>
      <c r="O768" s="616"/>
      <c r="P768" s="616"/>
      <c r="Q768" s="616"/>
      <c r="R768" s="616"/>
      <c r="S768" s="616"/>
      <c r="T768" s="616"/>
      <c r="U768" s="616"/>
      <c r="V768" s="616"/>
      <c r="W768" s="616"/>
      <c r="X768" s="616"/>
      <c r="Y768" s="616"/>
      <c r="Z768" s="616"/>
      <c r="AA768" s="616"/>
      <c r="AB768" s="616"/>
      <c r="AC768" s="616"/>
      <c r="AD768" s="616"/>
      <c r="AE768" s="616"/>
      <c r="AF768" s="616"/>
      <c r="AG768" s="616"/>
      <c r="AH768" s="536"/>
      <c r="AI768" s="543"/>
      <c r="AJ768" s="595"/>
      <c r="AK768" s="595"/>
      <c r="AL768" s="595"/>
      <c r="AM768" s="550"/>
      <c r="AN768" s="684"/>
    </row>
    <row r="769" spans="1:81" s="570" customFormat="1" ht="13.7" customHeight="1">
      <c r="A769" s="550"/>
      <c r="B769" s="616"/>
      <c r="C769" s="940"/>
      <c r="D769" s="663" t="s">
        <v>687</v>
      </c>
      <c r="E769" s="2499" t="s">
        <v>1692</v>
      </c>
      <c r="F769" s="2499"/>
      <c r="G769" s="2499"/>
      <c r="H769" s="2499"/>
      <c r="I769" s="2499"/>
      <c r="J769" s="2499"/>
      <c r="K769" s="2499"/>
      <c r="L769" s="2499"/>
      <c r="M769" s="2499"/>
      <c r="N769" s="2499"/>
      <c r="O769" s="2499"/>
      <c r="P769" s="2499"/>
      <c r="Q769" s="2499"/>
      <c r="R769" s="2499"/>
      <c r="S769" s="2499"/>
      <c r="T769" s="2499"/>
      <c r="U769" s="2499"/>
      <c r="V769" s="2499"/>
      <c r="W769" s="2499"/>
      <c r="X769" s="2499"/>
      <c r="Y769" s="2499"/>
      <c r="Z769" s="2499"/>
      <c r="AA769" s="2499"/>
      <c r="AB769" s="2499"/>
      <c r="AC769" s="2499"/>
      <c r="AD769" s="2499"/>
      <c r="AE769" s="536"/>
      <c r="AF769" s="2444" t="s">
        <v>1408</v>
      </c>
      <c r="AG769" s="2444"/>
      <c r="AH769" s="2444"/>
      <c r="AI769" s="2444"/>
      <c r="AJ769" s="2444"/>
      <c r="AK769" s="2444"/>
      <c r="AL769" s="2444"/>
      <c r="AM769" s="613"/>
      <c r="AN769" s="684"/>
      <c r="AO769" s="550" t="s">
        <v>591</v>
      </c>
      <c r="AP769" s="673">
        <v>0</v>
      </c>
    </row>
    <row r="770" spans="1:81" s="570" customFormat="1" ht="13.7" customHeight="1">
      <c r="A770" s="550"/>
      <c r="B770" s="616"/>
      <c r="C770" s="940"/>
      <c r="D770" s="663"/>
      <c r="E770" s="2499"/>
      <c r="F770" s="2499"/>
      <c r="G770" s="2499"/>
      <c r="H770" s="2499"/>
      <c r="I770" s="2499"/>
      <c r="J770" s="2499"/>
      <c r="K770" s="2499"/>
      <c r="L770" s="2499"/>
      <c r="M770" s="2499"/>
      <c r="N770" s="2499"/>
      <c r="O770" s="2499"/>
      <c r="P770" s="2499"/>
      <c r="Q770" s="2499"/>
      <c r="R770" s="2499"/>
      <c r="S770" s="2499"/>
      <c r="T770" s="2499"/>
      <c r="U770" s="2499"/>
      <c r="V770" s="2499"/>
      <c r="W770" s="2499"/>
      <c r="X770" s="2499"/>
      <c r="Y770" s="2499"/>
      <c r="Z770" s="2499"/>
      <c r="AA770" s="2499"/>
      <c r="AB770" s="2499"/>
      <c r="AC770" s="2499"/>
      <c r="AD770" s="2499"/>
      <c r="AE770" s="536"/>
      <c r="AF770" s="594"/>
      <c r="AG770" s="594"/>
      <c r="AH770" s="594"/>
      <c r="AI770" s="594"/>
      <c r="AJ770" s="594"/>
      <c r="AK770" s="594"/>
      <c r="AL770" s="594"/>
      <c r="AM770" s="613"/>
      <c r="AN770" s="684"/>
      <c r="AO770" s="611" t="s">
        <v>687</v>
      </c>
      <c r="AP770" s="550">
        <v>2</v>
      </c>
    </row>
    <row r="771" spans="1:81" s="570" customFormat="1">
      <c r="A771" s="550"/>
      <c r="B771" s="616"/>
      <c r="C771" s="940"/>
      <c r="D771" s="663"/>
      <c r="E771" s="2499"/>
      <c r="F771" s="2499"/>
      <c r="G771" s="2499"/>
      <c r="H771" s="2499"/>
      <c r="I771" s="2499"/>
      <c r="J771" s="2499"/>
      <c r="K771" s="2499"/>
      <c r="L771" s="2499"/>
      <c r="M771" s="2499"/>
      <c r="N771" s="2499"/>
      <c r="O771" s="2499"/>
      <c r="P771" s="2499"/>
      <c r="Q771" s="2499"/>
      <c r="R771" s="2499"/>
      <c r="S771" s="2499"/>
      <c r="T771" s="2499"/>
      <c r="U771" s="2499"/>
      <c r="V771" s="2499"/>
      <c r="W771" s="2499"/>
      <c r="X771" s="2499"/>
      <c r="Y771" s="2499"/>
      <c r="Z771" s="2499"/>
      <c r="AA771" s="2499"/>
      <c r="AB771" s="2499"/>
      <c r="AC771" s="2499"/>
      <c r="AD771" s="2499"/>
      <c r="AE771" s="536"/>
      <c r="AF771" s="536"/>
      <c r="AG771" s="536"/>
      <c r="AH771" s="536"/>
      <c r="AI771" s="536"/>
      <c r="AJ771" s="536"/>
      <c r="AK771" s="536"/>
      <c r="AL771" s="594"/>
      <c r="AM771" s="613"/>
      <c r="AN771" s="534"/>
      <c r="AO771" s="611" t="s">
        <v>509</v>
      </c>
      <c r="AP771" s="550">
        <v>3</v>
      </c>
      <c r="AQ771" s="14"/>
      <c r="AR771" s="14"/>
      <c r="AS771" s="14"/>
      <c r="AT771" s="14"/>
      <c r="AU771" s="14"/>
      <c r="AV771" s="14"/>
      <c r="AW771" s="14"/>
      <c r="AX771" s="14"/>
      <c r="AY771" s="14"/>
      <c r="AZ771" s="14"/>
      <c r="BA771" s="14"/>
      <c r="BB771" s="14"/>
      <c r="BC771" s="14"/>
      <c r="BD771" s="32"/>
      <c r="BE771" s="32"/>
      <c r="BF771" s="32"/>
      <c r="BG771" s="32"/>
      <c r="BH771" s="32"/>
      <c r="BI771" s="14"/>
      <c r="BJ771" s="14"/>
      <c r="BK771" s="14"/>
      <c r="BL771" s="14"/>
      <c r="BM771" s="14"/>
      <c r="BN771" s="14"/>
      <c r="BO771" s="14"/>
      <c r="BP771" s="14"/>
      <c r="BQ771" s="14"/>
      <c r="BR771" s="14"/>
      <c r="BS771" s="14"/>
      <c r="BT771" s="14"/>
      <c r="BU771" s="14"/>
    </row>
    <row r="772" spans="1:81" s="570" customFormat="1" ht="18.600000000000001" customHeight="1">
      <c r="A772" s="550"/>
      <c r="B772" s="616"/>
      <c r="C772" s="940"/>
      <c r="D772" s="663"/>
      <c r="E772" s="2499"/>
      <c r="F772" s="2499"/>
      <c r="G772" s="2499"/>
      <c r="H772" s="2499"/>
      <c r="I772" s="2499"/>
      <c r="J772" s="2499"/>
      <c r="K772" s="2499"/>
      <c r="L772" s="2499"/>
      <c r="M772" s="2499"/>
      <c r="N772" s="2499"/>
      <c r="O772" s="2499"/>
      <c r="P772" s="2499"/>
      <c r="Q772" s="2499"/>
      <c r="R772" s="2499"/>
      <c r="S772" s="2499"/>
      <c r="T772" s="2499"/>
      <c r="U772" s="2499"/>
      <c r="V772" s="2499"/>
      <c r="W772" s="2499"/>
      <c r="X772" s="2499"/>
      <c r="Y772" s="2499"/>
      <c r="Z772" s="2499"/>
      <c r="AA772" s="2499"/>
      <c r="AB772" s="2499"/>
      <c r="AC772" s="2499"/>
      <c r="AD772" s="2499"/>
      <c r="AE772" s="594"/>
      <c r="AF772" s="594"/>
      <c r="AG772" s="594"/>
      <c r="AH772" s="594"/>
      <c r="AI772" s="594"/>
      <c r="AJ772" s="594"/>
      <c r="AK772" s="594"/>
      <c r="AL772" s="594"/>
      <c r="AM772" s="613"/>
      <c r="AN772" s="534"/>
      <c r="AO772" s="30"/>
      <c r="AP772" s="14"/>
      <c r="AQ772" s="14"/>
      <c r="AR772" s="14"/>
      <c r="AS772" s="14"/>
      <c r="AT772" s="14"/>
      <c r="AU772" s="14"/>
      <c r="AV772" s="14"/>
      <c r="AW772" s="14"/>
      <c r="AX772" s="14"/>
      <c r="AY772" s="14"/>
      <c r="AZ772" s="14"/>
      <c r="BA772" s="14"/>
      <c r="BB772" s="14"/>
      <c r="BC772" s="14"/>
      <c r="BD772" s="32"/>
      <c r="BE772" s="32"/>
      <c r="BF772" s="32"/>
      <c r="BG772" s="32"/>
      <c r="BH772" s="32"/>
      <c r="BI772" s="14"/>
      <c r="BJ772" s="14"/>
      <c r="BK772" s="14"/>
      <c r="BL772" s="14"/>
      <c r="BM772" s="14"/>
      <c r="BN772" s="14"/>
      <c r="BO772" s="14"/>
      <c r="BP772" s="14"/>
      <c r="BQ772" s="14"/>
      <c r="BR772" s="14"/>
      <c r="BS772" s="14"/>
      <c r="BT772" s="14"/>
      <c r="BU772" s="14"/>
    </row>
    <row r="773" spans="1:81" s="550" customFormat="1" ht="12.75" customHeight="1">
      <c r="B773" s="616"/>
      <c r="C773" s="940"/>
      <c r="D773" s="663"/>
      <c r="E773" s="908"/>
      <c r="F773" s="908"/>
      <c r="G773" s="908"/>
      <c r="H773" s="908"/>
      <c r="I773" s="908"/>
      <c r="J773" s="908"/>
      <c r="K773" s="908"/>
      <c r="L773" s="908"/>
      <c r="M773" s="908"/>
      <c r="N773" s="908"/>
      <c r="O773" s="908"/>
      <c r="P773" s="908"/>
      <c r="Q773" s="908"/>
      <c r="R773" s="908"/>
      <c r="S773" s="908"/>
      <c r="T773" s="908"/>
      <c r="U773" s="908"/>
      <c r="V773" s="908"/>
      <c r="W773" s="908"/>
      <c r="X773" s="908"/>
      <c r="Y773" s="908"/>
      <c r="Z773" s="908"/>
      <c r="AA773" s="908"/>
      <c r="AB773" s="908"/>
      <c r="AC773" s="908"/>
      <c r="AD773" s="908"/>
      <c r="AE773" s="594"/>
      <c r="AF773" s="536"/>
      <c r="AG773" s="536"/>
      <c r="AH773" s="536"/>
      <c r="AI773" s="536"/>
      <c r="AJ773" s="536"/>
      <c r="AK773" s="536"/>
      <c r="AL773" s="536"/>
      <c r="AM773" s="613"/>
      <c r="AN773" s="597"/>
    </row>
    <row r="774" spans="1:81" s="550" customFormat="1" ht="12.75" customHeight="1">
      <c r="B774" s="616"/>
      <c r="C774" s="940"/>
      <c r="D774" s="663" t="s">
        <v>509</v>
      </c>
      <c r="E774" s="2538" t="s">
        <v>1697</v>
      </c>
      <c r="F774" s="2538"/>
      <c r="G774" s="2538"/>
      <c r="H774" s="2538"/>
      <c r="I774" s="2538"/>
      <c r="J774" s="2538"/>
      <c r="K774" s="2538"/>
      <c r="L774" s="2538"/>
      <c r="M774" s="2538"/>
      <c r="N774" s="2538"/>
      <c r="O774" s="2538"/>
      <c r="P774" s="2538"/>
      <c r="Q774" s="2538"/>
      <c r="R774" s="2538"/>
      <c r="S774" s="2538"/>
      <c r="T774" s="2538"/>
      <c r="U774" s="2538"/>
      <c r="V774" s="2538"/>
      <c r="W774" s="2538"/>
      <c r="X774" s="2538"/>
      <c r="Y774" s="2538"/>
      <c r="Z774" s="2538"/>
      <c r="AA774" s="2538"/>
      <c r="AB774" s="2538"/>
      <c r="AC774" s="2538"/>
      <c r="AD774" s="2538"/>
      <c r="AE774" s="536"/>
      <c r="AF774" s="2444" t="s">
        <v>1352</v>
      </c>
      <c r="AG774" s="2444"/>
      <c r="AH774" s="2444"/>
      <c r="AI774" s="2444"/>
      <c r="AJ774" s="2444"/>
      <c r="AK774" s="2444"/>
      <c r="AL774" s="2444"/>
      <c r="AM774" s="613"/>
      <c r="AN774" s="597"/>
    </row>
    <row r="775" spans="1:81" s="550" customFormat="1" ht="12.75" customHeight="1">
      <c r="B775" s="616"/>
      <c r="C775" s="940"/>
      <c r="D775" s="663"/>
      <c r="E775" s="2538"/>
      <c r="F775" s="2538"/>
      <c r="G775" s="2538"/>
      <c r="H775" s="2538"/>
      <c r="I775" s="2538"/>
      <c r="J775" s="2538"/>
      <c r="K775" s="2538"/>
      <c r="L775" s="2538"/>
      <c r="M775" s="2538"/>
      <c r="N775" s="2538"/>
      <c r="O775" s="2538"/>
      <c r="P775" s="2538"/>
      <c r="Q775" s="2538"/>
      <c r="R775" s="2538"/>
      <c r="S775" s="2538"/>
      <c r="T775" s="2538"/>
      <c r="U775" s="2538"/>
      <c r="V775" s="2538"/>
      <c r="W775" s="2538"/>
      <c r="X775" s="2538"/>
      <c r="Y775" s="2538"/>
      <c r="Z775" s="2538"/>
      <c r="AA775" s="2538"/>
      <c r="AB775" s="2538"/>
      <c r="AC775" s="2538"/>
      <c r="AD775" s="2538"/>
      <c r="AE775" s="594"/>
      <c r="AF775" s="594"/>
      <c r="AG775" s="594"/>
      <c r="AH775" s="594"/>
      <c r="AI775" s="594"/>
      <c r="AJ775" s="594"/>
      <c r="AK775" s="594"/>
      <c r="AL775" s="594"/>
      <c r="AM775" s="613"/>
      <c r="AN775" s="597"/>
    </row>
    <row r="776" spans="1:81" s="550" customFormat="1" ht="12.75" customHeight="1">
      <c r="B776" s="616"/>
      <c r="C776" s="940"/>
      <c r="D776" s="663"/>
      <c r="E776" s="2538"/>
      <c r="F776" s="2538"/>
      <c r="G776" s="2538"/>
      <c r="H776" s="2538"/>
      <c r="I776" s="2538"/>
      <c r="J776" s="2538"/>
      <c r="K776" s="2538"/>
      <c r="L776" s="2538"/>
      <c r="M776" s="2538"/>
      <c r="N776" s="2538"/>
      <c r="O776" s="2538"/>
      <c r="P776" s="2538"/>
      <c r="Q776" s="2538"/>
      <c r="R776" s="2538"/>
      <c r="S776" s="2538"/>
      <c r="T776" s="2538"/>
      <c r="U776" s="2538"/>
      <c r="V776" s="2538"/>
      <c r="W776" s="2538"/>
      <c r="X776" s="2538"/>
      <c r="Y776" s="2538"/>
      <c r="Z776" s="2538"/>
      <c r="AA776" s="2538"/>
      <c r="AB776" s="2538"/>
      <c r="AC776" s="2538"/>
      <c r="AD776" s="2538"/>
      <c r="AE776" s="594"/>
      <c r="AF776" s="594"/>
      <c r="AG776" s="594"/>
      <c r="AH776" s="594"/>
      <c r="AI776" s="594"/>
      <c r="AJ776" s="594"/>
      <c r="AK776" s="594"/>
      <c r="AL776" s="594"/>
      <c r="AM776" s="613"/>
      <c r="AN776" s="597"/>
    </row>
    <row r="777" spans="1:81" s="550" customFormat="1" ht="12.75" customHeight="1">
      <c r="B777" s="616"/>
      <c r="C777" s="940"/>
      <c r="D777" s="663"/>
      <c r="E777" s="2538"/>
      <c r="F777" s="2538"/>
      <c r="G777" s="2538"/>
      <c r="H777" s="2538"/>
      <c r="I777" s="2538"/>
      <c r="J777" s="2538"/>
      <c r="K777" s="2538"/>
      <c r="L777" s="2538"/>
      <c r="M777" s="2538"/>
      <c r="N777" s="2538"/>
      <c r="O777" s="2538"/>
      <c r="P777" s="2538"/>
      <c r="Q777" s="2538"/>
      <c r="R777" s="2538"/>
      <c r="S777" s="2538"/>
      <c r="T777" s="2538"/>
      <c r="U777" s="2538"/>
      <c r="V777" s="2538"/>
      <c r="W777" s="2538"/>
      <c r="X777" s="2538"/>
      <c r="Y777" s="2538"/>
      <c r="Z777" s="2538"/>
      <c r="AA777" s="2538"/>
      <c r="AB777" s="2538"/>
      <c r="AC777" s="2538"/>
      <c r="AD777" s="2538"/>
      <c r="AE777" s="594"/>
      <c r="AF777" s="594"/>
      <c r="AG777" s="594"/>
      <c r="AH777" s="594"/>
      <c r="AI777" s="594"/>
      <c r="AJ777" s="594"/>
      <c r="AK777" s="594"/>
      <c r="AL777" s="594"/>
      <c r="AM777" s="613"/>
      <c r="AN777" s="597"/>
    </row>
    <row r="778" spans="1:81" s="550" customFormat="1" ht="12.75" customHeight="1">
      <c r="A778" s="570"/>
      <c r="B778" s="536"/>
      <c r="C778" s="536"/>
      <c r="D778" s="536"/>
      <c r="E778" s="536"/>
      <c r="F778" s="536"/>
      <c r="G778" s="536"/>
      <c r="H778" s="536"/>
      <c r="I778" s="536"/>
      <c r="J778" s="536"/>
      <c r="K778" s="536"/>
      <c r="L778" s="536"/>
      <c r="M778" s="536"/>
      <c r="N778" s="536"/>
      <c r="O778" s="536"/>
      <c r="P778" s="536"/>
      <c r="Q778" s="536"/>
      <c r="R778" s="536"/>
      <c r="S778" s="536"/>
      <c r="T778" s="536"/>
      <c r="U778" s="536"/>
      <c r="V778" s="536"/>
      <c r="W778" s="536"/>
      <c r="X778" s="536"/>
      <c r="Y778" s="536"/>
      <c r="Z778" s="536"/>
      <c r="AA778" s="536"/>
      <c r="AB778" s="536"/>
      <c r="AC778" s="536"/>
      <c r="AD778" s="536"/>
      <c r="AE778" s="536"/>
      <c r="AF778" s="536"/>
      <c r="AG778" s="536"/>
      <c r="AH778" s="536"/>
      <c r="AI778" s="536"/>
      <c r="AJ778" s="536"/>
      <c r="AK778" s="536"/>
      <c r="AL778" s="536"/>
      <c r="AM778" s="570"/>
      <c r="AN778" s="597"/>
    </row>
    <row r="779" spans="1:81" s="550" customFormat="1" ht="12.75" customHeight="1">
      <c r="B779" s="616"/>
      <c r="C779" s="940"/>
      <c r="D779" s="536" t="s">
        <v>1400</v>
      </c>
      <c r="E779" s="936"/>
      <c r="F779" s="936"/>
      <c r="G779" s="936"/>
      <c r="H779" s="2528" t="s">
        <v>591</v>
      </c>
      <c r="I779" s="2528"/>
      <c r="J779" s="643"/>
      <c r="K779" s="643"/>
      <c r="L779" s="643"/>
      <c r="M779" s="643"/>
      <c r="N779" s="643"/>
      <c r="O779" s="643"/>
      <c r="P779" s="643"/>
      <c r="Q779" s="643"/>
      <c r="R779" s="643"/>
      <c r="S779" s="643"/>
      <c r="T779" s="643"/>
      <c r="U779" s="643"/>
      <c r="V779" s="643"/>
      <c r="W779" s="643"/>
      <c r="X779" s="643"/>
      <c r="Y779" s="643"/>
      <c r="Z779" s="643"/>
      <c r="AA779" s="643"/>
      <c r="AB779" s="643"/>
      <c r="AC779" s="643"/>
      <c r="AD779" s="643"/>
      <c r="AE779" s="643"/>
      <c r="AF779" s="643"/>
      <c r="AG779" s="616"/>
      <c r="AH779" s="536"/>
      <c r="AI779" s="543"/>
      <c r="AJ779" s="595"/>
      <c r="AK779" s="595"/>
      <c r="AL779" s="595"/>
      <c r="AN779" s="597"/>
    </row>
    <row r="780" spans="1:81" s="550" customFormat="1" ht="12.75" customHeight="1">
      <c r="B780" s="616"/>
      <c r="C780" s="940"/>
      <c r="D780" s="616"/>
      <c r="E780" s="616"/>
      <c r="F780" s="616"/>
      <c r="G780" s="616"/>
      <c r="H780" s="616"/>
      <c r="I780" s="616"/>
      <c r="J780" s="616"/>
      <c r="K780" s="616"/>
      <c r="L780" s="616"/>
      <c r="M780" s="616"/>
      <c r="N780" s="616"/>
      <c r="O780" s="616"/>
      <c r="P780" s="616"/>
      <c r="Q780" s="616"/>
      <c r="R780" s="616"/>
      <c r="S780" s="616"/>
      <c r="T780" s="616"/>
      <c r="U780" s="616"/>
      <c r="V780" s="616"/>
      <c r="W780" s="616"/>
      <c r="X780" s="616"/>
      <c r="Y780" s="616"/>
      <c r="Z780" s="616"/>
      <c r="AA780" s="616"/>
      <c r="AB780" s="616"/>
      <c r="AC780" s="616"/>
      <c r="AD780" s="616"/>
      <c r="AE780" s="616"/>
      <c r="AF780" s="616"/>
      <c r="AG780" s="616"/>
      <c r="AH780" s="536"/>
      <c r="AI780" s="543"/>
      <c r="AJ780" s="595"/>
      <c r="AK780" s="595"/>
      <c r="AL780" s="595"/>
      <c r="AN780" s="597"/>
    </row>
    <row r="781" spans="1:81" s="550" customFormat="1" ht="12.75" customHeight="1">
      <c r="A781" s="606"/>
      <c r="B781" s="665"/>
      <c r="C781" s="955"/>
      <c r="D781" s="665"/>
      <c r="E781" s="665"/>
      <c r="F781" s="665"/>
      <c r="G781" s="665"/>
      <c r="H781" s="665"/>
      <c r="I781" s="665"/>
      <c r="J781" s="665"/>
      <c r="K781" s="665"/>
      <c r="L781" s="665"/>
      <c r="M781" s="665"/>
      <c r="N781" s="665"/>
      <c r="O781" s="665"/>
      <c r="P781" s="665"/>
      <c r="Q781" s="665"/>
      <c r="R781" s="665"/>
      <c r="S781" s="665"/>
      <c r="T781" s="665"/>
      <c r="U781" s="665"/>
      <c r="V781" s="665"/>
      <c r="W781" s="665"/>
      <c r="X781" s="665"/>
      <c r="Y781" s="665"/>
      <c r="Z781" s="665"/>
      <c r="AA781" s="665"/>
      <c r="AB781" s="665"/>
      <c r="AC781" s="665"/>
      <c r="AD781" s="665"/>
      <c r="AE781" s="665"/>
      <c r="AF781" s="665"/>
      <c r="AG781" s="665"/>
      <c r="AH781" s="601"/>
      <c r="AI781" s="565" t="s">
        <v>1448</v>
      </c>
      <c r="AJ781" s="2479">
        <f>VLOOKUP($H$779,$AO$769:$AP$771,2,FALSE)</f>
        <v>0</v>
      </c>
      <c r="AK781" s="2481"/>
      <c r="AL781" s="595"/>
      <c r="AN781" s="597"/>
    </row>
    <row r="782" spans="1:81" s="570" customFormat="1">
      <c r="A782" s="550"/>
      <c r="B782" s="616"/>
      <c r="C782" s="940"/>
      <c r="D782" s="616"/>
      <c r="E782" s="616"/>
      <c r="F782" s="616"/>
      <c r="G782" s="616"/>
      <c r="H782" s="616"/>
      <c r="I782" s="616"/>
      <c r="J782" s="616"/>
      <c r="K782" s="616"/>
      <c r="L782" s="616"/>
      <c r="M782" s="616"/>
      <c r="N782" s="616"/>
      <c r="O782" s="616"/>
      <c r="P782" s="616"/>
      <c r="Q782" s="616"/>
      <c r="R782" s="616"/>
      <c r="S782" s="616"/>
      <c r="T782" s="616"/>
      <c r="U782" s="616"/>
      <c r="V782" s="616"/>
      <c r="W782" s="616"/>
      <c r="X782" s="616"/>
      <c r="Y782" s="616"/>
      <c r="Z782" s="616"/>
      <c r="AA782" s="616"/>
      <c r="AB782" s="616"/>
      <c r="AC782" s="616"/>
      <c r="AD782" s="616"/>
      <c r="AE782" s="616"/>
      <c r="AF782" s="616"/>
      <c r="AG782" s="616"/>
      <c r="AH782" s="536"/>
      <c r="AI782" s="543"/>
      <c r="AJ782" s="595"/>
      <c r="AK782" s="595"/>
      <c r="AL782" s="595"/>
      <c r="AM782" s="550"/>
      <c r="AN782" s="684"/>
      <c r="AS782" s="674"/>
      <c r="AT782" s="674"/>
      <c r="AU782" s="674"/>
      <c r="AV782" s="674"/>
      <c r="AW782" s="674"/>
      <c r="AX782" s="674"/>
      <c r="AY782" s="674"/>
      <c r="AZ782" s="674"/>
      <c r="BA782" s="674"/>
      <c r="BB782" s="674"/>
      <c r="BC782" s="674"/>
      <c r="BD782" s="690"/>
      <c r="BE782" s="690"/>
      <c r="BF782" s="690"/>
      <c r="BG782" s="690"/>
      <c r="BH782" s="690"/>
      <c r="BI782" s="674"/>
      <c r="BJ782" s="674"/>
      <c r="BK782" s="674"/>
      <c r="BL782" s="674"/>
      <c r="BM782" s="674"/>
      <c r="BN782" s="674"/>
      <c r="BO782" s="674"/>
      <c r="BP782" s="674"/>
      <c r="BQ782" s="674"/>
      <c r="BR782" s="674"/>
      <c r="BS782" s="674"/>
      <c r="BT782" s="674"/>
      <c r="BU782" s="674"/>
      <c r="BV782" s="674"/>
      <c r="BW782" s="674"/>
      <c r="BX782" s="674"/>
      <c r="BY782" s="674"/>
      <c r="BZ782" s="674"/>
      <c r="CA782" s="674"/>
      <c r="CB782" s="674"/>
      <c r="CC782" s="674"/>
    </row>
    <row r="783" spans="1:81" s="570" customFormat="1">
      <c r="A783" s="550"/>
      <c r="B783" s="616"/>
      <c r="C783" s="539" t="s">
        <v>1449</v>
      </c>
      <c r="D783" s="616"/>
      <c r="E783" s="616"/>
      <c r="F783" s="616"/>
      <c r="G783" s="616"/>
      <c r="H783" s="616"/>
      <c r="I783" s="616"/>
      <c r="J783" s="616"/>
      <c r="K783" s="616"/>
      <c r="L783" s="616"/>
      <c r="M783" s="616"/>
      <c r="N783" s="616"/>
      <c r="O783" s="616"/>
      <c r="P783" s="616"/>
      <c r="Q783" s="616"/>
      <c r="R783" s="616"/>
      <c r="S783" s="616"/>
      <c r="T783" s="616"/>
      <c r="U783" s="616"/>
      <c r="V783" s="616"/>
      <c r="W783" s="616"/>
      <c r="X783" s="616"/>
      <c r="Y783" s="616"/>
      <c r="Z783" s="616"/>
      <c r="AA783" s="616"/>
      <c r="AB783" s="616"/>
      <c r="AC783" s="616"/>
      <c r="AD783" s="616"/>
      <c r="AE783" s="616"/>
      <c r="AF783" s="616"/>
      <c r="AG783" s="616"/>
      <c r="AH783" s="536"/>
      <c r="AI783" s="543"/>
      <c r="AJ783" s="595"/>
      <c r="AK783" s="595"/>
      <c r="AL783" s="595"/>
      <c r="AM783" s="550"/>
      <c r="AN783" s="684"/>
      <c r="AT783" s="674"/>
      <c r="AU783" s="674"/>
      <c r="AV783" s="674"/>
      <c r="AW783" s="674"/>
      <c r="AX783" s="674"/>
      <c r="AY783" s="674"/>
      <c r="AZ783" s="674"/>
    </row>
    <row r="784" spans="1:81" s="570" customFormat="1">
      <c r="A784" s="550"/>
      <c r="B784" s="616"/>
      <c r="C784" s="940"/>
      <c r="D784" s="616"/>
      <c r="E784" s="616"/>
      <c r="F784" s="616"/>
      <c r="G784" s="616"/>
      <c r="H784" s="616"/>
      <c r="I784" s="616"/>
      <c r="J784" s="616"/>
      <c r="K784" s="616"/>
      <c r="L784" s="616"/>
      <c r="M784" s="616"/>
      <c r="N784" s="616"/>
      <c r="O784" s="616"/>
      <c r="P784" s="616"/>
      <c r="Q784" s="616"/>
      <c r="R784" s="616"/>
      <c r="S784" s="616"/>
      <c r="T784" s="616"/>
      <c r="U784" s="616"/>
      <c r="V784" s="616"/>
      <c r="W784" s="616"/>
      <c r="X784" s="616"/>
      <c r="Y784" s="616"/>
      <c r="Z784" s="616"/>
      <c r="AA784" s="616"/>
      <c r="AB784" s="616"/>
      <c r="AC784" s="616"/>
      <c r="AD784" s="616"/>
      <c r="AE784" s="536"/>
      <c r="AF784" s="536"/>
      <c r="AG784" s="536"/>
      <c r="AH784" s="536"/>
      <c r="AI784" s="536"/>
      <c r="AJ784" s="536"/>
      <c r="AK784" s="536"/>
      <c r="AL784" s="595"/>
      <c r="AM784" s="550"/>
      <c r="AN784" s="684"/>
      <c r="AO784" s="550" t="s">
        <v>591</v>
      </c>
      <c r="AP784" s="680">
        <v>0</v>
      </c>
      <c r="AS784" s="674"/>
      <c r="AT784" s="674"/>
      <c r="AU784" s="674"/>
      <c r="AV784" s="674"/>
      <c r="AW784" s="674"/>
      <c r="AX784" s="674"/>
      <c r="AY784" s="674"/>
      <c r="AZ784" s="674"/>
      <c r="BA784" s="674"/>
      <c r="BB784" s="674"/>
      <c r="BC784" s="674"/>
      <c r="BD784" s="690"/>
      <c r="BE784" s="690"/>
      <c r="BF784" s="690"/>
      <c r="BG784" s="690"/>
      <c r="BH784" s="690"/>
      <c r="BI784" s="674"/>
      <c r="BJ784" s="674"/>
      <c r="BK784" s="674"/>
      <c r="BL784" s="674"/>
      <c r="BM784" s="674"/>
      <c r="BN784" s="674"/>
      <c r="BO784" s="674"/>
      <c r="BP784" s="674"/>
      <c r="BQ784" s="674"/>
      <c r="BR784" s="674"/>
      <c r="BS784" s="674"/>
      <c r="BT784" s="674"/>
      <c r="BU784" s="674"/>
      <c r="BV784" s="674"/>
      <c r="BW784" s="674"/>
      <c r="BX784" s="674"/>
      <c r="BY784" s="674"/>
      <c r="BZ784" s="674"/>
      <c r="CA784" s="674"/>
      <c r="CB784" s="674"/>
      <c r="CC784" s="674"/>
    </row>
    <row r="785" spans="1:81" s="570" customFormat="1" ht="13.7" customHeight="1">
      <c r="A785" s="550"/>
      <c r="B785" s="616"/>
      <c r="C785" s="940"/>
      <c r="D785" s="663" t="s">
        <v>687</v>
      </c>
      <c r="E785" s="2499" t="s">
        <v>2033</v>
      </c>
      <c r="F785" s="2499"/>
      <c r="G785" s="2499"/>
      <c r="H785" s="2499"/>
      <c r="I785" s="2499"/>
      <c r="J785" s="2499"/>
      <c r="K785" s="2499"/>
      <c r="L785" s="2499"/>
      <c r="M785" s="2499"/>
      <c r="N785" s="2499"/>
      <c r="O785" s="2499"/>
      <c r="P785" s="2499"/>
      <c r="Q785" s="2499"/>
      <c r="R785" s="2499"/>
      <c r="S785" s="2499"/>
      <c r="T785" s="2499"/>
      <c r="U785" s="2499"/>
      <c r="V785" s="2499"/>
      <c r="W785" s="2499"/>
      <c r="X785" s="2499"/>
      <c r="Y785" s="2499"/>
      <c r="Z785" s="2499"/>
      <c r="AA785" s="2499"/>
      <c r="AB785" s="2499"/>
      <c r="AC785" s="2499"/>
      <c r="AD785" s="2499"/>
      <c r="AE785" s="536"/>
      <c r="AF785" s="2444" t="s">
        <v>1352</v>
      </c>
      <c r="AG785" s="2444"/>
      <c r="AH785" s="2444"/>
      <c r="AI785" s="2444"/>
      <c r="AJ785" s="2444"/>
      <c r="AK785" s="2444"/>
      <c r="AL785" s="2444"/>
      <c r="AM785" s="613"/>
      <c r="AN785" s="684"/>
      <c r="AO785" s="611" t="s">
        <v>545</v>
      </c>
      <c r="AP785" s="550">
        <v>3</v>
      </c>
      <c r="AT785" s="674"/>
      <c r="AU785" s="674"/>
      <c r="AV785" s="674"/>
      <c r="AW785" s="674"/>
      <c r="AX785" s="674"/>
      <c r="AY785" s="674"/>
      <c r="AZ785" s="674"/>
    </row>
    <row r="786" spans="1:81" s="570" customFormat="1" ht="13.7" customHeight="1">
      <c r="A786" s="550"/>
      <c r="B786" s="616"/>
      <c r="C786" s="940"/>
      <c r="D786" s="663"/>
      <c r="E786" s="2499"/>
      <c r="F786" s="2499"/>
      <c r="G786" s="2499"/>
      <c r="H786" s="2499"/>
      <c r="I786" s="2499"/>
      <c r="J786" s="2499"/>
      <c r="K786" s="2499"/>
      <c r="L786" s="2499"/>
      <c r="M786" s="2499"/>
      <c r="N786" s="2499"/>
      <c r="O786" s="2499"/>
      <c r="P786" s="2499"/>
      <c r="Q786" s="2499"/>
      <c r="R786" s="2499"/>
      <c r="S786" s="2499"/>
      <c r="T786" s="2499"/>
      <c r="U786" s="2499"/>
      <c r="V786" s="2499"/>
      <c r="W786" s="2499"/>
      <c r="X786" s="2499"/>
      <c r="Y786" s="2499"/>
      <c r="Z786" s="2499"/>
      <c r="AA786" s="2499"/>
      <c r="AB786" s="2499"/>
      <c r="AC786" s="2499"/>
      <c r="AD786" s="2499"/>
      <c r="AE786" s="536"/>
      <c r="AF786" s="594"/>
      <c r="AG786" s="594"/>
      <c r="AH786" s="594"/>
      <c r="AI786" s="594"/>
      <c r="AJ786" s="594"/>
      <c r="AK786" s="594"/>
      <c r="AL786" s="594"/>
      <c r="AM786" s="613"/>
      <c r="AN786" s="684"/>
      <c r="AO786" s="611"/>
      <c r="AP786" s="550"/>
      <c r="AT786" s="674"/>
      <c r="AU786" s="674"/>
      <c r="AV786" s="674"/>
      <c r="AW786" s="674"/>
      <c r="AX786" s="674"/>
      <c r="AY786" s="674"/>
      <c r="AZ786" s="674"/>
    </row>
    <row r="787" spans="1:81" s="570" customFormat="1">
      <c r="A787" s="550"/>
      <c r="B787" s="616"/>
      <c r="C787" s="940"/>
      <c r="D787" s="663"/>
      <c r="E787" s="2499"/>
      <c r="F787" s="2499"/>
      <c r="G787" s="2499"/>
      <c r="H787" s="2499"/>
      <c r="I787" s="2499"/>
      <c r="J787" s="2499"/>
      <c r="K787" s="2499"/>
      <c r="L787" s="2499"/>
      <c r="M787" s="2499"/>
      <c r="N787" s="2499"/>
      <c r="O787" s="2499"/>
      <c r="P787" s="2499"/>
      <c r="Q787" s="2499"/>
      <c r="R787" s="2499"/>
      <c r="S787" s="2499"/>
      <c r="T787" s="2499"/>
      <c r="U787" s="2499"/>
      <c r="V787" s="2499"/>
      <c r="W787" s="2499"/>
      <c r="X787" s="2499"/>
      <c r="Y787" s="2499"/>
      <c r="Z787" s="2499"/>
      <c r="AA787" s="2499"/>
      <c r="AB787" s="2499"/>
      <c r="AC787" s="2499"/>
      <c r="AD787" s="2499"/>
      <c r="AE787" s="594"/>
      <c r="AF787" s="594"/>
      <c r="AG787" s="594"/>
      <c r="AH787" s="594"/>
      <c r="AI787" s="594"/>
      <c r="AJ787" s="594"/>
      <c r="AK787" s="594"/>
      <c r="AL787" s="594"/>
      <c r="AM787" s="613"/>
      <c r="AN787" s="684"/>
      <c r="AO787" s="611"/>
      <c r="AP787" s="550"/>
      <c r="AT787" s="674"/>
      <c r="AU787" s="674"/>
      <c r="AV787" s="674"/>
      <c r="AW787" s="674"/>
      <c r="AX787" s="674"/>
      <c r="AY787" s="674"/>
      <c r="AZ787" s="674"/>
    </row>
    <row r="788" spans="1:81" s="570" customFormat="1">
      <c r="A788" s="550"/>
      <c r="B788" s="616"/>
      <c r="C788" s="940"/>
      <c r="D788" s="663"/>
      <c r="E788" s="2499"/>
      <c r="F788" s="2499"/>
      <c r="G788" s="2499"/>
      <c r="H788" s="2499"/>
      <c r="I788" s="2499"/>
      <c r="J788" s="2499"/>
      <c r="K788" s="2499"/>
      <c r="L788" s="2499"/>
      <c r="M788" s="2499"/>
      <c r="N788" s="2499"/>
      <c r="O788" s="2499"/>
      <c r="P788" s="2499"/>
      <c r="Q788" s="2499"/>
      <c r="R788" s="2499"/>
      <c r="S788" s="2499"/>
      <c r="T788" s="2499"/>
      <c r="U788" s="2499"/>
      <c r="V788" s="2499"/>
      <c r="W788" s="2499"/>
      <c r="X788" s="2499"/>
      <c r="Y788" s="2499"/>
      <c r="Z788" s="2499"/>
      <c r="AA788" s="2499"/>
      <c r="AB788" s="2499"/>
      <c r="AC788" s="2499"/>
      <c r="AD788" s="2499"/>
      <c r="AE788" s="594"/>
      <c r="AF788" s="594"/>
      <c r="AG788" s="594"/>
      <c r="AH788" s="594"/>
      <c r="AI788" s="594"/>
      <c r="AJ788" s="594"/>
      <c r="AK788" s="594"/>
      <c r="AL788" s="594"/>
      <c r="AM788" s="613"/>
      <c r="AN788" s="684"/>
      <c r="AO788" s="691"/>
      <c r="AT788" s="674"/>
      <c r="AU788" s="674"/>
      <c r="AV788" s="674"/>
      <c r="AW788" s="674"/>
      <c r="AX788" s="674"/>
      <c r="AY788" s="674"/>
      <c r="AZ788" s="674"/>
    </row>
    <row r="789" spans="1:81" s="570" customFormat="1">
      <c r="A789" s="550"/>
      <c r="B789" s="616"/>
      <c r="C789" s="940"/>
      <c r="D789" s="663"/>
      <c r="E789" s="643"/>
      <c r="F789" s="643"/>
      <c r="G789" s="643"/>
      <c r="H789" s="643"/>
      <c r="I789" s="643"/>
      <c r="J789" s="643"/>
      <c r="K789" s="643"/>
      <c r="L789" s="643"/>
      <c r="M789" s="643"/>
      <c r="N789" s="643"/>
      <c r="O789" s="643"/>
      <c r="P789" s="643"/>
      <c r="Q789" s="643"/>
      <c r="R789" s="643"/>
      <c r="S789" s="643"/>
      <c r="T789" s="643"/>
      <c r="U789" s="643"/>
      <c r="V789" s="643"/>
      <c r="W789" s="643"/>
      <c r="X789" s="643"/>
      <c r="Y789" s="643"/>
      <c r="Z789" s="643"/>
      <c r="AA789" s="643"/>
      <c r="AB789" s="643"/>
      <c r="AC789" s="643"/>
      <c r="AD789" s="643"/>
      <c r="AE789" s="594"/>
      <c r="AF789" s="594"/>
      <c r="AG789" s="594"/>
      <c r="AH789" s="594"/>
      <c r="AI789" s="594"/>
      <c r="AJ789" s="594"/>
      <c r="AK789" s="594"/>
      <c r="AL789" s="594"/>
      <c r="AM789" s="613"/>
      <c r="AN789" s="684"/>
      <c r="AO789" s="691"/>
      <c r="AT789" s="674"/>
      <c r="AU789" s="674"/>
      <c r="AV789" s="674"/>
      <c r="AW789" s="674"/>
      <c r="AX789" s="674"/>
      <c r="AY789" s="674"/>
      <c r="AZ789" s="674"/>
    </row>
    <row r="790" spans="1:81" s="570" customFormat="1">
      <c r="A790" s="550"/>
      <c r="B790" s="616"/>
      <c r="C790" s="940"/>
      <c r="D790" s="536" t="s">
        <v>1400</v>
      </c>
      <c r="E790" s="936"/>
      <c r="F790" s="936"/>
      <c r="G790" s="936"/>
      <c r="H790" s="2528" t="s">
        <v>591</v>
      </c>
      <c r="I790" s="2528"/>
      <c r="J790" s="616"/>
      <c r="K790" s="616"/>
      <c r="L790" s="616"/>
      <c r="M790" s="616"/>
      <c r="N790" s="616"/>
      <c r="O790" s="616"/>
      <c r="P790" s="616"/>
      <c r="Q790" s="616"/>
      <c r="R790" s="616"/>
      <c r="S790" s="616"/>
      <c r="T790" s="616"/>
      <c r="U790" s="616"/>
      <c r="V790" s="616"/>
      <c r="W790" s="616"/>
      <c r="X790" s="616"/>
      <c r="Y790" s="616"/>
      <c r="Z790" s="616"/>
      <c r="AA790" s="616"/>
      <c r="AB790" s="616"/>
      <c r="AC790" s="616"/>
      <c r="AD790" s="616"/>
      <c r="AE790" s="616"/>
      <c r="AF790" s="616"/>
      <c r="AG790" s="616"/>
      <c r="AH790" s="536"/>
      <c r="AI790" s="543"/>
      <c r="AJ790" s="595"/>
      <c r="AK790" s="595"/>
      <c r="AL790" s="595"/>
      <c r="AM790" s="550"/>
      <c r="AN790" s="684"/>
      <c r="AS790" s="674"/>
      <c r="AT790" s="674"/>
      <c r="AU790" s="674"/>
      <c r="AV790" s="674"/>
      <c r="AW790" s="674"/>
      <c r="AX790" s="674"/>
      <c r="AY790" s="674"/>
      <c r="AZ790" s="674"/>
      <c r="BA790" s="674"/>
      <c r="BB790" s="674"/>
      <c r="BC790" s="674"/>
      <c r="BD790" s="690"/>
      <c r="BE790" s="690"/>
      <c r="BF790" s="690"/>
      <c r="BG790" s="690"/>
      <c r="BH790" s="690"/>
      <c r="BI790" s="674"/>
      <c r="BJ790" s="674"/>
      <c r="BK790" s="674"/>
      <c r="BL790" s="674"/>
      <c r="BM790" s="674"/>
      <c r="BN790" s="674"/>
      <c r="BO790" s="674"/>
      <c r="BP790" s="674"/>
      <c r="BQ790" s="674"/>
      <c r="BR790" s="674"/>
      <c r="BS790" s="674"/>
      <c r="BT790" s="674"/>
      <c r="BU790" s="674"/>
      <c r="BV790" s="674"/>
      <c r="BW790" s="674"/>
      <c r="BX790" s="674"/>
      <c r="BY790" s="674"/>
      <c r="BZ790" s="674"/>
      <c r="CA790" s="674"/>
      <c r="CB790" s="674"/>
      <c r="CC790" s="674"/>
    </row>
    <row r="791" spans="1:81" s="570" customFormat="1">
      <c r="A791" s="550"/>
      <c r="B791" s="616"/>
      <c r="C791" s="688"/>
      <c r="D791" s="551"/>
      <c r="E791" s="551"/>
      <c r="F791" s="551"/>
      <c r="G791" s="551"/>
      <c r="H791" s="551"/>
      <c r="I791" s="551"/>
      <c r="J791" s="551"/>
      <c r="K791" s="551"/>
      <c r="L791" s="551"/>
      <c r="M791" s="551"/>
      <c r="N791" s="551"/>
      <c r="O791" s="551"/>
      <c r="P791" s="551"/>
      <c r="Q791" s="551"/>
      <c r="R791" s="551"/>
      <c r="S791" s="551"/>
      <c r="T791" s="551"/>
      <c r="U791" s="551"/>
      <c r="V791" s="551"/>
      <c r="W791" s="551"/>
      <c r="X791" s="551"/>
      <c r="Y791" s="551"/>
      <c r="Z791" s="551"/>
      <c r="AA791" s="551"/>
      <c r="AB791" s="551"/>
      <c r="AC791" s="551"/>
      <c r="AD791" s="616"/>
      <c r="AE791" s="551"/>
      <c r="AF791" s="551"/>
      <c r="AG791" s="551"/>
      <c r="AH791" s="551"/>
      <c r="AI791" s="550"/>
      <c r="AJ791" s="550"/>
      <c r="AK791" s="550"/>
      <c r="AL791" s="550"/>
      <c r="AM791" s="550"/>
      <c r="AN791" s="684"/>
      <c r="AT791" s="674"/>
      <c r="AU791" s="674"/>
      <c r="AV791" s="674"/>
      <c r="AW791" s="674"/>
      <c r="AX791" s="674"/>
      <c r="AY791" s="674"/>
      <c r="AZ791" s="674"/>
    </row>
    <row r="792" spans="1:81" s="570" customFormat="1">
      <c r="A792" s="606"/>
      <c r="B792" s="665"/>
      <c r="C792" s="689"/>
      <c r="D792" s="664"/>
      <c r="E792" s="664"/>
      <c r="F792" s="664"/>
      <c r="G792" s="664"/>
      <c r="H792" s="664"/>
      <c r="I792" s="664"/>
      <c r="J792" s="664"/>
      <c r="K792" s="664"/>
      <c r="L792" s="664"/>
      <c r="M792" s="664"/>
      <c r="N792" s="664"/>
      <c r="O792" s="664"/>
      <c r="P792" s="664"/>
      <c r="Q792" s="664"/>
      <c r="R792" s="664"/>
      <c r="S792" s="664"/>
      <c r="T792" s="664"/>
      <c r="U792" s="664"/>
      <c r="V792" s="664"/>
      <c r="W792" s="664"/>
      <c r="X792" s="664"/>
      <c r="Y792" s="664"/>
      <c r="Z792" s="664"/>
      <c r="AA792" s="664"/>
      <c r="AB792" s="664"/>
      <c r="AC792" s="665"/>
      <c r="AD792" s="664"/>
      <c r="AE792" s="664"/>
      <c r="AF792" s="664"/>
      <c r="AG792" s="664"/>
      <c r="AH792" s="564"/>
      <c r="AI792" s="565" t="s">
        <v>1450</v>
      </c>
      <c r="AJ792" s="2479">
        <f>VLOOKUP($H$790,$AO$784:$AP$785,2,FALSE)</f>
        <v>0</v>
      </c>
      <c r="AK792" s="2481"/>
      <c r="AL792" s="595"/>
      <c r="AM792" s="550"/>
      <c r="AN792" s="684"/>
      <c r="AS792" s="674"/>
      <c r="AT792" s="674"/>
      <c r="AU792" s="674"/>
      <c r="AV792" s="674"/>
      <c r="AW792" s="674"/>
      <c r="AX792" s="674"/>
      <c r="AY792" s="674"/>
      <c r="AZ792" s="674"/>
      <c r="BA792" s="674"/>
      <c r="BB792" s="674"/>
      <c r="BC792" s="674"/>
      <c r="BD792" s="690"/>
      <c r="BE792" s="690"/>
      <c r="BF792" s="690"/>
      <c r="BG792" s="690"/>
      <c r="BH792" s="690"/>
      <c r="BI792" s="674"/>
      <c r="BJ792" s="674"/>
      <c r="BK792" s="674"/>
      <c r="BL792" s="674"/>
      <c r="BM792" s="674"/>
      <c r="BN792" s="674"/>
      <c r="BO792" s="674"/>
      <c r="BP792" s="674"/>
      <c r="BQ792" s="674"/>
      <c r="BR792" s="674"/>
      <c r="BS792" s="674"/>
      <c r="BT792" s="674"/>
      <c r="BU792" s="674"/>
      <c r="BV792" s="674"/>
      <c r="BW792" s="674"/>
      <c r="BX792" s="674"/>
      <c r="BY792" s="674"/>
      <c r="BZ792" s="674"/>
      <c r="CA792" s="674"/>
      <c r="CB792" s="674"/>
      <c r="CC792" s="674"/>
    </row>
    <row r="793" spans="1:81" s="550" customFormat="1" ht="12.75" customHeight="1">
      <c r="B793" s="616"/>
      <c r="C793" s="688"/>
      <c r="D793" s="551"/>
      <c r="E793" s="551"/>
      <c r="F793" s="551"/>
      <c r="G793" s="551"/>
      <c r="H793" s="551"/>
      <c r="I793" s="551"/>
      <c r="J793" s="551"/>
      <c r="K793" s="551"/>
      <c r="L793" s="551"/>
      <c r="M793" s="551"/>
      <c r="N793" s="551"/>
      <c r="O793" s="551"/>
      <c r="P793" s="551"/>
      <c r="Q793" s="551"/>
      <c r="R793" s="551"/>
      <c r="S793" s="551"/>
      <c r="T793" s="551"/>
      <c r="U793" s="551"/>
      <c r="V793" s="551"/>
      <c r="W793" s="551"/>
      <c r="X793" s="551"/>
      <c r="Y793" s="551"/>
      <c r="Z793" s="551"/>
      <c r="AA793" s="551"/>
      <c r="AB793" s="551"/>
      <c r="AC793" s="551"/>
      <c r="AD793" s="616"/>
      <c r="AE793" s="551"/>
      <c r="AF793" s="551"/>
      <c r="AG793" s="551"/>
      <c r="AH793" s="551"/>
      <c r="AN793" s="597"/>
    </row>
    <row r="794" spans="1:81" s="550" customFormat="1" ht="12.75" customHeight="1">
      <c r="A794" s="606"/>
      <c r="B794" s="664"/>
      <c r="C794" s="664"/>
      <c r="D794" s="664"/>
      <c r="E794" s="664"/>
      <c r="F794" s="664"/>
      <c r="G794" s="664"/>
      <c r="H794" s="664"/>
      <c r="I794" s="664"/>
      <c r="J794" s="664"/>
      <c r="K794" s="664"/>
      <c r="L794" s="664"/>
      <c r="M794" s="664"/>
      <c r="N794" s="664"/>
      <c r="O794" s="664"/>
      <c r="P794" s="664"/>
      <c r="Q794" s="664"/>
      <c r="R794" s="664"/>
      <c r="S794" s="664"/>
      <c r="T794" s="664"/>
      <c r="U794" s="664"/>
      <c r="V794" s="664"/>
      <c r="W794" s="664"/>
      <c r="X794" s="664"/>
      <c r="Y794" s="664"/>
      <c r="Z794" s="664"/>
      <c r="AA794" s="664"/>
      <c r="AB794" s="664"/>
      <c r="AC794" s="665"/>
      <c r="AD794" s="664"/>
      <c r="AE794" s="564"/>
      <c r="AF794" s="564"/>
      <c r="AG794" s="564"/>
      <c r="AH794" s="564"/>
      <c r="AI794" s="565"/>
      <c r="AJ794" s="565" t="s">
        <v>1451</v>
      </c>
      <c r="AK794" s="2479">
        <f>IF(($AJ$621+$AJ$640+$AJ$652+$AJ$687+$AJ$711+$AJ$725+$AJ$737+$AJ$753+$AJ$765+$AJ$781+AJ792)&gt;10,10,($AJ$621+$AJ$640+$AJ$652+$AJ$687+$AJ$711+$AJ$725+$AJ$737+$AJ$753+$AJ$765+$AJ$781+AJ792))</f>
        <v>10</v>
      </c>
      <c r="AL794" s="2480"/>
      <c r="AM794" s="2481"/>
      <c r="AN794" s="597"/>
    </row>
    <row r="795" spans="1:81" s="550" customFormat="1" ht="12.75" customHeight="1">
      <c r="B795" s="551"/>
      <c r="C795" s="551"/>
      <c r="D795" s="551"/>
      <c r="E795" s="551"/>
      <c r="F795" s="551"/>
      <c r="G795" s="551"/>
      <c r="H795" s="551"/>
      <c r="I795" s="551"/>
      <c r="J795" s="551"/>
      <c r="K795" s="551"/>
      <c r="L795" s="551"/>
      <c r="M795" s="551"/>
      <c r="N795" s="551"/>
      <c r="O795" s="551"/>
      <c r="P795" s="551"/>
      <c r="Q795" s="551"/>
      <c r="R795" s="551"/>
      <c r="S795" s="551"/>
      <c r="T795" s="551"/>
      <c r="U795" s="551"/>
      <c r="V795" s="551"/>
      <c r="W795" s="551"/>
      <c r="X795" s="551"/>
      <c r="Y795" s="551"/>
      <c r="Z795" s="551"/>
      <c r="AA795" s="551"/>
      <c r="AB795" s="551"/>
      <c r="AC795" s="616"/>
      <c r="AD795" s="551"/>
      <c r="AI795" s="543"/>
      <c r="AJ795" s="543"/>
      <c r="AK795" s="595"/>
      <c r="AL795" s="595"/>
      <c r="AM795" s="595"/>
      <c r="AN795" s="597"/>
    </row>
    <row r="796" spans="1:81">
      <c r="B796" s="550"/>
      <c r="C796" s="550"/>
      <c r="D796" s="550"/>
      <c r="E796" s="550"/>
      <c r="F796" s="550"/>
      <c r="G796" s="550"/>
      <c r="H796" s="550"/>
      <c r="I796" s="550"/>
      <c r="J796" s="550"/>
      <c r="K796" s="550"/>
      <c r="L796" s="550"/>
      <c r="M796" s="550"/>
      <c r="N796" s="550"/>
      <c r="O796" s="550"/>
      <c r="P796" s="550"/>
      <c r="Q796" s="550"/>
      <c r="R796" s="550"/>
      <c r="S796" s="550"/>
      <c r="T796" s="550"/>
      <c r="U796" s="550"/>
      <c r="V796" s="550"/>
      <c r="W796" s="550"/>
      <c r="X796" s="550"/>
      <c r="Y796" s="550"/>
      <c r="Z796" s="550"/>
      <c r="AA796" s="550"/>
      <c r="AB796" s="550"/>
      <c r="AC796" s="550"/>
      <c r="AD796" s="550"/>
      <c r="AE796" s="550"/>
      <c r="AF796" s="550"/>
      <c r="AG796" s="550"/>
      <c r="AH796" s="550"/>
      <c r="AI796" s="550"/>
      <c r="AJ796" s="550"/>
      <c r="AK796" s="550"/>
      <c r="AL796" s="550"/>
      <c r="AM796" s="550"/>
    </row>
    <row r="797" spans="1:81">
      <c r="A797" s="2572" t="s">
        <v>1568</v>
      </c>
      <c r="B797" s="2573"/>
      <c r="C797" s="2573"/>
      <c r="D797" s="2573"/>
      <c r="E797" s="2573"/>
      <c r="F797" s="2573"/>
      <c r="G797" s="2573"/>
      <c r="H797" s="2573"/>
      <c r="I797" s="2573"/>
      <c r="J797" s="2573"/>
      <c r="K797" s="2573"/>
      <c r="L797" s="2573"/>
      <c r="M797" s="2573"/>
      <c r="N797" s="2573"/>
      <c r="O797" s="2573"/>
      <c r="P797" s="2573"/>
      <c r="Q797" s="2573"/>
      <c r="R797" s="2573"/>
      <c r="S797" s="2573"/>
      <c r="T797" s="2573"/>
      <c r="U797" s="2573"/>
      <c r="V797" s="2573"/>
      <c r="W797" s="2573"/>
      <c r="X797" s="2573"/>
      <c r="Y797" s="2573"/>
      <c r="Z797" s="2573"/>
      <c r="AA797" s="2573"/>
      <c r="AB797" s="2573"/>
      <c r="AC797" s="2573"/>
      <c r="AD797" s="2573"/>
      <c r="AE797" s="2573"/>
      <c r="AF797" s="2573"/>
      <c r="AG797" s="2573"/>
      <c r="AH797" s="2573"/>
      <c r="AI797" s="2573"/>
      <c r="AJ797" s="2573"/>
      <c r="AK797" s="2573"/>
      <c r="AL797" s="2573"/>
      <c r="AM797" s="2573"/>
    </row>
    <row r="798" spans="1:81">
      <c r="A798" s="2574"/>
      <c r="B798" s="2574"/>
      <c r="C798" s="2574"/>
      <c r="D798" s="2574"/>
      <c r="E798" s="2574"/>
      <c r="F798" s="2574"/>
      <c r="G798" s="2574"/>
      <c r="H798" s="2574"/>
      <c r="I798" s="2574"/>
      <c r="J798" s="2574"/>
      <c r="K798" s="2574"/>
      <c r="L798" s="2574"/>
      <c r="M798" s="2574"/>
      <c r="N798" s="2574"/>
      <c r="O798" s="2574"/>
      <c r="P798" s="2574"/>
      <c r="Q798" s="2574"/>
      <c r="R798" s="2574"/>
      <c r="S798" s="2574"/>
      <c r="T798" s="2574"/>
      <c r="U798" s="2574"/>
      <c r="V798" s="2574"/>
      <c r="W798" s="2574"/>
      <c r="X798" s="2574"/>
      <c r="Y798" s="2574"/>
      <c r="Z798" s="2574"/>
      <c r="AA798" s="2574"/>
      <c r="AB798" s="2574"/>
      <c r="AC798" s="2574"/>
      <c r="AD798" s="2574"/>
      <c r="AE798" s="2574"/>
      <c r="AF798" s="2574"/>
      <c r="AG798" s="2574"/>
      <c r="AH798" s="2574"/>
      <c r="AI798" s="2574"/>
      <c r="AJ798" s="2574"/>
      <c r="AK798" s="2574"/>
      <c r="AL798" s="2574"/>
      <c r="AM798" s="2574"/>
      <c r="AO798" s="816"/>
      <c r="AP798" s="816"/>
      <c r="AQ798" s="816"/>
    </row>
    <row r="799" spans="1:81">
      <c r="A799" s="550"/>
      <c r="B799" s="571"/>
      <c r="C799" s="572"/>
      <c r="D799" s="572"/>
      <c r="E799" s="572"/>
      <c r="F799" s="572"/>
      <c r="G799" s="572"/>
      <c r="H799" s="572"/>
      <c r="I799" s="573"/>
      <c r="J799" s="573"/>
      <c r="K799" s="573"/>
      <c r="L799" s="573"/>
      <c r="M799" s="573"/>
      <c r="N799" s="573"/>
      <c r="O799" s="573"/>
      <c r="P799" s="573"/>
      <c r="Q799" s="573"/>
      <c r="S799" s="539"/>
      <c r="T799" s="539"/>
      <c r="U799" s="539"/>
      <c r="V799" s="539"/>
      <c r="W799" s="539"/>
      <c r="X799" s="539"/>
      <c r="Y799" s="539"/>
      <c r="Z799" s="539"/>
      <c r="AA799" s="539"/>
      <c r="AB799" s="539"/>
      <c r="AC799" s="539"/>
      <c r="AD799" s="539"/>
      <c r="AE799" s="539"/>
      <c r="AG799" s="539"/>
      <c r="AH799" s="539"/>
      <c r="AI799" s="539"/>
      <c r="AJ799" s="539"/>
      <c r="AK799" s="550"/>
      <c r="AL799" s="550"/>
      <c r="AM799" s="537"/>
      <c r="AO799" s="816"/>
      <c r="AP799" s="816"/>
      <c r="AQ799" s="816"/>
    </row>
    <row r="800" spans="1:81">
      <c r="A800" s="2520"/>
      <c r="B800" s="2520"/>
      <c r="C800" s="2520"/>
      <c r="D800" s="2520"/>
      <c r="E800" s="2520"/>
      <c r="F800" s="2520"/>
      <c r="G800" s="2520"/>
      <c r="H800" s="2520"/>
      <c r="I800" s="2520"/>
      <c r="J800" s="2520"/>
      <c r="K800" s="2520"/>
      <c r="L800" s="2520"/>
      <c r="M800" s="2520"/>
      <c r="N800" s="2520"/>
      <c r="O800" s="2520"/>
      <c r="P800" s="2520"/>
      <c r="Q800" s="2520"/>
      <c r="R800" s="2520"/>
      <c r="S800" s="2520"/>
      <c r="T800" s="2520"/>
      <c r="U800" s="2520"/>
      <c r="V800" s="2520"/>
      <c r="W800" s="2520"/>
      <c r="X800" s="2520"/>
      <c r="Y800" s="2520"/>
      <c r="Z800" s="2520"/>
      <c r="AA800" s="2520"/>
      <c r="AB800" s="2520"/>
      <c r="AC800" s="2520"/>
      <c r="AD800" s="2520"/>
      <c r="AE800" s="2520"/>
      <c r="AF800" s="2520"/>
      <c r="AG800" s="2520"/>
      <c r="AH800" s="2520"/>
      <c r="AI800" s="2520"/>
      <c r="AJ800" s="2520"/>
      <c r="AK800" s="2520"/>
      <c r="AL800" s="2520"/>
      <c r="AM800" s="2520"/>
      <c r="AP800" s="816"/>
      <c r="AQ800" s="816"/>
    </row>
    <row r="801" spans="1:81">
      <c r="A801" s="2520"/>
      <c r="B801" s="2520"/>
      <c r="C801" s="2520"/>
      <c r="D801" s="2520"/>
      <c r="E801" s="2520"/>
      <c r="F801" s="2520"/>
      <c r="G801" s="2520"/>
      <c r="H801" s="2520"/>
      <c r="I801" s="2520"/>
      <c r="J801" s="2520"/>
      <c r="K801" s="2520"/>
      <c r="L801" s="2520"/>
      <c r="M801" s="2520"/>
      <c r="N801" s="2520"/>
      <c r="O801" s="2520"/>
      <c r="P801" s="2520"/>
      <c r="Q801" s="2520"/>
      <c r="R801" s="2520"/>
      <c r="S801" s="2520"/>
      <c r="T801" s="2520"/>
      <c r="U801" s="2520"/>
      <c r="V801" s="2520"/>
      <c r="W801" s="2520"/>
      <c r="X801" s="2520"/>
      <c r="Y801" s="2520"/>
      <c r="Z801" s="2520"/>
      <c r="AA801" s="2520"/>
      <c r="AB801" s="2520"/>
      <c r="AC801" s="2520"/>
      <c r="AD801" s="2520"/>
      <c r="AE801" s="2520"/>
      <c r="AF801" s="2520"/>
      <c r="AG801" s="2520"/>
      <c r="AH801" s="2520"/>
      <c r="AI801" s="2520"/>
      <c r="AJ801" s="2520"/>
      <c r="AK801" s="2520"/>
      <c r="AL801" s="2520"/>
      <c r="AM801" s="2520"/>
      <c r="AO801" s="816"/>
      <c r="AQ801" s="816"/>
    </row>
    <row r="802" spans="1:81">
      <c r="A802" s="817"/>
      <c r="B802" s="667"/>
      <c r="C802" s="667"/>
      <c r="D802" s="667"/>
      <c r="E802" s="667"/>
      <c r="F802" s="667"/>
      <c r="G802" s="667"/>
      <c r="H802" s="667"/>
      <c r="I802" s="667"/>
      <c r="J802" s="667"/>
      <c r="K802" s="667"/>
      <c r="L802" s="667"/>
      <c r="M802" s="667"/>
      <c r="N802" s="667"/>
      <c r="O802" s="667"/>
      <c r="P802" s="667"/>
      <c r="Q802" s="667"/>
      <c r="R802" s="667"/>
      <c r="S802" s="669"/>
      <c r="T802" s="2575" t="s">
        <v>1569</v>
      </c>
      <c r="U802" s="2576"/>
      <c r="V802" s="2576"/>
      <c r="W802" s="2576"/>
      <c r="X802" s="2576"/>
      <c r="Y802" s="2577"/>
      <c r="Z802" s="2575" t="s">
        <v>1570</v>
      </c>
      <c r="AA802" s="2576"/>
      <c r="AB802" s="2576"/>
      <c r="AC802" s="2576"/>
      <c r="AD802" s="2576"/>
      <c r="AE802" s="2577"/>
      <c r="AF802" s="2575" t="s">
        <v>1571</v>
      </c>
      <c r="AG802" s="2576"/>
      <c r="AH802" s="2576"/>
      <c r="AI802" s="2576"/>
      <c r="AJ802" s="2576"/>
      <c r="AK802" s="2577"/>
      <c r="AL802" s="818"/>
      <c r="AM802" s="596"/>
      <c r="AO802" s="816"/>
      <c r="AP802" s="816"/>
      <c r="AQ802" s="816"/>
    </row>
    <row r="803" spans="1:81">
      <c r="A803" s="819"/>
      <c r="B803" s="694"/>
      <c r="C803" s="694"/>
      <c r="D803" s="694"/>
      <c r="E803" s="694"/>
      <c r="F803" s="694"/>
      <c r="G803" s="694"/>
      <c r="H803" s="694"/>
      <c r="I803" s="694"/>
      <c r="J803" s="694"/>
      <c r="K803" s="694"/>
      <c r="L803" s="694"/>
      <c r="M803" s="694"/>
      <c r="N803" s="694"/>
      <c r="O803" s="694"/>
      <c r="P803" s="694"/>
      <c r="Q803" s="694"/>
      <c r="R803" s="694"/>
      <c r="S803" s="708"/>
      <c r="T803" s="2578"/>
      <c r="U803" s="2579"/>
      <c r="V803" s="2579"/>
      <c r="W803" s="2579"/>
      <c r="X803" s="2579"/>
      <c r="Y803" s="2580"/>
      <c r="Z803" s="2578"/>
      <c r="AA803" s="2579"/>
      <c r="AB803" s="2579"/>
      <c r="AC803" s="2579"/>
      <c r="AD803" s="2579"/>
      <c r="AE803" s="2580"/>
      <c r="AF803" s="2578"/>
      <c r="AG803" s="2579"/>
      <c r="AH803" s="2579"/>
      <c r="AI803" s="2579"/>
      <c r="AJ803" s="2579"/>
      <c r="AK803" s="2580"/>
      <c r="AL803" s="818"/>
      <c r="AM803" s="596"/>
      <c r="AO803" s="816"/>
      <c r="AP803" s="816"/>
      <c r="AQ803" s="816"/>
    </row>
    <row r="804" spans="1:81">
      <c r="A804" s="819" t="s">
        <v>757</v>
      </c>
      <c r="B804" s="2555" t="s">
        <v>1304</v>
      </c>
      <c r="C804" s="2555"/>
      <c r="D804" s="2555"/>
      <c r="E804" s="2555"/>
      <c r="F804" s="2555"/>
      <c r="G804" s="2555"/>
      <c r="H804" s="2555"/>
      <c r="I804" s="2555"/>
      <c r="J804" s="2555"/>
      <c r="K804" s="2555"/>
      <c r="L804" s="2555"/>
      <c r="M804" s="2555"/>
      <c r="N804" s="2555"/>
      <c r="O804" s="2555"/>
      <c r="P804" s="2555"/>
      <c r="Q804" s="2555"/>
      <c r="R804" s="2555"/>
      <c r="S804" s="2556"/>
      <c r="T804" s="2557">
        <f>AK62</f>
        <v>0</v>
      </c>
      <c r="U804" s="2558"/>
      <c r="V804" s="2558"/>
      <c r="W804" s="2558"/>
      <c r="X804" s="2558"/>
      <c r="Y804" s="2559"/>
      <c r="Z804" s="2560">
        <v>20</v>
      </c>
      <c r="AA804" s="2558"/>
      <c r="AB804" s="2558"/>
      <c r="AC804" s="2558"/>
      <c r="AD804" s="2558"/>
      <c r="AE804" s="2559"/>
      <c r="AF804" s="2541">
        <f>IF(T804&gt;Z804,Z804,T804)</f>
        <v>0</v>
      </c>
      <c r="AG804" s="2541"/>
      <c r="AH804" s="2541"/>
      <c r="AI804" s="2541"/>
      <c r="AJ804" s="2541"/>
      <c r="AK804" s="2541"/>
      <c r="AL804" s="818"/>
      <c r="AM804" s="596"/>
      <c r="AO804" s="816"/>
      <c r="AP804" s="816"/>
      <c r="AQ804" s="816"/>
    </row>
    <row r="805" spans="1:81">
      <c r="A805" s="819" t="s">
        <v>1541</v>
      </c>
      <c r="B805" s="2555" t="s">
        <v>1313</v>
      </c>
      <c r="C805" s="2555"/>
      <c r="D805" s="2555"/>
      <c r="E805" s="2555"/>
      <c r="F805" s="2555"/>
      <c r="G805" s="2555"/>
      <c r="H805" s="2555"/>
      <c r="I805" s="2555"/>
      <c r="J805" s="2555"/>
      <c r="K805" s="2555"/>
      <c r="L805" s="2555"/>
      <c r="M805" s="2555"/>
      <c r="N805" s="2555"/>
      <c r="O805" s="2555"/>
      <c r="P805" s="2555"/>
      <c r="Q805" s="2555"/>
      <c r="R805" s="2555"/>
      <c r="S805" s="2556"/>
      <c r="T805" s="2557">
        <f>AK84</f>
        <v>10</v>
      </c>
      <c r="U805" s="2558"/>
      <c r="V805" s="2558"/>
      <c r="W805" s="2558"/>
      <c r="X805" s="2558"/>
      <c r="Y805" s="2559"/>
      <c r="Z805" s="2560">
        <v>10</v>
      </c>
      <c r="AA805" s="2558"/>
      <c r="AB805" s="2558"/>
      <c r="AC805" s="2558"/>
      <c r="AD805" s="2558"/>
      <c r="AE805" s="2559"/>
      <c r="AF805" s="2541">
        <f>IF(T805&gt;Z805,Z805,T805)</f>
        <v>10</v>
      </c>
      <c r="AG805" s="2541"/>
      <c r="AH805" s="2541"/>
      <c r="AI805" s="2541"/>
      <c r="AJ805" s="2541"/>
      <c r="AK805" s="2541"/>
      <c r="AL805" s="818"/>
      <c r="AM805" s="596"/>
      <c r="AO805" s="816"/>
      <c r="AP805" s="816"/>
      <c r="AQ805" s="816"/>
    </row>
    <row r="806" spans="1:81">
      <c r="A806" s="819" t="s">
        <v>1550</v>
      </c>
      <c r="B806" s="2555" t="s">
        <v>1323</v>
      </c>
      <c r="C806" s="2555"/>
      <c r="D806" s="2555"/>
      <c r="E806" s="2555"/>
      <c r="F806" s="2555"/>
      <c r="G806" s="2555"/>
      <c r="H806" s="2555"/>
      <c r="I806" s="2555"/>
      <c r="J806" s="2555"/>
      <c r="K806" s="2555"/>
      <c r="L806" s="2555"/>
      <c r="M806" s="2555"/>
      <c r="N806" s="2555"/>
      <c r="O806" s="2555"/>
      <c r="P806" s="2555"/>
      <c r="Q806" s="2555"/>
      <c r="R806" s="2555"/>
      <c r="S806" s="2556"/>
      <c r="T806" s="2557">
        <f ca="1">AK109</f>
        <v>20</v>
      </c>
      <c r="U806" s="2558"/>
      <c r="V806" s="2558"/>
      <c r="W806" s="2558"/>
      <c r="X806" s="2558"/>
      <c r="Y806" s="2559"/>
      <c r="Z806" s="2560">
        <v>20</v>
      </c>
      <c r="AA806" s="2558"/>
      <c r="AB806" s="2558"/>
      <c r="AC806" s="2558"/>
      <c r="AD806" s="2558"/>
      <c r="AE806" s="2559"/>
      <c r="AF806" s="2541">
        <f ca="1">IF(T806&gt;Z806,Z806,T806)</f>
        <v>20</v>
      </c>
      <c r="AG806" s="2541"/>
      <c r="AH806" s="2541"/>
      <c r="AI806" s="2541"/>
      <c r="AJ806" s="2541"/>
      <c r="AK806" s="2541"/>
      <c r="AL806" s="818"/>
      <c r="AM806" s="596"/>
      <c r="AO806" s="816"/>
      <c r="AP806" s="816"/>
      <c r="AQ806" s="816"/>
    </row>
    <row r="807" spans="1:81">
      <c r="A807" s="819" t="s">
        <v>1572</v>
      </c>
      <c r="B807" s="2555" t="s">
        <v>1333</v>
      </c>
      <c r="C807" s="2555"/>
      <c r="D807" s="2555"/>
      <c r="E807" s="2555"/>
      <c r="F807" s="2555"/>
      <c r="G807" s="2555"/>
      <c r="H807" s="2555"/>
      <c r="I807" s="2555"/>
      <c r="J807" s="2555"/>
      <c r="K807" s="2555"/>
      <c r="L807" s="2555"/>
      <c r="M807" s="2555"/>
      <c r="N807" s="2555"/>
      <c r="O807" s="2555"/>
      <c r="P807" s="2555"/>
      <c r="Q807" s="2555"/>
      <c r="R807" s="2555"/>
      <c r="S807" s="2556"/>
      <c r="T807" s="2557">
        <f>AK143</f>
        <v>10</v>
      </c>
      <c r="U807" s="2558"/>
      <c r="V807" s="2558"/>
      <c r="W807" s="2558"/>
      <c r="X807" s="2558"/>
      <c r="Y807" s="2559"/>
      <c r="Z807" s="2560">
        <v>10</v>
      </c>
      <c r="AA807" s="2558"/>
      <c r="AB807" s="2558"/>
      <c r="AC807" s="2558"/>
      <c r="AD807" s="2558"/>
      <c r="AE807" s="2559"/>
      <c r="AF807" s="2541">
        <f>IF(T807&gt;Z807,Z807,T807)</f>
        <v>10</v>
      </c>
      <c r="AG807" s="2541"/>
      <c r="AH807" s="2541"/>
      <c r="AI807" s="2541"/>
      <c r="AJ807" s="2541"/>
      <c r="AK807" s="2541"/>
      <c r="AL807" s="818"/>
      <c r="AM807" s="596"/>
      <c r="AO807" s="816"/>
      <c r="AP807" s="816"/>
      <c r="AQ807" s="816"/>
    </row>
    <row r="808" spans="1:81">
      <c r="A808" s="820" t="s">
        <v>1573</v>
      </c>
      <c r="B808" s="2555" t="s">
        <v>1574</v>
      </c>
      <c r="C808" s="2555"/>
      <c r="D808" s="2555"/>
      <c r="E808" s="2555"/>
      <c r="F808" s="2555"/>
      <c r="G808" s="2555"/>
      <c r="H808" s="2555"/>
      <c r="I808" s="2555"/>
      <c r="J808" s="2555"/>
      <c r="K808" s="2555"/>
      <c r="L808" s="2555"/>
      <c r="M808" s="2555"/>
      <c r="N808" s="2555"/>
      <c r="O808" s="2555"/>
      <c r="P808" s="2555"/>
      <c r="Q808" s="2555"/>
      <c r="R808" s="2555"/>
      <c r="S808" s="2556"/>
      <c r="T808" s="2581">
        <f>SUM(T809:Y810)</f>
        <v>10</v>
      </c>
      <c r="U808" s="2581"/>
      <c r="V808" s="2581"/>
      <c r="W808" s="2581"/>
      <c r="X808" s="2581"/>
      <c r="Y808" s="2581"/>
      <c r="Z808" s="2541">
        <v>10</v>
      </c>
      <c r="AA808" s="2541"/>
      <c r="AB808" s="2541"/>
      <c r="AC808" s="2541"/>
      <c r="AD808" s="2541"/>
      <c r="AE808" s="2541"/>
      <c r="AF808" s="2541">
        <f>IF(T808&gt;Z808,Z808,T808)</f>
        <v>10</v>
      </c>
      <c r="AG808" s="2541"/>
      <c r="AH808" s="2541"/>
      <c r="AI808" s="2541"/>
      <c r="AJ808" s="2541"/>
      <c r="AK808" s="2541"/>
      <c r="AL808" s="818"/>
      <c r="AM808" s="596"/>
    </row>
    <row r="809" spans="1:81">
      <c r="A809" s="535"/>
      <c r="B809" s="601"/>
      <c r="C809" s="2582" t="s">
        <v>1575</v>
      </c>
      <c r="D809" s="2582"/>
      <c r="E809" s="2582"/>
      <c r="F809" s="2582"/>
      <c r="G809" s="2582"/>
      <c r="H809" s="2582"/>
      <c r="I809" s="2582"/>
      <c r="J809" s="2582"/>
      <c r="K809" s="2582"/>
      <c r="L809" s="2582"/>
      <c r="M809" s="2582"/>
      <c r="N809" s="2582"/>
      <c r="O809" s="2582"/>
      <c r="P809" s="2582"/>
      <c r="Q809" s="2582"/>
      <c r="R809" s="2582"/>
      <c r="S809" s="2583"/>
      <c r="T809" s="2474">
        <f>AJ166</f>
        <v>7</v>
      </c>
      <c r="U809" s="2474"/>
      <c r="V809" s="2474"/>
      <c r="W809" s="2474"/>
      <c r="X809" s="2474"/>
      <c r="Y809" s="2474"/>
      <c r="Z809" s="2475">
        <v>7</v>
      </c>
      <c r="AA809" s="2475"/>
      <c r="AB809" s="2475"/>
      <c r="AC809" s="2475"/>
      <c r="AD809" s="2475"/>
      <c r="AE809" s="2475"/>
      <c r="AF809" s="2584"/>
      <c r="AG809" s="2584"/>
      <c r="AH809" s="2584"/>
      <c r="AI809" s="2584"/>
      <c r="AJ809" s="2584"/>
      <c r="AK809" s="2584"/>
      <c r="AL809" s="818"/>
      <c r="AM809" s="596"/>
    </row>
    <row r="810" spans="1:81">
      <c r="A810" s="600"/>
      <c r="B810" s="601"/>
      <c r="C810" s="2582" t="s">
        <v>1576</v>
      </c>
      <c r="D810" s="2582"/>
      <c r="E810" s="2582"/>
      <c r="F810" s="2582"/>
      <c r="G810" s="2582"/>
      <c r="H810" s="2582"/>
      <c r="I810" s="2582"/>
      <c r="J810" s="2582"/>
      <c r="K810" s="2582"/>
      <c r="L810" s="2582"/>
      <c r="M810" s="2582"/>
      <c r="N810" s="2582"/>
      <c r="O810" s="2582"/>
      <c r="P810" s="2582"/>
      <c r="Q810" s="2582"/>
      <c r="R810" s="2582"/>
      <c r="S810" s="2583"/>
      <c r="T810" s="2474">
        <f>AJ180</f>
        <v>3</v>
      </c>
      <c r="U810" s="2474"/>
      <c r="V810" s="2474"/>
      <c r="W810" s="2474"/>
      <c r="X810" s="2474"/>
      <c r="Y810" s="2474"/>
      <c r="Z810" s="2475">
        <v>3</v>
      </c>
      <c r="AA810" s="2475"/>
      <c r="AB810" s="2475"/>
      <c r="AC810" s="2475"/>
      <c r="AD810" s="2475"/>
      <c r="AE810" s="2475"/>
      <c r="AF810" s="2584"/>
      <c r="AG810" s="2584"/>
      <c r="AH810" s="2584"/>
      <c r="AI810" s="2584"/>
      <c r="AJ810" s="2584"/>
      <c r="AK810" s="2584"/>
      <c r="AL810" s="818"/>
      <c r="AM810" s="596"/>
      <c r="AO810" s="550"/>
    </row>
    <row r="811" spans="1:81">
      <c r="A811" s="820" t="s">
        <v>1361</v>
      </c>
      <c r="B811" s="2555" t="s">
        <v>1577</v>
      </c>
      <c r="C811" s="2555"/>
      <c r="D811" s="2555"/>
      <c r="E811" s="2555"/>
      <c r="F811" s="2555"/>
      <c r="G811" s="2555"/>
      <c r="H811" s="2555"/>
      <c r="I811" s="2555"/>
      <c r="J811" s="2555"/>
      <c r="K811" s="2555"/>
      <c r="L811" s="2555"/>
      <c r="M811" s="2555"/>
      <c r="N811" s="2555"/>
      <c r="O811" s="2555"/>
      <c r="P811" s="2555"/>
      <c r="Q811" s="2555"/>
      <c r="R811" s="2555"/>
      <c r="S811" s="2556"/>
      <c r="T811" s="2581">
        <f>AK191</f>
        <v>10</v>
      </c>
      <c r="U811" s="2581"/>
      <c r="V811" s="2581"/>
      <c r="W811" s="2581"/>
      <c r="X811" s="2581"/>
      <c r="Y811" s="2581"/>
      <c r="Z811" s="2541">
        <v>10</v>
      </c>
      <c r="AA811" s="2541"/>
      <c r="AB811" s="2541"/>
      <c r="AC811" s="2541"/>
      <c r="AD811" s="2541"/>
      <c r="AE811" s="2541"/>
      <c r="AF811" s="2541">
        <f>IF(T811&gt;Z811,Z811,T811)</f>
        <v>10</v>
      </c>
      <c r="AG811" s="2541"/>
      <c r="AH811" s="2541"/>
      <c r="AI811" s="2541"/>
      <c r="AJ811" s="2541"/>
      <c r="AK811" s="2541"/>
      <c r="AL811" s="818"/>
      <c r="AM811" s="596"/>
    </row>
    <row r="812" spans="1:81">
      <c r="A812" s="819" t="s">
        <v>1370</v>
      </c>
      <c r="B812" s="2555" t="s">
        <v>1371</v>
      </c>
      <c r="C812" s="2555"/>
      <c r="D812" s="2555"/>
      <c r="E812" s="2555"/>
      <c r="F812" s="2555"/>
      <c r="G812" s="2555"/>
      <c r="H812" s="2555"/>
      <c r="I812" s="2555"/>
      <c r="J812" s="2555"/>
      <c r="K812" s="2555"/>
      <c r="L812" s="2555"/>
      <c r="M812" s="2555"/>
      <c r="N812" s="2555"/>
      <c r="O812" s="2555"/>
      <c r="P812" s="2555"/>
      <c r="Q812" s="2555"/>
      <c r="R812" s="2555"/>
      <c r="S812" s="2556"/>
      <c r="T812" s="2581">
        <f>AK273</f>
        <v>8</v>
      </c>
      <c r="U812" s="2581"/>
      <c r="V812" s="2581"/>
      <c r="W812" s="2581"/>
      <c r="X812" s="2581"/>
      <c r="Y812" s="2581"/>
      <c r="Z812" s="2560">
        <v>8</v>
      </c>
      <c r="AA812" s="2558"/>
      <c r="AB812" s="2558"/>
      <c r="AC812" s="2558"/>
      <c r="AD812" s="2558"/>
      <c r="AE812" s="2559"/>
      <c r="AF812" s="2541">
        <f>IF(T812&gt;Z812,Z812,T812)</f>
        <v>8</v>
      </c>
      <c r="AG812" s="2541"/>
      <c r="AH812" s="2541"/>
      <c r="AI812" s="2541"/>
      <c r="AJ812" s="2541"/>
      <c r="AK812" s="2541"/>
      <c r="AL812" s="818"/>
      <c r="AM812" s="596"/>
    </row>
    <row r="813" spans="1:81" s="534" customFormat="1" hidden="1">
      <c r="A813" s="820" t="s">
        <v>589</v>
      </c>
      <c r="B813" s="2555" t="s">
        <v>1578</v>
      </c>
      <c r="C813" s="2555"/>
      <c r="D813" s="2555"/>
      <c r="E813" s="2555"/>
      <c r="F813" s="2555"/>
      <c r="G813" s="2555"/>
      <c r="H813" s="2555"/>
      <c r="I813" s="2555"/>
      <c r="J813" s="2555"/>
      <c r="K813" s="2555"/>
      <c r="L813" s="2555"/>
      <c r="M813" s="2555"/>
      <c r="N813" s="2555"/>
      <c r="O813" s="2555"/>
      <c r="P813" s="2555"/>
      <c r="Q813" s="2555"/>
      <c r="R813" s="2555"/>
      <c r="S813" s="2556"/>
      <c r="T813" s="2581">
        <f>IF(AK535&gt;5,5,AK535)</f>
        <v>0</v>
      </c>
      <c r="U813" s="2581"/>
      <c r="V813" s="2581"/>
      <c r="W813" s="2581"/>
      <c r="X813" s="2581"/>
      <c r="Y813" s="2581"/>
      <c r="Z813" s="2541">
        <v>5</v>
      </c>
      <c r="AA813" s="2541"/>
      <c r="AB813" s="2541"/>
      <c r="AC813" s="2541"/>
      <c r="AD813" s="2541"/>
      <c r="AE813" s="2541"/>
      <c r="AF813" s="2541">
        <f>IF(T813&gt;Z813,5,T813)</f>
        <v>0</v>
      </c>
      <c r="AG813" s="2541"/>
      <c r="AH813" s="2541"/>
      <c r="AI813" s="2541"/>
      <c r="AJ813" s="2541"/>
      <c r="AK813" s="2541"/>
      <c r="AL813" s="818"/>
      <c r="AM813" s="596"/>
      <c r="AO813" s="30"/>
      <c r="AP813" s="14"/>
      <c r="AQ813" s="14"/>
      <c r="AR813" s="14"/>
      <c r="AS813" s="14"/>
      <c r="AT813" s="14"/>
      <c r="AU813" s="14"/>
      <c r="AV813" s="14"/>
      <c r="AW813" s="14"/>
      <c r="AX813" s="14"/>
      <c r="AY813" s="14"/>
      <c r="AZ813" s="14"/>
      <c r="BA813" s="14"/>
      <c r="BB813" s="14"/>
      <c r="BC813" s="14"/>
      <c r="BD813" s="32"/>
      <c r="BE813" s="32"/>
      <c r="BF813" s="32"/>
      <c r="BG813" s="32"/>
      <c r="BH813" s="32"/>
      <c r="BI813" s="14"/>
      <c r="BJ813" s="14"/>
      <c r="BK813" s="14"/>
      <c r="BL813" s="14"/>
      <c r="BM813" s="14"/>
      <c r="BN813" s="14"/>
      <c r="BO813" s="14"/>
      <c r="BP813" s="14"/>
      <c r="BQ813" s="14"/>
      <c r="BR813" s="14"/>
      <c r="BS813" s="14"/>
      <c r="BT813" s="14"/>
      <c r="BU813" s="14"/>
      <c r="BV813" s="14"/>
      <c r="BW813" s="14"/>
      <c r="BX813" s="14"/>
      <c r="BY813" s="14"/>
      <c r="BZ813" s="14"/>
      <c r="CA813" s="14"/>
      <c r="CB813" s="14"/>
      <c r="CC813" s="14"/>
    </row>
    <row r="814" spans="1:81" s="534" customFormat="1">
      <c r="A814" s="819" t="s">
        <v>1376</v>
      </c>
      <c r="B814" s="2555" t="s">
        <v>1579</v>
      </c>
      <c r="C814" s="2555"/>
      <c r="D814" s="2555"/>
      <c r="E814" s="2555"/>
      <c r="F814" s="2555"/>
      <c r="G814" s="2555"/>
      <c r="H814" s="2555"/>
      <c r="I814" s="2555"/>
      <c r="J814" s="2555"/>
      <c r="K814" s="2555"/>
      <c r="L814" s="2555"/>
      <c r="M814" s="2555"/>
      <c r="N814" s="2555"/>
      <c r="O814" s="2555"/>
      <c r="P814" s="2555"/>
      <c r="Q814" s="2555"/>
      <c r="R814" s="2555"/>
      <c r="S814" s="2556"/>
      <c r="T814" s="2581">
        <f>AK285</f>
        <v>10</v>
      </c>
      <c r="U814" s="2581"/>
      <c r="V814" s="2581"/>
      <c r="W814" s="2581"/>
      <c r="X814" s="2581"/>
      <c r="Y814" s="2581"/>
      <c r="Z814" s="2541">
        <v>10</v>
      </c>
      <c r="AA814" s="2541"/>
      <c r="AB814" s="2541"/>
      <c r="AC814" s="2541"/>
      <c r="AD814" s="2541"/>
      <c r="AE814" s="2541"/>
      <c r="AF814" s="2587">
        <f>IF(T814&gt;Z814,Z814,T814)</f>
        <v>10</v>
      </c>
      <c r="AG814" s="2588"/>
      <c r="AH814" s="2588"/>
      <c r="AI814" s="2588"/>
      <c r="AJ814" s="2588"/>
      <c r="AK814" s="2589"/>
      <c r="AL814" s="818"/>
      <c r="AM814" s="596"/>
      <c r="AO814" s="30"/>
      <c r="AP814" s="14"/>
      <c r="AQ814" s="14"/>
      <c r="AR814" s="14"/>
      <c r="AS814" s="14"/>
      <c r="AT814" s="14"/>
      <c r="AU814" s="14"/>
      <c r="AV814" s="14"/>
      <c r="AW814" s="14"/>
      <c r="AX814" s="14"/>
      <c r="AY814" s="14"/>
      <c r="AZ814" s="14"/>
      <c r="BA814" s="14"/>
      <c r="BB814" s="14"/>
      <c r="BC814" s="14"/>
      <c r="BD814" s="32"/>
      <c r="BE814" s="32"/>
      <c r="BF814" s="32"/>
      <c r="BG814" s="32"/>
      <c r="BH814" s="32"/>
      <c r="BI814" s="14"/>
      <c r="BJ814" s="14"/>
      <c r="BK814" s="14"/>
      <c r="BL814" s="14"/>
      <c r="BM814" s="14"/>
      <c r="BN814" s="14"/>
      <c r="BO814" s="14"/>
      <c r="BP814" s="14"/>
      <c r="BQ814" s="14"/>
      <c r="BR814" s="14"/>
      <c r="BS814" s="14"/>
      <c r="BT814" s="14"/>
      <c r="BU814" s="14"/>
      <c r="BV814" s="14"/>
      <c r="BW814" s="14"/>
      <c r="BX814" s="14"/>
      <c r="BY814" s="14"/>
      <c r="BZ814" s="14"/>
      <c r="CA814" s="14"/>
      <c r="CB814" s="14"/>
      <c r="CC814" s="14"/>
    </row>
    <row r="815" spans="1:81" s="534" customFormat="1">
      <c r="A815" s="820" t="s">
        <v>1380</v>
      </c>
      <c r="B815" s="2555" t="s">
        <v>1381</v>
      </c>
      <c r="C815" s="2555"/>
      <c r="D815" s="2555"/>
      <c r="E815" s="2555"/>
      <c r="F815" s="2555"/>
      <c r="G815" s="2555"/>
      <c r="H815" s="2555"/>
      <c r="I815" s="2555"/>
      <c r="J815" s="2555"/>
      <c r="K815" s="2555"/>
      <c r="L815" s="2555"/>
      <c r="M815" s="2555"/>
      <c r="N815" s="2555"/>
      <c r="O815" s="2555"/>
      <c r="P815" s="2555"/>
      <c r="Q815" s="2555"/>
      <c r="R815" s="2555"/>
      <c r="S815" s="2556"/>
      <c r="T815" s="2581">
        <f>AK338</f>
        <v>9</v>
      </c>
      <c r="U815" s="2581"/>
      <c r="V815" s="2581"/>
      <c r="W815" s="2581"/>
      <c r="X815" s="2581"/>
      <c r="Y815" s="2581"/>
      <c r="Z815" s="2587">
        <v>10</v>
      </c>
      <c r="AA815" s="2588"/>
      <c r="AB815" s="2588"/>
      <c r="AC815" s="2588"/>
      <c r="AD815" s="2588"/>
      <c r="AE815" s="2589"/>
      <c r="AF815" s="2587">
        <f>IF(T815&gt;Z815,Z815,T815)</f>
        <v>9</v>
      </c>
      <c r="AG815" s="2588"/>
      <c r="AH815" s="2588"/>
      <c r="AI815" s="2588"/>
      <c r="AJ815" s="2588"/>
      <c r="AK815" s="2589"/>
      <c r="AL815" s="539"/>
      <c r="AM815" s="596"/>
      <c r="AO815" s="30"/>
      <c r="AP815" s="14"/>
      <c r="AQ815" s="14"/>
      <c r="AR815" s="14"/>
      <c r="AS815" s="14"/>
      <c r="AT815" s="14"/>
      <c r="AU815" s="14"/>
      <c r="AV815" s="14"/>
      <c r="AW815" s="14"/>
      <c r="AX815" s="14"/>
      <c r="AY815" s="14"/>
      <c r="AZ815" s="14"/>
      <c r="BA815" s="14"/>
      <c r="BB815" s="14"/>
      <c r="BC815" s="14"/>
      <c r="BD815" s="32"/>
      <c r="BE815" s="32"/>
      <c r="BF815" s="32"/>
      <c r="BG815" s="32"/>
      <c r="BH815" s="32"/>
      <c r="BI815" s="14"/>
      <c r="BJ815" s="14"/>
      <c r="BK815" s="14"/>
      <c r="BL815" s="14"/>
      <c r="BM815" s="14"/>
      <c r="BN815" s="14"/>
      <c r="BO815" s="14"/>
      <c r="BP815" s="14"/>
      <c r="BQ815" s="14"/>
      <c r="BR815" s="14"/>
      <c r="BS815" s="14"/>
      <c r="BT815" s="14"/>
      <c r="BU815" s="14"/>
      <c r="BV815" s="14"/>
      <c r="BW815" s="14"/>
      <c r="BX815" s="14"/>
      <c r="BY815" s="14"/>
      <c r="BZ815" s="14"/>
      <c r="CA815" s="14"/>
      <c r="CB815" s="14"/>
      <c r="CC815" s="14"/>
    </row>
    <row r="816" spans="1:81" s="534" customFormat="1" hidden="1">
      <c r="A816" s="820"/>
      <c r="B816" s="821"/>
      <c r="C816" s="822" t="s">
        <v>1580</v>
      </c>
      <c r="D816" s="823"/>
      <c r="E816" s="823"/>
      <c r="F816" s="823"/>
      <c r="G816" s="823"/>
      <c r="H816" s="823"/>
      <c r="I816" s="823"/>
      <c r="J816" s="823"/>
      <c r="K816" s="823"/>
      <c r="L816" s="823"/>
      <c r="M816" s="823"/>
      <c r="N816" s="823"/>
      <c r="O816" s="823"/>
      <c r="P816" s="823"/>
      <c r="Q816" s="823"/>
      <c r="R816" s="821"/>
      <c r="S816" s="824"/>
      <c r="T816" s="2474">
        <f>AK338</f>
        <v>9</v>
      </c>
      <c r="U816" s="2474"/>
      <c r="V816" s="2474"/>
      <c r="W816" s="2474"/>
      <c r="X816" s="2474"/>
      <c r="Y816" s="2474"/>
      <c r="Z816" s="2479">
        <v>20</v>
      </c>
      <c r="AA816" s="2480"/>
      <c r="AB816" s="2480"/>
      <c r="AC816" s="2480"/>
      <c r="AD816" s="2480"/>
      <c r="AE816" s="2481"/>
      <c r="AF816" s="2584"/>
      <c r="AG816" s="2584"/>
      <c r="AH816" s="2584"/>
      <c r="AI816" s="2584"/>
      <c r="AJ816" s="2584"/>
      <c r="AK816" s="2584"/>
      <c r="AL816" s="539"/>
      <c r="AM816" s="596"/>
      <c r="AO816" s="30"/>
      <c r="AP816" s="14"/>
      <c r="AQ816" s="14"/>
      <c r="AR816" s="14"/>
      <c r="AS816" s="14"/>
      <c r="AT816" s="14"/>
      <c r="AU816" s="14"/>
      <c r="AV816" s="14"/>
      <c r="AW816" s="14"/>
      <c r="AX816" s="14"/>
      <c r="AY816" s="14"/>
      <c r="AZ816" s="14"/>
      <c r="BA816" s="14"/>
      <c r="BB816" s="14"/>
      <c r="BC816" s="14"/>
      <c r="BD816" s="32"/>
      <c r="BE816" s="32"/>
      <c r="BF816" s="32"/>
      <c r="BG816" s="32"/>
      <c r="BH816" s="32"/>
      <c r="BI816" s="14"/>
      <c r="BJ816" s="14"/>
      <c r="BK816" s="14"/>
      <c r="BL816" s="14"/>
      <c r="BM816" s="14"/>
      <c r="BN816" s="14"/>
      <c r="BO816" s="14"/>
      <c r="BP816" s="14"/>
      <c r="BQ816" s="14"/>
      <c r="BR816" s="14"/>
      <c r="BS816" s="14"/>
      <c r="BT816" s="14"/>
      <c r="BU816" s="14"/>
      <c r="BV816" s="14"/>
      <c r="BW816" s="14"/>
      <c r="BX816" s="14"/>
      <c r="BY816" s="14"/>
      <c r="BZ816" s="14"/>
      <c r="CA816" s="14"/>
      <c r="CB816" s="14"/>
      <c r="CC816" s="14"/>
    </row>
    <row r="817" spans="1:81" s="534" customFormat="1">
      <c r="A817" s="820" t="s">
        <v>1453</v>
      </c>
      <c r="B817" s="2555" t="s">
        <v>845</v>
      </c>
      <c r="C817" s="2555"/>
      <c r="D817" s="2555"/>
      <c r="E817" s="2555"/>
      <c r="F817" s="2555"/>
      <c r="G817" s="2555"/>
      <c r="H817" s="2555"/>
      <c r="I817" s="2555"/>
      <c r="J817" s="2555"/>
      <c r="K817" s="2555"/>
      <c r="L817" s="2555"/>
      <c r="M817" s="2555"/>
      <c r="N817" s="2555"/>
      <c r="O817" s="2555"/>
      <c r="P817" s="2555"/>
      <c r="Q817" s="2555"/>
      <c r="R817" s="2555"/>
      <c r="S817" s="2556"/>
      <c r="T817" s="2581">
        <f>AK469</f>
        <v>10</v>
      </c>
      <c r="U817" s="2581"/>
      <c r="V817" s="2581"/>
      <c r="W817" s="2581"/>
      <c r="X817" s="2581"/>
      <c r="Y817" s="2581"/>
      <c r="Z817" s="2587">
        <v>10</v>
      </c>
      <c r="AA817" s="2588"/>
      <c r="AB817" s="2588"/>
      <c r="AC817" s="2588"/>
      <c r="AD817" s="2588"/>
      <c r="AE817" s="2589"/>
      <c r="AF817" s="2541">
        <f>IF(T817&gt;Z817,Z817,T817)</f>
        <v>10</v>
      </c>
      <c r="AG817" s="2541"/>
      <c r="AH817" s="2541"/>
      <c r="AI817" s="2541"/>
      <c r="AJ817" s="2541"/>
      <c r="AK817" s="2541"/>
      <c r="AL817" s="539"/>
      <c r="AM817" s="596"/>
      <c r="AO817" s="30"/>
      <c r="AP817" s="14"/>
      <c r="AQ817" s="14"/>
      <c r="AR817" s="14"/>
      <c r="AS817" s="14"/>
      <c r="AT817" s="14"/>
      <c r="AU817" s="14"/>
      <c r="AV817" s="14"/>
      <c r="AW817" s="14"/>
      <c r="AX817" s="14"/>
      <c r="AY817" s="14"/>
      <c r="AZ817" s="14"/>
      <c r="BA817" s="14"/>
      <c r="BB817" s="14"/>
      <c r="BC817" s="14"/>
      <c r="BD817" s="32"/>
      <c r="BE817" s="32"/>
      <c r="BF817" s="32"/>
      <c r="BG817" s="32"/>
      <c r="BH817" s="32"/>
      <c r="BI817" s="14"/>
      <c r="BJ817" s="14"/>
      <c r="BK817" s="14"/>
      <c r="BL817" s="14"/>
      <c r="BM817" s="14"/>
      <c r="BN817" s="14"/>
      <c r="BO817" s="14"/>
      <c r="BP817" s="14"/>
      <c r="BQ817" s="14"/>
      <c r="BR817" s="14"/>
      <c r="BS817" s="14"/>
      <c r="BT817" s="14"/>
      <c r="BU817" s="14"/>
      <c r="BV817" s="14"/>
      <c r="BW817" s="14"/>
      <c r="BX817" s="14"/>
      <c r="BY817" s="14"/>
      <c r="BZ817" s="14"/>
      <c r="CA817" s="14"/>
      <c r="CB817" s="14"/>
      <c r="CC817" s="14"/>
    </row>
    <row r="818" spans="1:81" s="534" customFormat="1">
      <c r="A818" s="820" t="s">
        <v>1558</v>
      </c>
      <c r="B818" s="2555" t="s">
        <v>1559</v>
      </c>
      <c r="C818" s="2555"/>
      <c r="D818" s="2555"/>
      <c r="E818" s="2555"/>
      <c r="F818" s="2555"/>
      <c r="G818" s="2555"/>
      <c r="H818" s="2555"/>
      <c r="I818" s="2555"/>
      <c r="J818" s="2555"/>
      <c r="K818" s="2555"/>
      <c r="L818" s="2555"/>
      <c r="M818" s="2555"/>
      <c r="N818" s="2555"/>
      <c r="O818" s="2555"/>
      <c r="P818" s="2555"/>
      <c r="Q818" s="2555"/>
      <c r="R818" s="2555"/>
      <c r="S818" s="2556"/>
      <c r="T818" s="2581">
        <f>AK559</f>
        <v>12</v>
      </c>
      <c r="U818" s="2581"/>
      <c r="V818" s="2581"/>
      <c r="W818" s="2581"/>
      <c r="X818" s="2581"/>
      <c r="Y818" s="2581"/>
      <c r="Z818" s="2587">
        <v>12</v>
      </c>
      <c r="AA818" s="2588"/>
      <c r="AB818" s="2588"/>
      <c r="AC818" s="2588"/>
      <c r="AD818" s="2588"/>
      <c r="AE818" s="2589"/>
      <c r="AF818" s="2541">
        <f>IF(T818&gt;Z818,Z818,T818)</f>
        <v>12</v>
      </c>
      <c r="AG818" s="2541"/>
      <c r="AH818" s="2541"/>
      <c r="AI818" s="2541"/>
      <c r="AJ818" s="2541"/>
      <c r="AK818" s="2541"/>
      <c r="AL818" s="539"/>
      <c r="AM818" s="596"/>
      <c r="AO818" s="30"/>
      <c r="AP818" s="14"/>
      <c r="AQ818" s="14"/>
      <c r="AR818" s="14"/>
      <c r="AS818" s="14"/>
      <c r="AT818" s="14"/>
      <c r="AU818" s="14"/>
      <c r="AV818" s="14"/>
      <c r="AW818" s="14"/>
      <c r="AX818" s="14"/>
      <c r="AY818" s="14"/>
      <c r="AZ818" s="14"/>
      <c r="BA818" s="14"/>
      <c r="BB818" s="14"/>
      <c r="BC818" s="14"/>
      <c r="BD818" s="32"/>
      <c r="BE818" s="32"/>
      <c r="BF818" s="32"/>
      <c r="BG818" s="32"/>
      <c r="BH818" s="32"/>
      <c r="BI818" s="14"/>
      <c r="BJ818" s="14"/>
      <c r="BK818" s="14"/>
      <c r="BL818" s="14"/>
      <c r="BM818" s="14"/>
      <c r="BN818" s="14"/>
      <c r="BO818" s="14"/>
      <c r="BP818" s="14"/>
      <c r="BQ818" s="14"/>
      <c r="BR818" s="14"/>
      <c r="BS818" s="14"/>
      <c r="BT818" s="14"/>
      <c r="BU818" s="14"/>
      <c r="BV818" s="14"/>
      <c r="BW818" s="14"/>
      <c r="BX818" s="14"/>
      <c r="BY818" s="14"/>
      <c r="BZ818" s="14"/>
      <c r="CA818" s="14"/>
      <c r="CB818" s="14"/>
      <c r="CC818" s="14"/>
    </row>
    <row r="819" spans="1:81" s="534" customFormat="1">
      <c r="A819" s="820" t="s">
        <v>2021</v>
      </c>
      <c r="B819" s="2555" t="s">
        <v>1581</v>
      </c>
      <c r="C819" s="2555"/>
      <c r="D819" s="2555"/>
      <c r="E819" s="2555"/>
      <c r="F819" s="2555"/>
      <c r="G819" s="2555"/>
      <c r="H819" s="2555"/>
      <c r="I819" s="2555"/>
      <c r="J819" s="2555"/>
      <c r="K819" s="2555"/>
      <c r="L819" s="2555"/>
      <c r="M819" s="2555"/>
      <c r="N819" s="2555"/>
      <c r="O819" s="2555"/>
      <c r="P819" s="2555"/>
      <c r="Q819" s="2555"/>
      <c r="R819" s="2555"/>
      <c r="S819" s="2556"/>
      <c r="T819" s="2581">
        <f>AK794</f>
        <v>10</v>
      </c>
      <c r="U819" s="2581"/>
      <c r="V819" s="2581"/>
      <c r="W819" s="2581"/>
      <c r="X819" s="2581"/>
      <c r="Y819" s="2581"/>
      <c r="Z819" s="2587">
        <v>10</v>
      </c>
      <c r="AA819" s="2588"/>
      <c r="AB819" s="2588"/>
      <c r="AC819" s="2588"/>
      <c r="AD819" s="2588"/>
      <c r="AE819" s="2589"/>
      <c r="AF819" s="2541">
        <f>IF(T819&gt;Z819,Z819,T819)</f>
        <v>10</v>
      </c>
      <c r="AG819" s="2541"/>
      <c r="AH819" s="2541"/>
      <c r="AI819" s="2541"/>
      <c r="AJ819" s="2541"/>
      <c r="AK819" s="2541"/>
      <c r="AL819" s="539"/>
      <c r="AM819" s="596"/>
      <c r="AO819" s="30"/>
      <c r="AP819" s="14"/>
      <c r="AQ819" s="14"/>
      <c r="AR819" s="14"/>
      <c r="AS819" s="14"/>
      <c r="AT819" s="14"/>
      <c r="AU819" s="14"/>
      <c r="AV819" s="14"/>
      <c r="AW819" s="14"/>
      <c r="AX819" s="14"/>
      <c r="AY819" s="14"/>
      <c r="AZ819" s="14"/>
      <c r="BA819" s="14"/>
      <c r="BB819" s="14"/>
      <c r="BC819" s="14"/>
      <c r="BD819" s="32"/>
      <c r="BE819" s="32"/>
      <c r="BF819" s="32"/>
      <c r="BG819" s="32"/>
      <c r="BH819" s="32"/>
      <c r="BI819" s="14"/>
      <c r="BJ819" s="14"/>
      <c r="BK819" s="14"/>
      <c r="BL819" s="14"/>
      <c r="BM819" s="14"/>
      <c r="BN819" s="14"/>
      <c r="BO819" s="14"/>
      <c r="BP819" s="14"/>
      <c r="BQ819" s="14"/>
      <c r="BR819" s="14"/>
      <c r="BS819" s="14"/>
      <c r="BT819" s="14"/>
      <c r="BU819" s="14"/>
      <c r="BV819" s="14"/>
      <c r="BW819" s="14"/>
      <c r="BX819" s="14"/>
      <c r="BY819" s="14"/>
      <c r="BZ819" s="14"/>
      <c r="CA819" s="14"/>
      <c r="CB819" s="14"/>
      <c r="CC819" s="14"/>
    </row>
    <row r="820" spans="1:81" s="534" customFormat="1">
      <c r="A820" s="2585" t="s">
        <v>1582</v>
      </c>
      <c r="B820" s="2555"/>
      <c r="C820" s="2555"/>
      <c r="D820" s="2555"/>
      <c r="E820" s="2555"/>
      <c r="F820" s="2555"/>
      <c r="G820" s="2555"/>
      <c r="H820" s="2555"/>
      <c r="I820" s="2555"/>
      <c r="J820" s="2555"/>
      <c r="K820" s="2555"/>
      <c r="L820" s="2555"/>
      <c r="M820" s="2555"/>
      <c r="N820" s="2555"/>
      <c r="O820" s="2555"/>
      <c r="P820" s="2555"/>
      <c r="Q820" s="2555"/>
      <c r="R820" s="2555"/>
      <c r="S820" s="2556"/>
      <c r="T820" s="2586"/>
      <c r="U820" s="2586"/>
      <c r="V820" s="2586"/>
      <c r="W820" s="2586"/>
      <c r="X820" s="2586"/>
      <c r="Y820" s="2586"/>
      <c r="Z820" s="2475" t="s">
        <v>1583</v>
      </c>
      <c r="AA820" s="2475"/>
      <c r="AB820" s="2475"/>
      <c r="AC820" s="2475"/>
      <c r="AD820" s="2475"/>
      <c r="AE820" s="2475"/>
      <c r="AF820" s="2587">
        <f>IF(T820&gt;0,T820,0)</f>
        <v>0</v>
      </c>
      <c r="AG820" s="2588"/>
      <c r="AH820" s="2588"/>
      <c r="AI820" s="2588"/>
      <c r="AJ820" s="2588"/>
      <c r="AK820" s="2589"/>
      <c r="AL820" s="591"/>
      <c r="AM820" s="596"/>
      <c r="AO820" s="30"/>
      <c r="AP820" s="14"/>
      <c r="AQ820" s="14"/>
      <c r="AR820" s="14"/>
      <c r="AS820" s="14"/>
      <c r="AT820" s="14"/>
      <c r="AU820" s="14"/>
      <c r="AV820" s="14"/>
      <c r="AW820" s="14"/>
      <c r="AX820" s="14"/>
      <c r="AY820" s="14"/>
      <c r="AZ820" s="14"/>
      <c r="BA820" s="14"/>
      <c r="BB820" s="14"/>
      <c r="BC820" s="14"/>
      <c r="BD820" s="32"/>
      <c r="BE820" s="32"/>
      <c r="BF820" s="32"/>
      <c r="BG820" s="32"/>
      <c r="BH820" s="32"/>
      <c r="BI820" s="14"/>
      <c r="BJ820" s="14"/>
      <c r="BK820" s="14"/>
      <c r="BL820" s="14"/>
      <c r="BM820" s="14"/>
      <c r="BN820" s="14"/>
      <c r="BO820" s="14"/>
      <c r="BP820" s="14"/>
      <c r="BQ820" s="14"/>
      <c r="BR820" s="14"/>
      <c r="BS820" s="14"/>
      <c r="BT820" s="14"/>
      <c r="BU820" s="14"/>
      <c r="BV820" s="14"/>
      <c r="BW820" s="14"/>
      <c r="BX820" s="14"/>
      <c r="BY820" s="14"/>
      <c r="BZ820" s="14"/>
      <c r="CA820" s="14"/>
      <c r="CB820" s="14"/>
      <c r="CC820" s="14"/>
    </row>
    <row r="821" spans="1:81" s="534" customFormat="1" ht="15.75">
      <c r="A821" s="2590" t="s">
        <v>1584</v>
      </c>
      <c r="B821" s="2591"/>
      <c r="C821" s="2591"/>
      <c r="D821" s="2591"/>
      <c r="E821" s="2591"/>
      <c r="F821" s="2591"/>
      <c r="G821" s="2591"/>
      <c r="H821" s="2591"/>
      <c r="I821" s="2591"/>
      <c r="J821" s="2591"/>
      <c r="K821" s="2591"/>
      <c r="L821" s="2591"/>
      <c r="M821" s="2591"/>
      <c r="N821" s="2591"/>
      <c r="O821" s="2591"/>
      <c r="P821" s="2591"/>
      <c r="Q821" s="2591"/>
      <c r="R821" s="2591"/>
      <c r="S821" s="2591"/>
      <c r="T821" s="2591"/>
      <c r="U821" s="2591"/>
      <c r="V821" s="2591"/>
      <c r="W821" s="2591"/>
      <c r="X821" s="2591"/>
      <c r="Y821" s="2591"/>
      <c r="Z821" s="2591"/>
      <c r="AA821" s="2591"/>
      <c r="AB821" s="2591"/>
      <c r="AC821" s="2591"/>
      <c r="AD821" s="2591"/>
      <c r="AE821" s="2592"/>
      <c r="AF821" s="2596">
        <f ca="1">SUM(AF804:AK819)-AF820</f>
        <v>119</v>
      </c>
      <c r="AG821" s="2597"/>
      <c r="AH821" s="2597"/>
      <c r="AI821" s="2597"/>
      <c r="AJ821" s="2597"/>
      <c r="AK821" s="2598"/>
      <c r="AL821" s="825"/>
      <c r="AM821" s="550"/>
      <c r="AO821" s="30"/>
      <c r="AP821" s="14"/>
      <c r="AQ821" s="14"/>
      <c r="AR821" s="14"/>
      <c r="AS821" s="14"/>
      <c r="AT821" s="14"/>
      <c r="AU821" s="14"/>
      <c r="AV821" s="14"/>
      <c r="AW821" s="14"/>
      <c r="AX821" s="14"/>
      <c r="AY821" s="14"/>
      <c r="AZ821" s="14"/>
      <c r="BA821" s="14"/>
      <c r="BB821" s="14"/>
      <c r="BC821" s="14"/>
      <c r="BD821" s="32"/>
      <c r="BE821" s="32"/>
      <c r="BF821" s="32"/>
      <c r="BG821" s="32"/>
      <c r="BH821" s="32"/>
      <c r="BI821" s="14"/>
      <c r="BJ821" s="14"/>
      <c r="BK821" s="14"/>
      <c r="BL821" s="14"/>
      <c r="BM821" s="14"/>
      <c r="BN821" s="14"/>
      <c r="BO821" s="14"/>
      <c r="BP821" s="14"/>
      <c r="BQ821" s="14"/>
      <c r="BR821" s="14"/>
      <c r="BS821" s="14"/>
      <c r="BT821" s="14"/>
      <c r="BU821" s="14"/>
      <c r="BV821" s="14"/>
      <c r="BW821" s="14"/>
      <c r="BX821" s="14"/>
      <c r="BY821" s="14"/>
      <c r="BZ821" s="14"/>
      <c r="CA821" s="14"/>
      <c r="CB821" s="14"/>
      <c r="CC821" s="14"/>
    </row>
    <row r="822" spans="1:81" s="534" customFormat="1" ht="15.75">
      <c r="A822" s="2593"/>
      <c r="B822" s="2594"/>
      <c r="C822" s="2594"/>
      <c r="D822" s="2594"/>
      <c r="E822" s="2594"/>
      <c r="F822" s="2594"/>
      <c r="G822" s="2594"/>
      <c r="H822" s="2594"/>
      <c r="I822" s="2594"/>
      <c r="J822" s="2594"/>
      <c r="K822" s="2594"/>
      <c r="L822" s="2594"/>
      <c r="M822" s="2594"/>
      <c r="N822" s="2594"/>
      <c r="O822" s="2594"/>
      <c r="P822" s="2594"/>
      <c r="Q822" s="2594"/>
      <c r="R822" s="2594"/>
      <c r="S822" s="2594"/>
      <c r="T822" s="2594"/>
      <c r="U822" s="2594"/>
      <c r="V822" s="2594"/>
      <c r="W822" s="2594"/>
      <c r="X822" s="2594"/>
      <c r="Y822" s="2594"/>
      <c r="Z822" s="2594"/>
      <c r="AA822" s="2594"/>
      <c r="AB822" s="2594"/>
      <c r="AC822" s="2594"/>
      <c r="AD822" s="2594"/>
      <c r="AE822" s="2595"/>
      <c r="AF822" s="2599"/>
      <c r="AG822" s="2600"/>
      <c r="AH822" s="2600"/>
      <c r="AI822" s="2600"/>
      <c r="AJ822" s="2600"/>
      <c r="AK822" s="2601"/>
      <c r="AL822" s="825"/>
      <c r="AM822" s="550"/>
      <c r="AO822" s="30"/>
      <c r="AP822" s="14"/>
      <c r="AQ822" s="14"/>
      <c r="AR822" s="14"/>
      <c r="AS822" s="14"/>
      <c r="AT822" s="14"/>
      <c r="AU822" s="14"/>
      <c r="AV822" s="14"/>
      <c r="AW822" s="14"/>
      <c r="AX822" s="14"/>
      <c r="AY822" s="14"/>
      <c r="AZ822" s="14"/>
      <c r="BA822" s="14"/>
      <c r="BB822" s="14"/>
      <c r="BC822" s="14"/>
      <c r="BD822" s="32"/>
      <c r="BE822" s="32"/>
      <c r="BF822" s="32"/>
      <c r="BG822" s="32"/>
      <c r="BH822" s="32"/>
      <c r="BI822" s="14"/>
      <c r="BJ822" s="14"/>
      <c r="BK822" s="14"/>
      <c r="BL822" s="14"/>
      <c r="BM822" s="14"/>
      <c r="BN822" s="14"/>
      <c r="BO822" s="14"/>
      <c r="BP822" s="14"/>
      <c r="BQ822" s="14"/>
      <c r="BR822" s="14"/>
      <c r="BS822" s="14"/>
      <c r="BT822" s="14"/>
      <c r="BU822" s="14"/>
      <c r="BV822" s="14"/>
      <c r="BW822" s="14"/>
      <c r="BX822" s="14"/>
      <c r="BY822" s="14"/>
      <c r="BZ822" s="14"/>
      <c r="CA822" s="14"/>
      <c r="CB822" s="14"/>
      <c r="CC822" s="14"/>
    </row>
    <row r="823" spans="1:81" s="534" customFormat="1">
      <c r="A823" s="663"/>
      <c r="B823" s="663"/>
      <c r="C823" s="663"/>
      <c r="D823" s="663"/>
      <c r="E823" s="663"/>
      <c r="F823" s="663"/>
      <c r="G823" s="663"/>
      <c r="H823" s="663"/>
      <c r="I823" s="663"/>
      <c r="J823" s="663"/>
      <c r="K823" s="663"/>
      <c r="L823" s="663"/>
      <c r="M823" s="663"/>
      <c r="N823" s="663"/>
      <c r="O823" s="663"/>
      <c r="P823" s="663"/>
      <c r="Q823" s="663"/>
      <c r="R823" s="663"/>
      <c r="S823" s="663"/>
      <c r="T823" s="663"/>
      <c r="U823" s="663"/>
      <c r="V823" s="663"/>
      <c r="W823" s="663"/>
      <c r="X823" s="663"/>
      <c r="Y823" s="663"/>
      <c r="Z823" s="663"/>
      <c r="AA823" s="663"/>
      <c r="AB823" s="663"/>
      <c r="AC823" s="663"/>
      <c r="AD823" s="663"/>
      <c r="AE823" s="663"/>
      <c r="AF823" s="663"/>
      <c r="AG823" s="663"/>
      <c r="AH823" s="663"/>
      <c r="AI823" s="663"/>
      <c r="AJ823" s="663"/>
      <c r="AK823" s="663"/>
      <c r="AL823" s="663"/>
      <c r="AM823" s="826"/>
      <c r="AO823" s="30"/>
      <c r="AP823" s="14"/>
      <c r="AQ823" s="14"/>
      <c r="AR823" s="14"/>
      <c r="AS823" s="14"/>
      <c r="AT823" s="14"/>
      <c r="AU823" s="14"/>
      <c r="AV823" s="14"/>
      <c r="AW823" s="14"/>
      <c r="AX823" s="14"/>
      <c r="AY823" s="14"/>
      <c r="AZ823" s="14"/>
      <c r="BA823" s="14"/>
      <c r="BB823" s="14"/>
      <c r="BC823" s="14"/>
      <c r="BD823" s="32"/>
      <c r="BE823" s="32"/>
      <c r="BF823" s="32"/>
      <c r="BG823" s="32"/>
      <c r="BH823" s="32"/>
      <c r="BI823" s="14"/>
      <c r="BJ823" s="14"/>
      <c r="BK823" s="14"/>
      <c r="BL823" s="14"/>
      <c r="BM823" s="14"/>
      <c r="BN823" s="14"/>
      <c r="BO823" s="14"/>
      <c r="BP823" s="14"/>
      <c r="BQ823" s="14"/>
      <c r="BR823" s="14"/>
      <c r="BS823" s="14"/>
      <c r="BT823" s="14"/>
      <c r="BU823" s="14"/>
      <c r="BV823" s="14"/>
      <c r="BW823" s="14"/>
      <c r="BX823" s="14"/>
      <c r="BY823" s="14"/>
      <c r="BZ823" s="14"/>
      <c r="CA823" s="14"/>
      <c r="CB823" s="14"/>
      <c r="CC823" s="14"/>
    </row>
    <row r="824" spans="1:81"/>
    <row r="825" spans="1:81"/>
    <row r="826" spans="1:81"/>
    <row r="827" spans="1:81"/>
  </sheetData>
  <sheetProtection algorithmName="SHA-512" hashValue="EbYQAt61C0dV5/DUeLM/IrZEXH1EP462NZR+lu++JwmYCCuB4XuCgP+qT2SB0EC01LaU4ijLJXmPRmywsZGwRg==" saltValue="dnZY/wLYlZ7x6s6UZXv+7A==" spinCount="100000" sheet="1" objects="1" scenarios="1"/>
  <mergeCells count="506">
    <mergeCell ref="B161:AJ162"/>
    <mergeCell ref="C163:AJ163"/>
    <mergeCell ref="C164:Z164"/>
    <mergeCell ref="AJ164:AK164"/>
    <mergeCell ref="F278:AD282"/>
    <mergeCell ref="AS362:AT362"/>
    <mergeCell ref="AP559:AR559"/>
    <mergeCell ref="E133:H133"/>
    <mergeCell ref="J133:M133"/>
    <mergeCell ref="O133:R133"/>
    <mergeCell ref="T133:W133"/>
    <mergeCell ref="Y133:AB133"/>
    <mergeCell ref="AD133:AG133"/>
    <mergeCell ref="E138:H138"/>
    <mergeCell ref="AB244:AG244"/>
    <mergeCell ref="AB226:AG226"/>
    <mergeCell ref="AB227:AG227"/>
    <mergeCell ref="AB228:AG228"/>
    <mergeCell ref="AB229:AG229"/>
    <mergeCell ref="T222:Y222"/>
    <mergeCell ref="T225:Y225"/>
    <mergeCell ref="T226:Y226"/>
    <mergeCell ref="T227:Y227"/>
    <mergeCell ref="N231:R231"/>
    <mergeCell ref="AP553:AR553"/>
    <mergeCell ref="I225:K225"/>
    <mergeCell ref="AB250:AG250"/>
    <mergeCell ref="AB234:AG234"/>
    <mergeCell ref="AB230:AG230"/>
    <mergeCell ref="AB231:AG231"/>
    <mergeCell ref="AB232:AG232"/>
    <mergeCell ref="AB233:AG233"/>
    <mergeCell ref="T230:Y230"/>
    <mergeCell ref="T231:Y231"/>
    <mergeCell ref="T232:Y232"/>
    <mergeCell ref="T233:Y233"/>
    <mergeCell ref="AB245:AG245"/>
    <mergeCell ref="AP550:AR550"/>
    <mergeCell ref="F545:AL546"/>
    <mergeCell ref="F548:AK549"/>
    <mergeCell ref="AF551:AJ551"/>
    <mergeCell ref="AF552:AJ552"/>
    <mergeCell ref="AF553:AJ553"/>
    <mergeCell ref="AK469:AM469"/>
    <mergeCell ref="N225:R225"/>
    <mergeCell ref="N226:R226"/>
    <mergeCell ref="AK535:AM535"/>
    <mergeCell ref="F453:AE455"/>
    <mergeCell ref="AK794:AM794"/>
    <mergeCell ref="AP554:AR554"/>
    <mergeCell ref="AP557:AR557"/>
    <mergeCell ref="AP556:AR556"/>
    <mergeCell ref="N228:R228"/>
    <mergeCell ref="N229:R229"/>
    <mergeCell ref="V485:X485"/>
    <mergeCell ref="V487:X487"/>
    <mergeCell ref="V492:X492"/>
    <mergeCell ref="C369:AJ371"/>
    <mergeCell ref="U373:W373"/>
    <mergeCell ref="U374:W374"/>
    <mergeCell ref="AQ375:AR375"/>
    <mergeCell ref="F377:AF380"/>
    <mergeCell ref="C381:D381"/>
    <mergeCell ref="AF381:AL381"/>
    <mergeCell ref="C350:AJ352"/>
    <mergeCell ref="C353:AJ361"/>
    <mergeCell ref="H779:I779"/>
    <mergeCell ref="AJ781:AK781"/>
    <mergeCell ref="N232:R232"/>
    <mergeCell ref="N233:R233"/>
    <mergeCell ref="T228:Y228"/>
    <mergeCell ref="AP552:AR552"/>
    <mergeCell ref="C544:D544"/>
    <mergeCell ref="AB247:AG247"/>
    <mergeCell ref="B210:AB210"/>
    <mergeCell ref="T224:Y224"/>
    <mergeCell ref="T223:Y223"/>
    <mergeCell ref="AB240:AG240"/>
    <mergeCell ref="AB243:AG243"/>
    <mergeCell ref="F503:Z503"/>
    <mergeCell ref="C505:D505"/>
    <mergeCell ref="F505:AE506"/>
    <mergeCell ref="F508:H508"/>
    <mergeCell ref="D495:E495"/>
    <mergeCell ref="V496:X496"/>
    <mergeCell ref="V498:X498"/>
    <mergeCell ref="F480:Z480"/>
    <mergeCell ref="C482:D482"/>
    <mergeCell ref="C457:D457"/>
    <mergeCell ref="F457:AE460"/>
    <mergeCell ref="AF457:AL457"/>
    <mergeCell ref="F462:AF465"/>
    <mergeCell ref="AE472:AK472"/>
    <mergeCell ref="F384:AF388"/>
    <mergeCell ref="T229:Y229"/>
    <mergeCell ref="AE341:AK341"/>
    <mergeCell ref="AB223:AG223"/>
    <mergeCell ref="I226:K226"/>
    <mergeCell ref="I227:K227"/>
    <mergeCell ref="N230:R230"/>
    <mergeCell ref="N227:R227"/>
    <mergeCell ref="E785:AD788"/>
    <mergeCell ref="I228:K228"/>
    <mergeCell ref="I229:K229"/>
    <mergeCell ref="I230:K230"/>
    <mergeCell ref="B230:G230"/>
    <mergeCell ref="B231:G231"/>
    <mergeCell ref="B232:G232"/>
    <mergeCell ref="B233:G233"/>
    <mergeCell ref="B226:G226"/>
    <mergeCell ref="B227:G227"/>
    <mergeCell ref="B224:G224"/>
    <mergeCell ref="B225:G225"/>
    <mergeCell ref="B228:G228"/>
    <mergeCell ref="AE538:AK538"/>
    <mergeCell ref="C541:D541"/>
    <mergeCell ref="F541:AL542"/>
    <mergeCell ref="C510:D510"/>
    <mergeCell ref="C512:D512"/>
    <mergeCell ref="G513:AF513"/>
    <mergeCell ref="B812:S812"/>
    <mergeCell ref="T812:Y812"/>
    <mergeCell ref="Z812:AE812"/>
    <mergeCell ref="AF812:AK812"/>
    <mergeCell ref="B813:S813"/>
    <mergeCell ref="T813:Y813"/>
    <mergeCell ref="Z813:AE813"/>
    <mergeCell ref="AF813:AK813"/>
    <mergeCell ref="C810:S810"/>
    <mergeCell ref="T810:Y810"/>
    <mergeCell ref="Z810:AE810"/>
    <mergeCell ref="AF810:AK810"/>
    <mergeCell ref="B811:S811"/>
    <mergeCell ref="T811:Y811"/>
    <mergeCell ref="Z811:AE811"/>
    <mergeCell ref="AF811:AK811"/>
    <mergeCell ref="B814:S814"/>
    <mergeCell ref="T814:Y814"/>
    <mergeCell ref="Z814:AE814"/>
    <mergeCell ref="AF814:AK814"/>
    <mergeCell ref="B815:S815"/>
    <mergeCell ref="T815:Y815"/>
    <mergeCell ref="Z815:AE815"/>
    <mergeCell ref="AF815:AK815"/>
    <mergeCell ref="T816:Y816"/>
    <mergeCell ref="Z816:AE816"/>
    <mergeCell ref="AF816:AK816"/>
    <mergeCell ref="A820:S820"/>
    <mergeCell ref="T820:Y820"/>
    <mergeCell ref="Z820:AE820"/>
    <mergeCell ref="AF820:AK820"/>
    <mergeCell ref="A821:AE822"/>
    <mergeCell ref="AF821:AK822"/>
    <mergeCell ref="B817:S817"/>
    <mergeCell ref="T817:Y817"/>
    <mergeCell ref="Z817:AE817"/>
    <mergeCell ref="AF817:AK817"/>
    <mergeCell ref="B818:S818"/>
    <mergeCell ref="T818:Y818"/>
    <mergeCell ref="Z818:AE818"/>
    <mergeCell ref="AF818:AK818"/>
    <mergeCell ref="T819:Y819"/>
    <mergeCell ref="Z819:AE819"/>
    <mergeCell ref="AF819:AK819"/>
    <mergeCell ref="B819:S819"/>
    <mergeCell ref="B808:S808"/>
    <mergeCell ref="T808:Y808"/>
    <mergeCell ref="Z808:AE808"/>
    <mergeCell ref="AF808:AK808"/>
    <mergeCell ref="C809:S809"/>
    <mergeCell ref="T809:Y809"/>
    <mergeCell ref="Z809:AE809"/>
    <mergeCell ref="AF809:AK809"/>
    <mergeCell ref="B806:S806"/>
    <mergeCell ref="T806:Y806"/>
    <mergeCell ref="Z806:AE806"/>
    <mergeCell ref="AF806:AK806"/>
    <mergeCell ref="B807:S807"/>
    <mergeCell ref="T807:Y807"/>
    <mergeCell ref="Z807:AE807"/>
    <mergeCell ref="AF807:AK807"/>
    <mergeCell ref="B804:S804"/>
    <mergeCell ref="T804:Y804"/>
    <mergeCell ref="Z804:AE804"/>
    <mergeCell ref="AF804:AK804"/>
    <mergeCell ref="B805:S805"/>
    <mergeCell ref="T805:Y805"/>
    <mergeCell ref="Z805:AE805"/>
    <mergeCell ref="AF805:AK805"/>
    <mergeCell ref="B555:AJ557"/>
    <mergeCell ref="AK559:AM559"/>
    <mergeCell ref="A797:AM798"/>
    <mergeCell ref="A800:AM800"/>
    <mergeCell ref="A801:AM801"/>
    <mergeCell ref="T802:Y803"/>
    <mergeCell ref="Z802:AE803"/>
    <mergeCell ref="AF802:AK803"/>
    <mergeCell ref="E694:AB697"/>
    <mergeCell ref="AF694:AL694"/>
    <mergeCell ref="E665:AC667"/>
    <mergeCell ref="AF665:AL665"/>
    <mergeCell ref="AE666:AK666"/>
    <mergeCell ref="E669:AC671"/>
    <mergeCell ref="AF669:AL669"/>
    <mergeCell ref="E673:AC675"/>
    <mergeCell ref="C515:D515"/>
    <mergeCell ref="C519:D519"/>
    <mergeCell ref="G519:AF520"/>
    <mergeCell ref="C523:D523"/>
    <mergeCell ref="F524:AF525"/>
    <mergeCell ref="C466:D466"/>
    <mergeCell ref="AF466:AL466"/>
    <mergeCell ref="C501:D501"/>
    <mergeCell ref="F501:AE502"/>
    <mergeCell ref="AF453:AL453"/>
    <mergeCell ref="C423:D423"/>
    <mergeCell ref="AF423:AL423"/>
    <mergeCell ref="F427:AE429"/>
    <mergeCell ref="C430:D430"/>
    <mergeCell ref="AF430:AL430"/>
    <mergeCell ref="F433:AE441"/>
    <mergeCell ref="C478:D478"/>
    <mergeCell ref="F478:AE479"/>
    <mergeCell ref="AS358:AT358"/>
    <mergeCell ref="AS360:AT360"/>
    <mergeCell ref="C362:AJ367"/>
    <mergeCell ref="AQ366:AR366"/>
    <mergeCell ref="C412:D412"/>
    <mergeCell ref="F412:AE415"/>
    <mergeCell ref="AF413:AL413"/>
    <mergeCell ref="F417:AE420"/>
    <mergeCell ref="C421:D421"/>
    <mergeCell ref="AF421:AL421"/>
    <mergeCell ref="C399:D399"/>
    <mergeCell ref="AF399:AL399"/>
    <mergeCell ref="F403:AF406"/>
    <mergeCell ref="C407:D407"/>
    <mergeCell ref="AF407:AL407"/>
    <mergeCell ref="C409:D409"/>
    <mergeCell ref="AF409:AL409"/>
    <mergeCell ref="H751:I751"/>
    <mergeCell ref="AJ753:AK753"/>
    <mergeCell ref="E757:AB758"/>
    <mergeCell ref="AF757:AL757"/>
    <mergeCell ref="E760:AB761"/>
    <mergeCell ref="AF760:AL760"/>
    <mergeCell ref="H735:I735"/>
    <mergeCell ref="AJ737:AK737"/>
    <mergeCell ref="E741:AB744"/>
    <mergeCell ref="AF741:AL741"/>
    <mergeCell ref="E746:AA749"/>
    <mergeCell ref="AF746:AL746"/>
    <mergeCell ref="AF785:AL785"/>
    <mergeCell ref="H790:I790"/>
    <mergeCell ref="AJ792:AK792"/>
    <mergeCell ref="H763:I763"/>
    <mergeCell ref="AJ765:AK765"/>
    <mergeCell ref="E769:AD772"/>
    <mergeCell ref="AF769:AL769"/>
    <mergeCell ref="E774:AD777"/>
    <mergeCell ref="AF774:AL774"/>
    <mergeCell ref="AP725:AQ725"/>
    <mergeCell ref="E729:AB730"/>
    <mergeCell ref="AF729:AL729"/>
    <mergeCell ref="E732:AB733"/>
    <mergeCell ref="AF732:AL732"/>
    <mergeCell ref="AJ711:AK711"/>
    <mergeCell ref="E715:AB717"/>
    <mergeCell ref="AF715:AL715"/>
    <mergeCell ref="E719:AB721"/>
    <mergeCell ref="AF719:AL719"/>
    <mergeCell ref="H723:I723"/>
    <mergeCell ref="AJ725:AK725"/>
    <mergeCell ref="AO695:AP695"/>
    <mergeCell ref="E699:AB703"/>
    <mergeCell ref="AF699:AL699"/>
    <mergeCell ref="H709:I709"/>
    <mergeCell ref="E705:AB707"/>
    <mergeCell ref="E677:AC679"/>
    <mergeCell ref="AF677:AL677"/>
    <mergeCell ref="E681:AC683"/>
    <mergeCell ref="AF681:AL681"/>
    <mergeCell ref="H685:I685"/>
    <mergeCell ref="AJ687:AK687"/>
    <mergeCell ref="E691:AB692"/>
    <mergeCell ref="AF691:AL691"/>
    <mergeCell ref="AF673:AL673"/>
    <mergeCell ref="H650:I650"/>
    <mergeCell ref="AJ652:AK652"/>
    <mergeCell ref="E657:AC659"/>
    <mergeCell ref="AF657:AL657"/>
    <mergeCell ref="E661:AC663"/>
    <mergeCell ref="AF661:AL661"/>
    <mergeCell ref="X634:Y634"/>
    <mergeCell ref="AF636:AL636"/>
    <mergeCell ref="H638:I638"/>
    <mergeCell ref="AJ640:AK640"/>
    <mergeCell ref="AF644:AL644"/>
    <mergeCell ref="AF647:AL647"/>
    <mergeCell ref="E644:AD645"/>
    <mergeCell ref="B564:AJ572"/>
    <mergeCell ref="B616:C616"/>
    <mergeCell ref="E616:AG619"/>
    <mergeCell ref="AJ621:AK621"/>
    <mergeCell ref="E625:AD632"/>
    <mergeCell ref="AF625:AL625"/>
    <mergeCell ref="AF578:AL578"/>
    <mergeCell ref="AF585:AL585"/>
    <mergeCell ref="AF591:AL591"/>
    <mergeCell ref="AF597:AL597"/>
    <mergeCell ref="AF603:AL603"/>
    <mergeCell ref="H606:I606"/>
    <mergeCell ref="I614:AE614"/>
    <mergeCell ref="O601:AB601"/>
    <mergeCell ref="R606:W606"/>
    <mergeCell ref="Y607:AM608"/>
    <mergeCell ref="A333:B333"/>
    <mergeCell ref="C333:D333"/>
    <mergeCell ref="F333:AD335"/>
    <mergeCell ref="AK338:AM338"/>
    <mergeCell ref="AE562:AK562"/>
    <mergeCell ref="A310:B310"/>
    <mergeCell ref="C310:D310"/>
    <mergeCell ref="F316:AD320"/>
    <mergeCell ref="I324:AD327"/>
    <mergeCell ref="I329:AD331"/>
    <mergeCell ref="F311:AD312"/>
    <mergeCell ref="C343:AJ347"/>
    <mergeCell ref="C348:AJ348"/>
    <mergeCell ref="C389:D389"/>
    <mergeCell ref="AF389:AL389"/>
    <mergeCell ref="F392:AF396"/>
    <mergeCell ref="C397:D397"/>
    <mergeCell ref="AF397:AL397"/>
    <mergeCell ref="C442:D442"/>
    <mergeCell ref="AF442:AL442"/>
    <mergeCell ref="F445:AE448"/>
    <mergeCell ref="C449:D449"/>
    <mergeCell ref="AF449:AL449"/>
    <mergeCell ref="C453:D453"/>
    <mergeCell ref="F299:AD300"/>
    <mergeCell ref="A302:B302"/>
    <mergeCell ref="C302:D302"/>
    <mergeCell ref="AK285:AM285"/>
    <mergeCell ref="A292:B292"/>
    <mergeCell ref="C292:D292"/>
    <mergeCell ref="F292:AD294"/>
    <mergeCell ref="F295:AD296"/>
    <mergeCell ref="F297:AD298"/>
    <mergeCell ref="AG292:AK292"/>
    <mergeCell ref="F303:AD306"/>
    <mergeCell ref="C278:D278"/>
    <mergeCell ref="AG278:AJ278"/>
    <mergeCell ref="C282:D282"/>
    <mergeCell ref="AG282:AJ282"/>
    <mergeCell ref="AK191:AM191"/>
    <mergeCell ref="AE194:AK194"/>
    <mergeCell ref="AG268:AK268"/>
    <mergeCell ref="AG269:AK269"/>
    <mergeCell ref="AG270:AK270"/>
    <mergeCell ref="AK273:AM273"/>
    <mergeCell ref="AD209:AJ209"/>
    <mergeCell ref="AD210:AJ210"/>
    <mergeCell ref="AD208:AJ208"/>
    <mergeCell ref="AD201:AJ201"/>
    <mergeCell ref="AD200:AJ200"/>
    <mergeCell ref="AD199:AJ199"/>
    <mergeCell ref="AB260:AG260"/>
    <mergeCell ref="AD211:AJ211"/>
    <mergeCell ref="AB266:AG266"/>
    <mergeCell ref="AB251:AG251"/>
    <mergeCell ref="AB252:AG252"/>
    <mergeCell ref="B208:AB208"/>
    <mergeCell ref="AB257:AG257"/>
    <mergeCell ref="AB258:AG258"/>
    <mergeCell ref="E139:H139"/>
    <mergeCell ref="AK183:AM183"/>
    <mergeCell ref="AE186:AK186"/>
    <mergeCell ref="B188:AC188"/>
    <mergeCell ref="AF188:AL188"/>
    <mergeCell ref="B189:S189"/>
    <mergeCell ref="T189:AC189"/>
    <mergeCell ref="C170:AI170"/>
    <mergeCell ref="AF172:AG172"/>
    <mergeCell ref="C174:AD174"/>
    <mergeCell ref="C178:AD178"/>
    <mergeCell ref="AJ180:AK180"/>
    <mergeCell ref="B153:AI153"/>
    <mergeCell ref="AB155:AC155"/>
    <mergeCell ref="B158:AJ158"/>
    <mergeCell ref="AJ166:AK166"/>
    <mergeCell ref="AB222:AG222"/>
    <mergeCell ref="AB224:AG224"/>
    <mergeCell ref="B199:AB199"/>
    <mergeCell ref="B205:AB205"/>
    <mergeCell ref="B206:AB206"/>
    <mergeCell ref="B207:AB207"/>
    <mergeCell ref="AB254:AG254"/>
    <mergeCell ref="AB256:AG256"/>
    <mergeCell ref="B200:AB200"/>
    <mergeCell ref="B201:AB201"/>
    <mergeCell ref="B202:AB202"/>
    <mergeCell ref="AD207:AJ207"/>
    <mergeCell ref="AD206:AJ206"/>
    <mergeCell ref="AD205:AJ205"/>
    <mergeCell ref="AD204:AJ204"/>
    <mergeCell ref="AD203:AJ203"/>
    <mergeCell ref="AD202:AJ202"/>
    <mergeCell ref="B223:G223"/>
    <mergeCell ref="I223:K223"/>
    <mergeCell ref="I222:K222"/>
    <mergeCell ref="I224:K224"/>
    <mergeCell ref="B203:AB203"/>
    <mergeCell ref="B204:AB204"/>
    <mergeCell ref="B229:G229"/>
    <mergeCell ref="AB225:AG225"/>
    <mergeCell ref="I231:K231"/>
    <mergeCell ref="I232:K232"/>
    <mergeCell ref="I233:K233"/>
    <mergeCell ref="N223:R223"/>
    <mergeCell ref="N224:R224"/>
    <mergeCell ref="B209:AB209"/>
    <mergeCell ref="E106:H106"/>
    <mergeCell ref="AK109:AM109"/>
    <mergeCell ref="E124:H124"/>
    <mergeCell ref="E127:H127"/>
    <mergeCell ref="J127:M127"/>
    <mergeCell ref="O127:R127"/>
    <mergeCell ref="T127:W127"/>
    <mergeCell ref="Y127:AB127"/>
    <mergeCell ref="AD127:AG127"/>
    <mergeCell ref="E115:AJ122"/>
    <mergeCell ref="J124:M124"/>
    <mergeCell ref="O124:R124"/>
    <mergeCell ref="T124:W124"/>
    <mergeCell ref="Y124:AB124"/>
    <mergeCell ref="AD124:AG124"/>
    <mergeCell ref="AF168:AL168"/>
    <mergeCell ref="AK143:AM143"/>
    <mergeCell ref="AE146:AK146"/>
    <mergeCell ref="AF148:AL148"/>
    <mergeCell ref="B150:AC150"/>
    <mergeCell ref="E130:H130"/>
    <mergeCell ref="J130:M130"/>
    <mergeCell ref="O130:R130"/>
    <mergeCell ref="B81:C81"/>
    <mergeCell ref="E81:AJ82"/>
    <mergeCell ref="E136:H136"/>
    <mergeCell ref="J136:M136"/>
    <mergeCell ref="O136:R136"/>
    <mergeCell ref="T136:W136"/>
    <mergeCell ref="Y136:AB136"/>
    <mergeCell ref="AD136:AG136"/>
    <mergeCell ref="T130:W130"/>
    <mergeCell ref="Y130:AB130"/>
    <mergeCell ref="AD130:AG130"/>
    <mergeCell ref="B115:C115"/>
    <mergeCell ref="AE112:AK112"/>
    <mergeCell ref="AK84:AM84"/>
    <mergeCell ref="AE87:AK87"/>
    <mergeCell ref="B90:C90"/>
    <mergeCell ref="E95:H95"/>
    <mergeCell ref="B98:C98"/>
    <mergeCell ref="E98:AJ101"/>
    <mergeCell ref="E103:H103"/>
    <mergeCell ref="E104:H104"/>
    <mergeCell ref="E105:H105"/>
    <mergeCell ref="A1:AM2"/>
    <mergeCell ref="AE7:AK7"/>
    <mergeCell ref="B13:C13"/>
    <mergeCell ref="AG13:AJ13"/>
    <mergeCell ref="B16:C16"/>
    <mergeCell ref="E16:AJ18"/>
    <mergeCell ref="AK62:AM62"/>
    <mergeCell ref="B45:C45"/>
    <mergeCell ref="B52:C52"/>
    <mergeCell ref="B33:C33"/>
    <mergeCell ref="E33:AJ34"/>
    <mergeCell ref="E45:AJ47"/>
    <mergeCell ref="E52:AJ54"/>
    <mergeCell ref="B56:C56"/>
    <mergeCell ref="E20:AJ20"/>
    <mergeCell ref="B22:C22"/>
    <mergeCell ref="E22:AJ23"/>
    <mergeCell ref="E90:AJ91"/>
    <mergeCell ref="E93:H93"/>
    <mergeCell ref="E94:H94"/>
    <mergeCell ref="E76:F76"/>
    <mergeCell ref="E77:F77"/>
    <mergeCell ref="B25:C25"/>
    <mergeCell ref="E25:AJ26"/>
    <mergeCell ref="B36:C36"/>
    <mergeCell ref="E36:AJ38"/>
    <mergeCell ref="AE65:AK65"/>
    <mergeCell ref="B68:C68"/>
    <mergeCell ref="E68:AJ72"/>
    <mergeCell ref="B74:C74"/>
    <mergeCell ref="E75:F75"/>
    <mergeCell ref="B58:C58"/>
    <mergeCell ref="E56:AJ56"/>
    <mergeCell ref="E58:AJ59"/>
    <mergeCell ref="E79:F79"/>
    <mergeCell ref="B28:C28"/>
    <mergeCell ref="E28:AJ28"/>
    <mergeCell ref="B40:C40"/>
    <mergeCell ref="E40:AJ41"/>
  </mergeCells>
  <conditionalFormatting sqref="E705:AB707">
    <cfRule type="expression" dxfId="14" priority="1">
      <formula>AND(NOT($AO$695),OR($H$709="(ii)",$H$709="(iii)"))</formula>
    </cfRule>
  </conditionalFormatting>
  <conditionalFormatting sqref="Q606">
    <cfRule type="expression" dxfId="13" priority="2">
      <formula>$H$606="(iv)"</formula>
    </cfRule>
  </conditionalFormatting>
  <conditionalFormatting sqref="R606:W606">
    <cfRule type="expression" dxfId="12" priority="3">
      <formula>$H$606="(iv)"</formula>
    </cfRule>
  </conditionalFormatting>
  <conditionalFormatting sqref="T812:Y812">
    <cfRule type="expression" dxfId="11" priority="10" stopIfTrue="1">
      <formula>ISERROR(T812)</formula>
    </cfRule>
  </conditionalFormatting>
  <conditionalFormatting sqref="T817:Z819">
    <cfRule type="expression" dxfId="10" priority="4" stopIfTrue="1">
      <formula>ISERROR(T817)</formula>
    </cfRule>
  </conditionalFormatting>
  <conditionalFormatting sqref="AF804:AK807">
    <cfRule type="expression" dxfId="9" priority="6" stopIfTrue="1">
      <formula>ISERROR(AF804)</formula>
    </cfRule>
  </conditionalFormatting>
  <conditionalFormatting sqref="AF812:AK812">
    <cfRule type="expression" dxfId="8" priority="11" stopIfTrue="1">
      <formula>ISERROR(AF812)</formula>
    </cfRule>
  </conditionalFormatting>
  <conditionalFormatting sqref="AF817:AK819">
    <cfRule type="expression" dxfId="7" priority="12" stopIfTrue="1">
      <formula>ISERROR(AF817)</formula>
    </cfRule>
  </conditionalFormatting>
  <conditionalFormatting sqref="AN455:AN459 AU471 AV472:AV474 T808:AK808 T809:AF811 AG811:AK811 T813:AK815 T816:AF816 AF819:AF821 T820:AE820 AG820:AL820">
    <cfRule type="expression" dxfId="6" priority="16" stopIfTrue="1">
      <formula>ISERROR(T455)</formula>
    </cfRule>
  </conditionalFormatting>
  <conditionalFormatting sqref="AP471">
    <cfRule type="expression" dxfId="5" priority="15" stopIfTrue="1">
      <formula>ISERROR(AP471)</formula>
    </cfRule>
  </conditionalFormatting>
  <dataValidations count="35">
    <dataValidation type="list" showInputMessage="1" showErrorMessage="1" sqref="T189:AC189" xr:uid="{00000000-0002-0000-0800-000006000000}">
      <formula1>$AS$189:$AS$191</formula1>
    </dataValidation>
    <dataValidation type="list" allowBlank="1" showInputMessage="1" showErrorMessage="1" sqref="B153:AI153" xr:uid="{00000000-0002-0000-0800-000008000000}">
      <formula1>$AO$151:$AO$154</formula1>
    </dataValidation>
    <dataValidation type="list" allowBlank="1" showInputMessage="1" showErrorMessage="1" sqref="C282:D282 C544:D544 C333:D333 C310:D310 C302:D302 C278:D278 B98:C98 C523:D523 C449:D449 C515:D515 C541:D541 C466:D466 C501:D501 C510:D510 C457:D457 C482:D482 C519:D519 C505:D505 C478:D478 C453:D453 C442:D442 C430:D430 C397:D397 C381:D381 C389:D389 C423:D423 C412:D412 C409:D409 C407:D407 C399:D399 C421:D421 X634:Y634 B13:C13 B16:C16 B22:C22 B25:C25 B36:C36 B45:C45 B33:C33 E79:F79 B52:C52 B56:C56 B58:C58 E75:F77 B68:C68 B74:C74 B81:C81 B115:C115 B90:C90 B28:C28 B40:C40" xr:uid="{00000000-0002-0000-0800-000009000000}">
      <formula1>"N/A, Yes"</formula1>
    </dataValidation>
    <dataValidation type="list" allowBlank="1" showInputMessage="1" showErrorMessage="1" sqref="G513:AF513" xr:uid="{00000000-0002-0000-0800-00000A000000}">
      <formula1>$AO$488:$AO$491</formula1>
    </dataValidation>
    <dataValidation type="list" allowBlank="1" showInputMessage="1" showErrorMessage="1" sqref="H763:I763 H751:I751 H735:I735 H723:I723 H638:I638 H650:I650" xr:uid="{00000000-0002-0000-0800-00000B000000}">
      <formula1>$AO$586:$AO$588</formula1>
    </dataValidation>
    <dataValidation type="list" allowBlank="1" showInputMessage="1" showErrorMessage="1" sqref="H650:I650" xr:uid="{00000000-0002-0000-0800-00000C000000}">
      <formula1>$AO$586:$AO$587</formula1>
    </dataValidation>
    <dataValidation type="list" showInputMessage="1" showErrorMessage="1" sqref="B616:C616" xr:uid="{00000000-0002-0000-0800-00000D000000}">
      <formula1>$AP$574:$AP$575</formula1>
    </dataValidation>
    <dataValidation type="list" allowBlank="1" showInputMessage="1" showErrorMessage="1" sqref="AB155:AC155 AF172:AG172 AJ164:AK164" xr:uid="{00000000-0002-0000-0800-00000E000000}">
      <formula1>"N/A,Yes,"</formula1>
    </dataValidation>
    <dataValidation type="list" allowBlank="1" showInputMessage="1" showErrorMessage="1" sqref="B158" xr:uid="{00000000-0002-0000-0800-00000F000000}">
      <formula1>$AO$156:$AO$158</formula1>
    </dataValidation>
    <dataValidation type="list" allowBlank="1" showInputMessage="1" showErrorMessage="1" sqref="F503:Z503" xr:uid="{00000000-0002-0000-0800-000010000000}">
      <formula1>$AO$471:$AO$479</formula1>
    </dataValidation>
    <dataValidation type="list" allowBlank="1" showInputMessage="1" showErrorMessage="1" sqref="F508:H508" xr:uid="{00000000-0002-0000-0800-000011000000}">
      <formula1>$AO$481:$AO$483</formula1>
    </dataValidation>
    <dataValidation type="list" allowBlank="1" showInputMessage="1" showErrorMessage="1" sqref="F524" xr:uid="{00000000-0002-0000-0800-000012000000}">
      <formula1>$AO$494:$AO$497</formula1>
    </dataValidation>
    <dataValidation type="list" allowBlank="1" showInputMessage="1" showErrorMessage="1" sqref="H790:I790" xr:uid="{00000000-0002-0000-0800-000013000000}">
      <formula1>$AO$784:$AO$785</formula1>
    </dataValidation>
    <dataValidation type="list" allowBlank="1" showInputMessage="1" showErrorMessage="1" sqref="B224:G233" xr:uid="{00000000-0002-0000-0800-000014000000}">
      <formula1>"(select),SRO/Studio,1 bedroom,2 bedroom,3 bedroom,4 bedroom,5 bedroom"</formula1>
    </dataValidation>
    <dataValidation type="list" allowBlank="1" showInputMessage="1" showErrorMessage="1" sqref="I329:AD331" xr:uid="{00000000-0002-0000-0800-000015000000}">
      <formula1>$AP$330:$AP$332</formula1>
    </dataValidation>
    <dataValidation type="list" allowBlank="1" showInputMessage="1" showErrorMessage="1" sqref="I324" xr:uid="{00000000-0002-0000-0800-000016000000}">
      <formula1>$AP$323:$AP$327</formula1>
    </dataValidation>
    <dataValidation type="list" allowBlank="1" showInputMessage="1" showErrorMessage="1" sqref="O601" xr:uid="{00000000-0002-0000-0800-000017000000}">
      <formula1>"(select),Dial-a-ride service,Project-operated van service"</formula1>
    </dataValidation>
    <dataValidation type="list" allowBlank="1" showInputMessage="1" showErrorMessage="1" sqref="C174:AD174" xr:uid="{00000000-0002-0000-0800-000018000000}">
      <formula1>$AO$177:$AO$179</formula1>
    </dataValidation>
    <dataValidation type="list" allowBlank="1" showInputMessage="1" showErrorMessage="1" sqref="C170:AI170" xr:uid="{00000000-0002-0000-0800-000019000000}">
      <formula1>$AO$170:$AO$173</formula1>
    </dataValidation>
    <dataValidation type="list" allowBlank="1" showInputMessage="1" showErrorMessage="1" sqref="C171:AD171" xr:uid="{00000000-0002-0000-0800-00001A000000}">
      <formula1>$AO$170:$AO$175</formula1>
    </dataValidation>
    <dataValidation type="list" allowBlank="1" showInputMessage="1" showErrorMessage="1" sqref="H606:I606 H608:I612" xr:uid="{00000000-0002-0000-0800-00001C000000}">
      <formula1>$AO$586:$AO$591</formula1>
    </dataValidation>
    <dataValidation type="list" allowBlank="1" showInputMessage="1" showErrorMessage="1" sqref="I614" xr:uid="{00000000-0002-0000-0800-00001D000000}">
      <formula1>$AO$613:$AO$615</formula1>
    </dataValidation>
    <dataValidation type="list" allowBlank="1" showInputMessage="1" showErrorMessage="1" sqref="F316:AD320" xr:uid="{00000000-0002-0000-0800-00001E000000}">
      <formula1>$AP$311:$AP$314</formula1>
    </dataValidation>
    <dataValidation type="list" allowBlank="1" showInputMessage="1" showErrorMessage="1" sqref="H685:I685" xr:uid="{00000000-0002-0000-0800-00001F000000}">
      <formula1>$AO$633:$AO$640</formula1>
    </dataValidation>
    <dataValidation type="list" allowBlank="1" showInputMessage="1" showErrorMessage="1" sqref="C292:D292" xr:uid="{68BBA6C5-CDA3-4BE1-9DAC-7CD27DB68D23}">
      <formula1>"N/A, Yes, 50% Met"</formula1>
    </dataValidation>
    <dataValidation type="list" showInputMessage="1" showErrorMessage="1" sqref="B188:AC188" xr:uid="{00000000-0002-0000-0800-000007000000}">
      <formula1>$AP$185:$AP$191</formula1>
    </dataValidation>
    <dataValidation type="list" allowBlank="1" showInputMessage="1" showErrorMessage="1" sqref="V487:X487" xr:uid="{00000000-0002-0000-0800-000000000000}">
      <formula1>$AT$481:$AT$483</formula1>
    </dataValidation>
    <dataValidation type="list" allowBlank="1" showInputMessage="1" showErrorMessage="1" sqref="V496:X496" xr:uid="{00000000-0002-0000-0800-000001000000}">
      <formula1>$BB$481:$BB$484</formula1>
    </dataValidation>
    <dataValidation type="list" allowBlank="1" showInputMessage="1" showErrorMessage="1" sqref="V498:X498" xr:uid="{00000000-0002-0000-0800-000002000000}">
      <formula1>$BF$481:$BF$483</formula1>
    </dataValidation>
    <dataValidation type="list" allowBlank="1" showInputMessage="1" showErrorMessage="1" sqref="F480:Z480" xr:uid="{00000000-0002-0000-0800-000003000000}">
      <formula1>$AT$471:$AT$479</formula1>
    </dataValidation>
    <dataValidation type="list" allowBlank="1" showInputMessage="1" showErrorMessage="1" sqref="V492:X492" xr:uid="{00000000-0002-0000-0800-000004000000}">
      <formula1>$AT$485:$AT$487</formula1>
    </dataValidation>
    <dataValidation type="list" allowBlank="1" showInputMessage="1" showErrorMessage="1" sqref="V485:X485" xr:uid="{00000000-0002-0000-0800-000005000000}">
      <formula1>$AW$481:$AW$483</formula1>
    </dataValidation>
    <dataValidation type="list" allowBlank="1" showInputMessage="1" showErrorMessage="1" sqref="R606:W606" xr:uid="{A3E65FF6-96AE-443D-AFEF-E3A195C0059C}">
      <formula1>$AO$593:$AO$595</formula1>
    </dataValidation>
    <dataValidation type="list" allowBlank="1" showInputMessage="1" showErrorMessage="1" sqref="H779:I779" xr:uid="{00000000-0002-0000-0800-00001B000000}">
      <formula1>$AO$769:$AO$771</formula1>
    </dataValidation>
    <dataValidation type="list" allowBlank="1" showInputMessage="1" showErrorMessage="1" sqref="H709:I709" xr:uid="{A32E3DED-F73B-45CE-8CA1-108E6498C33A}">
      <formula1>$AO$703:$AO$706</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63" max="38" man="1"/>
    <brk id="110" max="38" man="1"/>
    <brk id="286" max="38" man="1"/>
    <brk id="560" max="38" man="1"/>
    <brk id="680" max="38" man="1"/>
    <brk id="738" max="38" man="1"/>
    <brk id="391" max="38" man="1"/>
    <brk id="796" max="38" man="1"/>
  </rowBreaks>
  <ignoredErrors>
    <ignoredError sqref="E377 E384 E392 E403 E412" numberStoredAsText="1"/>
  </ignoredErrors>
  <legacyDrawing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26</vt:i4>
      </vt:variant>
    </vt:vector>
  </HeadingPairs>
  <TitlesOfParts>
    <vt:vector size="40" baseType="lpstr">
      <vt:lpstr>Instructions-App Completion </vt:lpstr>
      <vt:lpstr>Instructions-Electronic Submit</vt:lpstr>
      <vt:lpstr>Application Checklist</vt:lpstr>
      <vt:lpstr>Application</vt:lpstr>
      <vt:lpstr>Sources and Uses Budget</vt:lpstr>
      <vt:lpstr>Sources and Basis Breakdown</vt:lpstr>
      <vt:lpstr>CalHFA Addendum</vt:lpstr>
      <vt:lpstr>Basis &amp; Credits</vt:lpstr>
      <vt:lpstr>Points System</vt:lpstr>
      <vt:lpstr>Tie Breaker</vt:lpstr>
      <vt:lpstr>Subsidy Contract Calculation</vt:lpstr>
      <vt:lpstr>15 Year Pro Forma</vt:lpstr>
      <vt:lpstr>Post-award Instructions</vt:lpstr>
      <vt:lpstr>Post-award Project Cost Changes</vt:lpstr>
      <vt:lpstr>'CalHFA Addendum'!bedrooms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'CalHFA Addendum'!TC_Rent</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La Quay Spencer</cp:lastModifiedBy>
  <cp:lastPrinted>2024-12-09T20:28:29Z</cp:lastPrinted>
  <dcterms:created xsi:type="dcterms:W3CDTF">2007-12-27T18:26:28Z</dcterms:created>
  <dcterms:modified xsi:type="dcterms:W3CDTF">2025-05-19T18:49:37Z</dcterms:modified>
</cp:coreProperties>
</file>